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xelle.paul\Downloads\"/>
    </mc:Choice>
  </mc:AlternateContent>
  <xr:revisionPtr revIDLastSave="0" documentId="13_ncr:1_{A289EE1F-E791-440A-8BC3-9FF814C67904}" xr6:coauthVersionLast="45" xr6:coauthVersionMax="45" xr10:uidLastSave="{00000000-0000-0000-0000-000000000000}"/>
  <bookViews>
    <workbookView xWindow="-120" yWindow="-120" windowWidth="29040" windowHeight="15840" tabRatio="929" activeTab="9" xr2:uid="{00000000-000D-0000-FFFF-FFFF00000000}"/>
  </bookViews>
  <sheets>
    <sheet name="Base cotisations" sheetId="5" r:id="rId1"/>
    <sheet name="Informations paye_entreprise" sheetId="6" r:id="rId2"/>
    <sheet name="Calendrier" sheetId="18" r:id="rId3"/>
    <sheet name="Base employés" sheetId="14" r:id="rId4"/>
    <sheet name="Formulaire" sheetId="12" r:id="rId5"/>
    <sheet name="Salariale" sheetId="1" r:id="rId6"/>
    <sheet name="Patronale" sheetId="2" r:id="rId7"/>
    <sheet name="Décompte cotisation" sheetId="3" r:id="rId8"/>
    <sheet name="BS" sheetId="19" r:id="rId9"/>
    <sheet name="Sélection" sheetId="13" r:id="rId10"/>
    <sheet name="Calcul ICCP_ICP" sheetId="11" r:id="rId11"/>
    <sheet name="PAS" sheetId="20" r:id="rId12"/>
    <sheet name="Heures supplémentaires" sheetId="16" r:id="rId13"/>
    <sheet name="Tableau absence" sheetId="7" r:id="rId14"/>
    <sheet name="Saisie sur salaire" sheetId="17" r:id="rId15"/>
  </sheets>
  <externalReferences>
    <externalReference r:id="rId16"/>
  </externalReferences>
  <definedNames>
    <definedName name="Absences" comment="Date des CP posé par les employés" localSheetId="13">'Tableau absence'!$L$17:$P$39</definedName>
    <definedName name="ctp">'[1]COTISATIONS MARTIN 18'!$E$23</definedName>
    <definedName name="_xlnm.Print_Area" localSheetId="8">BS!$B$2:$O$91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39" i="2" l="1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4" i="2"/>
  <c r="R23" i="2"/>
  <c r="R22" i="2"/>
  <c r="O39" i="2"/>
  <c r="O38" i="2"/>
  <c r="O37" i="2"/>
  <c r="O36" i="2"/>
  <c r="O35" i="2"/>
  <c r="O34" i="2"/>
  <c r="O33" i="2"/>
  <c r="O32" i="2"/>
  <c r="O31" i="2"/>
  <c r="O30" i="2"/>
  <c r="O29" i="2"/>
  <c r="O28" i="2"/>
  <c r="O27" i="2"/>
  <c r="O26" i="2"/>
  <c r="O24" i="2"/>
  <c r="O23" i="2"/>
  <c r="O22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4" i="2"/>
  <c r="L23" i="2"/>
  <c r="L22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4" i="2"/>
  <c r="I23" i="2"/>
  <c r="I22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4" i="2"/>
  <c r="F23" i="2"/>
  <c r="F22" i="2"/>
  <c r="C37" i="2"/>
  <c r="E37" i="2" s="1"/>
  <c r="C36" i="2"/>
  <c r="C35" i="2"/>
  <c r="C34" i="2"/>
  <c r="C33" i="2"/>
  <c r="C32" i="2"/>
  <c r="C31" i="2"/>
  <c r="C30" i="2"/>
  <c r="C29" i="2"/>
  <c r="C28" i="2"/>
  <c r="C42" i="2"/>
  <c r="R43" i="1"/>
  <c r="O44" i="1"/>
  <c r="X43" i="2"/>
  <c r="C10" i="2"/>
  <c r="D10" i="2"/>
  <c r="E10" i="2"/>
  <c r="E19" i="2" s="1"/>
  <c r="F10" i="2"/>
  <c r="G10" i="2"/>
  <c r="H10" i="2"/>
  <c r="I10" i="2"/>
  <c r="J10" i="2"/>
  <c r="K10" i="2"/>
  <c r="L10" i="2"/>
  <c r="M10" i="2"/>
  <c r="N10" i="2"/>
  <c r="O10" i="2"/>
  <c r="P10" i="2"/>
  <c r="Q10" i="2"/>
  <c r="Q19" i="2" s="1"/>
  <c r="R10" i="2"/>
  <c r="S10" i="2"/>
  <c r="T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L20" i="2"/>
  <c r="H19" i="2"/>
  <c r="R20" i="2"/>
  <c r="T8" i="2"/>
  <c r="Q8" i="2"/>
  <c r="N8" i="2"/>
  <c r="K8" i="2"/>
  <c r="H8" i="2"/>
  <c r="E8" i="2"/>
  <c r="O20" i="2"/>
  <c r="D39" i="2"/>
  <c r="D37" i="2"/>
  <c r="D36" i="2"/>
  <c r="D35" i="2"/>
  <c r="D34" i="2"/>
  <c r="D33" i="2"/>
  <c r="D32" i="2"/>
  <c r="D31" i="2"/>
  <c r="D30" i="2"/>
  <c r="D29" i="2"/>
  <c r="D28" i="2"/>
  <c r="E25" i="2"/>
  <c r="D24" i="2"/>
  <c r="D23" i="2"/>
  <c r="D22" i="2"/>
  <c r="G39" i="2"/>
  <c r="G37" i="2"/>
  <c r="G36" i="2"/>
  <c r="G35" i="2"/>
  <c r="G34" i="2"/>
  <c r="G33" i="2"/>
  <c r="G32" i="2"/>
  <c r="G31" i="2"/>
  <c r="G30" i="2"/>
  <c r="G29" i="2"/>
  <c r="G28" i="2"/>
  <c r="H25" i="2"/>
  <c r="G24" i="2"/>
  <c r="G23" i="2"/>
  <c r="G22" i="2"/>
  <c r="J39" i="2"/>
  <c r="J37" i="2"/>
  <c r="J36" i="2"/>
  <c r="J35" i="2"/>
  <c r="J34" i="2"/>
  <c r="J33" i="2"/>
  <c r="J32" i="2"/>
  <c r="J31" i="2"/>
  <c r="J30" i="2"/>
  <c r="J29" i="2"/>
  <c r="J28" i="2"/>
  <c r="K25" i="2"/>
  <c r="J24" i="2"/>
  <c r="J23" i="2"/>
  <c r="J22" i="2"/>
  <c r="B2" i="1"/>
  <c r="T10" i="1"/>
  <c r="Q10" i="1"/>
  <c r="N10" i="1"/>
  <c r="E10" i="1"/>
  <c r="E12" i="1" s="1"/>
  <c r="D12" i="1" s="1"/>
  <c r="H10" i="1"/>
  <c r="H12" i="1" s="1"/>
  <c r="H21" i="1" s="1"/>
  <c r="K10" i="1"/>
  <c r="K12" i="1" s="1"/>
  <c r="H9" i="1"/>
  <c r="K9" i="1"/>
  <c r="N9" i="1"/>
  <c r="Q9" i="1"/>
  <c r="T9" i="1"/>
  <c r="E9" i="1"/>
  <c r="T8" i="1"/>
  <c r="Q8" i="1"/>
  <c r="N8" i="1"/>
  <c r="K8" i="1"/>
  <c r="H8" i="1"/>
  <c r="E8" i="1"/>
  <c r="V48" i="1"/>
  <c r="V49" i="1"/>
  <c r="V50" i="1"/>
  <c r="V47" i="1"/>
  <c r="U48" i="1"/>
  <c r="U49" i="1"/>
  <c r="U47" i="1"/>
  <c r="V27" i="1"/>
  <c r="V41" i="1"/>
  <c r="V23" i="1"/>
  <c r="U27" i="1"/>
  <c r="U23" i="1"/>
  <c r="V13" i="1"/>
  <c r="V14" i="1"/>
  <c r="V15" i="1"/>
  <c r="V16" i="1"/>
  <c r="V17" i="1"/>
  <c r="V18" i="1"/>
  <c r="V19" i="1"/>
  <c r="V20" i="1"/>
  <c r="U13" i="1"/>
  <c r="U14" i="1"/>
  <c r="U15" i="1"/>
  <c r="U16" i="1"/>
  <c r="U17" i="1"/>
  <c r="U18" i="1"/>
  <c r="U19" i="1"/>
  <c r="U20" i="1"/>
  <c r="U12" i="1"/>
  <c r="D44" i="1"/>
  <c r="D43" i="1"/>
  <c r="D42" i="1"/>
  <c r="E41" i="1"/>
  <c r="D39" i="1"/>
  <c r="D38" i="1"/>
  <c r="D37" i="1"/>
  <c r="D36" i="1"/>
  <c r="D35" i="1"/>
  <c r="D34" i="1"/>
  <c r="D33" i="1"/>
  <c r="D32" i="1"/>
  <c r="D31" i="1"/>
  <c r="D30" i="1"/>
  <c r="E27" i="1"/>
  <c r="D26" i="1"/>
  <c r="D25" i="1"/>
  <c r="G44" i="1"/>
  <c r="G43" i="1"/>
  <c r="G42" i="1"/>
  <c r="H41" i="1"/>
  <c r="G39" i="1"/>
  <c r="G38" i="1"/>
  <c r="G37" i="1"/>
  <c r="G36" i="1"/>
  <c r="G35" i="1"/>
  <c r="G34" i="1"/>
  <c r="G33" i="1"/>
  <c r="G32" i="1"/>
  <c r="G31" i="1"/>
  <c r="G30" i="1"/>
  <c r="H27" i="1"/>
  <c r="G26" i="1"/>
  <c r="G25" i="1"/>
  <c r="J44" i="1"/>
  <c r="J43" i="1"/>
  <c r="J42" i="1"/>
  <c r="K41" i="1"/>
  <c r="J39" i="1"/>
  <c r="J38" i="1"/>
  <c r="J37" i="1"/>
  <c r="J36" i="1"/>
  <c r="J35" i="1"/>
  <c r="J34" i="1"/>
  <c r="J33" i="1"/>
  <c r="J32" i="1"/>
  <c r="J31" i="1"/>
  <c r="J30" i="1"/>
  <c r="K27" i="1"/>
  <c r="J26" i="1"/>
  <c r="J25" i="1"/>
  <c r="C20" i="2" l="1"/>
  <c r="T19" i="2"/>
  <c r="F20" i="2"/>
  <c r="H27" i="2" s="1"/>
  <c r="N19" i="2"/>
  <c r="I20" i="2"/>
  <c r="K19" i="2"/>
  <c r="E36" i="2"/>
  <c r="C27" i="2"/>
  <c r="E27" i="2" s="1"/>
  <c r="C22" i="2"/>
  <c r="E22" i="2" s="1"/>
  <c r="C23" i="2"/>
  <c r="E23" i="2" s="1"/>
  <c r="C26" i="2"/>
  <c r="E26" i="2" s="1"/>
  <c r="H37" i="2"/>
  <c r="K26" i="2"/>
  <c r="K36" i="2"/>
  <c r="H36" i="2"/>
  <c r="K37" i="2"/>
  <c r="F22" i="1"/>
  <c r="F24" i="1" s="1"/>
  <c r="D15" i="1"/>
  <c r="D14" i="1"/>
  <c r="D13" i="1"/>
  <c r="C22" i="1"/>
  <c r="E21" i="1"/>
  <c r="G12" i="1"/>
  <c r="J12" i="1"/>
  <c r="I22" i="1"/>
  <c r="K21" i="1"/>
  <c r="L28" i="7"/>
  <c r="L29" i="7"/>
  <c r="L30" i="7"/>
  <c r="L31" i="7"/>
  <c r="L27" i="7"/>
  <c r="L20" i="7"/>
  <c r="L21" i="7"/>
  <c r="L22" i="7"/>
  <c r="L23" i="7"/>
  <c r="L19" i="7"/>
  <c r="L39" i="7"/>
  <c r="L38" i="7"/>
  <c r="L37" i="7"/>
  <c r="L36" i="7"/>
  <c r="L35" i="7"/>
  <c r="P39" i="7"/>
  <c r="P38" i="7"/>
  <c r="P37" i="7"/>
  <c r="P36" i="7"/>
  <c r="P35" i="7"/>
  <c r="P23" i="7"/>
  <c r="P22" i="7"/>
  <c r="P21" i="7"/>
  <c r="P20" i="7"/>
  <c r="P19" i="7"/>
  <c r="P27" i="7"/>
  <c r="P28" i="7"/>
  <c r="P29" i="7"/>
  <c r="P30" i="7"/>
  <c r="P31" i="7"/>
  <c r="T12" i="1"/>
  <c r="S12" i="1" s="1"/>
  <c r="S15" i="1" s="1"/>
  <c r="Q12" i="1"/>
  <c r="P12" i="1" s="1"/>
  <c r="P15" i="1" s="1"/>
  <c r="K23" i="2" l="1"/>
  <c r="K22" i="2"/>
  <c r="K27" i="2"/>
  <c r="H26" i="2"/>
  <c r="H23" i="2"/>
  <c r="H22" i="2"/>
  <c r="C38" i="1"/>
  <c r="E38" i="1" s="1"/>
  <c r="C34" i="1"/>
  <c r="E34" i="1" s="1"/>
  <c r="C30" i="1"/>
  <c r="E30" i="1" s="1"/>
  <c r="C28" i="1"/>
  <c r="E28" i="1" s="1"/>
  <c r="C26" i="1"/>
  <c r="E26" i="1" s="1"/>
  <c r="C31" i="1"/>
  <c r="E31" i="1" s="1"/>
  <c r="C24" i="1"/>
  <c r="E24" i="1" s="1"/>
  <c r="C39" i="1"/>
  <c r="E39" i="1" s="1"/>
  <c r="C35" i="1"/>
  <c r="E35" i="1" s="1"/>
  <c r="C40" i="1"/>
  <c r="E40" i="1" s="1"/>
  <c r="C43" i="1" s="1"/>
  <c r="E43" i="1" s="1"/>
  <c r="C36" i="1"/>
  <c r="E36" i="1" s="1"/>
  <c r="C32" i="1"/>
  <c r="E32" i="1" s="1"/>
  <c r="C29" i="1"/>
  <c r="E29" i="1" s="1"/>
  <c r="C42" i="1"/>
  <c r="E42" i="1" s="1"/>
  <c r="C37" i="1"/>
  <c r="E37" i="1" s="1"/>
  <c r="C33" i="1"/>
  <c r="E33" i="1" s="1"/>
  <c r="C25" i="1"/>
  <c r="E25" i="1" s="1"/>
  <c r="F38" i="1"/>
  <c r="H38" i="1" s="1"/>
  <c r="F34" i="1"/>
  <c r="H34" i="1" s="1"/>
  <c r="F30" i="1"/>
  <c r="H30" i="1" s="1"/>
  <c r="F28" i="1"/>
  <c r="H28" i="1" s="1"/>
  <c r="F26" i="1"/>
  <c r="H26" i="1" s="1"/>
  <c r="F39" i="1"/>
  <c r="H39" i="1" s="1"/>
  <c r="F35" i="1"/>
  <c r="H35" i="1" s="1"/>
  <c r="F31" i="1"/>
  <c r="H31" i="1" s="1"/>
  <c r="H24" i="1"/>
  <c r="F40" i="1"/>
  <c r="H40" i="1" s="1"/>
  <c r="F43" i="1" s="1"/>
  <c r="H43" i="1" s="1"/>
  <c r="F36" i="1"/>
  <c r="H36" i="1" s="1"/>
  <c r="F32" i="1"/>
  <c r="H32" i="1" s="1"/>
  <c r="F29" i="1"/>
  <c r="H29" i="1" s="1"/>
  <c r="F37" i="1"/>
  <c r="H37" i="1" s="1"/>
  <c r="F33" i="1"/>
  <c r="H33" i="1" s="1"/>
  <c r="F25" i="1"/>
  <c r="H25" i="1" s="1"/>
  <c r="G15" i="1"/>
  <c r="G14" i="1"/>
  <c r="G13" i="1"/>
  <c r="I38" i="1"/>
  <c r="I34" i="1"/>
  <c r="I30" i="1"/>
  <c r="I28" i="1"/>
  <c r="K28" i="1" s="1"/>
  <c r="I26" i="1"/>
  <c r="K26" i="1" s="1"/>
  <c r="I39" i="1"/>
  <c r="I35" i="1"/>
  <c r="I31" i="1"/>
  <c r="I24" i="1"/>
  <c r="K24" i="1" s="1"/>
  <c r="I40" i="1"/>
  <c r="K40" i="1" s="1"/>
  <c r="I43" i="1" s="1"/>
  <c r="K43" i="1" s="1"/>
  <c r="I36" i="1"/>
  <c r="I32" i="1"/>
  <c r="I29" i="1"/>
  <c r="K29" i="1" s="1"/>
  <c r="I42" i="1"/>
  <c r="K42" i="1" s="1"/>
  <c r="I37" i="1"/>
  <c r="I33" i="1"/>
  <c r="I25" i="1"/>
  <c r="K25" i="1" s="1"/>
  <c r="J15" i="1"/>
  <c r="J14" i="1"/>
  <c r="J13" i="1"/>
  <c r="P24" i="7"/>
  <c r="P32" i="7"/>
  <c r="P40" i="7"/>
  <c r="S13" i="1"/>
  <c r="S14" i="1"/>
  <c r="P13" i="1"/>
  <c r="P14" i="1"/>
  <c r="D5" i="17"/>
  <c r="C9" i="12"/>
  <c r="F4" i="7"/>
  <c r="E14" i="14"/>
  <c r="E17" i="14" s="1"/>
  <c r="C14" i="14"/>
  <c r="F42" i="1" l="1"/>
  <c r="H42" i="1" s="1"/>
  <c r="K36" i="1"/>
  <c r="K30" i="1"/>
  <c r="K39" i="1"/>
  <c r="K34" i="1"/>
  <c r="K38" i="1"/>
  <c r="K37" i="1"/>
  <c r="K35" i="1"/>
  <c r="K33" i="1"/>
  <c r="K32" i="1"/>
  <c r="K31" i="1"/>
  <c r="C44" i="1"/>
  <c r="E44" i="1" s="1"/>
  <c r="E45" i="1" s="1"/>
  <c r="C46" i="1" s="1"/>
  <c r="C50" i="1" s="1"/>
  <c r="F44" i="1"/>
  <c r="H44" i="1" s="1"/>
  <c r="H45" i="1" s="1"/>
  <c r="F46" i="1" s="1"/>
  <c r="F50" i="1" s="1"/>
  <c r="I44" i="1"/>
  <c r="K44" i="1" s="1"/>
  <c r="K40" i="19"/>
  <c r="K45" i="1" l="1"/>
  <c r="I46" i="1" s="1"/>
  <c r="I50" i="1" s="1"/>
  <c r="N75" i="19"/>
  <c r="A4" i="14"/>
  <c r="M61" i="19" s="1"/>
  <c r="N41" i="1" l="1"/>
  <c r="H6" i="18"/>
  <c r="G6" i="18" s="1"/>
  <c r="P4" i="2"/>
  <c r="C14" i="7"/>
  <c r="B14" i="7"/>
  <c r="K3" i="19"/>
  <c r="L3" i="19"/>
  <c r="E34" i="2" l="1"/>
  <c r="E35" i="2"/>
  <c r="C39" i="2"/>
  <c r="C24" i="2"/>
  <c r="E24" i="2" s="1"/>
  <c r="E30" i="2"/>
  <c r="E31" i="2"/>
  <c r="E32" i="2"/>
  <c r="E33" i="2"/>
  <c r="E28" i="2"/>
  <c r="E29" i="2"/>
  <c r="C38" i="2"/>
  <c r="E38" i="2" s="1"/>
  <c r="H38" i="2"/>
  <c r="H33" i="2"/>
  <c r="H32" i="2"/>
  <c r="H34" i="2"/>
  <c r="H35" i="2"/>
  <c r="H29" i="2"/>
  <c r="H28" i="2"/>
  <c r="H31" i="2"/>
  <c r="H30" i="2"/>
  <c r="H24" i="2"/>
  <c r="K30" i="2"/>
  <c r="K31" i="2"/>
  <c r="K24" i="2"/>
  <c r="K34" i="2"/>
  <c r="K32" i="2"/>
  <c r="K29" i="2"/>
  <c r="K35" i="2"/>
  <c r="K38" i="2"/>
  <c r="K33" i="2"/>
  <c r="K28" i="2"/>
  <c r="J3" i="7"/>
  <c r="D7" i="16"/>
  <c r="D5" i="16"/>
  <c r="D12" i="16"/>
  <c r="C15" i="14"/>
  <c r="I42" i="2" l="1"/>
  <c r="I41" i="2"/>
  <c r="I40" i="2"/>
  <c r="F42" i="2"/>
  <c r="F41" i="2"/>
  <c r="F40" i="2"/>
  <c r="K41" i="2"/>
  <c r="H42" i="2"/>
  <c r="H40" i="2"/>
  <c r="E43" i="2"/>
  <c r="C44" i="2" s="1"/>
  <c r="C48" i="2" s="1"/>
  <c r="E42" i="2"/>
  <c r="C40" i="2"/>
  <c r="E40" i="2" s="1"/>
  <c r="C41" i="2"/>
  <c r="E41" i="2" s="1"/>
  <c r="H41" i="2"/>
  <c r="K40" i="2"/>
  <c r="C17" i="14"/>
  <c r="C23" i="14" s="1"/>
  <c r="D14" i="14"/>
  <c r="D15" i="14" s="1"/>
  <c r="E15" i="14"/>
  <c r="H31" i="14"/>
  <c r="C26" i="14" l="1"/>
  <c r="E23" i="14"/>
  <c r="E26" i="14" s="1"/>
  <c r="D17" i="14"/>
  <c r="D23" i="14" l="1"/>
  <c r="D26" i="14" s="1"/>
  <c r="L24" i="19"/>
  <c r="I19" i="19"/>
  <c r="I22" i="19"/>
  <c r="C3" i="13"/>
  <c r="G21" i="11" l="1"/>
  <c r="F4" i="20"/>
  <c r="F11" i="20" s="1"/>
  <c r="G18" i="11"/>
  <c r="D2" i="20"/>
  <c r="C2" i="17"/>
  <c r="F33" i="11"/>
  <c r="K3" i="7"/>
  <c r="D15" i="16"/>
  <c r="D14" i="16"/>
  <c r="D13" i="16"/>
  <c r="I53" i="11"/>
  <c r="H53" i="11"/>
  <c r="G53" i="11"/>
  <c r="F53" i="11"/>
  <c r="I51" i="11"/>
  <c r="H51" i="11"/>
  <c r="G51" i="11"/>
  <c r="I35" i="11"/>
  <c r="H35" i="11"/>
  <c r="I33" i="11"/>
  <c r="H33" i="11"/>
  <c r="F15" i="11"/>
  <c r="C11" i="11"/>
  <c r="O31" i="19"/>
  <c r="K31" i="19"/>
  <c r="F12" i="19"/>
  <c r="A3" i="13"/>
  <c r="A2" i="13"/>
  <c r="H14" i="7"/>
  <c r="G14" i="7"/>
  <c r="G7" i="7"/>
  <c r="H7" i="7"/>
  <c r="F14" i="7"/>
  <c r="K13" i="7"/>
  <c r="J13" i="7"/>
  <c r="K12" i="7"/>
  <c r="J12" i="7"/>
  <c r="K11" i="7"/>
  <c r="J11" i="7"/>
  <c r="K10" i="7"/>
  <c r="J10" i="7"/>
  <c r="D9" i="7"/>
  <c r="C9" i="7" s="1"/>
  <c r="F13" i="11"/>
  <c r="D15" i="11" s="1"/>
  <c r="J16" i="19"/>
  <c r="L16" i="19" s="1"/>
  <c r="D8" i="19"/>
  <c r="I9" i="19"/>
  <c r="I8" i="19"/>
  <c r="C12" i="7"/>
  <c r="D11" i="16"/>
  <c r="C27" i="12"/>
  <c r="D12" i="19"/>
  <c r="D11" i="19"/>
  <c r="D9" i="19"/>
  <c r="O43" i="19"/>
  <c r="K38" i="19"/>
  <c r="K39" i="19"/>
  <c r="K41" i="19"/>
  <c r="K50" i="19"/>
  <c r="K51" i="19"/>
  <c r="K52" i="19"/>
  <c r="K53" i="19"/>
  <c r="K54" i="19"/>
  <c r="K62" i="19"/>
  <c r="F7" i="7"/>
  <c r="O36" i="19"/>
  <c r="O39" i="19"/>
  <c r="O49" i="19"/>
  <c r="O50" i="19"/>
  <c r="O52" i="19"/>
  <c r="O56" i="19"/>
  <c r="O62" i="19"/>
  <c r="O63" i="19"/>
  <c r="O64" i="19"/>
  <c r="O65" i="19"/>
  <c r="K36" i="19"/>
  <c r="K37" i="19"/>
  <c r="K43" i="19"/>
  <c r="K49" i="19"/>
  <c r="K55" i="19"/>
  <c r="K56" i="19"/>
  <c r="K57" i="19"/>
  <c r="K58" i="19"/>
  <c r="K59" i="19"/>
  <c r="K60" i="19"/>
  <c r="K61" i="19"/>
  <c r="K32" i="19"/>
  <c r="L25" i="19"/>
  <c r="L26" i="19"/>
  <c r="K27" i="19"/>
  <c r="K28" i="19"/>
  <c r="K29" i="19"/>
  <c r="K30" i="19"/>
  <c r="E6" i="19"/>
  <c r="C6" i="19"/>
  <c r="B4" i="19"/>
  <c r="B3" i="19"/>
  <c r="B2" i="19"/>
  <c r="F8" i="13"/>
  <c r="C15" i="13"/>
  <c r="C6" i="13"/>
  <c r="F6" i="13"/>
  <c r="H6" i="13"/>
  <c r="E5" i="11"/>
  <c r="F14" i="11" s="1"/>
  <c r="D10" i="11" s="1"/>
  <c r="F10" i="20" l="1"/>
  <c r="C10" i="17"/>
  <c r="C14" i="17"/>
  <c r="C13" i="17"/>
  <c r="C12" i="17"/>
  <c r="C15" i="17"/>
  <c r="C9" i="17"/>
  <c r="C11" i="17"/>
  <c r="F7" i="20"/>
  <c r="F8" i="20" s="1"/>
  <c r="F9" i="20" s="1"/>
  <c r="F51" i="11"/>
  <c r="F36" i="11"/>
  <c r="F54" i="11"/>
  <c r="F38" i="11"/>
  <c r="F56" i="11"/>
  <c r="M38" i="19"/>
  <c r="M54" i="19"/>
  <c r="M59" i="19"/>
  <c r="G3" i="13"/>
  <c r="C10" i="7"/>
  <c r="C13" i="7"/>
  <c r="C11" i="7"/>
  <c r="G5" i="11"/>
  <c r="G2" i="13"/>
  <c r="AA36" i="18"/>
  <c r="W36" i="18"/>
  <c r="Q36" i="18"/>
  <c r="M36" i="18"/>
  <c r="I34" i="18"/>
  <c r="I35" i="18"/>
  <c r="I36" i="18"/>
  <c r="B15" i="18"/>
  <c r="B14" i="18"/>
  <c r="B13" i="18"/>
  <c r="B12" i="18"/>
  <c r="B11" i="18"/>
  <c r="B7" i="18"/>
  <c r="B6" i="18"/>
  <c r="B4" i="18"/>
  <c r="B8" i="18" s="1"/>
  <c r="B3" i="18"/>
  <c r="J6" i="18"/>
  <c r="L6" i="18"/>
  <c r="K6" i="18" s="1"/>
  <c r="N6" i="18"/>
  <c r="M6" i="18" s="1"/>
  <c r="P6" i="18"/>
  <c r="O6" i="18" s="1"/>
  <c r="R6" i="18"/>
  <c r="T6" i="18"/>
  <c r="S6" i="18" s="1"/>
  <c r="V6" i="18"/>
  <c r="U6" i="18" s="1"/>
  <c r="X6" i="18"/>
  <c r="W6" i="18" s="1"/>
  <c r="Z6" i="18"/>
  <c r="AB6" i="18"/>
  <c r="AD6" i="18"/>
  <c r="AC6" i="18" s="1"/>
  <c r="E3" i="18"/>
  <c r="E4" i="18" s="1"/>
  <c r="E5" i="18" s="1"/>
  <c r="E6" i="18" s="1"/>
  <c r="E7" i="18" s="1"/>
  <c r="E8" i="18" s="1"/>
  <c r="E9" i="18" s="1"/>
  <c r="E10" i="18" s="1"/>
  <c r="E11" i="18" s="1"/>
  <c r="E12" i="18" s="1"/>
  <c r="E13" i="18" s="1"/>
  <c r="E14" i="18" s="1"/>
  <c r="E15" i="18" s="1"/>
  <c r="E16" i="18" s="1"/>
  <c r="E17" i="18" s="1"/>
  <c r="E18" i="18" s="1"/>
  <c r="E19" i="18" s="1"/>
  <c r="E20" i="18" s="1"/>
  <c r="E21" i="18" s="1"/>
  <c r="E22" i="18" s="1"/>
  <c r="E23" i="18" s="1"/>
  <c r="E24" i="18" s="1"/>
  <c r="E25" i="18" s="1"/>
  <c r="E26" i="18" s="1"/>
  <c r="E27" i="18" s="1"/>
  <c r="M3" i="7" l="1"/>
  <c r="I3" i="7" s="1"/>
  <c r="F13" i="20"/>
  <c r="F14" i="20" s="1"/>
  <c r="K82" i="19" s="1"/>
  <c r="I6" i="11"/>
  <c r="G22" i="11"/>
  <c r="K5" i="11"/>
  <c r="AB7" i="18"/>
  <c r="AA7" i="18" s="1"/>
  <c r="AA6" i="18"/>
  <c r="Z7" i="18"/>
  <c r="Y7" i="18" s="1"/>
  <c r="Y6" i="18"/>
  <c r="R7" i="18"/>
  <c r="Q7" i="18" s="1"/>
  <c r="Q6" i="18"/>
  <c r="J7" i="18"/>
  <c r="I7" i="18" s="1"/>
  <c r="I6" i="18"/>
  <c r="B5" i="18"/>
  <c r="B9" i="18"/>
  <c r="B10" i="18"/>
  <c r="V7" i="18"/>
  <c r="N7" i="18"/>
  <c r="M7" i="18" s="1"/>
  <c r="AD7" i="18"/>
  <c r="AC7" i="18" s="1"/>
  <c r="L7" i="18"/>
  <c r="K7" i="18" s="1"/>
  <c r="T7" i="18"/>
  <c r="S7" i="18" s="1"/>
  <c r="P7" i="18"/>
  <c r="O7" i="18" s="1"/>
  <c r="H7" i="18"/>
  <c r="G7" i="18" s="1"/>
  <c r="X7" i="18"/>
  <c r="W7" i="18" s="1"/>
  <c r="I4" i="7" l="1"/>
  <c r="I6" i="7"/>
  <c r="I5" i="7"/>
  <c r="M10" i="7"/>
  <c r="I10" i="7" s="1"/>
  <c r="F39" i="11"/>
  <c r="F57" i="11"/>
  <c r="N3" i="7"/>
  <c r="I75" i="19" s="1"/>
  <c r="N10" i="7"/>
  <c r="J8" i="18"/>
  <c r="I8" i="18" s="1"/>
  <c r="Z8" i="18"/>
  <c r="Y8" i="18" s="1"/>
  <c r="V8" i="18"/>
  <c r="U7" i="18"/>
  <c r="AB8" i="18"/>
  <c r="AA8" i="18" s="1"/>
  <c r="R8" i="18"/>
  <c r="Q8" i="18" s="1"/>
  <c r="T8" i="18"/>
  <c r="S8" i="18" s="1"/>
  <c r="AD8" i="18"/>
  <c r="AC8" i="18" s="1"/>
  <c r="L8" i="18"/>
  <c r="K8" i="18" s="1"/>
  <c r="X8" i="18"/>
  <c r="W8" i="18" s="1"/>
  <c r="P8" i="18"/>
  <c r="O8" i="18" s="1"/>
  <c r="H8" i="18"/>
  <c r="G8" i="18" s="1"/>
  <c r="N8" i="18"/>
  <c r="M8" i="18" s="1"/>
  <c r="K75" i="19" l="1"/>
  <c r="M75" i="19"/>
  <c r="O75" i="19" s="1"/>
  <c r="O80" i="19" s="1"/>
  <c r="J9" i="18"/>
  <c r="I9" i="18" s="1"/>
  <c r="I11" i="7"/>
  <c r="I13" i="7"/>
  <c r="I12" i="7"/>
  <c r="AB9" i="18"/>
  <c r="AA9" i="18" s="1"/>
  <c r="Z9" i="18"/>
  <c r="Y9" i="18" s="1"/>
  <c r="R9" i="18"/>
  <c r="Q9" i="18" s="1"/>
  <c r="V9" i="18"/>
  <c r="U8" i="18"/>
  <c r="H9" i="18"/>
  <c r="G9" i="18" s="1"/>
  <c r="AB10" i="18"/>
  <c r="AA10" i="18" s="1"/>
  <c r="X9" i="18"/>
  <c r="W9" i="18" s="1"/>
  <c r="L9" i="18"/>
  <c r="K9" i="18" s="1"/>
  <c r="T9" i="18"/>
  <c r="S9" i="18" s="1"/>
  <c r="N9" i="18"/>
  <c r="M9" i="18" s="1"/>
  <c r="P9" i="18"/>
  <c r="O9" i="18" s="1"/>
  <c r="J10" i="18"/>
  <c r="I10" i="18" s="1"/>
  <c r="AD9" i="18"/>
  <c r="AC9" i="18" s="1"/>
  <c r="Z10" i="18" l="1"/>
  <c r="Y10" i="18" s="1"/>
  <c r="R10" i="18"/>
  <c r="Q10" i="18" s="1"/>
  <c r="V10" i="18"/>
  <c r="U9" i="18"/>
  <c r="Z11" i="18"/>
  <c r="Y11" i="18" s="1"/>
  <c r="AD10" i="18"/>
  <c r="AC10" i="18" s="1"/>
  <c r="P10" i="18"/>
  <c r="O10" i="18" s="1"/>
  <c r="T10" i="18"/>
  <c r="S10" i="18" s="1"/>
  <c r="X10" i="18"/>
  <c r="W10" i="18" s="1"/>
  <c r="H10" i="18"/>
  <c r="G10" i="18" s="1"/>
  <c r="J11" i="18"/>
  <c r="I11" i="18" s="1"/>
  <c r="N10" i="18"/>
  <c r="M10" i="18" s="1"/>
  <c r="L10" i="18"/>
  <c r="K10" i="18" s="1"/>
  <c r="AB11" i="18"/>
  <c r="AA11" i="18" s="1"/>
  <c r="R11" i="18"/>
  <c r="Q11" i="18" s="1"/>
  <c r="U10" i="18" l="1"/>
  <c r="V11" i="18"/>
  <c r="L11" i="18"/>
  <c r="K11" i="18" s="1"/>
  <c r="X11" i="18"/>
  <c r="W11" i="18" s="1"/>
  <c r="P11" i="18"/>
  <c r="O11" i="18" s="1"/>
  <c r="R12" i="18"/>
  <c r="Q12" i="18" s="1"/>
  <c r="J12" i="18"/>
  <c r="I12" i="18" s="1"/>
  <c r="AB12" i="18"/>
  <c r="AA12" i="18" s="1"/>
  <c r="N11" i="18"/>
  <c r="M11" i="18" s="1"/>
  <c r="H11" i="18"/>
  <c r="G11" i="18" s="1"/>
  <c r="T11" i="18"/>
  <c r="S11" i="18" s="1"/>
  <c r="AD11" i="18"/>
  <c r="AC11" i="18" s="1"/>
  <c r="Z12" i="18"/>
  <c r="Y12" i="18" s="1"/>
  <c r="U11" i="18" l="1"/>
  <c r="V12" i="18"/>
  <c r="Z13" i="18"/>
  <c r="Y13" i="18" s="1"/>
  <c r="N12" i="18"/>
  <c r="M12" i="18" s="1"/>
  <c r="P12" i="18"/>
  <c r="O12" i="18" s="1"/>
  <c r="T12" i="18"/>
  <c r="S12" i="18" s="1"/>
  <c r="J13" i="18"/>
  <c r="I13" i="18" s="1"/>
  <c r="L12" i="18"/>
  <c r="K12" i="18" s="1"/>
  <c r="AD12" i="18"/>
  <c r="AC12" i="18" s="1"/>
  <c r="H12" i="18"/>
  <c r="G12" i="18" s="1"/>
  <c r="AB13" i="18"/>
  <c r="AA13" i="18" s="1"/>
  <c r="R13" i="18"/>
  <c r="Q13" i="18" s="1"/>
  <c r="X12" i="18"/>
  <c r="W12" i="18" s="1"/>
  <c r="U12" i="18" l="1"/>
  <c r="V13" i="18"/>
  <c r="R14" i="18"/>
  <c r="Q14" i="18" s="1"/>
  <c r="N13" i="18"/>
  <c r="M13" i="18" s="1"/>
  <c r="H13" i="18"/>
  <c r="G13" i="18" s="1"/>
  <c r="L13" i="18"/>
  <c r="K13" i="18" s="1"/>
  <c r="T13" i="18"/>
  <c r="S13" i="18" s="1"/>
  <c r="AD13" i="18"/>
  <c r="AC13" i="18" s="1"/>
  <c r="X13" i="18"/>
  <c r="W13" i="18" s="1"/>
  <c r="AB14" i="18"/>
  <c r="AA14" i="18" s="1"/>
  <c r="J14" i="18"/>
  <c r="I14" i="18" s="1"/>
  <c r="P13" i="18"/>
  <c r="O13" i="18" s="1"/>
  <c r="Z14" i="18"/>
  <c r="Y14" i="18" s="1"/>
  <c r="U13" i="18" l="1"/>
  <c r="V14" i="18"/>
  <c r="P14" i="18"/>
  <c r="O14" i="18" s="1"/>
  <c r="AB15" i="18"/>
  <c r="AA15" i="18" s="1"/>
  <c r="L14" i="18"/>
  <c r="K14" i="18" s="1"/>
  <c r="Z15" i="18"/>
  <c r="Y15" i="18" s="1"/>
  <c r="J15" i="18"/>
  <c r="I15" i="18" s="1"/>
  <c r="X14" i="18"/>
  <c r="W14" i="18" s="1"/>
  <c r="T14" i="18"/>
  <c r="S14" i="18" s="1"/>
  <c r="H14" i="18"/>
  <c r="G14" i="18" s="1"/>
  <c r="R15" i="18"/>
  <c r="Q15" i="18" s="1"/>
  <c r="AD14" i="18"/>
  <c r="AC14" i="18" s="1"/>
  <c r="N14" i="18"/>
  <c r="M14" i="18" s="1"/>
  <c r="V15" i="18" l="1"/>
  <c r="U14" i="18"/>
  <c r="AD15" i="18"/>
  <c r="AC15" i="18" s="1"/>
  <c r="H15" i="18"/>
  <c r="G15" i="18" s="1"/>
  <c r="X15" i="18"/>
  <c r="W15" i="18" s="1"/>
  <c r="Z16" i="18"/>
  <c r="Y16" i="18" s="1"/>
  <c r="AB16" i="18"/>
  <c r="AA16" i="18" s="1"/>
  <c r="N15" i="18"/>
  <c r="M15" i="18" s="1"/>
  <c r="R16" i="18"/>
  <c r="Q16" i="18" s="1"/>
  <c r="T15" i="18"/>
  <c r="S15" i="18" s="1"/>
  <c r="J16" i="18"/>
  <c r="I16" i="18" s="1"/>
  <c r="L15" i="18"/>
  <c r="K15" i="18" s="1"/>
  <c r="P15" i="18"/>
  <c r="O15" i="18" s="1"/>
  <c r="U15" i="18" l="1"/>
  <c r="V16" i="18"/>
  <c r="J17" i="18"/>
  <c r="I17" i="18" s="1"/>
  <c r="R17" i="18"/>
  <c r="Q17" i="18" s="1"/>
  <c r="AD16" i="18"/>
  <c r="AC16" i="18" s="1"/>
  <c r="P16" i="18"/>
  <c r="O16" i="18" s="1"/>
  <c r="AB17" i="18"/>
  <c r="AA17" i="18" s="1"/>
  <c r="X16" i="18"/>
  <c r="W16" i="18" s="1"/>
  <c r="N16" i="18"/>
  <c r="M16" i="18" s="1"/>
  <c r="Z17" i="18"/>
  <c r="Y17" i="18" s="1"/>
  <c r="L16" i="18"/>
  <c r="K16" i="18" s="1"/>
  <c r="T16" i="18"/>
  <c r="S16" i="18" s="1"/>
  <c r="H16" i="18"/>
  <c r="G16" i="18" s="1"/>
  <c r="U16" i="18" l="1"/>
  <c r="V17" i="18"/>
  <c r="Z18" i="18"/>
  <c r="Y18" i="18" s="1"/>
  <c r="R18" i="18"/>
  <c r="Q18" i="18" s="1"/>
  <c r="H17" i="18"/>
  <c r="G17" i="18" s="1"/>
  <c r="L17" i="18"/>
  <c r="K17" i="18" s="1"/>
  <c r="X17" i="18"/>
  <c r="W17" i="18" s="1"/>
  <c r="P17" i="18"/>
  <c r="O17" i="18" s="1"/>
  <c r="AD17" i="18"/>
  <c r="AC17" i="18" s="1"/>
  <c r="J18" i="18"/>
  <c r="I18" i="18" s="1"/>
  <c r="T17" i="18"/>
  <c r="S17" i="18" s="1"/>
  <c r="N17" i="18"/>
  <c r="M17" i="18" s="1"/>
  <c r="AB18" i="18"/>
  <c r="AA18" i="18" s="1"/>
  <c r="U17" i="18" l="1"/>
  <c r="V18" i="18"/>
  <c r="AD18" i="18"/>
  <c r="AC18" i="18" s="1"/>
  <c r="R19" i="18"/>
  <c r="Q19" i="18" s="1"/>
  <c r="AB19" i="18"/>
  <c r="AA19" i="18" s="1"/>
  <c r="T18" i="18"/>
  <c r="S18" i="18" s="1"/>
  <c r="P18" i="18"/>
  <c r="O18" i="18" s="1"/>
  <c r="L18" i="18"/>
  <c r="K18" i="18" s="1"/>
  <c r="N18" i="18"/>
  <c r="M18" i="18" s="1"/>
  <c r="J19" i="18"/>
  <c r="I19" i="18" s="1"/>
  <c r="Z19" i="18"/>
  <c r="Y19" i="18" s="1"/>
  <c r="X18" i="18"/>
  <c r="W18" i="18" s="1"/>
  <c r="H18" i="18"/>
  <c r="G18" i="18" s="1"/>
  <c r="U18" i="18" l="1"/>
  <c r="V19" i="18"/>
  <c r="Z20" i="18"/>
  <c r="Y20" i="18" s="1"/>
  <c r="J20" i="18"/>
  <c r="I20" i="18" s="1"/>
  <c r="R20" i="18"/>
  <c r="Q20" i="18" s="1"/>
  <c r="H19" i="18"/>
  <c r="G19" i="18" s="1"/>
  <c r="L19" i="18"/>
  <c r="K19" i="18" s="1"/>
  <c r="T19" i="18"/>
  <c r="S19" i="18" s="1"/>
  <c r="N19" i="18"/>
  <c r="M19" i="18" s="1"/>
  <c r="AD19" i="18"/>
  <c r="AC19" i="18" s="1"/>
  <c r="X19" i="18"/>
  <c r="W19" i="18" s="1"/>
  <c r="P19" i="18"/>
  <c r="O19" i="18" s="1"/>
  <c r="AB20" i="18"/>
  <c r="AA20" i="18" s="1"/>
  <c r="U19" i="18" l="1"/>
  <c r="V20" i="18"/>
  <c r="N20" i="18"/>
  <c r="M20" i="18" s="1"/>
  <c r="J21" i="18"/>
  <c r="I21" i="18" s="1"/>
  <c r="AB21" i="18"/>
  <c r="AA21" i="18" s="1"/>
  <c r="X20" i="18"/>
  <c r="W20" i="18" s="1"/>
  <c r="T20" i="18"/>
  <c r="S20" i="18" s="1"/>
  <c r="H20" i="18"/>
  <c r="G20" i="18" s="1"/>
  <c r="AD20" i="18"/>
  <c r="AC20" i="18" s="1"/>
  <c r="R21" i="18"/>
  <c r="Q21" i="18" s="1"/>
  <c r="Z21" i="18"/>
  <c r="Y21" i="18" s="1"/>
  <c r="P20" i="18"/>
  <c r="O20" i="18" s="1"/>
  <c r="L20" i="18"/>
  <c r="K20" i="18" s="1"/>
  <c r="U20" i="18" l="1"/>
  <c r="V21" i="18"/>
  <c r="R22" i="18"/>
  <c r="Q22" i="18" s="1"/>
  <c r="J22" i="18"/>
  <c r="I22" i="18" s="1"/>
  <c r="L21" i="18"/>
  <c r="K21" i="18" s="1"/>
  <c r="P21" i="18"/>
  <c r="O21" i="18" s="1"/>
  <c r="H21" i="18"/>
  <c r="G21" i="18" s="1"/>
  <c r="X21" i="18"/>
  <c r="W21" i="18" s="1"/>
  <c r="Z22" i="18"/>
  <c r="Y22" i="18" s="1"/>
  <c r="AD21" i="18"/>
  <c r="AC21" i="18" s="1"/>
  <c r="N21" i="18"/>
  <c r="M21" i="18" s="1"/>
  <c r="T21" i="18"/>
  <c r="S21" i="18" s="1"/>
  <c r="AB22" i="18"/>
  <c r="AA22" i="18" s="1"/>
  <c r="U21" i="18" l="1"/>
  <c r="V22" i="18"/>
  <c r="Z23" i="18"/>
  <c r="Y23" i="18" s="1"/>
  <c r="AD22" i="18"/>
  <c r="AC22" i="18" s="1"/>
  <c r="J23" i="18"/>
  <c r="I23" i="18" s="1"/>
  <c r="AB23" i="18"/>
  <c r="AA23" i="18" s="1"/>
  <c r="X22" i="18"/>
  <c r="W22" i="18" s="1"/>
  <c r="P22" i="18"/>
  <c r="O22" i="18" s="1"/>
  <c r="N22" i="18"/>
  <c r="M22" i="18" s="1"/>
  <c r="T22" i="18"/>
  <c r="S22" i="18" s="1"/>
  <c r="H22" i="18"/>
  <c r="G22" i="18" s="1"/>
  <c r="L22" i="18"/>
  <c r="K22" i="18" s="1"/>
  <c r="R23" i="18"/>
  <c r="Q23" i="18" s="1"/>
  <c r="U22" i="18" l="1"/>
  <c r="V23" i="18"/>
  <c r="AB24" i="18"/>
  <c r="AA24" i="18" s="1"/>
  <c r="J24" i="18"/>
  <c r="I24" i="18" s="1"/>
  <c r="Z24" i="18"/>
  <c r="Y24" i="18" s="1"/>
  <c r="R24" i="18"/>
  <c r="Q24" i="18" s="1"/>
  <c r="N23" i="18"/>
  <c r="M23" i="18" s="1"/>
  <c r="H23" i="18"/>
  <c r="G23" i="18" s="1"/>
  <c r="X23" i="18"/>
  <c r="W23" i="18" s="1"/>
  <c r="AD23" i="18"/>
  <c r="AC23" i="18" s="1"/>
  <c r="T23" i="18"/>
  <c r="S23" i="18" s="1"/>
  <c r="L23" i="18"/>
  <c r="K23" i="18" s="1"/>
  <c r="P23" i="18"/>
  <c r="O23" i="18" s="1"/>
  <c r="U23" i="18" l="1"/>
  <c r="V24" i="18"/>
  <c r="R25" i="18"/>
  <c r="Q25" i="18" s="1"/>
  <c r="L24" i="18"/>
  <c r="K24" i="18" s="1"/>
  <c r="AD24" i="18"/>
  <c r="AC24" i="18" s="1"/>
  <c r="H24" i="18"/>
  <c r="G24" i="18" s="1"/>
  <c r="J25" i="18"/>
  <c r="I25" i="18" s="1"/>
  <c r="P24" i="18"/>
  <c r="O24" i="18" s="1"/>
  <c r="T24" i="18"/>
  <c r="S24" i="18" s="1"/>
  <c r="X24" i="18"/>
  <c r="W24" i="18" s="1"/>
  <c r="N24" i="18"/>
  <c r="M24" i="18" s="1"/>
  <c r="Z25" i="18"/>
  <c r="Y25" i="18" s="1"/>
  <c r="AB25" i="18"/>
  <c r="AA25" i="18" s="1"/>
  <c r="U24" i="18" l="1"/>
  <c r="V25" i="18"/>
  <c r="J26" i="18"/>
  <c r="I26" i="18" s="1"/>
  <c r="AB26" i="18"/>
  <c r="AA26" i="18" s="1"/>
  <c r="N25" i="18"/>
  <c r="M25" i="18" s="1"/>
  <c r="T25" i="18"/>
  <c r="S25" i="18" s="1"/>
  <c r="AD25" i="18"/>
  <c r="AC25" i="18" s="1"/>
  <c r="Z26" i="18"/>
  <c r="Y26" i="18" s="1"/>
  <c r="X25" i="18"/>
  <c r="W25" i="18" s="1"/>
  <c r="P25" i="18"/>
  <c r="O25" i="18" s="1"/>
  <c r="H25" i="18"/>
  <c r="G25" i="18" s="1"/>
  <c r="L25" i="18"/>
  <c r="K25" i="18" s="1"/>
  <c r="R26" i="18"/>
  <c r="Q26" i="18" s="1"/>
  <c r="U25" i="18" l="1"/>
  <c r="V26" i="18"/>
  <c r="H26" i="18"/>
  <c r="G26" i="18" s="1"/>
  <c r="R27" i="18"/>
  <c r="Q27" i="18" s="1"/>
  <c r="X26" i="18"/>
  <c r="W26" i="18" s="1"/>
  <c r="T26" i="18"/>
  <c r="S26" i="18" s="1"/>
  <c r="AB27" i="18"/>
  <c r="AA27" i="18" s="1"/>
  <c r="L26" i="18"/>
  <c r="K26" i="18" s="1"/>
  <c r="P26" i="18"/>
  <c r="O26" i="18" s="1"/>
  <c r="Z27" i="18"/>
  <c r="Y27" i="18" s="1"/>
  <c r="AD26" i="18"/>
  <c r="AC26" i="18" s="1"/>
  <c r="N26" i="18"/>
  <c r="M26" i="18" s="1"/>
  <c r="J27" i="18"/>
  <c r="I27" i="18" s="1"/>
  <c r="U26" i="18" l="1"/>
  <c r="V27" i="18"/>
  <c r="AD27" i="18"/>
  <c r="AC27" i="18" s="1"/>
  <c r="P27" i="18"/>
  <c r="O27" i="18" s="1"/>
  <c r="AB28" i="18"/>
  <c r="AA28" i="18" s="1"/>
  <c r="X27" i="18"/>
  <c r="W27" i="18" s="1"/>
  <c r="Z28" i="18"/>
  <c r="Y28" i="18" s="1"/>
  <c r="J28" i="18"/>
  <c r="I28" i="18" s="1"/>
  <c r="N27" i="18"/>
  <c r="M27" i="18" s="1"/>
  <c r="L27" i="18"/>
  <c r="K27" i="18" s="1"/>
  <c r="T27" i="18"/>
  <c r="S27" i="18" s="1"/>
  <c r="R28" i="18"/>
  <c r="Q28" i="18" s="1"/>
  <c r="H27" i="18"/>
  <c r="G27" i="18" s="1"/>
  <c r="U27" i="18" l="1"/>
  <c r="V28" i="18"/>
  <c r="H28" i="18"/>
  <c r="G28" i="18" s="1"/>
  <c r="T28" i="18"/>
  <c r="S28" i="18" s="1"/>
  <c r="N28" i="18"/>
  <c r="M28" i="18" s="1"/>
  <c r="Z29" i="18"/>
  <c r="Y29" i="18" s="1"/>
  <c r="X28" i="18"/>
  <c r="W28" i="18" s="1"/>
  <c r="P28" i="18"/>
  <c r="O28" i="18" s="1"/>
  <c r="R29" i="18"/>
  <c r="Q29" i="18" s="1"/>
  <c r="L28" i="18"/>
  <c r="K28" i="18" s="1"/>
  <c r="J29" i="18"/>
  <c r="I29" i="18" s="1"/>
  <c r="AB29" i="18"/>
  <c r="AA29" i="18" s="1"/>
  <c r="AD28" i="18"/>
  <c r="AC28" i="18" s="1"/>
  <c r="U28" i="18" l="1"/>
  <c r="V29" i="18"/>
  <c r="T29" i="18"/>
  <c r="S29" i="18" s="1"/>
  <c r="P29" i="18"/>
  <c r="O29" i="18" s="1"/>
  <c r="J30" i="18"/>
  <c r="I30" i="18" s="1"/>
  <c r="Z30" i="18"/>
  <c r="Y30" i="18" s="1"/>
  <c r="AD29" i="18"/>
  <c r="AC29" i="18" s="1"/>
  <c r="L29" i="18"/>
  <c r="K29" i="18" s="1"/>
  <c r="AB30" i="18"/>
  <c r="AA30" i="18" s="1"/>
  <c r="R30" i="18"/>
  <c r="Q30" i="18" s="1"/>
  <c r="X29" i="18"/>
  <c r="W29" i="18" s="1"/>
  <c r="N29" i="18"/>
  <c r="M29" i="18" s="1"/>
  <c r="H29" i="18"/>
  <c r="G29" i="18" s="1"/>
  <c r="U29" i="18" l="1"/>
  <c r="V30" i="18"/>
  <c r="X30" i="18"/>
  <c r="W30" i="18" s="1"/>
  <c r="AB31" i="18"/>
  <c r="AA31" i="18" s="1"/>
  <c r="AD30" i="18"/>
  <c r="AC30" i="18" s="1"/>
  <c r="J31" i="18"/>
  <c r="I31" i="18" s="1"/>
  <c r="H30" i="18"/>
  <c r="G30" i="18" s="1"/>
  <c r="R31" i="18"/>
  <c r="Q31" i="18" s="1"/>
  <c r="N30" i="18"/>
  <c r="M30" i="18" s="1"/>
  <c r="L30" i="18"/>
  <c r="K30" i="18" s="1"/>
  <c r="Z31" i="18"/>
  <c r="Y31" i="18" s="1"/>
  <c r="P30" i="18"/>
  <c r="O30" i="18" s="1"/>
  <c r="T30" i="18"/>
  <c r="S30" i="18" s="1"/>
  <c r="U30" i="18" l="1"/>
  <c r="V31" i="18"/>
  <c r="J32" i="18"/>
  <c r="I32" i="18" s="1"/>
  <c r="T31" i="18"/>
  <c r="S31" i="18" s="1"/>
  <c r="N31" i="18"/>
  <c r="M31" i="18" s="1"/>
  <c r="H31" i="18"/>
  <c r="G31" i="18" s="1"/>
  <c r="AB32" i="18"/>
  <c r="AA32" i="18" s="1"/>
  <c r="Z32" i="18"/>
  <c r="Y32" i="18" s="1"/>
  <c r="P31" i="18"/>
  <c r="O31" i="18" s="1"/>
  <c r="L31" i="18"/>
  <c r="K31" i="18" s="1"/>
  <c r="R32" i="18"/>
  <c r="Q32" i="18" s="1"/>
  <c r="AD31" i="18"/>
  <c r="AC31" i="18" s="1"/>
  <c r="X31" i="18"/>
  <c r="W31" i="18" s="1"/>
  <c r="U31" i="18" l="1"/>
  <c r="V32" i="18"/>
  <c r="L32" i="18"/>
  <c r="K32" i="18" s="1"/>
  <c r="H32" i="18"/>
  <c r="G32" i="18" s="1"/>
  <c r="T32" i="18"/>
  <c r="S32" i="18" s="1"/>
  <c r="X32" i="18"/>
  <c r="W32" i="18" s="1"/>
  <c r="Z33" i="18"/>
  <c r="Y33" i="18" s="1"/>
  <c r="R33" i="18"/>
  <c r="Q33" i="18" s="1"/>
  <c r="AD32" i="18"/>
  <c r="AC32" i="18" s="1"/>
  <c r="P32" i="18"/>
  <c r="O32" i="18" s="1"/>
  <c r="AB33" i="18"/>
  <c r="AA33" i="18" s="1"/>
  <c r="N32" i="18"/>
  <c r="M32" i="18" s="1"/>
  <c r="J33" i="18"/>
  <c r="I33" i="18" s="1"/>
  <c r="U32" i="18" l="1"/>
  <c r="V33" i="18"/>
  <c r="H33" i="18"/>
  <c r="G33" i="18" s="1"/>
  <c r="R34" i="18"/>
  <c r="Q34" i="18" s="1"/>
  <c r="Z34" i="18"/>
  <c r="Y34" i="18" s="1"/>
  <c r="AB34" i="18"/>
  <c r="AA34" i="18" s="1"/>
  <c r="AD33" i="18"/>
  <c r="AC33" i="18" s="1"/>
  <c r="X33" i="18"/>
  <c r="W33" i="18" s="1"/>
  <c r="N33" i="18"/>
  <c r="M33" i="18" s="1"/>
  <c r="P33" i="18"/>
  <c r="O33" i="18" s="1"/>
  <c r="T33" i="18"/>
  <c r="S33" i="18" s="1"/>
  <c r="L33" i="18"/>
  <c r="K33" i="18" s="1"/>
  <c r="U33" i="18" l="1"/>
  <c r="V34" i="18"/>
  <c r="AB35" i="18"/>
  <c r="AA35" i="18" s="1"/>
  <c r="L34" i="18"/>
  <c r="K34" i="18" s="1"/>
  <c r="X34" i="18"/>
  <c r="W34" i="18" s="1"/>
  <c r="R35" i="18"/>
  <c r="Q35" i="18" s="1"/>
  <c r="P34" i="18"/>
  <c r="O34" i="18" s="1"/>
  <c r="T34" i="18"/>
  <c r="S34" i="18" s="1"/>
  <c r="N34" i="18"/>
  <c r="M34" i="18" s="1"/>
  <c r="AD34" i="18"/>
  <c r="AC34" i="18" s="1"/>
  <c r="Z35" i="18"/>
  <c r="Y35" i="18" s="1"/>
  <c r="H34" i="18"/>
  <c r="G34" i="18" s="1"/>
  <c r="U34" i="18" l="1"/>
  <c r="V35" i="18"/>
  <c r="T35" i="18"/>
  <c r="S35" i="18" s="1"/>
  <c r="L35" i="18"/>
  <c r="K35" i="18" s="1"/>
  <c r="N35" i="18"/>
  <c r="M35" i="18" s="1"/>
  <c r="AD35" i="18"/>
  <c r="AC35" i="18" s="1"/>
  <c r="H35" i="18"/>
  <c r="G35" i="18" s="1"/>
  <c r="Z36" i="18"/>
  <c r="Y36" i="18" s="1"/>
  <c r="P35" i="18"/>
  <c r="O35" i="18" s="1"/>
  <c r="X35" i="18"/>
  <c r="W35" i="18" s="1"/>
  <c r="U35" i="18" l="1"/>
  <c r="V36" i="18"/>
  <c r="U36" i="18" s="1"/>
  <c r="T36" i="18"/>
  <c r="S36" i="18" s="1"/>
  <c r="AD36" i="18"/>
  <c r="AC36" i="18" s="1"/>
  <c r="L36" i="18"/>
  <c r="K36" i="18" s="1"/>
  <c r="P36" i="18"/>
  <c r="O36" i="18" s="1"/>
  <c r="H36" i="18"/>
  <c r="G36" i="18" s="1"/>
  <c r="D2" i="7" l="1"/>
  <c r="C2" i="7" s="1"/>
  <c r="H2" i="16"/>
  <c r="J5" i="11"/>
  <c r="D14" i="17"/>
  <c r="D13" i="17"/>
  <c r="D12" i="17"/>
  <c r="D11" i="17"/>
  <c r="D10" i="17"/>
  <c r="D9" i="17"/>
  <c r="D17" i="16"/>
  <c r="D18" i="16" s="1"/>
  <c r="E8" i="16"/>
  <c r="D8" i="16"/>
  <c r="E7" i="16"/>
  <c r="E6" i="16"/>
  <c r="D6" i="16"/>
  <c r="E5" i="16"/>
  <c r="D19" i="16" l="1"/>
  <c r="G24" i="11" s="1"/>
  <c r="D20" i="16"/>
  <c r="I7" i="19"/>
  <c r="E9" i="16"/>
  <c r="I18" i="19" s="1"/>
  <c r="D9" i="16"/>
  <c r="I17" i="19" s="1"/>
  <c r="C2" i="16"/>
  <c r="F2" i="11"/>
  <c r="C5" i="7"/>
  <c r="C4" i="7"/>
  <c r="C6" i="7"/>
  <c r="C3" i="7"/>
  <c r="I10" i="13" s="1"/>
  <c r="G7" i="11" s="1"/>
  <c r="C7" i="7" l="1"/>
  <c r="C8" i="7" s="1"/>
  <c r="B7" i="7"/>
  <c r="B8" i="7" s="1"/>
  <c r="G10" i="13"/>
  <c r="M33" i="11"/>
  <c r="J14" i="16"/>
  <c r="G20" i="11"/>
  <c r="F37" i="11" s="1"/>
  <c r="J17" i="19"/>
  <c r="L17" i="19" s="1"/>
  <c r="J18" i="19"/>
  <c r="L18" i="19" s="1"/>
  <c r="N14" i="16"/>
  <c r="L23" i="19"/>
  <c r="I5" i="11"/>
  <c r="E10" i="13" l="1"/>
  <c r="E7" i="11"/>
  <c r="E10" i="7"/>
  <c r="P10" i="7" s="1"/>
  <c r="E3" i="7"/>
  <c r="F55" i="11"/>
  <c r="F41" i="11"/>
  <c r="M51" i="11"/>
  <c r="I7" i="11" l="1"/>
  <c r="J8" i="11"/>
  <c r="I20" i="19" s="1"/>
  <c r="J20" i="19" s="1"/>
  <c r="C12" i="13"/>
  <c r="H10" i="13"/>
  <c r="C9" i="13"/>
  <c r="F10" i="13"/>
  <c r="P4" i="7"/>
  <c r="T4" i="7"/>
  <c r="S5" i="7"/>
  <c r="P5" i="7"/>
  <c r="T5" i="7"/>
  <c r="S6" i="7"/>
  <c r="P6" i="7"/>
  <c r="T6" i="7"/>
  <c r="S4" i="7"/>
  <c r="S3" i="7"/>
  <c r="T3" i="7"/>
  <c r="Q3" i="7"/>
  <c r="P3" i="7"/>
  <c r="R3" i="7"/>
  <c r="R12" i="7"/>
  <c r="T12" i="7"/>
  <c r="P11" i="7"/>
  <c r="R10" i="7"/>
  <c r="S10" i="7"/>
  <c r="P12" i="7"/>
  <c r="Q12" i="7"/>
  <c r="R11" i="7"/>
  <c r="T11" i="7"/>
  <c r="Q11" i="7"/>
  <c r="S12" i="7"/>
  <c r="P13" i="7"/>
  <c r="R13" i="7"/>
  <c r="S11" i="7"/>
  <c r="T10" i="7"/>
  <c r="Q13" i="7"/>
  <c r="Q10" i="7"/>
  <c r="S13" i="7"/>
  <c r="T13" i="7"/>
  <c r="F59" i="11"/>
  <c r="M54" i="11" l="1"/>
  <c r="F10" i="11"/>
  <c r="H10" i="11" s="1"/>
  <c r="F60" i="11"/>
  <c r="I21" i="19"/>
  <c r="R14" i="7"/>
  <c r="T14" i="7"/>
  <c r="P14" i="7"/>
  <c r="S14" i="7"/>
  <c r="Q14" i="7"/>
  <c r="T7" i="7"/>
  <c r="P7" i="7"/>
  <c r="S7" i="7"/>
  <c r="L21" i="19" l="1"/>
  <c r="J21" i="19" s="1"/>
  <c r="M36" i="11"/>
  <c r="F42" i="11"/>
  <c r="S44" i="1"/>
  <c r="S43" i="1"/>
  <c r="S42" i="1"/>
  <c r="S39" i="1"/>
  <c r="R39" i="1"/>
  <c r="S38" i="1"/>
  <c r="R38" i="1"/>
  <c r="S37" i="1"/>
  <c r="S36" i="1"/>
  <c r="S35" i="1"/>
  <c r="S34" i="1"/>
  <c r="S33" i="1"/>
  <c r="S32" i="1"/>
  <c r="S31" i="1"/>
  <c r="S30" i="1"/>
  <c r="T27" i="1"/>
  <c r="S26" i="1"/>
  <c r="S25" i="1"/>
  <c r="P44" i="1"/>
  <c r="P43" i="1"/>
  <c r="P42" i="1"/>
  <c r="P39" i="1"/>
  <c r="P38" i="1"/>
  <c r="P37" i="1"/>
  <c r="P36" i="1"/>
  <c r="P35" i="1"/>
  <c r="P34" i="1"/>
  <c r="P33" i="1"/>
  <c r="P32" i="1"/>
  <c r="P31" i="1"/>
  <c r="P30" i="1"/>
  <c r="Q27" i="1"/>
  <c r="P26" i="1"/>
  <c r="P25" i="1"/>
  <c r="S39" i="2"/>
  <c r="S37" i="2"/>
  <c r="S36" i="2"/>
  <c r="S35" i="2"/>
  <c r="S34" i="2"/>
  <c r="S33" i="2"/>
  <c r="S32" i="2"/>
  <c r="S31" i="2"/>
  <c r="S30" i="2"/>
  <c r="S29" i="2"/>
  <c r="S28" i="2"/>
  <c r="T25" i="2"/>
  <c r="S24" i="2"/>
  <c r="S23" i="2"/>
  <c r="S22" i="2"/>
  <c r="P39" i="2"/>
  <c r="P37" i="2"/>
  <c r="P36" i="2"/>
  <c r="P35" i="2"/>
  <c r="P34" i="2"/>
  <c r="P33" i="2"/>
  <c r="P32" i="2"/>
  <c r="P31" i="2"/>
  <c r="P30" i="2"/>
  <c r="P29" i="2"/>
  <c r="P28" i="2"/>
  <c r="Q25" i="2"/>
  <c r="P24" i="2"/>
  <c r="P23" i="2"/>
  <c r="P22" i="2"/>
  <c r="M39" i="2"/>
  <c r="M37" i="2"/>
  <c r="M36" i="2"/>
  <c r="M35" i="2"/>
  <c r="M34" i="2"/>
  <c r="M33" i="2"/>
  <c r="M32" i="2"/>
  <c r="M31" i="2"/>
  <c r="M30" i="2"/>
  <c r="M29" i="2"/>
  <c r="M28" i="2"/>
  <c r="M24" i="2"/>
  <c r="M23" i="2"/>
  <c r="M22" i="2"/>
  <c r="M44" i="1"/>
  <c r="M43" i="1"/>
  <c r="M42" i="1"/>
  <c r="M39" i="1"/>
  <c r="M38" i="1"/>
  <c r="M37" i="1"/>
  <c r="M36" i="1"/>
  <c r="M35" i="1"/>
  <c r="M34" i="1"/>
  <c r="M33" i="1"/>
  <c r="M32" i="1"/>
  <c r="M31" i="1"/>
  <c r="M30" i="1"/>
  <c r="M26" i="1"/>
  <c r="M25" i="1"/>
  <c r="V39" i="2"/>
  <c r="N36" i="2"/>
  <c r="U25" i="2"/>
  <c r="N25" i="2"/>
  <c r="V21" i="2"/>
  <c r="U21" i="2"/>
  <c r="R22" i="1"/>
  <c r="R33" i="1" s="1"/>
  <c r="T21" i="1"/>
  <c r="O22" i="1"/>
  <c r="O39" i="1" s="1"/>
  <c r="Q21" i="1"/>
  <c r="K6" i="7"/>
  <c r="R6" i="7" s="1"/>
  <c r="J6" i="7"/>
  <c r="Q6" i="7" s="1"/>
  <c r="K5" i="7"/>
  <c r="R5" i="7" s="1"/>
  <c r="J5" i="7"/>
  <c r="Q5" i="7" s="1"/>
  <c r="K4" i="7"/>
  <c r="R4" i="7" s="1"/>
  <c r="J4" i="7"/>
  <c r="Q4" i="7" s="1"/>
  <c r="Q36" i="2" l="1"/>
  <c r="L22" i="19"/>
  <c r="J22" i="19" s="1"/>
  <c r="T33" i="1"/>
  <c r="R34" i="1"/>
  <c r="T34" i="1" s="1"/>
  <c r="O34" i="1"/>
  <c r="Q34" i="1" s="1"/>
  <c r="R7" i="7"/>
  <c r="O40" i="1"/>
  <c r="Q40" i="1" s="1"/>
  <c r="O43" i="1" s="1"/>
  <c r="Q43" i="1" s="1"/>
  <c r="Q39" i="1"/>
  <c r="R40" i="1"/>
  <c r="T40" i="1" s="1"/>
  <c r="T43" i="1" s="1"/>
  <c r="Q7" i="7"/>
  <c r="J19" i="19"/>
  <c r="Q37" i="2"/>
  <c r="T36" i="2"/>
  <c r="O28" i="1"/>
  <c r="Q28" i="1" s="1"/>
  <c r="O41" i="1"/>
  <c r="R41" i="1"/>
  <c r="O35" i="1"/>
  <c r="Q35" i="1" s="1"/>
  <c r="R28" i="1"/>
  <c r="T28" i="1" s="1"/>
  <c r="R35" i="1"/>
  <c r="T35" i="1" s="1"/>
  <c r="O29" i="1"/>
  <c r="Q29" i="1" s="1"/>
  <c r="R29" i="1"/>
  <c r="T29" i="1" s="1"/>
  <c r="O24" i="1"/>
  <c r="Q24" i="1" s="1"/>
  <c r="O30" i="1"/>
  <c r="Q30" i="1" s="1"/>
  <c r="O36" i="1"/>
  <c r="Q36" i="1" s="1"/>
  <c r="R30" i="1"/>
  <c r="T30" i="1" s="1"/>
  <c r="R36" i="1"/>
  <c r="T36" i="1" s="1"/>
  <c r="R24" i="1"/>
  <c r="T24" i="1" s="1"/>
  <c r="T37" i="2"/>
  <c r="O25" i="1"/>
  <c r="Q25" i="1" s="1"/>
  <c r="O31" i="1"/>
  <c r="Q31" i="1" s="1"/>
  <c r="O37" i="1"/>
  <c r="Q37" i="1" s="1"/>
  <c r="R31" i="1"/>
  <c r="T31" i="1" s="1"/>
  <c r="R37" i="1"/>
  <c r="T37" i="1" s="1"/>
  <c r="R25" i="1"/>
  <c r="T25" i="1" s="1"/>
  <c r="O32" i="1"/>
  <c r="Q32" i="1" s="1"/>
  <c r="O38" i="1"/>
  <c r="Q38" i="1" s="1"/>
  <c r="R32" i="1"/>
  <c r="T32" i="1" s="1"/>
  <c r="T38" i="1"/>
  <c r="O26" i="1"/>
  <c r="Q26" i="1" s="1"/>
  <c r="O33" i="1"/>
  <c r="Q33" i="1" s="1"/>
  <c r="R26" i="1"/>
  <c r="T26" i="1" s="1"/>
  <c r="T39" i="1"/>
  <c r="Q44" i="1"/>
  <c r="V25" i="2"/>
  <c r="U37" i="2"/>
  <c r="U36" i="2"/>
  <c r="N37" i="2"/>
  <c r="N12" i="1"/>
  <c r="F25" i="3"/>
  <c r="F38" i="3"/>
  <c r="F16" i="3"/>
  <c r="G31" i="3"/>
  <c r="V11" i="2"/>
  <c r="V12" i="2"/>
  <c r="V13" i="2"/>
  <c r="V14" i="2"/>
  <c r="V15" i="2"/>
  <c r="U11" i="2"/>
  <c r="U12" i="2"/>
  <c r="U13" i="2"/>
  <c r="U14" i="2"/>
  <c r="U15" i="2"/>
  <c r="U10" i="2"/>
  <c r="R44" i="1" l="1"/>
  <c r="T44" i="1" s="1"/>
  <c r="U41" i="1"/>
  <c r="N21" i="1"/>
  <c r="V12" i="1"/>
  <c r="R42" i="1"/>
  <c r="T42" i="1" s="1"/>
  <c r="O42" i="1"/>
  <c r="Q42" i="1" s="1"/>
  <c r="M12" i="1"/>
  <c r="M13" i="1" s="1"/>
  <c r="V36" i="2"/>
  <c r="L27" i="19"/>
  <c r="T33" i="2"/>
  <c r="T26" i="2"/>
  <c r="T38" i="2"/>
  <c r="T32" i="2"/>
  <c r="T34" i="2"/>
  <c r="T31" i="2"/>
  <c r="T28" i="2"/>
  <c r="T24" i="2"/>
  <c r="T30" i="2"/>
  <c r="T35" i="2"/>
  <c r="T29" i="2"/>
  <c r="T23" i="2"/>
  <c r="T27" i="2"/>
  <c r="T22" i="2"/>
  <c r="Q33" i="2"/>
  <c r="Q26" i="2"/>
  <c r="Q38" i="2"/>
  <c r="Q32" i="2"/>
  <c r="Q28" i="2"/>
  <c r="Q31" i="2"/>
  <c r="Q24" i="2"/>
  <c r="Q30" i="2"/>
  <c r="Q23" i="2"/>
  <c r="Q35" i="2"/>
  <c r="Q29" i="2"/>
  <c r="Q22" i="2"/>
  <c r="Q27" i="2"/>
  <c r="Q34" i="2"/>
  <c r="V37" i="2"/>
  <c r="L22" i="1"/>
  <c r="U22" i="1" s="1"/>
  <c r="Y22" i="1" s="1"/>
  <c r="J30" i="3"/>
  <c r="G30" i="3"/>
  <c r="R42" i="2" l="1"/>
  <c r="R41" i="2"/>
  <c r="R40" i="2"/>
  <c r="O42" i="2"/>
  <c r="O41" i="2"/>
  <c r="O40" i="2"/>
  <c r="Q42" i="2"/>
  <c r="M15" i="1"/>
  <c r="I44" i="19"/>
  <c r="K44" i="19" s="1"/>
  <c r="I45" i="19"/>
  <c r="K45" i="19" s="1"/>
  <c r="I42" i="19"/>
  <c r="K42" i="19" s="1"/>
  <c r="M14" i="1"/>
  <c r="O54" i="19"/>
  <c r="M58" i="19"/>
  <c r="O58" i="19" s="1"/>
  <c r="M37" i="19"/>
  <c r="O37" i="19" s="1"/>
  <c r="M46" i="19"/>
  <c r="O46" i="19" s="1"/>
  <c r="M33" i="19"/>
  <c r="O33" i="19" s="1"/>
  <c r="I46" i="19"/>
  <c r="K46" i="19" s="1"/>
  <c r="M44" i="19"/>
  <c r="O44" i="19" s="1"/>
  <c r="I33" i="19"/>
  <c r="K33" i="19" s="1"/>
  <c r="I48" i="19"/>
  <c r="K48" i="19" s="1"/>
  <c r="M48" i="19"/>
  <c r="O48" i="19" s="1"/>
  <c r="M42" i="19"/>
  <c r="O42" i="19" s="1"/>
  <c r="M45" i="19"/>
  <c r="O45" i="19" s="1"/>
  <c r="M47" i="19"/>
  <c r="O47" i="19" s="1"/>
  <c r="M35" i="19"/>
  <c r="O35" i="19" s="1"/>
  <c r="M34" i="19"/>
  <c r="O34" i="19" s="1"/>
  <c r="I47" i="19"/>
  <c r="K47" i="19" s="1"/>
  <c r="I34" i="19"/>
  <c r="K34" i="19" s="1"/>
  <c r="I65" i="19"/>
  <c r="K65" i="19" s="1"/>
  <c r="M51" i="19"/>
  <c r="O51" i="19" s="1"/>
  <c r="I64" i="19" s="1"/>
  <c r="O61" i="19"/>
  <c r="M30" i="19"/>
  <c r="O30" i="19" s="1"/>
  <c r="M55" i="19"/>
  <c r="O55" i="19" s="1"/>
  <c r="M32" i="19"/>
  <c r="O32" i="19" s="1"/>
  <c r="O38" i="19"/>
  <c r="O59" i="19"/>
  <c r="M57" i="19"/>
  <c r="O57" i="19" s="1"/>
  <c r="M41" i="19"/>
  <c r="O41" i="19" s="1"/>
  <c r="M53" i="19"/>
  <c r="O53" i="19" s="1"/>
  <c r="M60" i="19"/>
  <c r="O60" i="19" s="1"/>
  <c r="M40" i="19"/>
  <c r="O40" i="19" s="1"/>
  <c r="T41" i="2"/>
  <c r="Q41" i="2"/>
  <c r="Q40" i="2"/>
  <c r="T42" i="2"/>
  <c r="T40" i="2"/>
  <c r="T43" i="2"/>
  <c r="R44" i="2" s="1"/>
  <c r="R48" i="2" s="1"/>
  <c r="L30" i="1"/>
  <c r="U30" i="1" s="1"/>
  <c r="V10" i="2"/>
  <c r="J31" i="3"/>
  <c r="F19" i="3"/>
  <c r="F18" i="3"/>
  <c r="F13" i="3"/>
  <c r="H16" i="3"/>
  <c r="H14" i="3"/>
  <c r="F15" i="3"/>
  <c r="Q43" i="2" l="1"/>
  <c r="O44" i="2" s="1"/>
  <c r="O48" i="2" s="1"/>
  <c r="K64" i="19"/>
  <c r="I63" i="19"/>
  <c r="K63" i="19" s="1"/>
  <c r="O68" i="19"/>
  <c r="U39" i="2"/>
  <c r="N38" i="2"/>
  <c r="N43" i="2"/>
  <c r="L44" i="2" s="1"/>
  <c r="L48" i="2" s="1"/>
  <c r="L42" i="2" l="1"/>
  <c r="L41" i="2"/>
  <c r="L40" i="2"/>
  <c r="N40" i="2"/>
  <c r="N42" i="2"/>
  <c r="K68" i="19"/>
  <c r="L70" i="19" s="1"/>
  <c r="L80" i="19" s="1"/>
  <c r="U32" i="2"/>
  <c r="N32" i="2"/>
  <c r="V32" i="2" s="1"/>
  <c r="U38" i="2"/>
  <c r="U23" i="2"/>
  <c r="N23" i="2"/>
  <c r="V23" i="2" s="1"/>
  <c r="U22" i="2"/>
  <c r="N22" i="2"/>
  <c r="U28" i="2"/>
  <c r="N28" i="2"/>
  <c r="V28" i="2" s="1"/>
  <c r="N24" i="2"/>
  <c r="V24" i="2" s="1"/>
  <c r="U24" i="2"/>
  <c r="N29" i="2"/>
  <c r="V29" i="2" s="1"/>
  <c r="U29" i="2"/>
  <c r="U33" i="2"/>
  <c r="N33" i="2"/>
  <c r="V33" i="2" s="1"/>
  <c r="U26" i="2"/>
  <c r="N26" i="2"/>
  <c r="V26" i="2" s="1"/>
  <c r="U27" i="2"/>
  <c r="N27" i="2"/>
  <c r="V27" i="2" s="1"/>
  <c r="U30" i="2"/>
  <c r="N30" i="2"/>
  <c r="V30" i="2" s="1"/>
  <c r="U31" i="2"/>
  <c r="N31" i="2"/>
  <c r="V31" i="2" s="1"/>
  <c r="N34" i="2"/>
  <c r="V34" i="2" s="1"/>
  <c r="U34" i="2"/>
  <c r="U35" i="2"/>
  <c r="N35" i="2"/>
  <c r="V35" i="2" s="1"/>
  <c r="F52" i="3"/>
  <c r="F48" i="3"/>
  <c r="G48" i="3" s="1"/>
  <c r="F47" i="3"/>
  <c r="G47" i="3" s="1"/>
  <c r="F46" i="3"/>
  <c r="G46" i="3" s="1"/>
  <c r="F45" i="3"/>
  <c r="G45" i="3" s="1"/>
  <c r="F42" i="3"/>
  <c r="G42" i="3" s="1"/>
  <c r="F41" i="3"/>
  <c r="G41" i="3" s="1"/>
  <c r="F40" i="3"/>
  <c r="G40" i="3" s="1"/>
  <c r="F39" i="3"/>
  <c r="G38" i="3"/>
  <c r="F37" i="3"/>
  <c r="G37" i="3" s="1"/>
  <c r="F29" i="3"/>
  <c r="F28" i="3"/>
  <c r="F27" i="3"/>
  <c r="F23" i="3"/>
  <c r="D23" i="3" s="1"/>
  <c r="D13" i="3"/>
  <c r="F22" i="3"/>
  <c r="F17" i="3"/>
  <c r="D17" i="3" s="1"/>
  <c r="F14" i="3"/>
  <c r="D14" i="3" s="1"/>
  <c r="F12" i="3"/>
  <c r="H49" i="3"/>
  <c r="H48" i="3"/>
  <c r="I48" i="3" s="1"/>
  <c r="H28" i="3"/>
  <c r="H27" i="3"/>
  <c r="H25" i="3"/>
  <c r="H22" i="3"/>
  <c r="H15" i="3"/>
  <c r="D15" i="3" s="1"/>
  <c r="H12" i="3"/>
  <c r="N27" i="1"/>
  <c r="E49" i="3"/>
  <c r="I47" i="3"/>
  <c r="I46" i="3"/>
  <c r="I45" i="3"/>
  <c r="H42" i="3"/>
  <c r="I42" i="3" s="1"/>
  <c r="I41" i="3"/>
  <c r="I40" i="3"/>
  <c r="E39" i="3"/>
  <c r="I38" i="3"/>
  <c r="I37" i="3"/>
  <c r="H43" i="2" l="1"/>
  <c r="F44" i="2" s="1"/>
  <c r="F48" i="2" s="1"/>
  <c r="F5" i="17"/>
  <c r="V22" i="2"/>
  <c r="H62" i="2" s="1"/>
  <c r="N41" i="2"/>
  <c r="K43" i="2" s="1"/>
  <c r="I44" i="2" s="1"/>
  <c r="I48" i="2" s="1"/>
  <c r="V38" i="2"/>
  <c r="X39" i="2" s="1"/>
  <c r="U43" i="2"/>
  <c r="I50" i="3"/>
  <c r="D18" i="3"/>
  <c r="D25" i="3"/>
  <c r="D28" i="3"/>
  <c r="D12" i="3"/>
  <c r="D22" i="3"/>
  <c r="D27" i="3"/>
  <c r="D29" i="3"/>
  <c r="J46" i="3"/>
  <c r="J47" i="3"/>
  <c r="J42" i="3"/>
  <c r="G39" i="3"/>
  <c r="G43" i="3" s="1"/>
  <c r="J38" i="3"/>
  <c r="J40" i="3"/>
  <c r="J41" i="3"/>
  <c r="I39" i="3"/>
  <c r="I43" i="3" s="1"/>
  <c r="G49" i="3"/>
  <c r="J49" i="3" s="1"/>
  <c r="J48" i="3"/>
  <c r="J37" i="3"/>
  <c r="J45" i="3"/>
  <c r="A15" i="17" l="1"/>
  <c r="E15" i="17" s="1"/>
  <c r="U40" i="2"/>
  <c r="K42" i="2"/>
  <c r="V43" i="2" s="1"/>
  <c r="G50" i="3"/>
  <c r="J50" i="3"/>
  <c r="J39" i="3"/>
  <c r="J43" i="3" s="1"/>
  <c r="A14" i="17" l="1"/>
  <c r="A10" i="17"/>
  <c r="A9" i="17"/>
  <c r="E9" i="17" s="1"/>
  <c r="A12" i="17"/>
  <c r="A13" i="17"/>
  <c r="A11" i="17"/>
  <c r="V40" i="2"/>
  <c r="V20" i="2"/>
  <c r="E10" i="17" l="1"/>
  <c r="E11" i="17" s="1"/>
  <c r="E12" i="17" s="1"/>
  <c r="E13" i="17" s="1"/>
  <c r="E14" i="17" s="1"/>
  <c r="E17" i="17" s="1"/>
  <c r="H63" i="2"/>
  <c r="H67" i="2" s="1"/>
  <c r="U20" i="2"/>
  <c r="E11" i="3" s="1"/>
  <c r="E12" i="3" s="1"/>
  <c r="E19" i="3"/>
  <c r="I19" i="3" s="1"/>
  <c r="E19" i="17" l="1"/>
  <c r="D6" i="17"/>
  <c r="D18" i="17"/>
  <c r="E18" i="17"/>
  <c r="E18" i="3"/>
  <c r="I18" i="3" s="1"/>
  <c r="E16" i="3"/>
  <c r="E27" i="3"/>
  <c r="E28" i="3"/>
  <c r="I12" i="3"/>
  <c r="E14" i="3"/>
  <c r="E21" i="3"/>
  <c r="K83" i="19" l="1"/>
  <c r="I27" i="3"/>
  <c r="G27" i="3"/>
  <c r="G28" i="3"/>
  <c r="I28" i="3"/>
  <c r="I16" i="3"/>
  <c r="G16" i="3"/>
  <c r="G12" i="3"/>
  <c r="J12" i="3" s="1"/>
  <c r="E52" i="3"/>
  <c r="E23" i="3"/>
  <c r="E22" i="3"/>
  <c r="I22" i="3" s="1"/>
  <c r="G18" i="3"/>
  <c r="G14" i="3"/>
  <c r="E15" i="3"/>
  <c r="I15" i="3" s="1"/>
  <c r="I14" i="3"/>
  <c r="E13" i="3"/>
  <c r="L85" i="19" l="1"/>
  <c r="L88" i="19" s="1"/>
  <c r="J14" i="3"/>
  <c r="E29" i="3"/>
  <c r="J16" i="3"/>
  <c r="J27" i="3"/>
  <c r="J28" i="3"/>
  <c r="J18" i="3"/>
  <c r="G13" i="3"/>
  <c r="I13" i="3"/>
  <c r="G15" i="3"/>
  <c r="J15" i="3" s="1"/>
  <c r="E17" i="3"/>
  <c r="G22" i="3"/>
  <c r="I23" i="3"/>
  <c r="G23" i="3"/>
  <c r="G52" i="3"/>
  <c r="I52" i="3"/>
  <c r="I29" i="3" l="1"/>
  <c r="G29" i="3"/>
  <c r="G17" i="3"/>
  <c r="I17" i="3"/>
  <c r="J52" i="3"/>
  <c r="J23" i="3"/>
  <c r="J22" i="3"/>
  <c r="J13" i="3"/>
  <c r="J29" i="3" l="1"/>
  <c r="G61" i="2"/>
  <c r="G67" i="2" s="1"/>
  <c r="J17" i="3"/>
  <c r="L26" i="1" l="1"/>
  <c r="L32" i="1"/>
  <c r="U32" i="1" s="1"/>
  <c r="L33" i="1"/>
  <c r="U33" i="1" s="1"/>
  <c r="H51" i="3"/>
  <c r="I51" i="3" s="1"/>
  <c r="I53" i="3" s="1"/>
  <c r="G51" i="3"/>
  <c r="L25" i="1"/>
  <c r="U25" i="1" s="1"/>
  <c r="L29" i="1"/>
  <c r="U29" i="1" s="1"/>
  <c r="L28" i="1"/>
  <c r="U28" i="1" s="1"/>
  <c r="L34" i="1"/>
  <c r="U34" i="1" s="1"/>
  <c r="L36" i="1"/>
  <c r="U36" i="1" s="1"/>
  <c r="L38" i="1"/>
  <c r="U38" i="1" s="1"/>
  <c r="L40" i="1"/>
  <c r="U40" i="1" s="1"/>
  <c r="L31" i="1"/>
  <c r="U31" i="1" s="1"/>
  <c r="L35" i="1"/>
  <c r="U35" i="1" s="1"/>
  <c r="L37" i="1"/>
  <c r="U37" i="1" s="1"/>
  <c r="L39" i="1"/>
  <c r="U39" i="1" s="1"/>
  <c r="L24" i="1"/>
  <c r="U24" i="1" s="1"/>
  <c r="N26" i="1" l="1"/>
  <c r="V26" i="1" s="1"/>
  <c r="U26" i="1"/>
  <c r="P55" i="1"/>
  <c r="P61" i="1" s="1"/>
  <c r="N24" i="1"/>
  <c r="V24" i="1" s="1"/>
  <c r="N39" i="1"/>
  <c r="V39" i="1" s="1"/>
  <c r="N35" i="1"/>
  <c r="V35" i="1" s="1"/>
  <c r="N31" i="1"/>
  <c r="V31" i="1" s="1"/>
  <c r="N40" i="1"/>
  <c r="N36" i="1"/>
  <c r="V36" i="1" s="1"/>
  <c r="N32" i="1"/>
  <c r="V32" i="1" s="1"/>
  <c r="N37" i="1"/>
  <c r="V37" i="1" s="1"/>
  <c r="N33" i="1"/>
  <c r="V33" i="1" s="1"/>
  <c r="N38" i="1"/>
  <c r="V38" i="1" s="1"/>
  <c r="N34" i="1"/>
  <c r="V34" i="1" s="1"/>
  <c r="N30" i="1"/>
  <c r="V30" i="1" s="1"/>
  <c r="J51" i="3"/>
  <c r="J53" i="3" s="1"/>
  <c r="N25" i="1"/>
  <c r="V25" i="1" s="1"/>
  <c r="N29" i="1"/>
  <c r="V29" i="1" s="1"/>
  <c r="N28" i="1"/>
  <c r="V28" i="1" s="1"/>
  <c r="T45" i="1"/>
  <c r="R46" i="1" s="1"/>
  <c r="R50" i="1" s="1"/>
  <c r="Q45" i="1"/>
  <c r="O46" i="1" s="1"/>
  <c r="O50" i="1" s="1"/>
  <c r="L42" i="1" l="1"/>
  <c r="U42" i="1" s="1"/>
  <c r="V40" i="1"/>
  <c r="Q57" i="1" s="1"/>
  <c r="L44" i="1"/>
  <c r="L43" i="1"/>
  <c r="N44" i="1" l="1"/>
  <c r="V44" i="1" s="1"/>
  <c r="U44" i="1"/>
  <c r="N43" i="1"/>
  <c r="V43" i="1" s="1"/>
  <c r="U43" i="1"/>
  <c r="E25" i="3"/>
  <c r="G25" i="3" s="1"/>
  <c r="I25" i="3" s="1"/>
  <c r="N42" i="1" l="1"/>
  <c r="V42" i="1" l="1"/>
  <c r="Q56" i="1" s="1"/>
  <c r="N45" i="1"/>
  <c r="V45" i="1" s="1"/>
  <c r="X41" i="1"/>
  <c r="L46" i="1" l="1"/>
  <c r="U46" i="1" s="1"/>
  <c r="X44" i="1"/>
  <c r="I33" i="3"/>
  <c r="I54" i="3" s="1"/>
  <c r="J25" i="3"/>
  <c r="L50" i="1" l="1"/>
  <c r="U50" i="1" s="1"/>
  <c r="Q58" i="1" s="1"/>
  <c r="Q61" i="1" s="1"/>
  <c r="D19" i="3"/>
  <c r="G19" i="3"/>
  <c r="G33" i="3" s="1"/>
  <c r="G54" i="3" s="1"/>
  <c r="X50" i="1" l="1"/>
  <c r="J19" i="3"/>
  <c r="J33" i="3" s="1"/>
  <c r="J54" i="3" s="1"/>
  <c r="I57" i="3" s="1"/>
</calcChain>
</file>

<file path=xl/sharedStrings.xml><?xml version="1.0" encoding="utf-8"?>
<sst xmlns="http://schemas.openxmlformats.org/spreadsheetml/2006/main" count="762" uniqueCount="410">
  <si>
    <t>Désignation</t>
  </si>
  <si>
    <t>Bases</t>
  </si>
  <si>
    <t>Retenues</t>
  </si>
  <si>
    <t>Heures supp. à 25%</t>
  </si>
  <si>
    <t>Indtés C.P</t>
  </si>
  <si>
    <t>Avantage nat.</t>
  </si>
  <si>
    <t>Commissions</t>
  </si>
  <si>
    <t>Frais de déplacement</t>
  </si>
  <si>
    <t>TOTAL</t>
  </si>
  <si>
    <t>Retraite compl. Non cad Tr.1</t>
  </si>
  <si>
    <t>Retraite compl. Non cad Tr.2</t>
  </si>
  <si>
    <t>Retraite compl. Cadres Tr.A</t>
  </si>
  <si>
    <t>Retraite compl. Cadres Tr.B</t>
  </si>
  <si>
    <t>C.E.T</t>
  </si>
  <si>
    <t>Apec</t>
  </si>
  <si>
    <t>Prévoyance complémentaire</t>
  </si>
  <si>
    <t>Mutuelle Santé</t>
  </si>
  <si>
    <t>Net après retenues</t>
  </si>
  <si>
    <t>Acompte</t>
  </si>
  <si>
    <t>Net à payer</t>
  </si>
  <si>
    <t>CUMUL</t>
  </si>
  <si>
    <t>Taux</t>
  </si>
  <si>
    <t>Sous total</t>
  </si>
  <si>
    <t>Cadre</t>
  </si>
  <si>
    <t>Non-cadre</t>
  </si>
  <si>
    <t>A remplir</t>
  </si>
  <si>
    <t>A remplir par "cadre" ou "non-cadre"</t>
  </si>
  <si>
    <t>PMSS</t>
  </si>
  <si>
    <t>Accident T</t>
  </si>
  <si>
    <t>Transport</t>
  </si>
  <si>
    <t>URSSAF</t>
  </si>
  <si>
    <t>Retraites complémentaires</t>
  </si>
  <si>
    <t>Colonne1</t>
  </si>
  <si>
    <t>Colonne2</t>
  </si>
  <si>
    <t>Colonne3</t>
  </si>
  <si>
    <t>Colonne4</t>
  </si>
  <si>
    <t>Colonne5</t>
  </si>
  <si>
    <t>Colonne6</t>
  </si>
  <si>
    <t>Date</t>
  </si>
  <si>
    <t>N° compte</t>
  </si>
  <si>
    <t>Intitulé</t>
  </si>
  <si>
    <t>Libellé</t>
  </si>
  <si>
    <t>Debit</t>
  </si>
  <si>
    <t>Credit</t>
  </si>
  <si>
    <t>Total</t>
  </si>
  <si>
    <t>31/06/2018</t>
  </si>
  <si>
    <t>Charge pers.</t>
  </si>
  <si>
    <t>Caiss. Retr.</t>
  </si>
  <si>
    <t>Rém. Salar.</t>
  </si>
  <si>
    <t>Paie juin</t>
  </si>
  <si>
    <t xml:space="preserve">DECOMPTE DES COTISATIONS </t>
  </si>
  <si>
    <t>COTISATIONS</t>
  </si>
  <si>
    <t>BASES</t>
  </si>
  <si>
    <t>TOTAL COTISATIONS</t>
  </si>
  <si>
    <t>SALARIE</t>
  </si>
  <si>
    <t>EMPLOYEUR</t>
  </si>
  <si>
    <t>%</t>
  </si>
  <si>
    <t>Montant (A)</t>
  </si>
  <si>
    <t>montant (B)</t>
  </si>
  <si>
    <t>Montant (A - B)</t>
  </si>
  <si>
    <t>CAS GENERAL (Salaire total)</t>
  </si>
  <si>
    <t>maladie</t>
  </si>
  <si>
    <t>aide au logement</t>
  </si>
  <si>
    <t>Contribution solidarité</t>
  </si>
  <si>
    <t>Allocations familiales</t>
  </si>
  <si>
    <t>AF Majorées</t>
  </si>
  <si>
    <t>CAS GENERAL (Salaire plafonné)</t>
  </si>
  <si>
    <t>vieillesse</t>
  </si>
  <si>
    <t>CSG + CRDS</t>
  </si>
  <si>
    <t>Contribution Chômage</t>
  </si>
  <si>
    <t xml:space="preserve">AGS </t>
  </si>
  <si>
    <t>forfait social</t>
  </si>
  <si>
    <t xml:space="preserve">TEPA Réduction Heures Supp. </t>
  </si>
  <si>
    <t>FILLON Réd° Ch. Pat.</t>
  </si>
  <si>
    <t xml:space="preserve">   TOTAL URSSAF</t>
  </si>
  <si>
    <t>RETRAITES COMPLÉMENTAIRES</t>
  </si>
  <si>
    <t>ARRCO</t>
  </si>
  <si>
    <t>Tranche 1</t>
  </si>
  <si>
    <t>Tranche 2</t>
  </si>
  <si>
    <t>AGFF non cadre Tr 1</t>
  </si>
  <si>
    <t>AGFF non cadre Tr 2</t>
  </si>
  <si>
    <t>Retraite tranche A</t>
  </si>
  <si>
    <t>AGFF cadres Tr A</t>
  </si>
  <si>
    <t xml:space="preserve"> TOTAL RETRAITE N/CADRES</t>
  </si>
  <si>
    <t>AGIRC</t>
  </si>
  <si>
    <t>Retraite tranche B</t>
  </si>
  <si>
    <t>AGFF cadres Tr B</t>
  </si>
  <si>
    <t>CET</t>
  </si>
  <si>
    <t>APEC</t>
  </si>
  <si>
    <t>Prév cadres</t>
  </si>
  <si>
    <t xml:space="preserve">   TOTAL  RETRAITE CADRES</t>
  </si>
  <si>
    <t>mutuelles santé</t>
  </si>
  <si>
    <t>prévoyance complémentaire</t>
  </si>
  <si>
    <t>TOTAL DES COTISATIONS</t>
  </si>
  <si>
    <t>Assurance maladie, matern …</t>
  </si>
  <si>
    <t>Assurance vieillesse T</t>
  </si>
  <si>
    <t>Assurance vieillesse P</t>
  </si>
  <si>
    <t>C</t>
  </si>
  <si>
    <t>D</t>
  </si>
  <si>
    <t>Salarié</t>
  </si>
  <si>
    <t>Employeur</t>
  </si>
  <si>
    <t>% empl.</t>
  </si>
  <si>
    <t>Vérification</t>
  </si>
  <si>
    <t>Accidents du travail</t>
  </si>
  <si>
    <t>Alloc familaile MAJ</t>
  </si>
  <si>
    <t>Alloc familiale</t>
  </si>
  <si>
    <t>Base de calcul</t>
  </si>
  <si>
    <t>CSG non déductible</t>
  </si>
  <si>
    <t>CSG déductible</t>
  </si>
  <si>
    <t>CRDS</t>
  </si>
  <si>
    <t>Accident du travail</t>
  </si>
  <si>
    <t>Variable</t>
  </si>
  <si>
    <t>Fonds de garanties des salaires (AGS)</t>
  </si>
  <si>
    <t>APEC (cadres)</t>
  </si>
  <si>
    <t>Agirc-Arrco T1</t>
  </si>
  <si>
    <t>Agirc-Arrco T2</t>
  </si>
  <si>
    <t>Assurance-décès</t>
  </si>
  <si>
    <t>Contribution au dialogue social</t>
  </si>
  <si>
    <t>Taxe sur les salaires</t>
  </si>
  <si>
    <t>CSG ET CRDS</t>
  </si>
  <si>
    <t>COTISATIONS DE SECURITE SOCIALE</t>
  </si>
  <si>
    <t>Maladie-maternité-invalidité-décès</t>
  </si>
  <si>
    <t>Vieillese plafonnée</t>
  </si>
  <si>
    <t>Vieillese déplafonnée</t>
  </si>
  <si>
    <t>CONTRIBUTION LOGEMENT</t>
  </si>
  <si>
    <t>FNAL (moins de 50 salariés)</t>
  </si>
  <si>
    <t>FNAL (plus de 50 salariés)</t>
  </si>
  <si>
    <t>COTISATIONS CHOMAGE</t>
  </si>
  <si>
    <t>Pole emploi</t>
  </si>
  <si>
    <t>RETRAITES COMPLEMENTAIRES - TAUX EFFECTIF (CADRES ET NON CADRES)</t>
  </si>
  <si>
    <t>Contribution d'équilibre général T1</t>
  </si>
  <si>
    <t>Contribution d'équilibre général T2</t>
  </si>
  <si>
    <t>Contribution d'équilibre technique</t>
  </si>
  <si>
    <t>PREVOYANCES CADRES</t>
  </si>
  <si>
    <t>AUTRES COTISATIONS</t>
  </si>
  <si>
    <t>Forfait social sur la contribution patronale de prévoyance</t>
  </si>
  <si>
    <t>Versement mobilités (entreprises de plus de 11 salariés ou égal)</t>
  </si>
  <si>
    <t>AUTRES VERSEMENTS ET CONTRIBUTIONS</t>
  </si>
  <si>
    <t>Taxe apprentissage</t>
  </si>
  <si>
    <t>Contribution à la formation professionnelle/moins de 11 salariés</t>
  </si>
  <si>
    <t>Contribution à la formation professionnelle/plus de 11 salariés</t>
  </si>
  <si>
    <t>Contribution à la formation profesionnelle/salariés en CDD</t>
  </si>
  <si>
    <t>Participation à l'effert de construction (employeurs d'au moins 50 salariés)</t>
  </si>
  <si>
    <t>Employeur2</t>
  </si>
  <si>
    <t>Assurance vieillesse D</t>
  </si>
  <si>
    <t xml:space="preserve">Cotisation AGS </t>
  </si>
  <si>
    <t>CSG non imposable</t>
  </si>
  <si>
    <t>CSG imposable</t>
  </si>
  <si>
    <t>CEG Tr2 Non cadre</t>
  </si>
  <si>
    <t>CEG Tr1 Non cadre</t>
  </si>
  <si>
    <t>CEG Cadre Tr 1</t>
  </si>
  <si>
    <t>CEG Cadre Tr 2</t>
  </si>
  <si>
    <t>Heures supp. à 50%</t>
  </si>
  <si>
    <t>Heures compl. 10%</t>
  </si>
  <si>
    <t>Retenue absence</t>
  </si>
  <si>
    <t>Salaires (heures)</t>
  </si>
  <si>
    <t>Montant</t>
  </si>
  <si>
    <t>Temps travail</t>
  </si>
  <si>
    <t>Salaire de base</t>
  </si>
  <si>
    <t>Janvier</t>
  </si>
  <si>
    <t>Salaire brut</t>
  </si>
  <si>
    <t>Heure absence</t>
  </si>
  <si>
    <t>Heure réelle</t>
  </si>
  <si>
    <t>Jours ouvrable</t>
  </si>
  <si>
    <t>Jours ouvré</t>
  </si>
  <si>
    <t>Déduction HR</t>
  </si>
  <si>
    <t>Déduction JO</t>
  </si>
  <si>
    <t>Déduction JOÉ</t>
  </si>
  <si>
    <t>Taux horaire</t>
  </si>
  <si>
    <t>Nombres personnes à charges</t>
  </si>
  <si>
    <t>Salaire net</t>
  </si>
  <si>
    <t>Nombres de mois de remboursements</t>
  </si>
  <si>
    <t>Montant à rembourser</t>
  </si>
  <si>
    <t>Tranches rémunérations</t>
  </si>
  <si>
    <t>Pourcentage saisie</t>
  </si>
  <si>
    <t>Montant saisissable cumulé (en €)</t>
  </si>
  <si>
    <t>REMBOURSABLE PAR MOIS</t>
  </si>
  <si>
    <t>Nom :</t>
  </si>
  <si>
    <t>Adresse :</t>
  </si>
  <si>
    <t>CP et Ville :</t>
  </si>
  <si>
    <t>Numéro APE :</t>
  </si>
  <si>
    <t>Numéro SIRET :</t>
  </si>
  <si>
    <t>Convention collective :</t>
  </si>
  <si>
    <t>Base</t>
  </si>
  <si>
    <t>HS à 25%</t>
  </si>
  <si>
    <t>SALAIRE BRUT</t>
  </si>
  <si>
    <t>NET FISCAL</t>
  </si>
  <si>
    <t>Retenues et remboursements divers</t>
  </si>
  <si>
    <t>CSG CRDS imposables</t>
  </si>
  <si>
    <t>CSG CRDS imposables sur HC</t>
  </si>
  <si>
    <t>Tickets restaurant</t>
  </si>
  <si>
    <t>Saisie arrêt</t>
  </si>
  <si>
    <t>TOTAL des retenues et remboursements</t>
  </si>
  <si>
    <t>Prélèvement à la source</t>
  </si>
  <si>
    <t>LÉGENDE</t>
  </si>
  <si>
    <t>EN</t>
  </si>
  <si>
    <t>Année</t>
  </si>
  <si>
    <t>Mois</t>
  </si>
  <si>
    <t>Jours</t>
  </si>
  <si>
    <t>Période de</t>
  </si>
  <si>
    <t>à</t>
  </si>
  <si>
    <t>Soit</t>
  </si>
  <si>
    <t xml:space="preserve">A remplir </t>
  </si>
  <si>
    <t>Nature contrat</t>
  </si>
  <si>
    <t>Date d'entrée</t>
  </si>
  <si>
    <t>Méth        1/10</t>
  </si>
  <si>
    <t>Salaire de base mensuel</t>
  </si>
  <si>
    <t>Nb mois</t>
  </si>
  <si>
    <t>Nb de mois par salaire</t>
  </si>
  <si>
    <t>H. sup période de réf</t>
  </si>
  <si>
    <t>Ex: Sur 12mois, 6mois….</t>
  </si>
  <si>
    <t>Différente prime…. Prise en compte</t>
  </si>
  <si>
    <t>Indemnité précarité (pour CDD)</t>
  </si>
  <si>
    <t>Méth maintien</t>
  </si>
  <si>
    <t>Sal° brut dernier mois (avec h sup etc)</t>
  </si>
  <si>
    <t>MÉTHODE 1/10</t>
  </si>
  <si>
    <t>MÉTHODE DU MAINTIEN</t>
  </si>
  <si>
    <t>Sal. Base mensuel</t>
  </si>
  <si>
    <t>Salaire brut dernier mois (avec h sup….)</t>
  </si>
  <si>
    <t xml:space="preserve">ICCP </t>
  </si>
  <si>
    <t>H. supp période</t>
  </si>
  <si>
    <t>Diff. Prime…..</t>
  </si>
  <si>
    <t>Indm. Précarité</t>
  </si>
  <si>
    <t>ICCP</t>
  </si>
  <si>
    <t>RÉCAPITULATIF PAYE MOIS COTISATION PATRONALE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</si>
  <si>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</si>
  <si>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</si>
  <si>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</si>
  <si>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</si>
  <si>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</si>
  <si>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</si>
  <si>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</si>
  <si>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</si>
  <si>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</si>
  <si>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</si>
  <si>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</si>
  <si>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Employé</t>
  </si>
  <si>
    <t>Nom</t>
  </si>
  <si>
    <t>Prénom</t>
  </si>
  <si>
    <t>Date de naissance</t>
  </si>
  <si>
    <t>Contrat</t>
  </si>
  <si>
    <t>Statut</t>
  </si>
  <si>
    <t>Adresse</t>
  </si>
  <si>
    <t>CP et Ville</t>
  </si>
  <si>
    <t>Numéro SS</t>
  </si>
  <si>
    <t>Date de sortie</t>
  </si>
  <si>
    <t>CDI</t>
  </si>
  <si>
    <t>RETRAITE</t>
  </si>
  <si>
    <t>Cotisations</t>
  </si>
  <si>
    <t>Salariales</t>
  </si>
  <si>
    <t>Patronales</t>
  </si>
  <si>
    <t xml:space="preserve">Désignation : </t>
  </si>
  <si>
    <t>INFORMATIONS PAYE</t>
  </si>
  <si>
    <t>Les heures supplémentaires effectuées de la 36éme heures à la 43ème sont majorées à 25% du taux horaire calculé en prenant le taux horaire de base en ajoutant les éventuelles primes concernant le travail effectif.</t>
  </si>
  <si>
    <t>Semaine 1</t>
  </si>
  <si>
    <t>Semaine 2</t>
  </si>
  <si>
    <t>Les heures supplémentaires effectuées au-delà de la 43ème heures jusqu'à la 48ème heures sont majorées à 50% du taux horaire calculé en prenant le taux horaire de base en ajoutant les éventuelles primes concernant le travail effectif.</t>
  </si>
  <si>
    <t>Semaine 3</t>
  </si>
  <si>
    <t>Semaine 4</t>
  </si>
  <si>
    <t>La limite des heures supplémentaires pouvant être effectuées par semaine est de 48h.</t>
  </si>
  <si>
    <t>Les heures supplémentaires sont limitées légalement à 220 heures par an et par salarié.</t>
  </si>
  <si>
    <t>HEURES SUPPLEMENTAIRES 25%</t>
  </si>
  <si>
    <t>HEURES SUPPLEMENTAIRES 50%</t>
  </si>
  <si>
    <t>Taux horaire 25%</t>
  </si>
  <si>
    <t>Taux horaire 50%</t>
  </si>
  <si>
    <t>Après saisie sur salaire, il ne peut rester moins que le RSA en vigeur pour le salarié soit 565,34 €.</t>
  </si>
  <si>
    <t>Le montant des tranches est majorés de 124,17 € pour chaque personnes à charges dans le ménage.</t>
  </si>
  <si>
    <t>Prime</t>
  </si>
  <si>
    <t>Prime 1</t>
  </si>
  <si>
    <t>Prime 2</t>
  </si>
  <si>
    <t>Prime 3</t>
  </si>
  <si>
    <t>Heure de travail (en H)</t>
  </si>
  <si>
    <t>Prime de risques</t>
  </si>
  <si>
    <t>Prime de froid</t>
  </si>
  <si>
    <t>Prime d’insalubrité</t>
  </si>
  <si>
    <t>Prime de nuit</t>
  </si>
  <si>
    <t>Prime pour le travail du dimanche</t>
  </si>
  <si>
    <t>Prime d'astreinte</t>
  </si>
  <si>
    <t>Prime de sécurité</t>
  </si>
  <si>
    <t>Prime d'habillement</t>
  </si>
  <si>
    <t>Prime de bilan</t>
  </si>
  <si>
    <t>Prime de rendement</t>
  </si>
  <si>
    <t>Prime sur objectifs / résultats</t>
  </si>
  <si>
    <t>13° mois</t>
  </si>
  <si>
    <t>Prime d'ancienneté</t>
  </si>
  <si>
    <t>Prime d'assiduité</t>
  </si>
  <si>
    <t>Participation</t>
  </si>
  <si>
    <t>Intéressement</t>
  </si>
  <si>
    <t>Prime de mariage</t>
  </si>
  <si>
    <t>Prime de PACS</t>
  </si>
  <si>
    <t>Prime de naissance</t>
  </si>
  <si>
    <t>Prime de transport</t>
  </si>
  <si>
    <t>Choisir ---&gt;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</si>
  <si>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</si>
  <si>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</si>
  <si>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</si>
  <si>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</si>
  <si>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</si>
  <si>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</si>
  <si>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</si>
  <si>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</si>
  <si>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Différent salaire de base de la période</t>
  </si>
  <si>
    <t>Taux de transport</t>
  </si>
  <si>
    <t>Taux accident travail</t>
  </si>
  <si>
    <t>Absence</t>
  </si>
  <si>
    <t>Heures supp/compl°</t>
  </si>
  <si>
    <t>Départ</t>
  </si>
  <si>
    <t>Oui</t>
  </si>
  <si>
    <t>Non</t>
  </si>
  <si>
    <t>Congés payés</t>
  </si>
  <si>
    <t>Ancienneté :</t>
  </si>
  <si>
    <t>Congés pris :</t>
  </si>
  <si>
    <t>Du</t>
  </si>
  <si>
    <t>au</t>
  </si>
  <si>
    <t>CDD</t>
  </si>
  <si>
    <t>Contrat :</t>
  </si>
  <si>
    <t>Statut :</t>
  </si>
  <si>
    <t>Siret :</t>
  </si>
  <si>
    <t>Code Naf :</t>
  </si>
  <si>
    <t>N°SS :</t>
  </si>
  <si>
    <t>BULLETIN DE SALAIRE</t>
  </si>
  <si>
    <t>Période :</t>
  </si>
  <si>
    <t>NET A PAYER AVANT IMPÔT SUR LE REVENU</t>
  </si>
  <si>
    <t>A déduire</t>
  </si>
  <si>
    <t>A payer</t>
  </si>
  <si>
    <t>Charges patronales</t>
  </si>
  <si>
    <t>Eléments de paie</t>
  </si>
  <si>
    <t>Mutuelle</t>
  </si>
  <si>
    <t>HS à 50%</t>
  </si>
  <si>
    <t>Prime de précarité</t>
  </si>
  <si>
    <t>RETRAITES  - TAUX EFFECTIF (CADRES ET NON CADRES)</t>
  </si>
  <si>
    <t>Retraite complémentaire</t>
  </si>
  <si>
    <t xml:space="preserve">Prime </t>
  </si>
  <si>
    <t>Prime (total)</t>
  </si>
  <si>
    <t>Entrée :</t>
  </si>
  <si>
    <t>TOTAL des cotisations et contributions</t>
  </si>
  <si>
    <t>Dans votre intérêt, et pour vous aider à faire valoir vos droits, conservez ce bulletin de paie sans limitation de durée. Informations complémentaires : www.service-public.fr</t>
  </si>
  <si>
    <t>Aucune</t>
  </si>
  <si>
    <t>Si les salaire de base ont différé</t>
  </si>
  <si>
    <t>Renseigner les heures supplémentaires à part du salaire de base</t>
  </si>
  <si>
    <t>Renseigner les primes cumulées de la période à part du salaire de base</t>
  </si>
  <si>
    <t>Absence maladie/diverse</t>
  </si>
  <si>
    <t>Abs maladie/diverse</t>
  </si>
  <si>
    <t>Jours ouvrable moyen</t>
  </si>
  <si>
    <t>Jours ouvrés moyen</t>
  </si>
  <si>
    <t>Jours ouvrables réel</t>
  </si>
  <si>
    <t>Jours ouvrés réel</t>
  </si>
  <si>
    <t>Retenue pour l'absence</t>
  </si>
  <si>
    <t>J.ouvrable Réel</t>
  </si>
  <si>
    <t>J.ouvrés Réel</t>
  </si>
  <si>
    <t>J.ouvrable Réel Abs</t>
  </si>
  <si>
    <t>J.ouvrés Réel Abs</t>
  </si>
  <si>
    <t>Début mois :</t>
  </si>
  <si>
    <t>Fin mois :</t>
  </si>
  <si>
    <t>Déduction JOR</t>
  </si>
  <si>
    <t>Déduction JOÉR</t>
  </si>
  <si>
    <t>Jours ouvrés</t>
  </si>
  <si>
    <t>Jours ouvrables</t>
  </si>
  <si>
    <t>PMSS :</t>
  </si>
  <si>
    <t>Cadre/Non-cadre</t>
  </si>
  <si>
    <t>Mathieu</t>
  </si>
  <si>
    <t>Nombre de salariés</t>
  </si>
  <si>
    <t xml:space="preserve">APEC (cadres) </t>
  </si>
  <si>
    <t>Mutuelle santé (50/50)</t>
  </si>
  <si>
    <t>Dernier mois</t>
  </si>
  <si>
    <t>Mensuel</t>
  </si>
  <si>
    <t>Méthode</t>
  </si>
  <si>
    <t>Maintien</t>
  </si>
  <si>
    <t>1/10ème</t>
  </si>
  <si>
    <t>ICP</t>
  </si>
  <si>
    <t xml:space="preserve">ICP </t>
  </si>
  <si>
    <t xml:space="preserve">Congés acquis : </t>
  </si>
  <si>
    <t>Congés du :</t>
  </si>
  <si>
    <t>Absence congés payés</t>
  </si>
  <si>
    <t>Indemnité congés payés</t>
  </si>
  <si>
    <t>Indemnité compensatrice de congés payés</t>
  </si>
  <si>
    <t>Jean</t>
  </si>
  <si>
    <t>Ouvrié qualifié</t>
  </si>
  <si>
    <t>Pascal</t>
  </si>
  <si>
    <t>Stéphane</t>
  </si>
  <si>
    <t>M.</t>
  </si>
  <si>
    <t>B.</t>
  </si>
  <si>
    <t>C.</t>
  </si>
  <si>
    <t>Responsable d'affaire</t>
  </si>
  <si>
    <t>SMIC</t>
  </si>
  <si>
    <t>Guilbaud</t>
  </si>
  <si>
    <t xml:space="preserve">  par heure</t>
  </si>
  <si>
    <t>L.</t>
  </si>
  <si>
    <t>NET A PAYER</t>
  </si>
  <si>
    <t>31/06/2022</t>
  </si>
  <si>
    <t>Batiment</t>
  </si>
  <si>
    <t>MBA mutuelle</t>
  </si>
  <si>
    <t>-</t>
  </si>
  <si>
    <t xml:space="preserve">Supérieur à </t>
  </si>
  <si>
    <t>Montant en €</t>
  </si>
  <si>
    <t>Taux d'imposition</t>
  </si>
  <si>
    <t>Revenu imposable</t>
  </si>
  <si>
    <t>Sécurité sociale plafonnée</t>
  </si>
  <si>
    <t>Sécurité sociale déplafonnée</t>
  </si>
  <si>
    <t>Revenu fiscal 2021</t>
  </si>
  <si>
    <t>Nombre de part</t>
  </si>
  <si>
    <t>Quotient familial</t>
  </si>
  <si>
    <t xml:space="preserve">Impôt sur le revenu </t>
  </si>
  <si>
    <t>Personne à charge</t>
  </si>
  <si>
    <t>Règlement fin de mois par virement</t>
  </si>
  <si>
    <t>Au</t>
  </si>
  <si>
    <t>NB jour ouvrés</t>
  </si>
  <si>
    <t>M. Mathieu</t>
  </si>
  <si>
    <t>B. Pascal</t>
  </si>
  <si>
    <t>C. Stéphane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</si>
</sst>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6" formatCode="#,##0\ &quot;€&quot;;[Red]\-#,##0\ &quot;€&quot;"/>
    <numFmt numFmtId="164" formatCode="_-* #,##0.00\ _€_-;\-* #,##0.00\ _€_-;_-* &quot;-&quot;??\ _€_-;_-@_-"/>
    <numFmt numFmtId="165" formatCode="0.000%"/>
    <numFmt numFmtId="166" formatCode="_-* #,##0\ _€_-;\-* #,##0\ _€_-;_-* &quot;-&quot;??\ _€_-;_-@_-"/>
    <numFmt numFmtId="167" formatCode="#,##0.00\ &quot;€&quot;"/>
    <numFmt numFmtId="168" formatCode="ddd"/>
  </numFmts>
  <fonts count="3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4"/>
      <name val="Arial"/>
      <family val="2"/>
    </font>
    <font>
      <sz val="10"/>
      <name val="Geneva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u/>
      <sz val="11"/>
      <name val="Arial"/>
      <family val="2"/>
    </font>
    <font>
      <b/>
      <u/>
      <sz val="10"/>
      <name val="Arial"/>
      <family val="2"/>
    </font>
    <font>
      <i/>
      <sz val="8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u/>
      <sz val="8"/>
      <name val="Arial"/>
      <family val="2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10171F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8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</fills>
  <borders count="7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DashDotDot">
        <color auto="1"/>
      </left>
      <right style="hair">
        <color auto="1"/>
      </right>
      <top/>
      <bottom/>
      <diagonal/>
    </border>
    <border>
      <left style="mediumDashDotDot">
        <color auto="1"/>
      </left>
      <right style="hair">
        <color auto="1"/>
      </right>
      <top/>
      <bottom style="mediumDashDotDot">
        <color auto="1"/>
      </bottom>
      <diagonal/>
    </border>
    <border>
      <left style="double">
        <color auto="1"/>
      </left>
      <right style="double">
        <color auto="1"/>
      </right>
      <top/>
      <bottom style="mediumDashDotDot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mediumDashDotDot">
        <color auto="1"/>
      </bottom>
      <diagonal/>
    </border>
    <border>
      <left/>
      <right style="mediumDashDotDot">
        <color auto="1"/>
      </right>
      <top/>
      <bottom/>
      <diagonal/>
    </border>
    <border>
      <left/>
      <right style="mediumDashDotDot">
        <color auto="1"/>
      </right>
      <top/>
      <bottom style="mediumDashDotDot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mediumDashDotDot">
        <color auto="1"/>
      </left>
      <right/>
      <top style="mediumDashDotDot">
        <color auto="1"/>
      </top>
      <bottom style="double">
        <color auto="1"/>
      </bottom>
      <diagonal/>
    </border>
    <border>
      <left/>
      <right/>
      <top style="mediumDashDotDot">
        <color auto="1"/>
      </top>
      <bottom style="double">
        <color auto="1"/>
      </bottom>
      <diagonal/>
    </border>
    <border>
      <left/>
      <right style="mediumDashDotDot">
        <color auto="1"/>
      </right>
      <top style="mediumDashDotDot">
        <color auto="1"/>
      </top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9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" fillId="0" borderId="0"/>
    <xf numFmtId="0" fontId="7" fillId="0" borderId="0"/>
    <xf numFmtId="0" fontId="9" fillId="0" borderId="0"/>
    <xf numFmtId="0" fontId="9" fillId="0" borderId="0"/>
    <xf numFmtId="0" fontId="7" fillId="0" borderId="0" applyFont="0" applyFill="0" applyBorder="0" applyAlignment="0" applyProtection="0"/>
    <xf numFmtId="0" fontId="5" fillId="0" borderId="0"/>
  </cellStyleXfs>
  <cellXfs count="642">
    <xf numFmtId="0" fontId="0" fillId="0" borderId="0" xfId="0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4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Continuous"/>
    </xf>
    <xf numFmtId="0" fontId="0" fillId="2" borderId="4" xfId="0" applyFill="1" applyBorder="1" applyAlignment="1">
      <alignment horizontal="center"/>
    </xf>
    <xf numFmtId="4" fontId="0" fillId="2" borderId="4" xfId="0" applyNumberFormat="1" applyFill="1" applyBorder="1"/>
    <xf numFmtId="4" fontId="0" fillId="2" borderId="10" xfId="0" applyNumberFormat="1" applyFill="1" applyBorder="1"/>
    <xf numFmtId="4" fontId="0" fillId="2" borderId="5" xfId="0" applyNumberFormat="1" applyFill="1" applyBorder="1"/>
    <xf numFmtId="4" fontId="0" fillId="2" borderId="1" xfId="0" applyNumberFormat="1" applyFill="1" applyBorder="1"/>
    <xf numFmtId="0" fontId="0" fillId="3" borderId="7" xfId="0" applyFill="1" applyBorder="1"/>
    <xf numFmtId="4" fontId="0" fillId="3" borderId="10" xfId="0" applyNumberFormat="1" applyFill="1" applyBorder="1"/>
    <xf numFmtId="10" fontId="0" fillId="2" borderId="4" xfId="0" applyNumberFormat="1" applyFill="1" applyBorder="1"/>
    <xf numFmtId="10" fontId="0" fillId="2" borderId="10" xfId="0" applyNumberFormat="1" applyFill="1" applyBorder="1"/>
    <xf numFmtId="10" fontId="0" fillId="2" borderId="5" xfId="0" applyNumberFormat="1" applyFill="1" applyBorder="1"/>
    <xf numFmtId="10" fontId="0" fillId="3" borderId="10" xfId="0" applyNumberFormat="1" applyFill="1" applyBorder="1"/>
    <xf numFmtId="165" fontId="0" fillId="2" borderId="10" xfId="0" applyNumberFormat="1" applyFill="1" applyBorder="1"/>
    <xf numFmtId="0" fontId="2" fillId="0" borderId="7" xfId="0" applyFont="1" applyBorder="1" applyAlignment="1">
      <alignment horizontal="right"/>
    </xf>
    <xf numFmtId="4" fontId="2" fillId="2" borderId="10" xfId="0" applyNumberFormat="1" applyFont="1" applyFill="1" applyBorder="1"/>
    <xf numFmtId="10" fontId="2" fillId="2" borderId="10" xfId="0" applyNumberFormat="1" applyFont="1" applyFill="1" applyBorder="1"/>
    <xf numFmtId="4" fontId="0" fillId="6" borderId="10" xfId="0" applyNumberFormat="1" applyFill="1" applyBorder="1"/>
    <xf numFmtId="0" fontId="0" fillId="0" borderId="12" xfId="0" applyBorder="1" applyAlignment="1">
      <alignment horizontal="center"/>
    </xf>
    <xf numFmtId="0" fontId="0" fillId="2" borderId="13" xfId="0" applyFill="1" applyBorder="1" applyAlignment="1">
      <alignment horizontal="center"/>
    </xf>
    <xf numFmtId="4" fontId="0" fillId="2" borderId="13" xfId="0" applyNumberFormat="1" applyFill="1" applyBorder="1"/>
    <xf numFmtId="4" fontId="0" fillId="2" borderId="14" xfId="0" applyNumberFormat="1" applyFill="1" applyBorder="1"/>
    <xf numFmtId="4" fontId="0" fillId="2" borderId="15" xfId="0" applyNumberFormat="1" applyFill="1" applyBorder="1"/>
    <xf numFmtId="4" fontId="0" fillId="3" borderId="14" xfId="0" applyNumberFormat="1" applyFill="1" applyBorder="1"/>
    <xf numFmtId="4" fontId="2" fillId="2" borderId="14" xfId="0" applyNumberFormat="1" applyFont="1" applyFill="1" applyBorder="1"/>
    <xf numFmtId="4" fontId="0" fillId="2" borderId="16" xfId="0" applyNumberFormat="1" applyFill="1" applyBorder="1"/>
    <xf numFmtId="0" fontId="0" fillId="2" borderId="12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9" xfId="0" applyFont="1" applyBorder="1" applyAlignment="1">
      <alignment horizontal="centerContinuous"/>
    </xf>
    <xf numFmtId="0" fontId="0" fillId="6" borderId="0" xfId="0" applyFill="1"/>
    <xf numFmtId="0" fontId="0" fillId="5" borderId="0" xfId="0" applyFill="1"/>
    <xf numFmtId="4" fontId="0" fillId="0" borderId="13" xfId="0" applyNumberFormat="1" applyFill="1" applyBorder="1"/>
    <xf numFmtId="4" fontId="0" fillId="0" borderId="14" xfId="0" applyNumberFormat="1" applyFill="1" applyBorder="1"/>
    <xf numFmtId="4" fontId="0" fillId="0" borderId="15" xfId="0" applyNumberFormat="1" applyFill="1" applyBorder="1"/>
    <xf numFmtId="10" fontId="2" fillId="0" borderId="10" xfId="0" applyNumberFormat="1" applyFont="1" applyFill="1" applyBorder="1"/>
    <xf numFmtId="4" fontId="2" fillId="0" borderId="14" xfId="0" applyNumberFormat="1" applyFont="1" applyFill="1" applyBorder="1"/>
    <xf numFmtId="4" fontId="0" fillId="0" borderId="4" xfId="0" applyNumberFormat="1" applyFill="1" applyBorder="1"/>
    <xf numFmtId="4" fontId="0" fillId="0" borderId="10" xfId="0" applyNumberFormat="1" applyFill="1" applyBorder="1"/>
    <xf numFmtId="4" fontId="0" fillId="0" borderId="5" xfId="0" applyNumberFormat="1" applyFill="1" applyBorder="1"/>
    <xf numFmtId="4" fontId="0" fillId="0" borderId="1" xfId="0" applyNumberFormat="1" applyFill="1" applyBorder="1"/>
    <xf numFmtId="4" fontId="0" fillId="0" borderId="16" xfId="0" applyNumberFormat="1" applyFill="1" applyBorder="1"/>
    <xf numFmtId="4" fontId="2" fillId="0" borderId="10" xfId="0" applyNumberFormat="1" applyFont="1" applyFill="1" applyBorder="1"/>
    <xf numFmtId="2" fontId="0" fillId="0" borderId="0" xfId="0" applyNumberFormat="1"/>
    <xf numFmtId="0" fontId="0" fillId="4" borderId="0" xfId="0" applyFill="1"/>
    <xf numFmtId="0" fontId="0" fillId="7" borderId="0" xfId="0" applyFill="1"/>
    <xf numFmtId="4" fontId="0" fillId="0" borderId="0" xfId="0" applyNumberFormat="1"/>
    <xf numFmtId="0" fontId="9" fillId="0" borderId="0" xfId="3" applyFont="1"/>
    <xf numFmtId="0" fontId="9" fillId="0" borderId="0" xfId="5" applyFont="1"/>
    <xf numFmtId="0" fontId="9" fillId="0" borderId="6" xfId="3" applyFont="1" applyBorder="1"/>
    <xf numFmtId="0" fontId="8" fillId="0" borderId="17" xfId="3" applyFont="1" applyBorder="1"/>
    <xf numFmtId="0" fontId="8" fillId="0" borderId="9" xfId="3" applyFont="1" applyBorder="1"/>
    <xf numFmtId="0" fontId="8" fillId="0" borderId="9" xfId="3" applyFont="1" applyBorder="1" applyAlignment="1">
      <alignment horizontal="centerContinuous"/>
    </xf>
    <xf numFmtId="4" fontId="8" fillId="0" borderId="3" xfId="3" applyNumberFormat="1" applyFont="1" applyBorder="1"/>
    <xf numFmtId="0" fontId="8" fillId="0" borderId="21" xfId="3" applyFont="1" applyBorder="1"/>
    <xf numFmtId="4" fontId="10" fillId="0" borderId="5" xfId="3" applyNumberFormat="1" applyFont="1" applyBorder="1" applyAlignment="1">
      <alignment horizontal="centerContinuous"/>
    </xf>
    <xf numFmtId="0" fontId="11" fillId="0" borderId="7" xfId="3" applyFont="1" applyBorder="1"/>
    <xf numFmtId="0" fontId="10" fillId="0" borderId="0" xfId="3" applyFont="1" applyBorder="1"/>
    <xf numFmtId="0" fontId="10" fillId="0" borderId="4" xfId="3" applyFont="1" applyBorder="1"/>
    <xf numFmtId="0" fontId="10" fillId="0" borderId="10" xfId="3" applyFont="1" applyBorder="1" applyAlignment="1">
      <alignment horizontal="center"/>
    </xf>
    <xf numFmtId="0" fontId="10" fillId="0" borderId="22" xfId="3" applyFont="1" applyBorder="1" applyAlignment="1">
      <alignment horizontal="center"/>
    </xf>
    <xf numFmtId="0" fontId="10" fillId="0" borderId="5" xfId="3" applyFont="1" applyBorder="1" applyAlignment="1">
      <alignment horizontal="center"/>
    </xf>
    <xf numFmtId="0" fontId="9" fillId="0" borderId="10" xfId="3" applyFont="1" applyBorder="1"/>
    <xf numFmtId="4" fontId="9" fillId="0" borderId="10" xfId="3" applyNumberFormat="1" applyFont="1" applyBorder="1" applyAlignment="1">
      <alignment horizontal="center"/>
    </xf>
    <xf numFmtId="4" fontId="9" fillId="0" borderId="23" xfId="3" applyNumberFormat="1" applyFont="1" applyBorder="1"/>
    <xf numFmtId="0" fontId="9" fillId="0" borderId="7" xfId="6" applyFont="1" applyBorder="1"/>
    <xf numFmtId="0" fontId="9" fillId="0" borderId="0" xfId="3" applyFont="1" applyBorder="1"/>
    <xf numFmtId="4" fontId="9" fillId="0" borderId="10" xfId="3" applyNumberFormat="1" applyFont="1" applyBorder="1"/>
    <xf numFmtId="0" fontId="13" fillId="0" borderId="7" xfId="3" applyFont="1" applyBorder="1"/>
    <xf numFmtId="0" fontId="8" fillId="0" borderId="0" xfId="3" applyFont="1" applyBorder="1"/>
    <xf numFmtId="38" fontId="8" fillId="0" borderId="10" xfId="7" applyNumberFormat="1" applyFont="1" applyBorder="1" applyAlignment="1">
      <alignment horizontal="center"/>
    </xf>
    <xf numFmtId="10" fontId="9" fillId="0" borderId="10" xfId="4" applyNumberFormat="1" applyFont="1" applyBorder="1" applyAlignment="1">
      <alignment horizontal="center"/>
    </xf>
    <xf numFmtId="38" fontId="9" fillId="0" borderId="10" xfId="7" applyNumberFormat="1" applyFont="1" applyBorder="1"/>
    <xf numFmtId="0" fontId="9" fillId="0" borderId="12" xfId="3" applyFont="1" applyBorder="1"/>
    <xf numFmtId="38" fontId="9" fillId="0" borderId="4" xfId="7" applyNumberFormat="1" applyFont="1" applyBorder="1" applyAlignment="1">
      <alignment horizontal="center"/>
    </xf>
    <xf numFmtId="10" fontId="9" fillId="0" borderId="6" xfId="4" applyNumberFormat="1" applyFont="1" applyBorder="1" applyAlignment="1">
      <alignment horizontal="center"/>
    </xf>
    <xf numFmtId="38" fontId="9" fillId="0" borderId="4" xfId="7" applyNumberFormat="1" applyFont="1" applyBorder="1"/>
    <xf numFmtId="10" fontId="9" fillId="0" borderId="12" xfId="2" applyNumberFormat="1" applyFont="1" applyBorder="1"/>
    <xf numFmtId="1" fontId="9" fillId="0" borderId="12" xfId="3" applyNumberFormat="1" applyFont="1" applyBorder="1"/>
    <xf numFmtId="0" fontId="9" fillId="0" borderId="7" xfId="3" applyFont="1" applyBorder="1"/>
    <xf numFmtId="0" fontId="9" fillId="0" borderId="23" xfId="3" applyFont="1" applyBorder="1"/>
    <xf numFmtId="38" fontId="9" fillId="0" borderId="10" xfId="7" applyNumberFormat="1" applyFont="1" applyBorder="1" applyAlignment="1">
      <alignment horizontal="center"/>
    </xf>
    <xf numFmtId="10" fontId="9" fillId="0" borderId="7" xfId="4" applyNumberFormat="1" applyFont="1" applyBorder="1" applyAlignment="1">
      <alignment horizontal="center"/>
    </xf>
    <xf numFmtId="10" fontId="9" fillId="0" borderId="23" xfId="2" applyNumberFormat="1" applyFont="1" applyBorder="1"/>
    <xf numFmtId="1" fontId="9" fillId="0" borderId="23" xfId="3" applyNumberFormat="1" applyFont="1" applyBorder="1"/>
    <xf numFmtId="0" fontId="9" fillId="0" borderId="22" xfId="3" applyFont="1" applyBorder="1"/>
    <xf numFmtId="38" fontId="9" fillId="0" borderId="5" xfId="7" applyNumberFormat="1" applyFont="1" applyBorder="1"/>
    <xf numFmtId="1" fontId="9" fillId="0" borderId="22" xfId="3" applyNumberFormat="1" applyFont="1" applyBorder="1"/>
    <xf numFmtId="0" fontId="15" fillId="0" borderId="10" xfId="3" applyFont="1" applyBorder="1"/>
    <xf numFmtId="0" fontId="9" fillId="0" borderId="6" xfId="6" applyFont="1" applyBorder="1"/>
    <xf numFmtId="10" fontId="9" fillId="0" borderId="4" xfId="4" applyNumberFormat="1" applyFont="1" applyBorder="1" applyAlignment="1">
      <alignment horizontal="center"/>
    </xf>
    <xf numFmtId="0" fontId="8" fillId="0" borderId="8" xfId="3" applyFont="1" applyBorder="1"/>
    <xf numFmtId="1" fontId="9" fillId="0" borderId="5" xfId="3" applyNumberFormat="1" applyFont="1" applyBorder="1"/>
    <xf numFmtId="0" fontId="8" fillId="0" borderId="7" xfId="3" applyFont="1" applyBorder="1"/>
    <xf numFmtId="1" fontId="9" fillId="0" borderId="10" xfId="3" applyNumberFormat="1" applyFont="1" applyBorder="1"/>
    <xf numFmtId="1" fontId="9" fillId="0" borderId="4" xfId="3" applyNumberFormat="1" applyFont="1" applyBorder="1"/>
    <xf numFmtId="10" fontId="9" fillId="0" borderId="10" xfId="3" applyNumberFormat="1" applyFont="1" applyBorder="1"/>
    <xf numFmtId="38" fontId="9" fillId="0" borderId="23" xfId="7" applyNumberFormat="1" applyFont="1" applyBorder="1"/>
    <xf numFmtId="0" fontId="8" fillId="8" borderId="2" xfId="3" applyFont="1" applyFill="1" applyBorder="1"/>
    <xf numFmtId="0" fontId="9" fillId="8" borderId="9" xfId="3" applyFont="1" applyFill="1" applyBorder="1"/>
    <xf numFmtId="0" fontId="9" fillId="8" borderId="3" xfId="3" applyFont="1" applyFill="1" applyBorder="1"/>
    <xf numFmtId="3" fontId="8" fillId="8" borderId="2" xfId="3" applyNumberFormat="1" applyFont="1" applyFill="1" applyBorder="1"/>
    <xf numFmtId="10" fontId="9" fillId="0" borderId="0" xfId="3" applyNumberFormat="1" applyFont="1" applyBorder="1"/>
    <xf numFmtId="4" fontId="9" fillId="0" borderId="0" xfId="3" applyNumberFormat="1" applyFont="1" applyBorder="1"/>
    <xf numFmtId="0" fontId="9" fillId="8" borderId="17" xfId="3" applyFont="1" applyFill="1" applyBorder="1"/>
    <xf numFmtId="0" fontId="13" fillId="0" borderId="17" xfId="3" applyFont="1" applyBorder="1"/>
    <xf numFmtId="3" fontId="9" fillId="0" borderId="4" xfId="3" applyNumberFormat="1" applyFont="1" applyBorder="1" applyAlignment="1">
      <alignment horizontal="center"/>
    </xf>
    <xf numFmtId="10" fontId="9" fillId="0" borderId="17" xfId="3" applyNumberFormat="1" applyFont="1" applyBorder="1"/>
    <xf numFmtId="10" fontId="9" fillId="0" borderId="17" xfId="2" applyNumberFormat="1" applyFont="1" applyBorder="1"/>
    <xf numFmtId="0" fontId="13" fillId="0" borderId="0" xfId="3" applyFont="1" applyBorder="1"/>
    <xf numFmtId="3" fontId="9" fillId="0" borderId="10" xfId="3" applyNumberFormat="1" applyFont="1" applyBorder="1" applyAlignment="1">
      <alignment horizontal="center"/>
    </xf>
    <xf numFmtId="10" fontId="9" fillId="0" borderId="0" xfId="2" applyNumberFormat="1" applyFont="1" applyBorder="1"/>
    <xf numFmtId="0" fontId="9" fillId="0" borderId="7" xfId="8" applyFont="1" applyBorder="1" applyAlignment="1">
      <alignment horizontal="left"/>
    </xf>
    <xf numFmtId="0" fontId="9" fillId="0" borderId="21" xfId="3" applyFont="1" applyBorder="1"/>
    <xf numFmtId="3" fontId="9" fillId="0" borderId="5" xfId="3" applyNumberFormat="1" applyFont="1" applyBorder="1" applyAlignment="1">
      <alignment horizontal="center"/>
    </xf>
    <xf numFmtId="10" fontId="9" fillId="0" borderId="21" xfId="2" applyNumberFormat="1" applyFont="1" applyBorder="1"/>
    <xf numFmtId="4" fontId="9" fillId="8" borderId="1" xfId="3" applyNumberFormat="1" applyFont="1" applyFill="1" applyBorder="1" applyAlignment="1">
      <alignment horizontal="center"/>
    </xf>
    <xf numFmtId="3" fontId="8" fillId="8" borderId="1" xfId="3" applyNumberFormat="1" applyFont="1" applyFill="1" applyBorder="1"/>
    <xf numFmtId="165" fontId="9" fillId="0" borderId="0" xfId="3" applyNumberFormat="1" applyFont="1" applyBorder="1"/>
    <xf numFmtId="0" fontId="9" fillId="0" borderId="6" xfId="3" applyFont="1" applyBorder="1" applyAlignment="1">
      <alignment horizontal="left" vertical="top"/>
    </xf>
    <xf numFmtId="0" fontId="9" fillId="0" borderId="17" xfId="3" applyFont="1" applyBorder="1"/>
    <xf numFmtId="0" fontId="9" fillId="0" borderId="7" xfId="3" applyFont="1" applyBorder="1" applyAlignment="1">
      <alignment horizontal="left" vertical="top"/>
    </xf>
    <xf numFmtId="0" fontId="9" fillId="0" borderId="8" xfId="3" applyFont="1" applyBorder="1" applyAlignment="1">
      <alignment horizontal="left" vertical="top"/>
    </xf>
    <xf numFmtId="4" fontId="9" fillId="0" borderId="5" xfId="3" applyNumberFormat="1" applyFont="1" applyBorder="1"/>
    <xf numFmtId="4" fontId="9" fillId="8" borderId="1" xfId="3" applyNumberFormat="1" applyFont="1" applyFill="1" applyBorder="1"/>
    <xf numFmtId="4" fontId="9" fillId="0" borderId="4" xfId="3" applyNumberFormat="1" applyFont="1" applyBorder="1" applyAlignment="1">
      <alignment horizontal="center"/>
    </xf>
    <xf numFmtId="4" fontId="9" fillId="0" borderId="17" xfId="3" applyNumberFormat="1" applyFont="1" applyBorder="1"/>
    <xf numFmtId="3" fontId="8" fillId="0" borderId="4" xfId="3" applyNumberFormat="1" applyFont="1" applyBorder="1"/>
    <xf numFmtId="3" fontId="8" fillId="0" borderId="5" xfId="3" applyNumberFormat="1" applyFont="1" applyBorder="1"/>
    <xf numFmtId="3" fontId="8" fillId="8" borderId="5" xfId="3" applyNumberFormat="1" applyFont="1" applyFill="1" applyBorder="1"/>
    <xf numFmtId="10" fontId="0" fillId="6" borderId="10" xfId="0" applyNumberFormat="1" applyFill="1" applyBorder="1"/>
    <xf numFmtId="4" fontId="0" fillId="2" borderId="7" xfId="0" applyNumberFormat="1" applyFill="1" applyBorder="1"/>
    <xf numFmtId="0" fontId="0" fillId="7" borderId="0" xfId="0" applyFill="1" applyBorder="1"/>
    <xf numFmtId="4" fontId="0" fillId="0" borderId="1" xfId="0" applyNumberFormat="1" applyBorder="1"/>
    <xf numFmtId="0" fontId="0" fillId="0" borderId="0" xfId="0" applyBorder="1" applyAlignment="1">
      <alignment horizontal="center"/>
    </xf>
    <xf numFmtId="4" fontId="0" fillId="2" borderId="6" xfId="0" applyNumberFormat="1" applyFill="1" applyBorder="1"/>
    <xf numFmtId="4" fontId="0" fillId="2" borderId="2" xfId="0" applyNumberFormat="1" applyFill="1" applyBorder="1"/>
    <xf numFmtId="0" fontId="0" fillId="0" borderId="3" xfId="0" applyBorder="1" applyAlignment="1">
      <alignment horizontal="center" vertical="center"/>
    </xf>
    <xf numFmtId="4" fontId="0" fillId="0" borderId="3" xfId="0" applyNumberFormat="1" applyBorder="1"/>
    <xf numFmtId="4" fontId="0" fillId="0" borderId="7" xfId="0" applyNumberFormat="1" applyFill="1" applyBorder="1"/>
    <xf numFmtId="0" fontId="1" fillId="0" borderId="7" xfId="0" applyFont="1" applyBorder="1" applyAlignment="1">
      <alignment horizontal="centerContinuous"/>
    </xf>
    <xf numFmtId="4" fontId="0" fillId="0" borderId="1" xfId="0" applyNumberFormat="1" applyBorder="1" applyAlignment="1">
      <alignment horizontal="center"/>
    </xf>
    <xf numFmtId="165" fontId="9" fillId="0" borderId="0" xfId="2" applyNumberFormat="1" applyFont="1" applyBorder="1"/>
    <xf numFmtId="2" fontId="9" fillId="0" borderId="17" xfId="2" applyNumberFormat="1" applyFont="1" applyBorder="1"/>
    <xf numFmtId="165" fontId="9" fillId="0" borderId="7" xfId="4" applyNumberFormat="1" applyFont="1" applyBorder="1" applyAlignment="1">
      <alignment horizontal="center"/>
    </xf>
    <xf numFmtId="10" fontId="9" fillId="6" borderId="21" xfId="3" applyNumberFormat="1" applyFont="1" applyFill="1" applyBorder="1"/>
    <xf numFmtId="0" fontId="9" fillId="8" borderId="12" xfId="3" applyFont="1" applyFill="1" applyBorder="1"/>
    <xf numFmtId="4" fontId="8" fillId="8" borderId="4" xfId="3" applyNumberFormat="1" applyFont="1" applyFill="1" applyBorder="1" applyAlignment="1">
      <alignment horizontal="center"/>
    </xf>
    <xf numFmtId="10" fontId="8" fillId="8" borderId="4" xfId="3" applyNumberFormat="1" applyFont="1" applyFill="1" applyBorder="1"/>
    <xf numFmtId="3" fontId="8" fillId="8" borderId="6" xfId="3" applyNumberFormat="1" applyFont="1" applyFill="1" applyBorder="1"/>
    <xf numFmtId="3" fontId="8" fillId="8" borderId="4" xfId="3" applyNumberFormat="1" applyFont="1" applyFill="1" applyBorder="1"/>
    <xf numFmtId="0" fontId="9" fillId="0" borderId="9" xfId="3" applyFont="1" applyBorder="1"/>
    <xf numFmtId="4" fontId="9" fillId="0" borderId="9" xfId="3" applyNumberFormat="1" applyFont="1" applyBorder="1" applyAlignment="1">
      <alignment horizontal="center"/>
    </xf>
    <xf numFmtId="10" fontId="9" fillId="0" borderId="9" xfId="3" applyNumberFormat="1" applyFont="1" applyBorder="1"/>
    <xf numFmtId="4" fontId="9" fillId="0" borderId="9" xfId="3" applyNumberFormat="1" applyFont="1" applyBorder="1"/>
    <xf numFmtId="0" fontId="8" fillId="8" borderId="6" xfId="3" applyFont="1" applyFill="1" applyBorder="1"/>
    <xf numFmtId="0" fontId="17" fillId="0" borderId="9" xfId="3" applyFont="1" applyBorder="1"/>
    <xf numFmtId="0" fontId="8" fillId="8" borderId="8" xfId="3" applyFont="1" applyFill="1" applyBorder="1"/>
    <xf numFmtId="0" fontId="13" fillId="8" borderId="21" xfId="3" applyFont="1" applyFill="1" applyBorder="1"/>
    <xf numFmtId="4" fontId="9" fillId="8" borderId="5" xfId="3" applyNumberFormat="1" applyFont="1" applyFill="1" applyBorder="1" applyAlignment="1">
      <alignment horizontal="center"/>
    </xf>
    <xf numFmtId="10" fontId="9" fillId="8" borderId="21" xfId="3" applyNumberFormat="1" applyFont="1" applyFill="1" applyBorder="1"/>
    <xf numFmtId="3" fontId="8" fillId="8" borderId="8" xfId="3" applyNumberFormat="1" applyFont="1" applyFill="1" applyBorder="1"/>
    <xf numFmtId="0" fontId="8" fillId="0" borderId="21" xfId="3" applyFont="1" applyFill="1" applyBorder="1"/>
    <xf numFmtId="0" fontId="9" fillId="0" borderId="21" xfId="3" applyFont="1" applyFill="1" applyBorder="1"/>
    <xf numFmtId="4" fontId="8" fillId="0" borderId="21" xfId="3" applyNumberFormat="1" applyFont="1" applyFill="1" applyBorder="1"/>
    <xf numFmtId="3" fontId="8" fillId="0" borderId="21" xfId="3" applyNumberFormat="1" applyFont="1" applyFill="1" applyBorder="1"/>
    <xf numFmtId="0" fontId="8" fillId="0" borderId="17" xfId="3" applyFont="1" applyFill="1" applyBorder="1"/>
    <xf numFmtId="0" fontId="9" fillId="0" borderId="17" xfId="3" applyFont="1" applyFill="1" applyBorder="1"/>
    <xf numFmtId="4" fontId="8" fillId="0" borderId="17" xfId="3" applyNumberFormat="1" applyFont="1" applyFill="1" applyBorder="1"/>
    <xf numFmtId="3" fontId="8" fillId="0" borderId="17" xfId="3" applyNumberFormat="1" applyFont="1" applyFill="1" applyBorder="1"/>
    <xf numFmtId="3" fontId="16" fillId="0" borderId="1" xfId="3" applyNumberFormat="1" applyFont="1" applyFill="1" applyBorder="1" applyAlignment="1">
      <alignment horizontal="center"/>
    </xf>
    <xf numFmtId="0" fontId="8" fillId="9" borderId="17" xfId="3" applyFont="1" applyFill="1" applyBorder="1"/>
    <xf numFmtId="0" fontId="9" fillId="9" borderId="17" xfId="3" applyFont="1" applyFill="1" applyBorder="1"/>
    <xf numFmtId="4" fontId="8" fillId="9" borderId="4" xfId="3" applyNumberFormat="1" applyFont="1" applyFill="1" applyBorder="1"/>
    <xf numFmtId="3" fontId="8" fillId="9" borderId="4" xfId="3" applyNumberFormat="1" applyFont="1" applyFill="1" applyBorder="1"/>
    <xf numFmtId="3" fontId="8" fillId="9" borderId="1" xfId="3" applyNumberFormat="1" applyFont="1" applyFill="1" applyBorder="1"/>
    <xf numFmtId="0" fontId="8" fillId="9" borderId="6" xfId="3" applyFont="1" applyFill="1" applyBorder="1"/>
    <xf numFmtId="38" fontId="8" fillId="6" borderId="5" xfId="7" applyNumberFormat="1" applyFont="1" applyFill="1" applyBorder="1" applyAlignment="1">
      <alignment horizontal="center"/>
    </xf>
    <xf numFmtId="10" fontId="9" fillId="0" borderId="5" xfId="4" applyNumberFormat="1" applyFont="1" applyFill="1" applyBorder="1" applyAlignment="1">
      <alignment horizontal="center"/>
    </xf>
    <xf numFmtId="0" fontId="16" fillId="10" borderId="5" xfId="3" applyFont="1" applyFill="1" applyBorder="1"/>
    <xf numFmtId="4" fontId="10" fillId="0" borderId="1" xfId="3" applyNumberFormat="1" applyFont="1" applyBorder="1" applyAlignment="1">
      <alignment horizontal="center"/>
    </xf>
    <xf numFmtId="4" fontId="0" fillId="6" borderId="14" xfId="0" applyNumberFormat="1" applyFill="1" applyBorder="1"/>
    <xf numFmtId="10" fontId="0" fillId="0" borderId="0" xfId="0" applyNumberFormat="1"/>
    <xf numFmtId="38" fontId="9" fillId="0" borderId="23" xfId="7" applyNumberFormat="1" applyFont="1" applyBorder="1" applyAlignment="1">
      <alignment horizontal="center"/>
    </xf>
    <xf numFmtId="10" fontId="16" fillId="10" borderId="10" xfId="3" applyNumberFormat="1" applyFont="1" applyFill="1" applyBorder="1"/>
    <xf numFmtId="38" fontId="8" fillId="6" borderId="10" xfId="7" applyNumberFormat="1" applyFont="1" applyFill="1" applyBorder="1" applyAlignment="1">
      <alignment horizontal="center"/>
    </xf>
    <xf numFmtId="10" fontId="9" fillId="0" borderId="7" xfId="4" applyNumberFormat="1" applyFont="1" applyFill="1" applyBorder="1" applyAlignment="1">
      <alignment horizontal="center"/>
    </xf>
    <xf numFmtId="38" fontId="8" fillId="0" borderId="0" xfId="7" applyNumberFormat="1" applyFont="1" applyBorder="1" applyAlignment="1">
      <alignment horizontal="center"/>
    </xf>
    <xf numFmtId="38" fontId="9" fillId="0" borderId="0" xfId="7" applyNumberFormat="1" applyFont="1" applyBorder="1"/>
    <xf numFmtId="1" fontId="9" fillId="0" borderId="0" xfId="3" applyNumberFormat="1" applyFont="1" applyBorder="1"/>
    <xf numFmtId="10" fontId="16" fillId="0" borderId="9" xfId="3" applyNumberFormat="1" applyFont="1" applyBorder="1"/>
    <xf numFmtId="38" fontId="9" fillId="0" borderId="9" xfId="7" applyNumberFormat="1" applyFont="1" applyBorder="1" applyAlignment="1">
      <alignment horizontal="center"/>
    </xf>
    <xf numFmtId="10" fontId="9" fillId="0" borderId="9" xfId="4" applyNumberFormat="1" applyFont="1" applyBorder="1" applyAlignment="1">
      <alignment horizontal="center"/>
    </xf>
    <xf numFmtId="38" fontId="9" fillId="0" borderId="9" xfId="7" applyNumberFormat="1" applyFont="1" applyBorder="1"/>
    <xf numFmtId="10" fontId="9" fillId="0" borderId="9" xfId="2" applyNumberFormat="1" applyFont="1" applyBorder="1"/>
    <xf numFmtId="1" fontId="9" fillId="0" borderId="9" xfId="3" applyNumberFormat="1" applyFont="1" applyBorder="1"/>
    <xf numFmtId="165" fontId="14" fillId="0" borderId="9" xfId="3" applyNumberFormat="1" applyFont="1" applyBorder="1"/>
    <xf numFmtId="0" fontId="8" fillId="0" borderId="5" xfId="3" applyFont="1" applyBorder="1" applyAlignment="1"/>
    <xf numFmtId="0" fontId="8" fillId="0" borderId="1" xfId="3" applyFont="1" applyBorder="1" applyAlignment="1"/>
    <xf numFmtId="0" fontId="13" fillId="8" borderId="5" xfId="3" applyFont="1" applyFill="1" applyBorder="1"/>
    <xf numFmtId="10" fontId="14" fillId="0" borderId="4" xfId="3" applyNumberFormat="1" applyFont="1" applyFill="1" applyBorder="1"/>
    <xf numFmtId="10" fontId="14" fillId="0" borderId="10" xfId="3" applyNumberFormat="1" applyFont="1" applyFill="1" applyBorder="1"/>
    <xf numFmtId="10" fontId="14" fillId="0" borderId="5" xfId="3" applyNumberFormat="1" applyFont="1" applyFill="1" applyBorder="1"/>
    <xf numFmtId="0" fontId="16" fillId="0" borderId="10" xfId="3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66" fontId="9" fillId="0" borderId="23" xfId="1" applyNumberFormat="1" applyFont="1" applyBorder="1" applyAlignment="1">
      <alignment horizontal="right"/>
    </xf>
    <xf numFmtId="3" fontId="0" fillId="0" borderId="0" xfId="0" applyNumberFormat="1"/>
    <xf numFmtId="165" fontId="14" fillId="0" borderId="10" xfId="3" applyNumberFormat="1" applyFont="1" applyFill="1" applyBorder="1"/>
    <xf numFmtId="4" fontId="0" fillId="0" borderId="0" xfId="0" applyNumberFormat="1" applyBorder="1" applyAlignment="1">
      <alignment horizontal="center"/>
    </xf>
    <xf numFmtId="4" fontId="0" fillId="0" borderId="0" xfId="0" applyNumberFormat="1" applyBorder="1"/>
    <xf numFmtId="4" fontId="0" fillId="2" borderId="8" xfId="0" applyNumberFormat="1" applyFill="1" applyBorder="1"/>
    <xf numFmtId="4" fontId="0" fillId="0" borderId="8" xfId="0" applyNumberFormat="1" applyFill="1" applyBorder="1"/>
    <xf numFmtId="4" fontId="0" fillId="0" borderId="0" xfId="0" applyNumberFormat="1" applyFill="1" applyBorder="1"/>
    <xf numFmtId="4" fontId="0" fillId="0" borderId="23" xfId="0" applyNumberFormat="1" applyFill="1" applyBorder="1"/>
    <xf numFmtId="0" fontId="6" fillId="0" borderId="0" xfId="3" applyFon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2" fontId="0" fillId="0" borderId="4" xfId="0" applyNumberFormat="1" applyFill="1" applyBorder="1"/>
    <xf numFmtId="2" fontId="0" fillId="0" borderId="10" xfId="0" applyNumberFormat="1" applyFill="1" applyBorder="1"/>
    <xf numFmtId="2" fontId="0" fillId="0" borderId="5" xfId="0" applyNumberFormat="1" applyFill="1" applyBorder="1"/>
    <xf numFmtId="0" fontId="0" fillId="2" borderId="17" xfId="0" applyFill="1" applyBorder="1" applyAlignment="1">
      <alignment horizontal="center"/>
    </xf>
    <xf numFmtId="0" fontId="1" fillId="0" borderId="17" xfId="0" applyFont="1" applyBorder="1" applyAlignment="1">
      <alignment horizontal="centerContinuous"/>
    </xf>
    <xf numFmtId="0" fontId="1" fillId="0" borderId="12" xfId="0" applyFont="1" applyBorder="1" applyAlignment="1">
      <alignment horizontal="centerContinuous"/>
    </xf>
    <xf numFmtId="0" fontId="1" fillId="0" borderId="0" xfId="0" applyFont="1" applyBorder="1" applyAlignment="1">
      <alignment horizontal="centerContinuous"/>
    </xf>
    <xf numFmtId="0" fontId="0" fillId="2" borderId="6" xfId="0" applyFill="1" applyBorder="1" applyAlignment="1">
      <alignment horizontal="left"/>
    </xf>
    <xf numFmtId="0" fontId="0" fillId="0" borderId="1" xfId="0" applyBorder="1"/>
    <xf numFmtId="0" fontId="0" fillId="0" borderId="17" xfId="0" applyBorder="1"/>
    <xf numFmtId="4" fontId="0" fillId="11" borderId="10" xfId="0" applyNumberFormat="1" applyFill="1" applyBorder="1"/>
    <xf numFmtId="10" fontId="0" fillId="11" borderId="10" xfId="0" applyNumberFormat="1" applyFill="1" applyBorder="1"/>
    <xf numFmtId="4" fontId="0" fillId="2" borderId="31" xfId="0" applyNumberFormat="1" applyFill="1" applyBorder="1"/>
    <xf numFmtId="4" fontId="0" fillId="11" borderId="8" xfId="0" applyNumberFormat="1" applyFill="1" applyBorder="1"/>
    <xf numFmtId="2" fontId="0" fillId="11" borderId="21" xfId="0" applyNumberFormat="1" applyFill="1" applyBorder="1"/>
    <xf numFmtId="0" fontId="0" fillId="0" borderId="0" xfId="0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4" fontId="0" fillId="12" borderId="38" xfId="0" applyNumberFormat="1" applyFill="1" applyBorder="1" applyAlignment="1">
      <alignment horizontal="left" vertical="center" indent="10"/>
    </xf>
    <xf numFmtId="0" fontId="0" fillId="0" borderId="38" xfId="0" applyBorder="1" applyAlignment="1">
      <alignment vertical="center"/>
    </xf>
    <xf numFmtId="2" fontId="0" fillId="0" borderId="0" xfId="0" applyNumberFormat="1" applyAlignment="1">
      <alignment vertical="center"/>
    </xf>
    <xf numFmtId="0" fontId="1" fillId="0" borderId="28" xfId="0" applyFont="1" applyBorder="1" applyAlignment="1">
      <alignment vertical="center"/>
    </xf>
    <xf numFmtId="0" fontId="1" fillId="0" borderId="27" xfId="0" applyFont="1" applyBorder="1" applyAlignment="1">
      <alignment vertical="center"/>
    </xf>
    <xf numFmtId="0" fontId="1" fillId="0" borderId="30" xfId="0" applyFont="1" applyBorder="1" applyAlignment="1">
      <alignment vertical="center"/>
    </xf>
    <xf numFmtId="10" fontId="0" fillId="0" borderId="1" xfId="0" applyNumberFormat="1" applyBorder="1" applyAlignment="1">
      <alignment vertical="center"/>
    </xf>
    <xf numFmtId="2" fontId="0" fillId="0" borderId="16" xfId="0" applyNumberFormat="1" applyBorder="1" applyAlignment="1">
      <alignment vertical="center"/>
    </xf>
    <xf numFmtId="10" fontId="0" fillId="0" borderId="25" xfId="0" applyNumberFormat="1" applyBorder="1" applyAlignment="1">
      <alignment vertical="center"/>
    </xf>
    <xf numFmtId="2" fontId="0" fillId="0" borderId="26" xfId="0" applyNumberFormat="1" applyBorder="1" applyAlignment="1">
      <alignment vertical="center"/>
    </xf>
    <xf numFmtId="2" fontId="3" fillId="13" borderId="38" xfId="0" applyNumberFormat="1" applyFont="1" applyFill="1" applyBorder="1" applyAlignment="1">
      <alignment horizontal="right"/>
    </xf>
    <xf numFmtId="0" fontId="0" fillId="0" borderId="12" xfId="0" applyBorder="1"/>
    <xf numFmtId="0" fontId="0" fillId="0" borderId="23" xfId="0" applyBorder="1"/>
    <xf numFmtId="0" fontId="18" fillId="0" borderId="0" xfId="0" applyFont="1"/>
    <xf numFmtId="0" fontId="0" fillId="8" borderId="0" xfId="0" applyFill="1"/>
    <xf numFmtId="0" fontId="0" fillId="0" borderId="0" xfId="0" applyAlignment="1">
      <alignment wrapText="1"/>
    </xf>
    <xf numFmtId="0" fontId="0" fillId="0" borderId="21" xfId="0" applyBorder="1"/>
    <xf numFmtId="0" fontId="0" fillId="10" borderId="1" xfId="0" applyFill="1" applyBorder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center" vertical="center"/>
    </xf>
    <xf numFmtId="0" fontId="21" fillId="0" borderId="0" xfId="0" applyFont="1" applyAlignment="1">
      <alignment horizontal="right"/>
    </xf>
    <xf numFmtId="0" fontId="19" fillId="0" borderId="0" xfId="0" applyFont="1"/>
    <xf numFmtId="14" fontId="0" fillId="0" borderId="0" xfId="0" applyNumberFormat="1"/>
    <xf numFmtId="0" fontId="1" fillId="0" borderId="0" xfId="0" applyFont="1"/>
    <xf numFmtId="0" fontId="0" fillId="0" borderId="1" xfId="0" applyBorder="1" applyAlignment="1">
      <alignment horizontal="right"/>
    </xf>
    <xf numFmtId="0" fontId="0" fillId="10" borderId="0" xfId="0" applyFill="1" applyAlignment="1">
      <alignment horizontal="center" vertical="center" wrapText="1"/>
    </xf>
    <xf numFmtId="0" fontId="0" fillId="0" borderId="2" xfId="0" applyBorder="1"/>
    <xf numFmtId="0" fontId="0" fillId="0" borderId="0" xfId="0" applyAlignment="1">
      <alignment horizontal="right" vertical="center"/>
    </xf>
    <xf numFmtId="0" fontId="3" fillId="5" borderId="7" xfId="0" applyFont="1" applyFill="1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14" borderId="0" xfId="0" applyFill="1"/>
    <xf numFmtId="0" fontId="0" fillId="0" borderId="0" xfId="0" applyFill="1"/>
    <xf numFmtId="0" fontId="0" fillId="0" borderId="0" xfId="0" applyFill="1" applyAlignment="1">
      <alignment horizontal="left"/>
    </xf>
    <xf numFmtId="0" fontId="0" fillId="14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1" fontId="0" fillId="0" borderId="0" xfId="0" applyNumberFormat="1" applyFill="1" applyAlignment="1">
      <alignment horizontal="left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9" fontId="0" fillId="0" borderId="1" xfId="0" applyNumberFormat="1" applyBorder="1"/>
    <xf numFmtId="0" fontId="0" fillId="17" borderId="1" xfId="0" applyFill="1" applyBorder="1"/>
    <xf numFmtId="0" fontId="22" fillId="0" borderId="0" xfId="0" applyFont="1"/>
    <xf numFmtId="0" fontId="0" fillId="0" borderId="43" xfId="0" quotePrefix="1" applyBorder="1"/>
    <xf numFmtId="0" fontId="0" fillId="0" borderId="43" xfId="0" applyBorder="1"/>
    <xf numFmtId="167" fontId="0" fillId="0" borderId="5" xfId="0" applyNumberFormat="1" applyBorder="1"/>
    <xf numFmtId="0" fontId="0" fillId="0" borderId="0" xfId="0" quotePrefix="1"/>
    <xf numFmtId="0" fontId="0" fillId="0" borderId="0" xfId="0" applyFont="1"/>
    <xf numFmtId="167" fontId="1" fillId="0" borderId="42" xfId="0" applyNumberFormat="1" applyFont="1" applyBorder="1"/>
    <xf numFmtId="167" fontId="1" fillId="0" borderId="1" xfId="0" applyNumberFormat="1" applyFont="1" applyBorder="1"/>
    <xf numFmtId="0" fontId="0" fillId="0" borderId="1" xfId="0" applyNumberFormat="1" applyBorder="1"/>
    <xf numFmtId="0" fontId="0" fillId="0" borderId="1" xfId="0" applyBorder="1" applyAlignment="1">
      <alignment vertical="center"/>
    </xf>
    <xf numFmtId="2" fontId="0" fillId="0" borderId="0" xfId="0" applyNumberFormat="1" applyFill="1" applyAlignment="1">
      <alignment horizontal="left"/>
    </xf>
    <xf numFmtId="0" fontId="23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9" fillId="0" borderId="0" xfId="0" applyFont="1"/>
    <xf numFmtId="14" fontId="9" fillId="0" borderId="45" xfId="0" applyNumberFormat="1" applyFont="1" applyBorder="1"/>
    <xf numFmtId="14" fontId="9" fillId="0" borderId="47" xfId="0" applyNumberFormat="1" applyFont="1" applyBorder="1"/>
    <xf numFmtId="0" fontId="9" fillId="0" borderId="44" xfId="0" applyFont="1" applyBorder="1" applyAlignment="1">
      <alignment horizontal="left"/>
    </xf>
    <xf numFmtId="0" fontId="9" fillId="0" borderId="46" xfId="0" applyFont="1" applyBorder="1" applyAlignment="1">
      <alignment horizontal="left"/>
    </xf>
    <xf numFmtId="16" fontId="9" fillId="0" borderId="46" xfId="0" applyNumberFormat="1" applyFont="1" applyBorder="1" applyAlignment="1">
      <alignment horizontal="left"/>
    </xf>
    <xf numFmtId="16" fontId="9" fillId="0" borderId="48" xfId="0" applyNumberFormat="1" applyFont="1" applyBorder="1" applyAlignment="1">
      <alignment horizontal="left"/>
    </xf>
    <xf numFmtId="14" fontId="9" fillId="0" borderId="49" xfId="0" applyNumberFormat="1" applyFont="1" applyBorder="1"/>
    <xf numFmtId="168" fontId="0" fillId="14" borderId="50" xfId="0" applyNumberFormat="1" applyFill="1" applyBorder="1"/>
    <xf numFmtId="14" fontId="0" fillId="0" borderId="0" xfId="0" applyNumberFormat="1" applyBorder="1"/>
    <xf numFmtId="168" fontId="0" fillId="14" borderId="0" xfId="0" applyNumberFormat="1" applyFill="1" applyBorder="1"/>
    <xf numFmtId="14" fontId="0" fillId="0" borderId="51" xfId="0" applyNumberFormat="1" applyBorder="1"/>
    <xf numFmtId="14" fontId="0" fillId="0" borderId="36" xfId="0" applyNumberFormat="1" applyBorder="1"/>
    <xf numFmtId="168" fontId="0" fillId="14" borderId="36" xfId="0" applyNumberFormat="1" applyFill="1" applyBorder="1"/>
    <xf numFmtId="14" fontId="0" fillId="0" borderId="37" xfId="0" applyNumberFormat="1" applyBorder="1"/>
    <xf numFmtId="0" fontId="0" fillId="18" borderId="18" xfId="0" applyFill="1" applyBorder="1"/>
    <xf numFmtId="0" fontId="0" fillId="18" borderId="19" xfId="0" applyFill="1" applyBorder="1"/>
    <xf numFmtId="0" fontId="0" fillId="18" borderId="20" xfId="0" applyFill="1" applyBorder="1"/>
    <xf numFmtId="0" fontId="0" fillId="0" borderId="4" xfId="0" applyBorder="1"/>
    <xf numFmtId="0" fontId="0" fillId="0" borderId="5" xfId="0" applyBorder="1"/>
    <xf numFmtId="14" fontId="0" fillId="0" borderId="1" xfId="0" applyNumberFormat="1" applyFill="1" applyBorder="1"/>
    <xf numFmtId="0" fontId="0" fillId="14" borderId="1" xfId="0" applyFill="1" applyBorder="1"/>
    <xf numFmtId="0" fontId="0" fillId="12" borderId="1" xfId="0" applyFill="1" applyBorder="1"/>
    <xf numFmtId="0" fontId="0" fillId="14" borderId="1" xfId="0" applyFill="1" applyBorder="1" applyAlignment="1">
      <alignment horizontal="center"/>
    </xf>
    <xf numFmtId="14" fontId="0" fillId="0" borderId="1" xfId="0" applyNumberFormat="1" applyBorder="1"/>
    <xf numFmtId="0" fontId="24" fillId="15" borderId="0" xfId="0" applyFont="1" applyFill="1"/>
    <xf numFmtId="0" fontId="0" fillId="0" borderId="1" xfId="0" applyFont="1" applyFill="1" applyBorder="1" applyAlignment="1">
      <alignment horizontal="left"/>
    </xf>
    <xf numFmtId="1" fontId="0" fillId="0" borderId="1" xfId="0" applyNumberFormat="1" applyFont="1" applyFill="1" applyBorder="1" applyAlignment="1">
      <alignment horizontal="left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/>
    <xf numFmtId="0" fontId="25" fillId="19" borderId="0" xfId="0" applyFont="1" applyFill="1" applyAlignment="1">
      <alignment horizontal="center"/>
    </xf>
    <xf numFmtId="0" fontId="0" fillId="0" borderId="10" xfId="0" applyBorder="1"/>
    <xf numFmtId="0" fontId="1" fillId="0" borderId="0" xfId="0" applyFont="1" applyBorder="1"/>
    <xf numFmtId="10" fontId="0" fillId="0" borderId="10" xfId="0" applyNumberFormat="1" applyBorder="1"/>
    <xf numFmtId="10" fontId="0" fillId="0" borderId="0" xfId="0" applyNumberFormat="1" applyBorder="1"/>
    <xf numFmtId="0" fontId="0" fillId="0" borderId="0" xfId="0" applyFont="1" applyFill="1" applyBorder="1"/>
    <xf numFmtId="0" fontId="0" fillId="0" borderId="0" xfId="0" applyFill="1" applyBorder="1"/>
    <xf numFmtId="167" fontId="0" fillId="15" borderId="42" xfId="0" applyNumberFormat="1" applyFill="1" applyBorder="1" applyAlignment="1">
      <alignment horizontal="right"/>
    </xf>
    <xf numFmtId="0" fontId="0" fillId="12" borderId="1" xfId="0" applyFill="1" applyBorder="1" applyAlignment="1">
      <alignment horizontal="center"/>
    </xf>
    <xf numFmtId="0" fontId="27" fillId="20" borderId="1" xfId="0" applyFont="1" applyFill="1" applyBorder="1" applyAlignment="1">
      <alignment horizontal="center"/>
    </xf>
    <xf numFmtId="0" fontId="27" fillId="20" borderId="2" xfId="0" applyFont="1" applyFill="1" applyBorder="1" applyAlignment="1">
      <alignment horizontal="center"/>
    </xf>
    <xf numFmtId="0" fontId="27" fillId="20" borderId="1" xfId="0" applyFont="1" applyFill="1" applyBorder="1"/>
    <xf numFmtId="4" fontId="0" fillId="0" borderId="4" xfId="0" applyNumberFormat="1" applyBorder="1"/>
    <xf numFmtId="4" fontId="0" fillId="0" borderId="10" xfId="0" applyNumberFormat="1" applyBorder="1"/>
    <xf numFmtId="4" fontId="0" fillId="0" borderId="23" xfId="0" applyNumberFormat="1" applyBorder="1"/>
    <xf numFmtId="4" fontId="0" fillId="0" borderId="7" xfId="0" applyNumberFormat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1" fillId="8" borderId="0" xfId="0" applyFont="1" applyFill="1"/>
    <xf numFmtId="0" fontId="27" fillId="0" borderId="0" xfId="0" applyFont="1"/>
    <xf numFmtId="4" fontId="1" fillId="0" borderId="10" xfId="0" applyNumberFormat="1" applyFont="1" applyBorder="1"/>
    <xf numFmtId="4" fontId="1" fillId="0" borderId="23" xfId="0" applyNumberFormat="1" applyFont="1" applyBorder="1"/>
    <xf numFmtId="4" fontId="0" fillId="15" borderId="38" xfId="0" applyNumberFormat="1" applyFill="1" applyBorder="1" applyAlignment="1">
      <alignment horizontal="left" vertical="center" indent="10"/>
    </xf>
    <xf numFmtId="0" fontId="0" fillId="0" borderId="54" xfId="0" applyBorder="1"/>
    <xf numFmtId="0" fontId="1" fillId="0" borderId="43" xfId="0" applyFont="1" applyBorder="1"/>
    <xf numFmtId="0" fontId="0" fillId="0" borderId="55" xfId="0" applyBorder="1"/>
    <xf numFmtId="4" fontId="0" fillId="0" borderId="53" xfId="0" applyNumberFormat="1" applyBorder="1"/>
    <xf numFmtId="0" fontId="0" fillId="0" borderId="53" xfId="0" applyBorder="1"/>
    <xf numFmtId="4" fontId="1" fillId="0" borderId="53" xfId="0" applyNumberFormat="1" applyFont="1" applyBorder="1"/>
    <xf numFmtId="4" fontId="0" fillId="0" borderId="54" xfId="0" applyNumberFormat="1" applyBorder="1"/>
    <xf numFmtId="4" fontId="0" fillId="0" borderId="55" xfId="0" applyNumberFormat="1" applyBorder="1"/>
    <xf numFmtId="0" fontId="27" fillId="0" borderId="43" xfId="0" applyFont="1" applyBorder="1"/>
    <xf numFmtId="0" fontId="26" fillId="0" borderId="43" xfId="0" applyFont="1" applyBorder="1"/>
    <xf numFmtId="0" fontId="26" fillId="0" borderId="55" xfId="0" applyFont="1" applyBorder="1"/>
    <xf numFmtId="4" fontId="26" fillId="0" borderId="53" xfId="0" applyNumberFormat="1" applyFont="1" applyBorder="1"/>
    <xf numFmtId="0" fontId="26" fillId="0" borderId="53" xfId="0" applyFont="1" applyBorder="1"/>
    <xf numFmtId="4" fontId="27" fillId="0" borderId="53" xfId="0" applyNumberFormat="1" applyFont="1" applyBorder="1"/>
    <xf numFmtId="0" fontId="28" fillId="0" borderId="0" xfId="0" applyFont="1"/>
    <xf numFmtId="0" fontId="0" fillId="19" borderId="7" xfId="0" applyFill="1" applyBorder="1"/>
    <xf numFmtId="0" fontId="0" fillId="19" borderId="0" xfId="0" applyFill="1" applyBorder="1"/>
    <xf numFmtId="0" fontId="0" fillId="19" borderId="23" xfId="0" applyFill="1" applyBorder="1"/>
    <xf numFmtId="4" fontId="0" fillId="19" borderId="10" xfId="0" applyNumberFormat="1" applyFill="1" applyBorder="1"/>
    <xf numFmtId="0" fontId="0" fillId="19" borderId="10" xfId="0" applyFill="1" applyBorder="1"/>
    <xf numFmtId="4" fontId="0" fillId="19" borderId="0" xfId="0" applyNumberFormat="1" applyFill="1" applyBorder="1"/>
    <xf numFmtId="4" fontId="0" fillId="19" borderId="23" xfId="0" applyNumberFormat="1" applyFill="1" applyBorder="1"/>
    <xf numFmtId="4" fontId="0" fillId="0" borderId="17" xfId="0" applyNumberFormat="1" applyBorder="1"/>
    <xf numFmtId="4" fontId="0" fillId="0" borderId="21" xfId="0" applyNumberFormat="1" applyBorder="1"/>
    <xf numFmtId="0" fontId="0" fillId="0" borderId="1" xfId="0" applyFill="1" applyBorder="1"/>
    <xf numFmtId="0" fontId="0" fillId="0" borderId="0" xfId="0" applyFont="1" applyFill="1" applyBorder="1" applyAlignment="1">
      <alignment horizontal="left"/>
    </xf>
    <xf numFmtId="1" fontId="0" fillId="0" borderId="0" xfId="0" applyNumberFormat="1" applyFont="1" applyFill="1" applyBorder="1" applyAlignment="1">
      <alignment horizontal="left"/>
    </xf>
    <xf numFmtId="0" fontId="0" fillId="0" borderId="3" xfId="0" applyFill="1" applyBorder="1" applyAlignment="1">
      <alignment horizontal="left"/>
    </xf>
    <xf numFmtId="14" fontId="0" fillId="0" borderId="3" xfId="0" applyNumberFormat="1" applyFill="1" applyBorder="1" applyAlignment="1">
      <alignment horizontal="left"/>
    </xf>
    <xf numFmtId="1" fontId="0" fillId="0" borderId="3" xfId="0" applyNumberFormat="1" applyFill="1" applyBorder="1" applyAlignment="1">
      <alignment horizontal="left"/>
    </xf>
    <xf numFmtId="2" fontId="0" fillId="0" borderId="3" xfId="0" applyNumberFormat="1" applyFill="1" applyBorder="1" applyAlignment="1">
      <alignment horizontal="left"/>
    </xf>
    <xf numFmtId="0" fontId="0" fillId="0" borderId="3" xfId="0" applyBorder="1"/>
    <xf numFmtId="0" fontId="0" fillId="0" borderId="3" xfId="0" applyFill="1" applyBorder="1"/>
    <xf numFmtId="0" fontId="0" fillId="0" borderId="1" xfId="0" applyNumberFormat="1" applyBorder="1" applyAlignment="1">
      <alignment horizontal="right"/>
    </xf>
    <xf numFmtId="14" fontId="0" fillId="0" borderId="4" xfId="0" applyNumberFormat="1" applyFill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29" fillId="10" borderId="0" xfId="0" applyFont="1" applyFill="1"/>
    <xf numFmtId="0" fontId="1" fillId="14" borderId="2" xfId="0" applyFont="1" applyFill="1" applyBorder="1"/>
    <xf numFmtId="0" fontId="1" fillId="21" borderId="1" xfId="0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/>
    </xf>
    <xf numFmtId="10" fontId="0" fillId="0" borderId="1" xfId="0" applyNumberFormat="1" applyFill="1" applyBorder="1"/>
    <xf numFmtId="0" fontId="3" fillId="0" borderId="0" xfId="0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right"/>
    </xf>
    <xf numFmtId="0" fontId="3" fillId="13" borderId="35" xfId="0" applyFont="1" applyFill="1" applyBorder="1" applyAlignment="1">
      <alignment horizontal="right"/>
    </xf>
    <xf numFmtId="2" fontId="3" fillId="13" borderId="56" xfId="0" applyNumberFormat="1" applyFont="1" applyFill="1" applyBorder="1" applyAlignment="1">
      <alignment horizontal="right"/>
    </xf>
    <xf numFmtId="0" fontId="3" fillId="13" borderId="38" xfId="0" applyFont="1" applyFill="1" applyBorder="1" applyAlignment="1">
      <alignment horizontal="right"/>
    </xf>
    <xf numFmtId="0" fontId="3" fillId="13" borderId="57" xfId="0" applyFont="1" applyFill="1" applyBorder="1" applyAlignment="1">
      <alignment horizontal="right"/>
    </xf>
    <xf numFmtId="0" fontId="29" fillId="10" borderId="0" xfId="0" applyFont="1" applyFill="1" applyAlignment="1">
      <alignment horizontal="right" vertical="center"/>
    </xf>
    <xf numFmtId="14" fontId="29" fillId="10" borderId="0" xfId="0" applyNumberFormat="1" applyFont="1" applyFill="1" applyAlignment="1">
      <alignment vertical="center"/>
    </xf>
    <xf numFmtId="0" fontId="29" fillId="10" borderId="0" xfId="0" applyFont="1" applyFill="1" applyAlignment="1">
      <alignment horizontal="right"/>
    </xf>
    <xf numFmtId="14" fontId="29" fillId="10" borderId="0" xfId="0" applyNumberFormat="1" applyFont="1" applyFill="1"/>
    <xf numFmtId="0" fontId="0" fillId="12" borderId="0" xfId="0" applyFill="1"/>
    <xf numFmtId="0" fontId="0" fillId="12" borderId="2" xfId="0" applyFill="1" applyBorder="1"/>
    <xf numFmtId="0" fontId="0" fillId="10" borderId="9" xfId="0" applyFill="1" applyBorder="1"/>
    <xf numFmtId="0" fontId="0" fillId="10" borderId="3" xfId="0" applyFill="1" applyBorder="1"/>
    <xf numFmtId="0" fontId="27" fillId="0" borderId="2" xfId="0" applyFont="1" applyBorder="1"/>
    <xf numFmtId="2" fontId="3" fillId="5" borderId="6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  <xf numFmtId="0" fontId="30" fillId="0" borderId="0" xfId="0" applyFont="1" applyAlignment="1">
      <alignment horizontal="right"/>
    </xf>
    <xf numFmtId="2" fontId="3" fillId="5" borderId="1" xfId="0" applyNumberFormat="1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24" fillId="0" borderId="0" xfId="0" applyFont="1" applyAlignment="1">
      <alignment horizontal="center"/>
    </xf>
    <xf numFmtId="0" fontId="31" fillId="4" borderId="0" xfId="0" applyFont="1" applyFill="1" applyAlignment="1">
      <alignment horizontal="center"/>
    </xf>
    <xf numFmtId="0" fontId="31" fillId="4" borderId="0" xfId="0" applyFont="1" applyFill="1"/>
    <xf numFmtId="14" fontId="0" fillId="0" borderId="0" xfId="0" applyNumberFormat="1" applyAlignment="1">
      <alignment horizontal="left"/>
    </xf>
    <xf numFmtId="6" fontId="0" fillId="0" borderId="1" xfId="0" applyNumberFormat="1" applyFill="1" applyBorder="1"/>
    <xf numFmtId="2" fontId="0" fillId="0" borderId="0" xfId="0" applyNumberFormat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12" borderId="1" xfId="0" applyNumberFormat="1" applyFill="1" applyBorder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/>
    </xf>
    <xf numFmtId="9" fontId="0" fillId="0" borderId="0" xfId="2" applyFont="1" applyAlignment="1">
      <alignment horizontal="center"/>
    </xf>
    <xf numFmtId="0" fontId="0" fillId="0" borderId="4" xfId="0" applyBorder="1" applyAlignment="1">
      <alignment horizontal="center"/>
    </xf>
    <xf numFmtId="10" fontId="0" fillId="0" borderId="0" xfId="0" applyNumberFormat="1" applyFill="1" applyBorder="1"/>
    <xf numFmtId="2" fontId="24" fillId="0" borderId="0" xfId="0" applyNumberFormat="1" applyFont="1"/>
    <xf numFmtId="2" fontId="0" fillId="12" borderId="2" xfId="0" applyNumberFormat="1" applyFill="1" applyBorder="1"/>
    <xf numFmtId="2" fontId="0" fillId="0" borderId="4" xfId="0" applyNumberFormat="1" applyBorder="1"/>
    <xf numFmtId="2" fontId="27" fillId="10" borderId="1" xfId="0" applyNumberFormat="1" applyFont="1" applyFill="1" applyBorder="1"/>
    <xf numFmtId="2" fontId="1" fillId="10" borderId="7" xfId="0" applyNumberFormat="1" applyFont="1" applyFill="1" applyBorder="1"/>
    <xf numFmtId="2" fontId="0" fillId="0" borderId="1" xfId="0" applyNumberFormat="1" applyBorder="1"/>
    <xf numFmtId="2" fontId="1" fillId="10" borderId="1" xfId="0" applyNumberFormat="1" applyFont="1" applyFill="1" applyBorder="1"/>
    <xf numFmtId="0" fontId="1" fillId="0" borderId="0" xfId="0" applyFont="1" applyAlignment="1">
      <alignment horizontal="right" indent="1"/>
    </xf>
    <xf numFmtId="0" fontId="0" fillId="0" borderId="39" xfId="0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3" fontId="0" fillId="0" borderId="61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14" borderId="1" xfId="0" applyFont="1" applyFill="1" applyBorder="1"/>
    <xf numFmtId="0" fontId="0" fillId="12" borderId="38" xfId="0" applyFill="1" applyBorder="1" applyAlignment="1">
      <alignment horizontal="center" vertical="center"/>
    </xf>
    <xf numFmtId="4" fontId="0" fillId="15" borderId="38" xfId="0" applyNumberFormat="1" applyFill="1" applyBorder="1" applyAlignment="1">
      <alignment vertical="center"/>
    </xf>
    <xf numFmtId="2" fontId="0" fillId="0" borderId="16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3" fillId="13" borderId="20" xfId="0" applyNumberFormat="1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0" fillId="0" borderId="25" xfId="0" applyNumberFormat="1" applyBorder="1" applyAlignment="1">
      <alignment horizontal="center" vertical="center"/>
    </xf>
    <xf numFmtId="3" fontId="0" fillId="0" borderId="63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8" xfId="0" applyFill="1" applyBorder="1" applyAlignment="1">
      <alignment horizontal="center" vertical="center" wrapText="1"/>
    </xf>
    <xf numFmtId="1" fontId="0" fillId="0" borderId="4" xfId="0" applyNumberFormat="1" applyFill="1" applyBorder="1" applyAlignment="1">
      <alignment horizontal="center"/>
    </xf>
    <xf numFmtId="4" fontId="1" fillId="0" borderId="55" xfId="0" applyNumberFormat="1" applyFont="1" applyBorder="1"/>
    <xf numFmtId="1" fontId="1" fillId="0" borderId="0" xfId="0" applyNumberFormat="1" applyFont="1" applyBorder="1" applyAlignment="1">
      <alignment horizontal="left"/>
    </xf>
    <xf numFmtId="0" fontId="0" fillId="0" borderId="0" xfId="0" applyBorder="1" applyAlignment="1">
      <alignment horizontal="right"/>
    </xf>
    <xf numFmtId="0" fontId="1" fillId="0" borderId="0" xfId="0" applyFont="1" applyBorder="1" applyAlignment="1">
      <alignment horizontal="left"/>
    </xf>
    <xf numFmtId="14" fontId="1" fillId="0" borderId="0" xfId="0" applyNumberFormat="1" applyFont="1" applyBorder="1" applyAlignment="1">
      <alignment horizontal="left"/>
    </xf>
    <xf numFmtId="4" fontId="0" fillId="0" borderId="12" xfId="0" applyNumberFormat="1" applyBorder="1"/>
    <xf numFmtId="4" fontId="0" fillId="2" borderId="2" xfId="0" applyNumberFormat="1" applyFill="1" applyBorder="1" applyAlignment="1">
      <alignment horizontal="center"/>
    </xf>
    <xf numFmtId="4" fontId="0" fillId="2" borderId="9" xfId="0" applyNumberFormat="1" applyFill="1" applyBorder="1" applyAlignment="1">
      <alignment horizontal="center"/>
    </xf>
    <xf numFmtId="4" fontId="0" fillId="2" borderId="11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3" fillId="4" borderId="18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12" fillId="4" borderId="7" xfId="3" applyFont="1" applyFill="1" applyBorder="1" applyAlignment="1">
      <alignment horizontal="center"/>
    </xf>
    <xf numFmtId="0" fontId="12" fillId="4" borderId="0" xfId="3" applyFont="1" applyFill="1" applyBorder="1" applyAlignment="1">
      <alignment horizontal="center"/>
    </xf>
    <xf numFmtId="0" fontId="12" fillId="4" borderId="23" xfId="3" applyFont="1" applyFill="1" applyBorder="1" applyAlignment="1">
      <alignment horizontal="center"/>
    </xf>
    <xf numFmtId="0" fontId="13" fillId="4" borderId="6" xfId="3" applyFont="1" applyFill="1" applyBorder="1" applyAlignment="1">
      <alignment horizontal="center"/>
    </xf>
    <xf numFmtId="0" fontId="13" fillId="4" borderId="17" xfId="3" applyFont="1" applyFill="1" applyBorder="1" applyAlignment="1">
      <alignment horizontal="center"/>
    </xf>
    <xf numFmtId="0" fontId="13" fillId="4" borderId="12" xfId="3" applyFont="1" applyFill="1" applyBorder="1" applyAlignment="1">
      <alignment horizontal="center"/>
    </xf>
    <xf numFmtId="0" fontId="10" fillId="0" borderId="2" xfId="3" applyFont="1" applyBorder="1" applyAlignment="1">
      <alignment horizontal="center"/>
    </xf>
    <xf numFmtId="0" fontId="10" fillId="0" borderId="3" xfId="3" applyFont="1" applyBorder="1" applyAlignment="1">
      <alignment horizontal="center"/>
    </xf>
    <xf numFmtId="3" fontId="8" fillId="8" borderId="8" xfId="3" applyNumberFormat="1" applyFont="1" applyFill="1" applyBorder="1" applyAlignment="1">
      <alignment horizontal="center"/>
    </xf>
    <xf numFmtId="3" fontId="8" fillId="8" borderId="22" xfId="3" applyNumberFormat="1" applyFont="1" applyFill="1" applyBorder="1" applyAlignment="1">
      <alignment horizontal="center"/>
    </xf>
    <xf numFmtId="0" fontId="8" fillId="8" borderId="2" xfId="3" applyFont="1" applyFill="1" applyBorder="1" applyAlignment="1">
      <alignment horizontal="center"/>
    </xf>
    <xf numFmtId="0" fontId="8" fillId="8" borderId="9" xfId="3" applyFont="1" applyFill="1" applyBorder="1" applyAlignment="1">
      <alignment horizontal="center"/>
    </xf>
    <xf numFmtId="0" fontId="8" fillId="8" borderId="3" xfId="3" applyFont="1" applyFill="1" applyBorder="1" applyAlignment="1">
      <alignment horizontal="center"/>
    </xf>
    <xf numFmtId="0" fontId="8" fillId="0" borderId="6" xfId="3" applyFont="1" applyBorder="1" applyAlignment="1">
      <alignment horizontal="center" vertical="center"/>
    </xf>
    <xf numFmtId="0" fontId="8" fillId="0" borderId="17" xfId="3" applyFont="1" applyBorder="1" applyAlignment="1">
      <alignment horizontal="center" vertical="center"/>
    </xf>
    <xf numFmtId="0" fontId="8" fillId="0" borderId="8" xfId="3" applyFont="1" applyBorder="1" applyAlignment="1">
      <alignment horizontal="center" vertical="center"/>
    </xf>
    <xf numFmtId="0" fontId="8" fillId="0" borderId="21" xfId="3" applyFont="1" applyBorder="1" applyAlignment="1">
      <alignment horizontal="center" vertical="center"/>
    </xf>
    <xf numFmtId="0" fontId="8" fillId="0" borderId="4" xfId="3" applyFont="1" applyBorder="1" applyAlignment="1">
      <alignment horizontal="center" vertical="center"/>
    </xf>
    <xf numFmtId="0" fontId="8" fillId="0" borderId="5" xfId="3" applyFont="1" applyBorder="1" applyAlignment="1">
      <alignment horizontal="center" vertical="center"/>
    </xf>
    <xf numFmtId="0" fontId="8" fillId="0" borderId="8" xfId="3" applyFont="1" applyBorder="1" applyAlignment="1">
      <alignment horizontal="center"/>
    </xf>
    <xf numFmtId="0" fontId="8" fillId="0" borderId="21" xfId="3" applyFont="1" applyBorder="1" applyAlignment="1">
      <alignment horizontal="center"/>
    </xf>
    <xf numFmtId="0" fontId="8" fillId="0" borderId="2" xfId="3" applyFont="1" applyBorder="1" applyAlignment="1">
      <alignment horizontal="center"/>
    </xf>
    <xf numFmtId="0" fontId="8" fillId="0" borderId="9" xfId="3" applyFont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3" applyFont="1" applyAlignment="1">
      <alignment horizontal="center"/>
    </xf>
    <xf numFmtId="0" fontId="25" fillId="19" borderId="0" xfId="0" applyFont="1" applyFill="1" applyAlignment="1">
      <alignment horizontal="center"/>
    </xf>
    <xf numFmtId="0" fontId="25" fillId="19" borderId="6" xfId="0" applyFont="1" applyFill="1" applyBorder="1" applyAlignment="1">
      <alignment horizontal="center"/>
    </xf>
    <xf numFmtId="0" fontId="25" fillId="19" borderId="17" xfId="0" applyFont="1" applyFill="1" applyBorder="1" applyAlignment="1">
      <alignment horizontal="center"/>
    </xf>
    <xf numFmtId="0" fontId="25" fillId="19" borderId="12" xfId="0" applyFont="1" applyFill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23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14" borderId="4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0" xfId="0" applyFill="1" applyAlignment="1">
      <alignment horizontal="center" vertical="center" wrapText="1"/>
    </xf>
    <xf numFmtId="2" fontId="0" fillId="12" borderId="1" xfId="0" applyNumberFormat="1" applyFill="1" applyBorder="1" applyAlignment="1">
      <alignment horizontal="right" vertical="center"/>
    </xf>
    <xf numFmtId="0" fontId="3" fillId="16" borderId="0" xfId="0" applyFont="1" applyFill="1" applyAlignment="1">
      <alignment horizontal="center"/>
    </xf>
    <xf numFmtId="0" fontId="20" fillId="7" borderId="0" xfId="0" applyFont="1" applyFill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0" fillId="10" borderId="23" xfId="0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10" borderId="21" xfId="0" applyFont="1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10" borderId="9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0" fontId="3" fillId="5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3" fillId="5" borderId="17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/>
    </xf>
    <xf numFmtId="0" fontId="3" fillId="13" borderId="19" xfId="0" applyFont="1" applyFill="1" applyBorder="1" applyAlignment="1">
      <alignment horizontal="center"/>
    </xf>
    <xf numFmtId="0" fontId="3" fillId="13" borderId="20" xfId="0" applyFont="1" applyFill="1" applyBorder="1" applyAlignment="1">
      <alignment horizontal="center"/>
    </xf>
    <xf numFmtId="0" fontId="1" fillId="0" borderId="59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41" xfId="0" applyBorder="1" applyAlignment="1">
      <alignment horizontal="left"/>
    </xf>
    <xf numFmtId="167" fontId="1" fillId="14" borderId="18" xfId="0" applyNumberFormat="1" applyFont="1" applyFill="1" applyBorder="1" applyAlignment="1">
      <alignment horizontal="center"/>
    </xf>
    <xf numFmtId="0" fontId="1" fillId="14" borderId="19" xfId="0" applyFont="1" applyFill="1" applyBorder="1" applyAlignment="1">
      <alignment horizontal="center"/>
    </xf>
    <xf numFmtId="0" fontId="1" fillId="14" borderId="20" xfId="0" applyFont="1" applyFill="1" applyBorder="1" applyAlignment="1">
      <alignment horizontal="center"/>
    </xf>
    <xf numFmtId="0" fontId="1" fillId="0" borderId="40" xfId="0" applyFont="1" applyBorder="1" applyAlignment="1">
      <alignment horizontal="left"/>
    </xf>
    <xf numFmtId="0" fontId="1" fillId="0" borderId="41" xfId="0" applyFont="1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4" fontId="0" fillId="0" borderId="4" xfId="0" applyNumberFormat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0" fontId="20" fillId="0" borderId="32" xfId="0" applyFont="1" applyBorder="1" applyAlignment="1">
      <alignment horizontal="center" vertical="center"/>
    </xf>
    <xf numFmtId="0" fontId="20" fillId="0" borderId="33" xfId="0" applyFont="1" applyBorder="1" applyAlignment="1">
      <alignment horizontal="center" vertical="center"/>
    </xf>
    <xf numFmtId="0" fontId="20" fillId="0" borderId="34" xfId="0" applyFont="1" applyBorder="1" applyAlignment="1">
      <alignment horizontal="center" vertical="center"/>
    </xf>
    <xf numFmtId="0" fontId="20" fillId="0" borderId="35" xfId="0" applyFont="1" applyBorder="1" applyAlignment="1">
      <alignment horizontal="center" vertical="center"/>
    </xf>
    <xf numFmtId="0" fontId="20" fillId="0" borderId="36" xfId="0" applyFont="1" applyBorder="1" applyAlignment="1">
      <alignment horizontal="center" vertical="center"/>
    </xf>
    <xf numFmtId="0" fontId="20" fillId="0" borderId="37" xfId="0" applyFont="1" applyBorder="1" applyAlignment="1">
      <alignment horizontal="center" vertical="center"/>
    </xf>
    <xf numFmtId="0" fontId="24" fillId="0" borderId="0" xfId="0" applyFont="1"/>
    <xf numFmtId="0" fontId="0" fillId="6" borderId="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16" fontId="0" fillId="0" borderId="64" xfId="0" applyNumberFormat="1" applyBorder="1" applyAlignment="1">
      <alignment horizontal="center"/>
    </xf>
    <xf numFmtId="16" fontId="0" fillId="0" borderId="65" xfId="0" applyNumberFormat="1" applyBorder="1" applyAlignment="1">
      <alignment horizontal="center"/>
    </xf>
    <xf numFmtId="0" fontId="0" fillId="0" borderId="67" xfId="0" applyBorder="1" applyAlignment="1">
      <alignment horizontal="center" vertical="center"/>
    </xf>
    <xf numFmtId="16" fontId="0" fillId="0" borderId="67" xfId="0" applyNumberFormat="1" applyBorder="1" applyAlignment="1">
      <alignment horizontal="center"/>
    </xf>
    <xf numFmtId="16" fontId="0" fillId="0" borderId="68" xfId="0" applyNumberFormat="1" applyBorder="1" applyAlignment="1">
      <alignment horizontal="center"/>
    </xf>
    <xf numFmtId="0" fontId="0" fillId="0" borderId="69" xfId="0" applyBorder="1" applyAlignment="1">
      <alignment horizontal="center" vertical="center"/>
    </xf>
    <xf numFmtId="0" fontId="0" fillId="0" borderId="69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71" xfId="0" applyBorder="1" applyAlignment="1">
      <alignment horizontal="center" vertical="center"/>
    </xf>
    <xf numFmtId="0" fontId="0" fillId="0" borderId="71" xfId="0" applyBorder="1" applyAlignment="1">
      <alignment horizontal="center"/>
    </xf>
    <xf numFmtId="0" fontId="0" fillId="0" borderId="66" xfId="0" applyBorder="1" applyAlignment="1">
      <alignment horizontal="center"/>
    </xf>
    <xf numFmtId="0" fontId="32" fillId="22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Border="1" applyAlignment="1">
      <alignment horizontal="center"/>
    </xf>
    <xf numFmtId="0" fontId="24" fillId="10" borderId="0" xfId="0" applyFont="1" applyFill="1"/>
    <xf numFmtId="0" fontId="0" fillId="0" borderId="72" xfId="0" applyBorder="1" applyAlignment="1">
      <alignment horizontal="center"/>
    </xf>
    <xf numFmtId="0" fontId="0" fillId="0" borderId="73" xfId="0" applyBorder="1" applyAlignment="1">
      <alignment horizontal="center"/>
    </xf>
    <xf numFmtId="0" fontId="0" fillId="0" borderId="74" xfId="0" applyBorder="1" applyAlignment="1">
      <alignment horizontal="center"/>
    </xf>
    <xf numFmtId="4" fontId="0" fillId="0" borderId="3" xfId="0" applyNumberFormat="1" applyFill="1" applyBorder="1" applyAlignment="1">
      <alignment horizontal="left" vertical="center" indent="2"/>
    </xf>
    <xf numFmtId="4" fontId="0" fillId="0" borderId="1" xfId="0" applyNumberFormat="1" applyFill="1" applyBorder="1" applyAlignment="1">
      <alignment horizontal="left" vertical="top" indent="2"/>
    </xf>
    <xf numFmtId="3" fontId="0" fillId="0" borderId="3" xfId="0" applyNumberFormat="1" applyFill="1" applyBorder="1" applyAlignment="1">
      <alignment horizontal="left" vertical="center" indent="2"/>
    </xf>
    <xf numFmtId="3" fontId="0" fillId="0" borderId="1" xfId="0" applyNumberFormat="1" applyFill="1" applyBorder="1" applyAlignment="1">
      <alignment horizontal="left" vertical="top" indent="2"/>
    </xf>
    <xf numFmtId="4" fontId="0" fillId="0" borderId="1" xfId="0" applyNumberFormat="1" applyBorder="1" applyAlignment="1">
      <alignment horizontal="left" vertical="top" indent="2"/>
    </xf>
    <xf numFmtId="4" fontId="0" fillId="0" borderId="1" xfId="0" applyNumberFormat="1" applyBorder="1" applyAlignment="1">
      <alignment horizontal="left" vertical="center" indent="2"/>
    </xf>
    <xf numFmtId="4" fontId="0" fillId="2" borderId="75" xfId="0" applyNumberFormat="1" applyFill="1" applyBorder="1"/>
    <xf numFmtId="4" fontId="0" fillId="2" borderId="76" xfId="0" applyNumberFormat="1" applyFill="1" applyBorder="1"/>
    <xf numFmtId="0" fontId="1" fillId="0" borderId="6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2" borderId="17" xfId="0" applyFill="1" applyBorder="1" applyAlignment="1">
      <alignment horizontal="left"/>
    </xf>
    <xf numFmtId="0" fontId="0" fillId="5" borderId="24" xfId="0" applyFill="1" applyBorder="1" applyAlignment="1">
      <alignment horizontal="center" vertical="center"/>
    </xf>
    <xf numFmtId="2" fontId="0" fillId="5" borderId="24" xfId="0" applyNumberFormat="1" applyFill="1" applyBorder="1" applyAlignment="1">
      <alignment horizontal="center" vertical="center"/>
    </xf>
    <xf numFmtId="4" fontId="0" fillId="2" borderId="61" xfId="0" applyNumberFormat="1" applyFill="1" applyBorder="1" applyAlignment="1">
      <alignment horizontal="center"/>
    </xf>
  </cellXfs>
  <cellStyles count="9">
    <cellStyle name="Milliers" xfId="1" builtinId="3"/>
    <cellStyle name="Milliers 3" xfId="7" xr:uid="{00000000-0005-0000-0000-000001000000}"/>
    <cellStyle name="Normal" xfId="0" builtinId="0"/>
    <cellStyle name="Normal 2" xfId="5" xr:uid="{00000000-0005-0000-0000-000003000000}"/>
    <cellStyle name="Normal_DEC10" xfId="3" xr:uid="{00000000-0005-0000-0000-000004000000}"/>
    <cellStyle name="Normal_Décompte" xfId="6" xr:uid="{00000000-0005-0000-0000-000005000000}"/>
    <cellStyle name="Normal_décptecabourg" xfId="4" xr:uid="{00000000-0005-0000-0000-000006000000}"/>
    <cellStyle name="Normal_LAMA" xfId="8" xr:uid="{00000000-0005-0000-0000-000007000000}"/>
    <cellStyle name="Pourcentage" xfId="2" builtinId="5"/>
  </cellStyles>
  <dxfs count="46">
    <dxf>
      <font>
        <color theme="4" tint="0.59996337778862885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f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  <border>
        <top style="thin">
          <color auto="1"/>
        </top>
        <vertical/>
        <horizontal/>
      </border>
    </dxf>
    <dxf>
      <font>
        <color theme="0"/>
      </font>
      <fill>
        <patternFill>
          <bgColor theme="0"/>
        </patternFill>
      </fill>
      <border>
        <top/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ill>
        <patternFill>
          <bgColor theme="9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numFmt numFmtId="4" formatCode="#,##0.00"/>
    </dxf>
    <dxf>
      <numFmt numFmtId="4" formatCode="#,##0.00"/>
    </dxf>
    <dxf>
      <fill>
        <patternFill>
          <bgColor theme="7" tint="0.39994506668294322"/>
        </patternFill>
      </fill>
    </dxf>
    <dxf>
      <numFmt numFmtId="4" formatCode="#,##0.00"/>
    </dxf>
    <dxf>
      <numFmt numFmtId="4" formatCode="#,##0.00"/>
    </dxf>
    <dxf>
      <numFmt numFmtId="165" formatCode="0.000%"/>
    </dxf>
    <dxf>
      <numFmt numFmtId="165" formatCode="0.000%"/>
    </dxf>
    <dxf>
      <numFmt numFmtId="165" formatCode="0.000%"/>
    </dxf>
  </dxfs>
  <tableStyles count="0" defaultTableStyle="TableStyleMedium2" defaultPivotStyle="PivotStyleLight16"/>
  <colors>
    <mruColors>
      <color rgb="FF6BA743"/>
      <color rgb="FF649B3F"/>
      <color rgb="FF93C472"/>
      <color rgb="FF9CC97D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Drop" dropStyle="combo" dx="22" fmlaLink="$G$1" fmlaRange="$E:$E" noThreeD="1" sel="2" val="0"/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38100</xdr:rowOff>
    </xdr:from>
    <xdr:to>
      <xdr:col>0</xdr:col>
      <xdr:colOff>381000</xdr:colOff>
      <xdr:row>1</xdr:row>
      <xdr:rowOff>161925</xdr:rowOff>
    </xdr:to>
    <xdr:sp macro="[0]!Fermer_Base_cotis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100" y="38100"/>
          <a:ext cx="342900" cy="314325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20</xdr:row>
      <xdr:rowOff>180975</xdr:rowOff>
    </xdr:from>
    <xdr:to>
      <xdr:col>6</xdr:col>
      <xdr:colOff>1552575</xdr:colOff>
      <xdr:row>23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838825" y="3990975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Décompte cotisations</a:t>
          </a:r>
        </a:p>
      </xdr:txBody>
    </xdr:sp>
    <xdr:clientData/>
  </xdr:twoCellAnchor>
  <xdr:twoCellAnchor>
    <xdr:from>
      <xdr:col>6</xdr:col>
      <xdr:colOff>9525</xdr:colOff>
      <xdr:row>15</xdr:row>
      <xdr:rowOff>0</xdr:rowOff>
    </xdr:from>
    <xdr:to>
      <xdr:col>6</xdr:col>
      <xdr:colOff>1562100</xdr:colOff>
      <xdr:row>17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848350" y="2857500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Cotisations</a:t>
          </a:r>
          <a:r>
            <a:rPr lang="fr-FR" sz="1100" baseline="0">
              <a:solidFill>
                <a:schemeClr val="bg1"/>
              </a:solidFill>
            </a:rPr>
            <a:t> salariales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0</xdr:colOff>
      <xdr:row>17</xdr:row>
      <xdr:rowOff>180975</xdr:rowOff>
    </xdr:from>
    <xdr:to>
      <xdr:col>6</xdr:col>
      <xdr:colOff>1552575</xdr:colOff>
      <xdr:row>20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838825" y="3419475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Cotisations patronales</a:t>
          </a:r>
        </a:p>
      </xdr:txBody>
    </xdr:sp>
    <xdr:clientData/>
  </xdr:twoCellAnchor>
  <xdr:twoCellAnchor>
    <xdr:from>
      <xdr:col>0</xdr:col>
      <xdr:colOff>38100</xdr:colOff>
      <xdr:row>0</xdr:row>
      <xdr:rowOff>28576</xdr:rowOff>
    </xdr:from>
    <xdr:to>
      <xdr:col>0</xdr:col>
      <xdr:colOff>333375</xdr:colOff>
      <xdr:row>1</xdr:row>
      <xdr:rowOff>123826</xdr:rowOff>
    </xdr:to>
    <xdr:sp macro="[0]!Fermer_Infos_pai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8100" y="28576"/>
          <a:ext cx="295275" cy="28575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0</xdr:row>
          <xdr:rowOff>9525</xdr:rowOff>
        </xdr:from>
        <xdr:to>
          <xdr:col>8</xdr:col>
          <xdr:colOff>247650</xdr:colOff>
          <xdr:row>1</xdr:row>
          <xdr:rowOff>57150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42333</xdr:colOff>
      <xdr:row>0</xdr:row>
      <xdr:rowOff>31750</xdr:rowOff>
    </xdr:from>
    <xdr:to>
      <xdr:col>0</xdr:col>
      <xdr:colOff>359833</xdr:colOff>
      <xdr:row>1</xdr:row>
      <xdr:rowOff>137583</xdr:rowOff>
    </xdr:to>
    <xdr:sp macro="[0]!Fermer_Calendr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2333" y="31750"/>
          <a:ext cx="317500" cy="296333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28576</xdr:rowOff>
    </xdr:from>
    <xdr:to>
      <xdr:col>0</xdr:col>
      <xdr:colOff>342900</xdr:colOff>
      <xdr:row>1</xdr:row>
      <xdr:rowOff>123826</xdr:rowOff>
    </xdr:to>
    <xdr:sp macro="[0]!Fermer_Base_employé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8100" y="28576"/>
          <a:ext cx="304800" cy="28575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36</xdr:row>
      <xdr:rowOff>9525</xdr:rowOff>
    </xdr:from>
    <xdr:to>
      <xdr:col>3</xdr:col>
      <xdr:colOff>0</xdr:colOff>
      <xdr:row>38</xdr:row>
      <xdr:rowOff>38100</xdr:rowOff>
    </xdr:to>
    <xdr:sp macro="[0]!Formulair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2076450" y="5086350"/>
          <a:ext cx="3057525" cy="4095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>
                  <a:lumMod val="95000"/>
                  <a:lumOff val="5000"/>
                </a:schemeClr>
              </a:solidFill>
            </a:rPr>
            <a:t>ENREGISTRER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0</xdr:row>
      <xdr:rowOff>47625</xdr:rowOff>
    </xdr:from>
    <xdr:to>
      <xdr:col>0</xdr:col>
      <xdr:colOff>457200</xdr:colOff>
      <xdr:row>1</xdr:row>
      <xdr:rowOff>142875</xdr:rowOff>
    </xdr:to>
    <xdr:sp macro="[0]!Fermer_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38100" y="47625"/>
          <a:ext cx="419100" cy="390525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352425</xdr:colOff>
      <xdr:row>0</xdr:row>
      <xdr:rowOff>104775</xdr:rowOff>
    </xdr:from>
    <xdr:to>
      <xdr:col>31</xdr:col>
      <xdr:colOff>28575</xdr:colOff>
      <xdr:row>2</xdr:row>
      <xdr:rowOff>133350</xdr:rowOff>
    </xdr:to>
    <xdr:sp macro="[0]!Enregistrer_B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20173950" y="104775"/>
          <a:ext cx="1962150" cy="457200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>
    <xdr:from>
      <xdr:col>0</xdr:col>
      <xdr:colOff>47625</xdr:colOff>
      <xdr:row>0</xdr:row>
      <xdr:rowOff>47625</xdr:rowOff>
    </xdr:from>
    <xdr:to>
      <xdr:col>0</xdr:col>
      <xdr:colOff>466725</xdr:colOff>
      <xdr:row>2</xdr:row>
      <xdr:rowOff>9525</xdr:rowOff>
    </xdr:to>
    <xdr:sp macro="[0]!Fermer_Bulleti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47625" y="47625"/>
          <a:ext cx="419100" cy="390525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  <xdr:twoCellAnchor>
    <xdr:from>
      <xdr:col>15</xdr:col>
      <xdr:colOff>247650</xdr:colOff>
      <xdr:row>1</xdr:row>
      <xdr:rowOff>28575</xdr:rowOff>
    </xdr:from>
    <xdr:to>
      <xdr:col>17</xdr:col>
      <xdr:colOff>542925</xdr:colOff>
      <xdr:row>2</xdr:row>
      <xdr:rowOff>171450</xdr:rowOff>
    </xdr:to>
    <xdr:sp macro="[0]!Editer_Bulleti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0163175" y="219075"/>
          <a:ext cx="181927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0</xdr:rowOff>
    </xdr:from>
    <xdr:to>
      <xdr:col>2</xdr:col>
      <xdr:colOff>0</xdr:colOff>
      <xdr:row>7</xdr:row>
      <xdr:rowOff>9525</xdr:rowOff>
    </xdr:to>
    <xdr:sp macro="[0]!Afficher_H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762000" y="1028700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H.</a:t>
          </a:r>
          <a:r>
            <a:rPr lang="fr-FR" sz="1100" baseline="0">
              <a:solidFill>
                <a:schemeClr val="bg1"/>
              </a:solidFill>
            </a:rPr>
            <a:t> supplémentaires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0</xdr:colOff>
      <xdr:row>7</xdr:row>
      <xdr:rowOff>180975</xdr:rowOff>
    </xdr:from>
    <xdr:to>
      <xdr:col>2</xdr:col>
      <xdr:colOff>0</xdr:colOff>
      <xdr:row>10</xdr:row>
      <xdr:rowOff>0</xdr:rowOff>
    </xdr:to>
    <xdr:sp macro="[0]!Afficher_Absenc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762000" y="1590675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Heures</a:t>
          </a:r>
          <a:r>
            <a:rPr lang="fr-FR" sz="1100" baseline="0">
              <a:solidFill>
                <a:schemeClr val="bg1"/>
              </a:solidFill>
            </a:rPr>
            <a:t> absences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752475</xdr:colOff>
      <xdr:row>13</xdr:row>
      <xdr:rowOff>180975</xdr:rowOff>
    </xdr:from>
    <xdr:to>
      <xdr:col>1</xdr:col>
      <xdr:colOff>1543050</xdr:colOff>
      <xdr:row>16</xdr:row>
      <xdr:rowOff>0</xdr:rowOff>
    </xdr:to>
    <xdr:sp macro="[0]!Afficher_Saisie_sur_salair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752475" y="2733675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Saisie sur salaire</a:t>
          </a:r>
        </a:p>
      </xdr:txBody>
    </xdr:sp>
    <xdr:clientData/>
  </xdr:twoCellAnchor>
  <xdr:twoCellAnchor>
    <xdr:from>
      <xdr:col>0</xdr:col>
      <xdr:colOff>752475</xdr:colOff>
      <xdr:row>10</xdr:row>
      <xdr:rowOff>180975</xdr:rowOff>
    </xdr:from>
    <xdr:to>
      <xdr:col>1</xdr:col>
      <xdr:colOff>1543050</xdr:colOff>
      <xdr:row>13</xdr:row>
      <xdr:rowOff>0</xdr:rowOff>
    </xdr:to>
    <xdr:sp macro="[0]!Afficher_ICCP_ICP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752475" y="2238375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Congés</a:t>
          </a:r>
          <a:r>
            <a:rPr lang="fr-FR" sz="1100" baseline="0">
              <a:solidFill>
                <a:schemeClr val="bg1"/>
              </a:solidFill>
            </a:rPr>
            <a:t> payés/Départ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0</xdr:colOff>
      <xdr:row>22</xdr:row>
      <xdr:rowOff>0</xdr:rowOff>
    </xdr:from>
    <xdr:to>
      <xdr:col>2</xdr:col>
      <xdr:colOff>323850</xdr:colOff>
      <xdr:row>25</xdr:row>
      <xdr:rowOff>19050</xdr:rowOff>
    </xdr:to>
    <xdr:sp macro="[0]!Afficher_bulletin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762000" y="3638550"/>
          <a:ext cx="1876425" cy="590550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Bulletin de paie</a:t>
          </a:r>
        </a:p>
      </xdr:txBody>
    </xdr:sp>
    <xdr:clientData/>
  </xdr:twoCellAnchor>
  <xdr:twoCellAnchor>
    <xdr:from>
      <xdr:col>1</xdr:col>
      <xdr:colOff>0</xdr:colOff>
      <xdr:row>28</xdr:row>
      <xdr:rowOff>0</xdr:rowOff>
    </xdr:from>
    <xdr:to>
      <xdr:col>2</xdr:col>
      <xdr:colOff>0</xdr:colOff>
      <xdr:row>30</xdr:row>
      <xdr:rowOff>9525</xdr:rowOff>
    </xdr:to>
    <xdr:sp macro="[0]!Afficher_Formulaire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762000" y="4610100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Formulaire</a:t>
          </a:r>
        </a:p>
      </xdr:txBody>
    </xdr:sp>
    <xdr:clientData/>
  </xdr:twoCellAnchor>
  <xdr:twoCellAnchor>
    <xdr:from>
      <xdr:col>0</xdr:col>
      <xdr:colOff>752475</xdr:colOff>
      <xdr:row>31</xdr:row>
      <xdr:rowOff>19050</xdr:rowOff>
    </xdr:from>
    <xdr:to>
      <xdr:col>1</xdr:col>
      <xdr:colOff>1543050</xdr:colOff>
      <xdr:row>33</xdr:row>
      <xdr:rowOff>28575</xdr:rowOff>
    </xdr:to>
    <xdr:sp macro="[0]!Afficher_calendrier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752475" y="5200650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Calendrier</a:t>
          </a:r>
        </a:p>
      </xdr:txBody>
    </xdr:sp>
    <xdr:clientData/>
  </xdr:twoCellAnchor>
  <xdr:twoCellAnchor>
    <xdr:from>
      <xdr:col>0</xdr:col>
      <xdr:colOff>742950</xdr:colOff>
      <xdr:row>40</xdr:row>
      <xdr:rowOff>28575</xdr:rowOff>
    </xdr:from>
    <xdr:to>
      <xdr:col>1</xdr:col>
      <xdr:colOff>1533525</xdr:colOff>
      <xdr:row>42</xdr:row>
      <xdr:rowOff>38100</xdr:rowOff>
    </xdr:to>
    <xdr:sp macro="[0]!Afficher_base_employés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742950" y="6924675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Base employés</a:t>
          </a:r>
        </a:p>
      </xdr:txBody>
    </xdr:sp>
    <xdr:clientData/>
  </xdr:twoCellAnchor>
  <xdr:twoCellAnchor>
    <xdr:from>
      <xdr:col>0</xdr:col>
      <xdr:colOff>752475</xdr:colOff>
      <xdr:row>37</xdr:row>
      <xdr:rowOff>28575</xdr:rowOff>
    </xdr:from>
    <xdr:to>
      <xdr:col>1</xdr:col>
      <xdr:colOff>1543050</xdr:colOff>
      <xdr:row>39</xdr:row>
      <xdr:rowOff>38100</xdr:rowOff>
    </xdr:to>
    <xdr:sp macro="[0]!Afficher_Base_cotisation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752475" y="6353175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Base de cotisations</a:t>
          </a:r>
        </a:p>
      </xdr:txBody>
    </xdr:sp>
    <xdr:clientData/>
  </xdr:twoCellAnchor>
  <xdr:twoCellAnchor>
    <xdr:from>
      <xdr:col>0</xdr:col>
      <xdr:colOff>752475</xdr:colOff>
      <xdr:row>34</xdr:row>
      <xdr:rowOff>28575</xdr:rowOff>
    </xdr:from>
    <xdr:to>
      <xdr:col>1</xdr:col>
      <xdr:colOff>1543050</xdr:colOff>
      <xdr:row>36</xdr:row>
      <xdr:rowOff>38100</xdr:rowOff>
    </xdr:to>
    <xdr:sp macro="[0]!Afficher_Infos_paie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752475" y="5781675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Informations</a:t>
          </a:r>
          <a:r>
            <a:rPr lang="fr-FR" sz="1100" baseline="0">
              <a:solidFill>
                <a:schemeClr val="bg1"/>
              </a:solidFill>
            </a:rPr>
            <a:t> diverses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752475</xdr:colOff>
      <xdr:row>16</xdr:row>
      <xdr:rowOff>180975</xdr:rowOff>
    </xdr:from>
    <xdr:to>
      <xdr:col>1</xdr:col>
      <xdr:colOff>1543050</xdr:colOff>
      <xdr:row>19</xdr:row>
      <xdr:rowOff>0</xdr:rowOff>
    </xdr:to>
    <xdr:sp macro="[0]!Afficher_PAS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752475" y="2806562"/>
          <a:ext cx="1552575" cy="3905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bg1"/>
              </a:solidFill>
            </a:rPr>
            <a:t>Impôt sur le revenu PAS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10058</xdr:colOff>
      <xdr:row>28</xdr:row>
      <xdr:rowOff>169227</xdr:rowOff>
    </xdr:from>
    <xdr:to>
      <xdr:col>2</xdr:col>
      <xdr:colOff>39198</xdr:colOff>
      <xdr:row>29</xdr:row>
      <xdr:rowOff>150959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 rot="4218244">
          <a:off x="248075" y="5331885"/>
          <a:ext cx="172232" cy="648265"/>
        </a:xfrm>
        <a:prstGeom prst="downArrow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10059</xdr:colOff>
      <xdr:row>46</xdr:row>
      <xdr:rowOff>171450</xdr:rowOff>
    </xdr:from>
    <xdr:to>
      <xdr:col>2</xdr:col>
      <xdr:colOff>39199</xdr:colOff>
      <xdr:row>47</xdr:row>
      <xdr:rowOff>153182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 rot="4218244">
          <a:off x="248076" y="9296508"/>
          <a:ext cx="172232" cy="648265"/>
        </a:xfrm>
        <a:prstGeom prst="downArrow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</xdr:colOff>
      <xdr:row>0</xdr:row>
      <xdr:rowOff>57150</xdr:rowOff>
    </xdr:from>
    <xdr:to>
      <xdr:col>1</xdr:col>
      <xdr:colOff>390525</xdr:colOff>
      <xdr:row>2</xdr:row>
      <xdr:rowOff>66675</xdr:rowOff>
    </xdr:to>
    <xdr:sp macro="[0]!Fermer_ICCP_ICP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57150" y="57150"/>
          <a:ext cx="419100" cy="390525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65689</xdr:colOff>
      <xdr:row>0</xdr:row>
      <xdr:rowOff>72259</xdr:rowOff>
    </xdr:from>
    <xdr:to>
      <xdr:col>0</xdr:col>
      <xdr:colOff>484789</xdr:colOff>
      <xdr:row>2</xdr:row>
      <xdr:rowOff>78983</xdr:rowOff>
    </xdr:to>
    <xdr:sp macro="[0]!Masquer_PA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65689" y="72259"/>
          <a:ext cx="419100" cy="387724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38100</xdr:rowOff>
    </xdr:from>
    <xdr:to>
      <xdr:col>1</xdr:col>
      <xdr:colOff>276225</xdr:colOff>
      <xdr:row>2</xdr:row>
      <xdr:rowOff>47625</xdr:rowOff>
    </xdr:to>
    <xdr:sp macro="[0]!Fermer_H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38100" y="38100"/>
          <a:ext cx="419100" cy="390525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14</xdr:row>
          <xdr:rowOff>95250</xdr:rowOff>
        </xdr:from>
        <xdr:to>
          <xdr:col>10</xdr:col>
          <xdr:colOff>696982</xdr:colOff>
          <xdr:row>39</xdr:row>
          <xdr:rowOff>19050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00000000-0008-0000-0D00-000002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Calendrier!$G$5:$AD$36" spid="_x0000_s1776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14300" y="2800350"/>
              <a:ext cx="10041007" cy="48006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0</xdr:col>
      <xdr:colOff>38100</xdr:colOff>
      <xdr:row>0</xdr:row>
      <xdr:rowOff>47626</xdr:rowOff>
    </xdr:from>
    <xdr:to>
      <xdr:col>1</xdr:col>
      <xdr:colOff>171450</xdr:colOff>
      <xdr:row>1</xdr:row>
      <xdr:rowOff>161926</xdr:rowOff>
    </xdr:to>
    <xdr:sp macro="[0]!Fermer_Absenc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38100" y="47626"/>
          <a:ext cx="333375" cy="3048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57150</xdr:rowOff>
    </xdr:from>
    <xdr:to>
      <xdr:col>1</xdr:col>
      <xdr:colOff>361950</xdr:colOff>
      <xdr:row>1</xdr:row>
      <xdr:rowOff>152400</xdr:rowOff>
    </xdr:to>
    <xdr:sp macro="[0]!Fermer_Saisie_sur_sa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66675" y="57150"/>
          <a:ext cx="295275" cy="295275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Reference\CI%2018%20MART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TISATIONS MARTIN 18"/>
      <sheetName val="CI FOTAITRE"/>
      <sheetName val="CI HOUX"/>
      <sheetName val="CI MONLATIN"/>
      <sheetName val="CI DITÉE"/>
      <sheetName val="CI Récap MARTIN"/>
      <sheetName val="Décpte Charges CI"/>
      <sheetName val="URSSAF JUIN"/>
      <sheetName val="COMPLÉMENTAIRE"/>
      <sheetName val="Récap MARTIN VIDE"/>
      <sheetName val="Décpte Charges vide"/>
      <sheetName val="URSSAF JUIN VIDE"/>
      <sheetName val="COMPLÉMENTAIRE VIDE"/>
      <sheetName val="CI AGIRC"/>
      <sheetName val="CI ARRCO"/>
      <sheetName val="Récap Micho"/>
      <sheetName val="URSSAF "/>
      <sheetName val="ARRCO"/>
      <sheetName val="AGIRC"/>
      <sheetName val="Feuil1"/>
      <sheetName val="Feuil2"/>
    </sheetNames>
    <sheetDataSet>
      <sheetData sheetId="0">
        <row r="8">
          <cell r="E8">
            <v>3.0000000000000001E-3</v>
          </cell>
        </row>
        <row r="23">
          <cell r="E23">
            <v>0</v>
          </cell>
        </row>
      </sheetData>
      <sheetData sheetId="1">
        <row r="26">
          <cell r="H26">
            <v>0</v>
          </cell>
        </row>
      </sheetData>
      <sheetData sheetId="2"/>
      <sheetData sheetId="3"/>
      <sheetData sheetId="4"/>
      <sheetData sheetId="5">
        <row r="15">
          <cell r="L15">
            <v>2570.3620817158958</v>
          </cell>
        </row>
      </sheetData>
      <sheetData sheetId="6"/>
      <sheetData sheetId="7">
        <row r="29">
          <cell r="N29">
            <v>2570.361328125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B042F56-0AB7-4479-BDEB-0DA463E46975}" name="Tableau4" displayName="Tableau4" ref="B1:G38" totalsRowShown="0">
  <autoFilter ref="B1:G38" xr:uid="{6B042F56-0AB7-4479-BDEB-0DA463E46975}"/>
  <tableColumns count="6">
    <tableColumn id="1" xr3:uid="{4B9CF68B-C9A1-4573-8F6A-BF9CD4F831D2}" name="Libellé"/>
    <tableColumn id="2" xr3:uid="{AA59A3C7-8F50-4686-9A65-9D445C16C3D5}" name="Employeur" dataDxfId="45"/>
    <tableColumn id="3" xr3:uid="{61A0A94D-F069-4966-A50A-CF5F528A6291}" name="Employeur2" dataDxfId="44"/>
    <tableColumn id="4" xr3:uid="{3ECD21ED-97EA-44B3-90B4-429D1F7B0264}" name="Salarié" dataDxfId="43"/>
    <tableColumn id="5" xr3:uid="{491DE5EA-A053-46DB-BAFB-C574067CA087}" name="Total"/>
    <tableColumn id="6" xr3:uid="{EBE99F2B-4C80-44A4-B202-C1910A85B1BF}" name="Base de calcu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L53:Q61" totalsRowCount="1">
  <autoFilter ref="L53:Q60" xr:uid="{00000000-0009-0000-0100-000001000000}"/>
  <tableColumns count="6">
    <tableColumn id="1" xr3:uid="{00000000-0010-0000-0000-000001000000}" name="Colonne1" totalsRowLabel="Total"/>
    <tableColumn id="2" xr3:uid="{00000000-0010-0000-0000-000002000000}" name="Colonne2"/>
    <tableColumn id="3" xr3:uid="{00000000-0010-0000-0000-000003000000}" name="Colonne3"/>
    <tableColumn id="4" xr3:uid="{00000000-0010-0000-0000-000004000000}" name="Colonne4"/>
    <tableColumn id="5" xr3:uid="{00000000-0010-0000-0000-000005000000}" name="Colonne5" totalsRowFunction="custom" totalsRowDxfId="39">
      <totalsRowFormula>SUM(P55:P60)</totalsRowFormula>
    </tableColumn>
    <tableColumn id="6" xr3:uid="{00000000-0010-0000-0000-000006000000}" name="Colonne6" totalsRowFunction="custom" totalsRowDxfId="38">
      <totalsRowFormula>SUM(Q55:Q60)</totalsRow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4" displayName="Tableau14" ref="C59:H67" totalsRowCount="1">
  <autoFilter ref="C59:H66" xr:uid="{00000000-0009-0000-0100-000003000000}"/>
  <tableColumns count="6">
    <tableColumn id="1" xr3:uid="{00000000-0010-0000-0100-000001000000}" name="Colonne1" totalsRowLabel="Total"/>
    <tableColumn id="2" xr3:uid="{00000000-0010-0000-0100-000002000000}" name="Colonne2"/>
    <tableColumn id="3" xr3:uid="{00000000-0010-0000-0100-000003000000}" name="Colonne3"/>
    <tableColumn id="4" xr3:uid="{00000000-0010-0000-0100-000004000000}" name="Colonne4"/>
    <tableColumn id="5" xr3:uid="{00000000-0010-0000-0100-000005000000}" name="Colonne5" totalsRowFunction="custom" totalsRowDxfId="42">
      <totalsRowFormula>SUM(G61:G66)</totalsRowFormula>
    </tableColumn>
    <tableColumn id="6" xr3:uid="{00000000-0010-0000-0100-000006000000}" name="Colonne6" totalsRowFunction="custom" totalsRowDxfId="41">
      <totalsRowFormula>SUM(H61:H66)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5B995-E7C2-4F93-90A9-DF19264EA9B1}">
  <sheetPr codeName="Feuil1"/>
  <dimension ref="B1:G38"/>
  <sheetViews>
    <sheetView topLeftCell="B1" workbookViewId="0">
      <selection activeCell="C39" sqref="C39"/>
    </sheetView>
  </sheetViews>
  <sheetFormatPr baseColWidth="10" defaultRowHeight="15"/>
  <cols>
    <col min="2" max="2" width="74.42578125" customWidth="1"/>
    <col min="3" max="3" width="16.28515625" customWidth="1"/>
    <col min="4" max="4" width="19" customWidth="1"/>
    <col min="7" max="7" width="56.85546875" customWidth="1"/>
  </cols>
  <sheetData>
    <row r="1" spans="2:7">
      <c r="B1" t="s">
        <v>41</v>
      </c>
      <c r="C1" s="222" t="s">
        <v>100</v>
      </c>
      <c r="D1" s="222" t="s">
        <v>143</v>
      </c>
      <c r="E1" t="s">
        <v>99</v>
      </c>
      <c r="F1" t="s">
        <v>44</v>
      </c>
      <c r="G1" t="s">
        <v>106</v>
      </c>
    </row>
    <row r="2" spans="2:7">
      <c r="C2" s="222" t="s">
        <v>21</v>
      </c>
      <c r="D2" s="222" t="s">
        <v>21</v>
      </c>
      <c r="E2" s="222" t="s">
        <v>21</v>
      </c>
      <c r="F2" s="222" t="s">
        <v>21</v>
      </c>
    </row>
    <row r="3" spans="2:7">
      <c r="B3" t="s">
        <v>119</v>
      </c>
      <c r="C3" s="223"/>
      <c r="D3" s="223"/>
      <c r="E3" s="223"/>
    </row>
    <row r="4" spans="2:7">
      <c r="B4" t="s">
        <v>107</v>
      </c>
      <c r="C4" s="223"/>
      <c r="D4" s="223"/>
      <c r="E4" s="223">
        <v>2.4E-2</v>
      </c>
    </row>
    <row r="5" spans="2:7">
      <c r="B5" t="s">
        <v>108</v>
      </c>
      <c r="C5" s="223"/>
      <c r="D5" s="223"/>
      <c r="E5" s="223">
        <v>6.8000000000000005E-2</v>
      </c>
    </row>
    <row r="6" spans="2:7">
      <c r="B6" t="s">
        <v>109</v>
      </c>
      <c r="C6" s="223"/>
      <c r="D6" s="223"/>
      <c r="E6" s="223">
        <v>5.0000000000000001E-3</v>
      </c>
    </row>
    <row r="7" spans="2:7">
      <c r="B7" t="s">
        <v>120</v>
      </c>
      <c r="C7" s="223"/>
      <c r="D7" s="223"/>
      <c r="E7" s="223"/>
    </row>
    <row r="8" spans="2:7">
      <c r="B8" t="s">
        <v>121</v>
      </c>
      <c r="C8" s="223">
        <v>7.0000000000000007E-2</v>
      </c>
      <c r="D8" s="223">
        <v>0.13300000000000001</v>
      </c>
      <c r="E8" s="223"/>
    </row>
    <row r="9" spans="2:7">
      <c r="B9" t="s">
        <v>64</v>
      </c>
      <c r="C9" s="223">
        <v>5.2499999999999998E-2</v>
      </c>
      <c r="D9" s="223">
        <v>3.4500000000000003E-2</v>
      </c>
      <c r="E9" s="223"/>
    </row>
    <row r="10" spans="2:7">
      <c r="B10" t="s">
        <v>122</v>
      </c>
      <c r="C10" s="223">
        <v>8.5500000000000007E-2</v>
      </c>
      <c r="D10" s="223"/>
      <c r="E10" s="223">
        <v>6.9000000000000006E-2</v>
      </c>
    </row>
    <row r="11" spans="2:7">
      <c r="B11" t="s">
        <v>123</v>
      </c>
      <c r="C11" s="223">
        <v>1.9E-2</v>
      </c>
      <c r="D11" s="223"/>
      <c r="E11" s="223">
        <v>4.0000000000000001E-3</v>
      </c>
    </row>
    <row r="12" spans="2:7">
      <c r="B12" t="s">
        <v>110</v>
      </c>
      <c r="C12" s="223" t="s">
        <v>111</v>
      </c>
      <c r="D12" s="223"/>
      <c r="E12" s="223"/>
    </row>
    <row r="13" spans="2:7">
      <c r="B13" t="s">
        <v>124</v>
      </c>
      <c r="C13" s="223"/>
      <c r="D13" s="223"/>
      <c r="E13" s="223"/>
    </row>
    <row r="14" spans="2:7">
      <c r="B14" t="s">
        <v>125</v>
      </c>
      <c r="C14" s="223">
        <v>1E-3</v>
      </c>
      <c r="D14" s="223"/>
      <c r="E14" s="223"/>
    </row>
    <row r="15" spans="2:7">
      <c r="B15" t="s">
        <v>126</v>
      </c>
      <c r="C15" s="223">
        <v>5.0000000000000001E-3</v>
      </c>
      <c r="D15" s="223"/>
      <c r="E15" s="223"/>
    </row>
    <row r="16" spans="2:7">
      <c r="B16" t="s">
        <v>127</v>
      </c>
      <c r="C16" s="223"/>
      <c r="D16" s="223"/>
      <c r="E16" s="223"/>
    </row>
    <row r="17" spans="2:5">
      <c r="B17" t="s">
        <v>128</v>
      </c>
      <c r="C17" s="223">
        <v>4.0500000000000001E-2</v>
      </c>
      <c r="D17" s="223"/>
      <c r="E17" s="223"/>
    </row>
    <row r="18" spans="2:5">
      <c r="B18" t="s">
        <v>112</v>
      </c>
      <c r="C18" s="223">
        <v>1.5E-3</v>
      </c>
      <c r="D18" s="223"/>
      <c r="E18" s="223"/>
    </row>
    <row r="19" spans="2:5">
      <c r="B19" t="s">
        <v>113</v>
      </c>
      <c r="C19" s="223">
        <v>3.6000000000000002E-4</v>
      </c>
      <c r="D19" s="223"/>
      <c r="E19" s="223">
        <v>2.4000000000000001E-4</v>
      </c>
    </row>
    <row r="20" spans="2:5">
      <c r="B20" t="s">
        <v>129</v>
      </c>
      <c r="C20" s="223"/>
      <c r="D20" s="223"/>
      <c r="E20" s="223"/>
    </row>
    <row r="21" spans="2:5">
      <c r="B21" t="s">
        <v>114</v>
      </c>
      <c r="C21" s="223">
        <v>4.7199999999999999E-2</v>
      </c>
      <c r="D21" s="223"/>
      <c r="E21" s="223">
        <v>3.15E-2</v>
      </c>
    </row>
    <row r="22" spans="2:5">
      <c r="B22" t="s">
        <v>115</v>
      </c>
      <c r="C22" s="223">
        <v>0.1295</v>
      </c>
      <c r="D22" s="223"/>
      <c r="E22" s="223">
        <v>8.6400000000000005E-2</v>
      </c>
    </row>
    <row r="23" spans="2:5">
      <c r="B23" t="s">
        <v>130</v>
      </c>
      <c r="C23" s="223">
        <v>1.29E-2</v>
      </c>
      <c r="D23" s="223"/>
      <c r="E23" s="223">
        <v>8.6E-3</v>
      </c>
    </row>
    <row r="24" spans="2:5">
      <c r="B24" t="s">
        <v>131</v>
      </c>
      <c r="C24" s="223">
        <v>1.6199999999999999E-2</v>
      </c>
      <c r="D24" s="223"/>
      <c r="E24" s="223">
        <v>1.0800000000000001E-2</v>
      </c>
    </row>
    <row r="25" spans="2:5">
      <c r="B25" t="s">
        <v>132</v>
      </c>
      <c r="C25" s="223">
        <v>2.0999999999999999E-3</v>
      </c>
      <c r="D25" s="223"/>
      <c r="E25" s="223">
        <v>1.4E-3</v>
      </c>
    </row>
    <row r="26" spans="2:5">
      <c r="B26" t="s">
        <v>133</v>
      </c>
      <c r="C26" s="223"/>
      <c r="D26" s="223"/>
      <c r="E26" s="223"/>
    </row>
    <row r="27" spans="2:5">
      <c r="B27" t="s">
        <v>116</v>
      </c>
      <c r="C27" s="223">
        <v>1.4999999999999999E-2</v>
      </c>
      <c r="D27" s="223"/>
      <c r="E27" s="223"/>
    </row>
    <row r="28" spans="2:5">
      <c r="B28" t="s">
        <v>134</v>
      </c>
      <c r="C28" s="223"/>
      <c r="D28" s="223"/>
      <c r="E28" s="223"/>
    </row>
    <row r="29" spans="2:5">
      <c r="B29" t="s">
        <v>135</v>
      </c>
      <c r="C29" s="223">
        <v>0.08</v>
      </c>
      <c r="D29" s="223"/>
      <c r="E29" s="223"/>
    </row>
    <row r="30" spans="2:5">
      <c r="B30" t="s">
        <v>136</v>
      </c>
      <c r="C30" s="223" t="s">
        <v>111</v>
      </c>
      <c r="D30" s="223" t="s">
        <v>111</v>
      </c>
      <c r="E30" s="223"/>
    </row>
    <row r="31" spans="2:5">
      <c r="B31" t="s">
        <v>117</v>
      </c>
      <c r="C31" s="223">
        <v>1.6000000000000001E-4</v>
      </c>
      <c r="D31" s="223"/>
      <c r="E31" s="223"/>
    </row>
    <row r="32" spans="2:5">
      <c r="B32" t="s">
        <v>137</v>
      </c>
      <c r="C32" s="223"/>
      <c r="D32" s="223"/>
      <c r="E32" s="223"/>
    </row>
    <row r="33" spans="2:5">
      <c r="B33" t="s">
        <v>138</v>
      </c>
      <c r="C33" s="223">
        <v>6.7999999999999996E-3</v>
      </c>
      <c r="D33" s="223"/>
      <c r="E33" s="223"/>
    </row>
    <row r="34" spans="2:5">
      <c r="B34" t="s">
        <v>139</v>
      </c>
      <c r="C34" s="223">
        <v>5.4999999999999997E-3</v>
      </c>
      <c r="D34" s="223"/>
      <c r="E34" s="223"/>
    </row>
    <row r="35" spans="2:5">
      <c r="B35" t="s">
        <v>140</v>
      </c>
      <c r="C35" s="223">
        <v>0.01</v>
      </c>
      <c r="D35" s="223"/>
      <c r="E35" s="223"/>
    </row>
    <row r="36" spans="2:5">
      <c r="B36" t="s">
        <v>141</v>
      </c>
      <c r="C36" s="223">
        <v>0.01</v>
      </c>
      <c r="D36" s="223"/>
      <c r="E36" s="223"/>
    </row>
    <row r="37" spans="2:5">
      <c r="B37" t="s">
        <v>142</v>
      </c>
      <c r="C37" s="223">
        <v>4.4999999999999997E-3</v>
      </c>
      <c r="D37" s="223"/>
      <c r="E37" s="223"/>
    </row>
    <row r="38" spans="2:5">
      <c r="B38" t="s">
        <v>118</v>
      </c>
      <c r="C38" s="223"/>
      <c r="D38" s="223"/>
      <c r="E38" s="223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36071F-18F5-4B92-89C3-9A36ABDA803D}">
  <sheetPr codeName="Feuil2"/>
  <dimension ref="A2:G36"/>
  <sheetViews>
    <sheetView showGridLines="0" workbookViewId="0">
      <selection activeCell="G4" sqref="G4:G6"/>
    </sheetView>
  </sheetViews>
  <sheetFormatPr baseColWidth="10" defaultRowHeight="15"/>
  <cols>
    <col min="6" max="6" width="30.42578125" customWidth="1"/>
    <col min="7" max="7" width="46.28515625" customWidth="1"/>
  </cols>
  <sheetData>
    <row r="2" spans="1:7">
      <c r="A2" s="232" t="s">
        <v>159</v>
      </c>
      <c r="C2" s="232" t="s">
        <v>27</v>
      </c>
      <c r="D2" s="232">
        <v>3428</v>
      </c>
      <c r="F2" s="232" t="s">
        <v>251</v>
      </c>
      <c r="G2" s="282" t="s">
        <v>385</v>
      </c>
    </row>
    <row r="3" spans="1:7">
      <c r="A3" s="232" t="s">
        <v>225</v>
      </c>
      <c r="F3" s="283" t="s">
        <v>178</v>
      </c>
      <c r="G3" s="284"/>
    </row>
    <row r="4" spans="1:7">
      <c r="A4" s="232" t="s">
        <v>226</v>
      </c>
      <c r="C4" s="232" t="s">
        <v>307</v>
      </c>
      <c r="F4" s="283" t="s">
        <v>179</v>
      </c>
      <c r="G4" s="284"/>
    </row>
    <row r="5" spans="1:7">
      <c r="A5" s="232" t="s">
        <v>227</v>
      </c>
      <c r="C5" s="232" t="s">
        <v>308</v>
      </c>
      <c r="F5" s="283" t="s">
        <v>180</v>
      </c>
      <c r="G5" s="284"/>
    </row>
    <row r="6" spans="1:7">
      <c r="A6" s="232" t="s">
        <v>228</v>
      </c>
      <c r="F6" s="283" t="s">
        <v>181</v>
      </c>
      <c r="G6" s="329"/>
    </row>
    <row r="7" spans="1:7">
      <c r="A7" s="232" t="s">
        <v>229</v>
      </c>
      <c r="C7" t="s">
        <v>162</v>
      </c>
      <c r="F7" s="283" t="s">
        <v>182</v>
      </c>
      <c r="G7" s="284" t="s">
        <v>390</v>
      </c>
    </row>
    <row r="8" spans="1:7">
      <c r="A8" s="232" t="s">
        <v>230</v>
      </c>
      <c r="C8" t="s">
        <v>343</v>
      </c>
      <c r="G8" s="281"/>
    </row>
    <row r="9" spans="1:7">
      <c r="A9" s="232" t="s">
        <v>231</v>
      </c>
      <c r="C9" t="s">
        <v>344</v>
      </c>
      <c r="F9" s="285" t="s">
        <v>252</v>
      </c>
      <c r="G9" s="282"/>
    </row>
    <row r="10" spans="1:7">
      <c r="A10" s="232" t="s">
        <v>232</v>
      </c>
      <c r="C10" t="s">
        <v>345</v>
      </c>
      <c r="F10" s="232" t="s">
        <v>145</v>
      </c>
      <c r="G10" s="282"/>
    </row>
    <row r="11" spans="1:7">
      <c r="A11" s="232" t="s">
        <v>233</v>
      </c>
      <c r="C11" t="s">
        <v>346</v>
      </c>
      <c r="F11" s="232" t="s">
        <v>28</v>
      </c>
      <c r="G11" s="282">
        <v>4</v>
      </c>
    </row>
    <row r="12" spans="1:7">
      <c r="A12" s="232" t="s">
        <v>234</v>
      </c>
      <c r="F12" s="232" t="s">
        <v>29</v>
      </c>
      <c r="G12" s="282" t="s">
        <v>392</v>
      </c>
    </row>
    <row r="13" spans="1:7">
      <c r="A13" s="232" t="s">
        <v>235</v>
      </c>
      <c r="C13" t="s">
        <v>356</v>
      </c>
      <c r="F13" s="232" t="s">
        <v>15</v>
      </c>
      <c r="G13" s="282"/>
    </row>
    <row r="14" spans="1:7">
      <c r="C14" t="s">
        <v>357</v>
      </c>
      <c r="F14" s="232" t="s">
        <v>16</v>
      </c>
      <c r="G14" s="282" t="s">
        <v>391</v>
      </c>
    </row>
    <row r="15" spans="1:7">
      <c r="A15" t="s">
        <v>337</v>
      </c>
    </row>
    <row r="16" spans="1:7">
      <c r="A16" t="s">
        <v>267</v>
      </c>
      <c r="C16" t="s">
        <v>23</v>
      </c>
      <c r="E16" t="s">
        <v>364</v>
      </c>
    </row>
    <row r="17" spans="1:5">
      <c r="A17" t="s">
        <v>272</v>
      </c>
      <c r="C17" t="s">
        <v>24</v>
      </c>
      <c r="E17" t="s">
        <v>365</v>
      </c>
    </row>
    <row r="18" spans="1:5">
      <c r="A18" t="s">
        <v>273</v>
      </c>
    </row>
    <row r="19" spans="1:5">
      <c r="A19" t="s">
        <v>274</v>
      </c>
      <c r="E19" t="s">
        <v>367</v>
      </c>
    </row>
    <row r="20" spans="1:5">
      <c r="A20" t="s">
        <v>275</v>
      </c>
      <c r="E20" t="s">
        <v>368</v>
      </c>
    </row>
    <row r="21" spans="1:5">
      <c r="A21" t="s">
        <v>276</v>
      </c>
    </row>
    <row r="22" spans="1:5">
      <c r="A22" t="s">
        <v>277</v>
      </c>
    </row>
    <row r="23" spans="1:5">
      <c r="A23" t="s">
        <v>278</v>
      </c>
    </row>
    <row r="24" spans="1:5">
      <c r="A24" t="s">
        <v>279</v>
      </c>
    </row>
    <row r="25" spans="1:5">
      <c r="A25" t="s">
        <v>280</v>
      </c>
    </row>
    <row r="26" spans="1:5">
      <c r="A26" t="s">
        <v>281</v>
      </c>
    </row>
    <row r="27" spans="1:5">
      <c r="A27" t="s">
        <v>282</v>
      </c>
    </row>
    <row r="28" spans="1:5">
      <c r="A28" t="s">
        <v>283</v>
      </c>
    </row>
    <row r="29" spans="1:5">
      <c r="A29" t="s">
        <v>284</v>
      </c>
    </row>
    <row r="30" spans="1:5">
      <c r="A30" t="s">
        <v>285</v>
      </c>
    </row>
    <row r="31" spans="1:5">
      <c r="A31" t="s">
        <v>286</v>
      </c>
    </row>
    <row r="32" spans="1:5">
      <c r="A32" t="s">
        <v>287</v>
      </c>
    </row>
    <row r="33" spans="1:1">
      <c r="A33" t="s">
        <v>288</v>
      </c>
    </row>
    <row r="34" spans="1:1">
      <c r="A34" t="s">
        <v>289</v>
      </c>
    </row>
    <row r="35" spans="1:1">
      <c r="A35" t="s">
        <v>290</v>
      </c>
    </row>
    <row r="36" spans="1:1">
      <c r="A36" t="s">
        <v>291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430FA-F72F-47E5-8F45-EF171C354FAF}">
  <sheetPr codeName="Feuil14"/>
  <dimension ref="A1:AD36"/>
  <sheetViews>
    <sheetView topLeftCell="F1" zoomScale="90" zoomScaleNormal="90" workbookViewId="0">
      <selection activeCell="H19" sqref="H19"/>
    </sheetView>
  </sheetViews>
  <sheetFormatPr baseColWidth="10" defaultRowHeight="15" outlineLevelCol="1"/>
  <cols>
    <col min="1" max="1" width="21" customWidth="1" outlineLevel="1"/>
    <col min="2" max="5" width="11.42578125" customWidth="1" outlineLevel="1"/>
    <col min="6" max="6" width="3.85546875" customWidth="1"/>
    <col min="7" max="7" width="4.85546875" customWidth="1"/>
    <col min="9" max="9" width="4.5703125" customWidth="1"/>
    <col min="11" max="11" width="4.5703125" customWidth="1"/>
    <col min="13" max="13" width="4.5703125" customWidth="1"/>
    <col min="15" max="15" width="4.5703125" customWidth="1"/>
    <col min="17" max="17" width="4.5703125" customWidth="1"/>
    <col min="19" max="19" width="4.5703125" customWidth="1"/>
    <col min="21" max="21" width="4.5703125" customWidth="1"/>
    <col min="23" max="23" width="4.5703125" customWidth="1"/>
    <col min="25" max="25" width="4.5703125" customWidth="1"/>
    <col min="27" max="27" width="4.5703125" customWidth="1"/>
    <col min="29" max="29" width="4.5703125" customWidth="1"/>
  </cols>
  <sheetData>
    <row r="1" spans="1:30">
      <c r="E1">
        <v>2021</v>
      </c>
      <c r="G1">
        <v>2</v>
      </c>
    </row>
    <row r="2" spans="1:30" ht="15.75" thickBot="1">
      <c r="A2" s="302"/>
      <c r="B2" s="302"/>
      <c r="E2">
        <v>2022</v>
      </c>
    </row>
    <row r="3" spans="1:30">
      <c r="A3" s="305" t="s">
        <v>293</v>
      </c>
      <c r="B3" s="303">
        <f>DATE($G$1+$E$1-1,1,1)</f>
        <v>44562</v>
      </c>
      <c r="E3">
        <f>E2+1</f>
        <v>2023</v>
      </c>
    </row>
    <row r="4" spans="1:30" ht="15.75" thickBot="1">
      <c r="A4" s="306" t="s">
        <v>294</v>
      </c>
      <c r="B4" s="304">
        <f>ROUND(DATE($G$1+$E$1-1,4,MOD(234-11*MOD($G$1+$E$1-1,19),30))/7,)*7-6</f>
        <v>44668</v>
      </c>
      <c r="E4">
        <f t="shared" ref="E4:E27" si="0">E3+1</f>
        <v>2024</v>
      </c>
    </row>
    <row r="5" spans="1:30" ht="15.75" thickBot="1">
      <c r="A5" s="306" t="s">
        <v>295</v>
      </c>
      <c r="B5" s="304">
        <f>$B$4+1</f>
        <v>44669</v>
      </c>
      <c r="E5">
        <f t="shared" si="0"/>
        <v>2025</v>
      </c>
      <c r="G5" s="317"/>
      <c r="H5" s="318" t="s">
        <v>159</v>
      </c>
      <c r="I5" s="318"/>
      <c r="J5" s="318" t="s">
        <v>225</v>
      </c>
      <c r="K5" s="318"/>
      <c r="L5" s="318" t="s">
        <v>226</v>
      </c>
      <c r="M5" s="318"/>
      <c r="N5" s="318" t="s">
        <v>227</v>
      </c>
      <c r="O5" s="318"/>
      <c r="P5" s="318" t="s">
        <v>228</v>
      </c>
      <c r="Q5" s="318"/>
      <c r="R5" s="318" t="s">
        <v>229</v>
      </c>
      <c r="S5" s="318"/>
      <c r="T5" s="318" t="s">
        <v>230</v>
      </c>
      <c r="U5" s="318"/>
      <c r="V5" s="318" t="s">
        <v>231</v>
      </c>
      <c r="W5" s="318"/>
      <c r="X5" s="318" t="s">
        <v>232</v>
      </c>
      <c r="Y5" s="318"/>
      <c r="Z5" s="318" t="s">
        <v>233</v>
      </c>
      <c r="AA5" s="318"/>
      <c r="AB5" s="318" t="s">
        <v>234</v>
      </c>
      <c r="AC5" s="318"/>
      <c r="AD5" s="319" t="s">
        <v>235</v>
      </c>
    </row>
    <row r="6" spans="1:30">
      <c r="A6" s="306" t="s">
        <v>296</v>
      </c>
      <c r="B6" s="304">
        <f>DATE($G$1+$E$1-1,5,1)</f>
        <v>44682</v>
      </c>
      <c r="E6">
        <f t="shared" si="0"/>
        <v>2026</v>
      </c>
      <c r="G6" s="310">
        <f>WEEKDAY(H6,1)</f>
        <v>7</v>
      </c>
      <c r="H6" s="311">
        <f>DATE($G$1+$E$1-1,1,1)</f>
        <v>44562</v>
      </c>
      <c r="I6" s="312">
        <f>WEEKDAY(J6,1)</f>
        <v>3</v>
      </c>
      <c r="J6" s="311">
        <f>DATE($G$1+$E$1-1,1+1,1)</f>
        <v>44593</v>
      </c>
      <c r="K6" s="312">
        <f>WEEKDAY(L6,1)</f>
        <v>3</v>
      </c>
      <c r="L6" s="311">
        <f>DATE($G$1+$E$1-1,1+2,1)</f>
        <v>44621</v>
      </c>
      <c r="M6" s="312">
        <f>WEEKDAY(N6,1)</f>
        <v>6</v>
      </c>
      <c r="N6" s="311">
        <f>DATE($G$1+$E$1-1,1+3,1)</f>
        <v>44652</v>
      </c>
      <c r="O6" s="312">
        <f>WEEKDAY(P6,1)</f>
        <v>1</v>
      </c>
      <c r="P6" s="311">
        <f>DATE($G$1+$E$1-1,1+4,1)</f>
        <v>44682</v>
      </c>
      <c r="Q6" s="312">
        <f>WEEKDAY(R6,1)</f>
        <v>4</v>
      </c>
      <c r="R6" s="311">
        <f>DATE($G$1+$E$1-1,1+5,1)</f>
        <v>44713</v>
      </c>
      <c r="S6" s="312">
        <f>WEEKDAY(T6,1)</f>
        <v>6</v>
      </c>
      <c r="T6" s="311">
        <f>DATE($G$1+$E$1-1,1+6,1)</f>
        <v>44743</v>
      </c>
      <c r="U6" s="312">
        <f>WEEKDAY(V6,1)</f>
        <v>2</v>
      </c>
      <c r="V6" s="311">
        <f>DATE($G$1+$E$1-1,1+7,1)</f>
        <v>44774</v>
      </c>
      <c r="W6" s="312">
        <f>WEEKDAY(X6,1)</f>
        <v>5</v>
      </c>
      <c r="X6" s="311">
        <f>DATE($G$1+$E$1-1,1+8,1)</f>
        <v>44805</v>
      </c>
      <c r="Y6" s="312">
        <f>WEEKDAY(Z6,1)</f>
        <v>7</v>
      </c>
      <c r="Z6" s="311">
        <f>DATE($G$1+$E$1-1,1+9,1)</f>
        <v>44835</v>
      </c>
      <c r="AA6" s="312">
        <f>WEEKDAY(AB6,1)</f>
        <v>3</v>
      </c>
      <c r="AB6" s="311">
        <f>DATE($G$1+$E$1-1,1+10,1)</f>
        <v>44866</v>
      </c>
      <c r="AC6" s="312">
        <f t="shared" ref="AC6:AC35" si="1">WEEKDAY(AD6,1)</f>
        <v>5</v>
      </c>
      <c r="AD6" s="313">
        <f>DATE($G$1+$E$1-1,1+11,1)</f>
        <v>44896</v>
      </c>
    </row>
    <row r="7" spans="1:30">
      <c r="A7" s="307">
        <v>44324</v>
      </c>
      <c r="B7" s="304">
        <f>DATE($G$1+$E$1-1,5,8)</f>
        <v>44689</v>
      </c>
      <c r="E7">
        <f t="shared" si="0"/>
        <v>2027</v>
      </c>
      <c r="G7" s="310">
        <f t="shared" ref="G7:G36" si="2">WEEKDAY(H7,1)</f>
        <v>1</v>
      </c>
      <c r="H7" s="311">
        <f>H6+1</f>
        <v>44563</v>
      </c>
      <c r="I7" s="312">
        <f t="shared" ref="I7:I36" si="3">WEEKDAY(J7,1)</f>
        <v>4</v>
      </c>
      <c r="J7" s="311">
        <f t="shared" ref="J7:AD22" si="4">J6+1</f>
        <v>44594</v>
      </c>
      <c r="K7" s="312">
        <f t="shared" ref="K7:K36" si="5">WEEKDAY(L7,1)</f>
        <v>4</v>
      </c>
      <c r="L7" s="311">
        <f t="shared" si="4"/>
        <v>44622</v>
      </c>
      <c r="M7" s="312">
        <f t="shared" ref="M7:M36" si="6">WEEKDAY(N7,1)</f>
        <v>7</v>
      </c>
      <c r="N7" s="311">
        <f t="shared" si="4"/>
        <v>44653</v>
      </c>
      <c r="O7" s="312">
        <f t="shared" ref="O7:O36" si="7">WEEKDAY(P7,1)</f>
        <v>2</v>
      </c>
      <c r="P7" s="311">
        <f t="shared" si="4"/>
        <v>44683</v>
      </c>
      <c r="Q7" s="312">
        <f t="shared" ref="Q7:Q36" si="8">WEEKDAY(R7,1)</f>
        <v>5</v>
      </c>
      <c r="R7" s="311">
        <f t="shared" si="4"/>
        <v>44714</v>
      </c>
      <c r="S7" s="312">
        <f t="shared" ref="S7:S36" si="9">WEEKDAY(T7,1)</f>
        <v>7</v>
      </c>
      <c r="T7" s="311">
        <f t="shared" si="4"/>
        <v>44744</v>
      </c>
      <c r="U7" s="312">
        <f t="shared" ref="U7:U36" si="10">WEEKDAY(V7,1)</f>
        <v>3</v>
      </c>
      <c r="V7" s="311">
        <f t="shared" si="4"/>
        <v>44775</v>
      </c>
      <c r="W7" s="312">
        <f t="shared" ref="W7:W36" si="11">WEEKDAY(X7,1)</f>
        <v>6</v>
      </c>
      <c r="X7" s="311">
        <f t="shared" si="4"/>
        <v>44806</v>
      </c>
      <c r="Y7" s="312">
        <f t="shared" ref="Y7:Y36" si="12">WEEKDAY(Z7,1)</f>
        <v>1</v>
      </c>
      <c r="Z7" s="311">
        <f t="shared" si="4"/>
        <v>44836</v>
      </c>
      <c r="AA7" s="312">
        <f t="shared" ref="AA7:AA36" si="13">WEEKDAY(AB7,1)</f>
        <v>4</v>
      </c>
      <c r="AB7" s="311">
        <f t="shared" si="4"/>
        <v>44867</v>
      </c>
      <c r="AC7" s="312">
        <f t="shared" si="1"/>
        <v>6</v>
      </c>
      <c r="AD7" s="313">
        <f t="shared" si="4"/>
        <v>44897</v>
      </c>
    </row>
    <row r="8" spans="1:30">
      <c r="A8" s="306" t="s">
        <v>297</v>
      </c>
      <c r="B8" s="304">
        <f>$B$4+39</f>
        <v>44707</v>
      </c>
      <c r="E8">
        <f t="shared" si="0"/>
        <v>2028</v>
      </c>
      <c r="G8" s="310">
        <f t="shared" si="2"/>
        <v>2</v>
      </c>
      <c r="H8" s="311">
        <f t="shared" ref="H8:P23" si="14">H7+1</f>
        <v>44564</v>
      </c>
      <c r="I8" s="312">
        <f t="shared" si="3"/>
        <v>5</v>
      </c>
      <c r="J8" s="311">
        <f t="shared" si="4"/>
        <v>44595</v>
      </c>
      <c r="K8" s="312">
        <f t="shared" si="5"/>
        <v>5</v>
      </c>
      <c r="L8" s="311">
        <f t="shared" si="4"/>
        <v>44623</v>
      </c>
      <c r="M8" s="312">
        <f t="shared" si="6"/>
        <v>1</v>
      </c>
      <c r="N8" s="311">
        <f t="shared" si="4"/>
        <v>44654</v>
      </c>
      <c r="O8" s="312">
        <f t="shared" si="7"/>
        <v>3</v>
      </c>
      <c r="P8" s="311">
        <f t="shared" si="4"/>
        <v>44684</v>
      </c>
      <c r="Q8" s="312">
        <f t="shared" si="8"/>
        <v>6</v>
      </c>
      <c r="R8" s="311">
        <f t="shared" si="4"/>
        <v>44715</v>
      </c>
      <c r="S8" s="312">
        <f t="shared" si="9"/>
        <v>1</v>
      </c>
      <c r="T8" s="311">
        <f t="shared" si="4"/>
        <v>44745</v>
      </c>
      <c r="U8" s="312">
        <f t="shared" si="10"/>
        <v>4</v>
      </c>
      <c r="V8" s="311">
        <f t="shared" si="4"/>
        <v>44776</v>
      </c>
      <c r="W8" s="312">
        <f t="shared" si="11"/>
        <v>7</v>
      </c>
      <c r="X8" s="311">
        <f t="shared" si="4"/>
        <v>44807</v>
      </c>
      <c r="Y8" s="312">
        <f t="shared" si="12"/>
        <v>2</v>
      </c>
      <c r="Z8" s="311">
        <f t="shared" si="4"/>
        <v>44837</v>
      </c>
      <c r="AA8" s="312">
        <f t="shared" si="13"/>
        <v>5</v>
      </c>
      <c r="AB8" s="311">
        <f t="shared" si="4"/>
        <v>44868</v>
      </c>
      <c r="AC8" s="312">
        <f t="shared" si="1"/>
        <v>7</v>
      </c>
      <c r="AD8" s="313">
        <f t="shared" si="4"/>
        <v>44898</v>
      </c>
    </row>
    <row r="9" spans="1:30">
      <c r="A9" s="306" t="s">
        <v>298</v>
      </c>
      <c r="B9" s="304">
        <f>$B$4+49</f>
        <v>44717</v>
      </c>
      <c r="E9">
        <f t="shared" si="0"/>
        <v>2029</v>
      </c>
      <c r="G9" s="310">
        <f t="shared" si="2"/>
        <v>3</v>
      </c>
      <c r="H9" s="311">
        <f t="shared" si="14"/>
        <v>44565</v>
      </c>
      <c r="I9" s="312">
        <f t="shared" si="3"/>
        <v>6</v>
      </c>
      <c r="J9" s="311">
        <f t="shared" si="4"/>
        <v>44596</v>
      </c>
      <c r="K9" s="312">
        <f t="shared" si="5"/>
        <v>6</v>
      </c>
      <c r="L9" s="311">
        <f t="shared" si="4"/>
        <v>44624</v>
      </c>
      <c r="M9" s="312">
        <f t="shared" si="6"/>
        <v>2</v>
      </c>
      <c r="N9" s="311">
        <f t="shared" si="4"/>
        <v>44655</v>
      </c>
      <c r="O9" s="312">
        <f t="shared" si="7"/>
        <v>4</v>
      </c>
      <c r="P9" s="311">
        <f t="shared" si="4"/>
        <v>44685</v>
      </c>
      <c r="Q9" s="312">
        <f t="shared" si="8"/>
        <v>7</v>
      </c>
      <c r="R9" s="311">
        <f t="shared" si="4"/>
        <v>44716</v>
      </c>
      <c r="S9" s="312">
        <f t="shared" si="9"/>
        <v>2</v>
      </c>
      <c r="T9" s="311">
        <f t="shared" si="4"/>
        <v>44746</v>
      </c>
      <c r="U9" s="312">
        <f t="shared" si="10"/>
        <v>5</v>
      </c>
      <c r="V9" s="311">
        <f t="shared" si="4"/>
        <v>44777</v>
      </c>
      <c r="W9" s="312">
        <f t="shared" si="11"/>
        <v>1</v>
      </c>
      <c r="X9" s="311">
        <f t="shared" si="4"/>
        <v>44808</v>
      </c>
      <c r="Y9" s="312">
        <f t="shared" si="12"/>
        <v>3</v>
      </c>
      <c r="Z9" s="311">
        <f t="shared" si="4"/>
        <v>44838</v>
      </c>
      <c r="AA9" s="312">
        <f t="shared" si="13"/>
        <v>6</v>
      </c>
      <c r="AB9" s="311">
        <f t="shared" si="4"/>
        <v>44869</v>
      </c>
      <c r="AC9" s="312">
        <f t="shared" si="1"/>
        <v>1</v>
      </c>
      <c r="AD9" s="313">
        <f t="shared" si="4"/>
        <v>44899</v>
      </c>
    </row>
    <row r="10" spans="1:30">
      <c r="A10" s="306" t="s">
        <v>299</v>
      </c>
      <c r="B10" s="304">
        <f>$B$4+50</f>
        <v>44718</v>
      </c>
      <c r="E10">
        <f t="shared" si="0"/>
        <v>2030</v>
      </c>
      <c r="G10" s="310">
        <f t="shared" si="2"/>
        <v>4</v>
      </c>
      <c r="H10" s="311">
        <f t="shared" si="14"/>
        <v>44566</v>
      </c>
      <c r="I10" s="312">
        <f t="shared" si="3"/>
        <v>7</v>
      </c>
      <c r="J10" s="311">
        <f t="shared" si="4"/>
        <v>44597</v>
      </c>
      <c r="K10" s="312">
        <f t="shared" si="5"/>
        <v>7</v>
      </c>
      <c r="L10" s="311">
        <f t="shared" si="4"/>
        <v>44625</v>
      </c>
      <c r="M10" s="312">
        <f t="shared" si="6"/>
        <v>3</v>
      </c>
      <c r="N10" s="311">
        <f t="shared" si="4"/>
        <v>44656</v>
      </c>
      <c r="O10" s="312">
        <f t="shared" si="7"/>
        <v>5</v>
      </c>
      <c r="P10" s="311">
        <f t="shared" si="4"/>
        <v>44686</v>
      </c>
      <c r="Q10" s="312">
        <f t="shared" si="8"/>
        <v>1</v>
      </c>
      <c r="R10" s="311">
        <f t="shared" si="4"/>
        <v>44717</v>
      </c>
      <c r="S10" s="312">
        <f t="shared" si="9"/>
        <v>3</v>
      </c>
      <c r="T10" s="311">
        <f t="shared" si="4"/>
        <v>44747</v>
      </c>
      <c r="U10" s="312">
        <f t="shared" si="10"/>
        <v>6</v>
      </c>
      <c r="V10" s="311">
        <f t="shared" si="4"/>
        <v>44778</v>
      </c>
      <c r="W10" s="312">
        <f t="shared" si="11"/>
        <v>2</v>
      </c>
      <c r="X10" s="311">
        <f t="shared" si="4"/>
        <v>44809</v>
      </c>
      <c r="Y10" s="312">
        <f t="shared" si="12"/>
        <v>4</v>
      </c>
      <c r="Z10" s="311">
        <f t="shared" si="4"/>
        <v>44839</v>
      </c>
      <c r="AA10" s="312">
        <f t="shared" si="13"/>
        <v>7</v>
      </c>
      <c r="AB10" s="311">
        <f t="shared" si="4"/>
        <v>44870</v>
      </c>
      <c r="AC10" s="312">
        <f t="shared" si="1"/>
        <v>2</v>
      </c>
      <c r="AD10" s="313">
        <f t="shared" si="4"/>
        <v>44900</v>
      </c>
    </row>
    <row r="11" spans="1:30">
      <c r="A11" s="307">
        <v>44391</v>
      </c>
      <c r="B11" s="304">
        <f>DATE($G$1+$E$1-1,7,14)</f>
        <v>44756</v>
      </c>
      <c r="E11">
        <f t="shared" si="0"/>
        <v>2031</v>
      </c>
      <c r="G11" s="310">
        <f t="shared" si="2"/>
        <v>5</v>
      </c>
      <c r="H11" s="311">
        <f t="shared" si="14"/>
        <v>44567</v>
      </c>
      <c r="I11" s="312">
        <f t="shared" si="3"/>
        <v>1</v>
      </c>
      <c r="J11" s="311">
        <f t="shared" si="4"/>
        <v>44598</v>
      </c>
      <c r="K11" s="312">
        <f t="shared" si="5"/>
        <v>1</v>
      </c>
      <c r="L11" s="311">
        <f t="shared" si="4"/>
        <v>44626</v>
      </c>
      <c r="M11" s="312">
        <f t="shared" si="6"/>
        <v>4</v>
      </c>
      <c r="N11" s="311">
        <f t="shared" si="4"/>
        <v>44657</v>
      </c>
      <c r="O11" s="312">
        <f t="shared" si="7"/>
        <v>6</v>
      </c>
      <c r="P11" s="311">
        <f t="shared" si="4"/>
        <v>44687</v>
      </c>
      <c r="Q11" s="312">
        <f t="shared" si="8"/>
        <v>2</v>
      </c>
      <c r="R11" s="311">
        <f t="shared" si="4"/>
        <v>44718</v>
      </c>
      <c r="S11" s="312">
        <f t="shared" si="9"/>
        <v>4</v>
      </c>
      <c r="T11" s="311">
        <f t="shared" si="4"/>
        <v>44748</v>
      </c>
      <c r="U11" s="312">
        <f t="shared" si="10"/>
        <v>7</v>
      </c>
      <c r="V11" s="311">
        <f t="shared" si="4"/>
        <v>44779</v>
      </c>
      <c r="W11" s="312">
        <f t="shared" si="11"/>
        <v>3</v>
      </c>
      <c r="X11" s="311">
        <f t="shared" si="4"/>
        <v>44810</v>
      </c>
      <c r="Y11" s="312">
        <f t="shared" si="12"/>
        <v>5</v>
      </c>
      <c r="Z11" s="311">
        <f t="shared" si="4"/>
        <v>44840</v>
      </c>
      <c r="AA11" s="312">
        <f t="shared" si="13"/>
        <v>1</v>
      </c>
      <c r="AB11" s="311">
        <f t="shared" si="4"/>
        <v>44871</v>
      </c>
      <c r="AC11" s="312">
        <f t="shared" si="1"/>
        <v>3</v>
      </c>
      <c r="AD11" s="313">
        <f t="shared" si="4"/>
        <v>44901</v>
      </c>
    </row>
    <row r="12" spans="1:30">
      <c r="A12" s="307">
        <v>44423</v>
      </c>
      <c r="B12" s="304">
        <f>DATE($G$1+$E$1-1,8,15)</f>
        <v>44788</v>
      </c>
      <c r="E12">
        <f t="shared" si="0"/>
        <v>2032</v>
      </c>
      <c r="G12" s="310">
        <f t="shared" si="2"/>
        <v>6</v>
      </c>
      <c r="H12" s="311">
        <f t="shared" si="14"/>
        <v>44568</v>
      </c>
      <c r="I12" s="312">
        <f t="shared" si="3"/>
        <v>2</v>
      </c>
      <c r="J12" s="311">
        <f t="shared" si="4"/>
        <v>44599</v>
      </c>
      <c r="K12" s="312">
        <f t="shared" si="5"/>
        <v>2</v>
      </c>
      <c r="L12" s="311">
        <f t="shared" si="4"/>
        <v>44627</v>
      </c>
      <c r="M12" s="312">
        <f t="shared" si="6"/>
        <v>5</v>
      </c>
      <c r="N12" s="311">
        <f t="shared" si="4"/>
        <v>44658</v>
      </c>
      <c r="O12" s="312">
        <f t="shared" si="7"/>
        <v>7</v>
      </c>
      <c r="P12" s="311">
        <f t="shared" si="4"/>
        <v>44688</v>
      </c>
      <c r="Q12" s="312">
        <f t="shared" si="8"/>
        <v>3</v>
      </c>
      <c r="R12" s="311">
        <f t="shared" si="4"/>
        <v>44719</v>
      </c>
      <c r="S12" s="312">
        <f t="shared" si="9"/>
        <v>5</v>
      </c>
      <c r="T12" s="311">
        <f t="shared" si="4"/>
        <v>44749</v>
      </c>
      <c r="U12" s="312">
        <f t="shared" si="10"/>
        <v>1</v>
      </c>
      <c r="V12" s="311">
        <f t="shared" si="4"/>
        <v>44780</v>
      </c>
      <c r="W12" s="312">
        <f t="shared" si="11"/>
        <v>4</v>
      </c>
      <c r="X12" s="311">
        <f t="shared" si="4"/>
        <v>44811</v>
      </c>
      <c r="Y12" s="312">
        <f t="shared" si="12"/>
        <v>6</v>
      </c>
      <c r="Z12" s="311">
        <f t="shared" si="4"/>
        <v>44841</v>
      </c>
      <c r="AA12" s="312">
        <f t="shared" si="13"/>
        <v>2</v>
      </c>
      <c r="AB12" s="311">
        <f t="shared" si="4"/>
        <v>44872</v>
      </c>
      <c r="AC12" s="312">
        <f t="shared" si="1"/>
        <v>4</v>
      </c>
      <c r="AD12" s="313">
        <f t="shared" si="4"/>
        <v>44902</v>
      </c>
    </row>
    <row r="13" spans="1:30">
      <c r="A13" s="306" t="s">
        <v>300</v>
      </c>
      <c r="B13" s="304">
        <f>DATE($G$1+$E$1-1,11,1)</f>
        <v>44866</v>
      </c>
      <c r="E13">
        <f t="shared" si="0"/>
        <v>2033</v>
      </c>
      <c r="G13" s="310">
        <f t="shared" si="2"/>
        <v>7</v>
      </c>
      <c r="H13" s="311">
        <f t="shared" si="14"/>
        <v>44569</v>
      </c>
      <c r="I13" s="312">
        <f t="shared" si="3"/>
        <v>3</v>
      </c>
      <c r="J13" s="311">
        <f t="shared" si="4"/>
        <v>44600</v>
      </c>
      <c r="K13" s="312">
        <f t="shared" si="5"/>
        <v>3</v>
      </c>
      <c r="L13" s="311">
        <f t="shared" si="4"/>
        <v>44628</v>
      </c>
      <c r="M13" s="312">
        <f t="shared" si="6"/>
        <v>6</v>
      </c>
      <c r="N13" s="311">
        <f t="shared" si="4"/>
        <v>44659</v>
      </c>
      <c r="O13" s="312">
        <f t="shared" si="7"/>
        <v>1</v>
      </c>
      <c r="P13" s="311">
        <f t="shared" si="4"/>
        <v>44689</v>
      </c>
      <c r="Q13" s="312">
        <f t="shared" si="8"/>
        <v>4</v>
      </c>
      <c r="R13" s="311">
        <f t="shared" si="4"/>
        <v>44720</v>
      </c>
      <c r="S13" s="312">
        <f t="shared" si="9"/>
        <v>6</v>
      </c>
      <c r="T13" s="311">
        <f t="shared" si="4"/>
        <v>44750</v>
      </c>
      <c r="U13" s="312">
        <f t="shared" si="10"/>
        <v>2</v>
      </c>
      <c r="V13" s="311">
        <f t="shared" si="4"/>
        <v>44781</v>
      </c>
      <c r="W13" s="312">
        <f t="shared" si="11"/>
        <v>5</v>
      </c>
      <c r="X13" s="311">
        <f t="shared" si="4"/>
        <v>44812</v>
      </c>
      <c r="Y13" s="312">
        <f t="shared" si="12"/>
        <v>7</v>
      </c>
      <c r="Z13" s="311">
        <f t="shared" si="4"/>
        <v>44842</v>
      </c>
      <c r="AA13" s="312">
        <f t="shared" si="13"/>
        <v>3</v>
      </c>
      <c r="AB13" s="311">
        <f t="shared" si="4"/>
        <v>44873</v>
      </c>
      <c r="AC13" s="312">
        <f t="shared" si="1"/>
        <v>5</v>
      </c>
      <c r="AD13" s="313">
        <f t="shared" si="4"/>
        <v>44903</v>
      </c>
    </row>
    <row r="14" spans="1:30">
      <c r="A14" s="307">
        <v>44511</v>
      </c>
      <c r="B14" s="304">
        <f>DATE($G$1+$E$1-1,11,11)</f>
        <v>44876</v>
      </c>
      <c r="E14">
        <f t="shared" si="0"/>
        <v>2034</v>
      </c>
      <c r="G14" s="310">
        <f t="shared" si="2"/>
        <v>1</v>
      </c>
      <c r="H14" s="311">
        <f t="shared" si="14"/>
        <v>44570</v>
      </c>
      <c r="I14" s="312">
        <f t="shared" si="3"/>
        <v>4</v>
      </c>
      <c r="J14" s="311">
        <f t="shared" si="4"/>
        <v>44601</v>
      </c>
      <c r="K14" s="312">
        <f t="shared" si="5"/>
        <v>4</v>
      </c>
      <c r="L14" s="311">
        <f t="shared" si="4"/>
        <v>44629</v>
      </c>
      <c r="M14" s="312">
        <f t="shared" si="6"/>
        <v>7</v>
      </c>
      <c r="N14" s="311">
        <f t="shared" si="4"/>
        <v>44660</v>
      </c>
      <c r="O14" s="312">
        <f t="shared" si="7"/>
        <v>2</v>
      </c>
      <c r="P14" s="311">
        <f t="shared" si="4"/>
        <v>44690</v>
      </c>
      <c r="Q14" s="312">
        <f t="shared" si="8"/>
        <v>5</v>
      </c>
      <c r="R14" s="311">
        <f t="shared" si="4"/>
        <v>44721</v>
      </c>
      <c r="S14" s="312">
        <f t="shared" si="9"/>
        <v>7</v>
      </c>
      <c r="T14" s="311">
        <f t="shared" si="4"/>
        <v>44751</v>
      </c>
      <c r="U14" s="312">
        <f t="shared" si="10"/>
        <v>3</v>
      </c>
      <c r="V14" s="311">
        <f t="shared" si="4"/>
        <v>44782</v>
      </c>
      <c r="W14" s="312">
        <f t="shared" si="11"/>
        <v>6</v>
      </c>
      <c r="X14" s="311">
        <f t="shared" si="4"/>
        <v>44813</v>
      </c>
      <c r="Y14" s="312">
        <f t="shared" si="12"/>
        <v>1</v>
      </c>
      <c r="Z14" s="311">
        <f t="shared" si="4"/>
        <v>44843</v>
      </c>
      <c r="AA14" s="312">
        <f t="shared" si="13"/>
        <v>4</v>
      </c>
      <c r="AB14" s="311">
        <f t="shared" si="4"/>
        <v>44874</v>
      </c>
      <c r="AC14" s="312">
        <f t="shared" si="1"/>
        <v>6</v>
      </c>
      <c r="AD14" s="313">
        <f t="shared" si="4"/>
        <v>44904</v>
      </c>
    </row>
    <row r="15" spans="1:30" ht="15.75" thickBot="1">
      <c r="A15" s="308">
        <v>44555</v>
      </c>
      <c r="B15" s="309">
        <f>DATE($G$1+$E$1-1,12,25)</f>
        <v>44920</v>
      </c>
      <c r="E15">
        <f t="shared" si="0"/>
        <v>2035</v>
      </c>
      <c r="G15" s="310">
        <f t="shared" si="2"/>
        <v>2</v>
      </c>
      <c r="H15" s="311">
        <f t="shared" si="14"/>
        <v>44571</v>
      </c>
      <c r="I15" s="312">
        <f t="shared" si="3"/>
        <v>5</v>
      </c>
      <c r="J15" s="311">
        <f t="shared" si="4"/>
        <v>44602</v>
      </c>
      <c r="K15" s="312">
        <f t="shared" si="5"/>
        <v>5</v>
      </c>
      <c r="L15" s="311">
        <f t="shared" si="4"/>
        <v>44630</v>
      </c>
      <c r="M15" s="312">
        <f t="shared" si="6"/>
        <v>1</v>
      </c>
      <c r="N15" s="311">
        <f t="shared" si="4"/>
        <v>44661</v>
      </c>
      <c r="O15" s="312">
        <f t="shared" si="7"/>
        <v>3</v>
      </c>
      <c r="P15" s="311">
        <f t="shared" si="4"/>
        <v>44691</v>
      </c>
      <c r="Q15" s="312">
        <f t="shared" si="8"/>
        <v>6</v>
      </c>
      <c r="R15" s="311">
        <f t="shared" si="4"/>
        <v>44722</v>
      </c>
      <c r="S15" s="312">
        <f t="shared" si="9"/>
        <v>1</v>
      </c>
      <c r="T15" s="311">
        <f t="shared" si="4"/>
        <v>44752</v>
      </c>
      <c r="U15" s="312">
        <f t="shared" si="10"/>
        <v>4</v>
      </c>
      <c r="V15" s="311">
        <f t="shared" si="4"/>
        <v>44783</v>
      </c>
      <c r="W15" s="312">
        <f t="shared" si="11"/>
        <v>7</v>
      </c>
      <c r="X15" s="311">
        <f t="shared" si="4"/>
        <v>44814</v>
      </c>
      <c r="Y15" s="312">
        <f t="shared" si="12"/>
        <v>2</v>
      </c>
      <c r="Z15" s="311">
        <f t="shared" si="4"/>
        <v>44844</v>
      </c>
      <c r="AA15" s="312">
        <f t="shared" si="13"/>
        <v>5</v>
      </c>
      <c r="AB15" s="311">
        <f t="shared" si="4"/>
        <v>44875</v>
      </c>
      <c r="AC15" s="312">
        <f t="shared" si="1"/>
        <v>7</v>
      </c>
      <c r="AD15" s="313">
        <f t="shared" si="4"/>
        <v>44905</v>
      </c>
    </row>
    <row r="16" spans="1:30">
      <c r="E16">
        <f t="shared" si="0"/>
        <v>2036</v>
      </c>
      <c r="G16" s="310">
        <f t="shared" si="2"/>
        <v>3</v>
      </c>
      <c r="H16" s="311">
        <f t="shared" si="14"/>
        <v>44572</v>
      </c>
      <c r="I16" s="312">
        <f t="shared" si="3"/>
        <v>6</v>
      </c>
      <c r="J16" s="311">
        <f t="shared" si="4"/>
        <v>44603</v>
      </c>
      <c r="K16" s="312">
        <f t="shared" si="5"/>
        <v>6</v>
      </c>
      <c r="L16" s="311">
        <f t="shared" si="4"/>
        <v>44631</v>
      </c>
      <c r="M16" s="312">
        <f t="shared" si="6"/>
        <v>2</v>
      </c>
      <c r="N16" s="311">
        <f t="shared" si="4"/>
        <v>44662</v>
      </c>
      <c r="O16" s="312">
        <f t="shared" si="7"/>
        <v>4</v>
      </c>
      <c r="P16" s="311">
        <f t="shared" si="4"/>
        <v>44692</v>
      </c>
      <c r="Q16" s="312">
        <f t="shared" si="8"/>
        <v>7</v>
      </c>
      <c r="R16" s="311">
        <f t="shared" si="4"/>
        <v>44723</v>
      </c>
      <c r="S16" s="312">
        <f t="shared" si="9"/>
        <v>2</v>
      </c>
      <c r="T16" s="311">
        <f t="shared" si="4"/>
        <v>44753</v>
      </c>
      <c r="U16" s="312">
        <f t="shared" si="10"/>
        <v>5</v>
      </c>
      <c r="V16" s="311">
        <f t="shared" si="4"/>
        <v>44784</v>
      </c>
      <c r="W16" s="312">
        <f t="shared" si="11"/>
        <v>1</v>
      </c>
      <c r="X16" s="311">
        <f t="shared" si="4"/>
        <v>44815</v>
      </c>
      <c r="Y16" s="312">
        <f t="shared" si="12"/>
        <v>3</v>
      </c>
      <c r="Z16" s="311">
        <f t="shared" si="4"/>
        <v>44845</v>
      </c>
      <c r="AA16" s="312">
        <f t="shared" si="13"/>
        <v>6</v>
      </c>
      <c r="AB16" s="311">
        <f t="shared" si="4"/>
        <v>44876</v>
      </c>
      <c r="AC16" s="312">
        <f t="shared" si="1"/>
        <v>1</v>
      </c>
      <c r="AD16" s="313">
        <f t="shared" si="4"/>
        <v>44906</v>
      </c>
    </row>
    <row r="17" spans="5:30">
      <c r="E17">
        <f t="shared" si="0"/>
        <v>2037</v>
      </c>
      <c r="G17" s="310">
        <f t="shared" si="2"/>
        <v>4</v>
      </c>
      <c r="H17" s="311">
        <f t="shared" si="14"/>
        <v>44573</v>
      </c>
      <c r="I17" s="312">
        <f t="shared" si="3"/>
        <v>7</v>
      </c>
      <c r="J17" s="311">
        <f t="shared" si="4"/>
        <v>44604</v>
      </c>
      <c r="K17" s="312">
        <f t="shared" si="5"/>
        <v>7</v>
      </c>
      <c r="L17" s="311">
        <f t="shared" si="4"/>
        <v>44632</v>
      </c>
      <c r="M17" s="312">
        <f t="shared" si="6"/>
        <v>3</v>
      </c>
      <c r="N17" s="311">
        <f t="shared" si="4"/>
        <v>44663</v>
      </c>
      <c r="O17" s="312">
        <f t="shared" si="7"/>
        <v>5</v>
      </c>
      <c r="P17" s="311">
        <f t="shared" si="4"/>
        <v>44693</v>
      </c>
      <c r="Q17" s="312">
        <f t="shared" si="8"/>
        <v>1</v>
      </c>
      <c r="R17" s="311">
        <f t="shared" si="4"/>
        <v>44724</v>
      </c>
      <c r="S17" s="312">
        <f t="shared" si="9"/>
        <v>3</v>
      </c>
      <c r="T17" s="311">
        <f t="shared" si="4"/>
        <v>44754</v>
      </c>
      <c r="U17" s="312">
        <f t="shared" si="10"/>
        <v>6</v>
      </c>
      <c r="V17" s="311">
        <f t="shared" si="4"/>
        <v>44785</v>
      </c>
      <c r="W17" s="312">
        <f t="shared" si="11"/>
        <v>2</v>
      </c>
      <c r="X17" s="311">
        <f t="shared" si="4"/>
        <v>44816</v>
      </c>
      <c r="Y17" s="312">
        <f t="shared" si="12"/>
        <v>4</v>
      </c>
      <c r="Z17" s="311">
        <f t="shared" si="4"/>
        <v>44846</v>
      </c>
      <c r="AA17" s="312">
        <f t="shared" si="13"/>
        <v>7</v>
      </c>
      <c r="AB17" s="311">
        <f t="shared" si="4"/>
        <v>44877</v>
      </c>
      <c r="AC17" s="312">
        <f t="shared" si="1"/>
        <v>2</v>
      </c>
      <c r="AD17" s="313">
        <f t="shared" si="4"/>
        <v>44907</v>
      </c>
    </row>
    <row r="18" spans="5:30">
      <c r="E18">
        <f t="shared" si="0"/>
        <v>2038</v>
      </c>
      <c r="G18" s="310">
        <f t="shared" si="2"/>
        <v>5</v>
      </c>
      <c r="H18" s="311">
        <f t="shared" si="14"/>
        <v>44574</v>
      </c>
      <c r="I18" s="312">
        <f t="shared" si="3"/>
        <v>1</v>
      </c>
      <c r="J18" s="311">
        <f t="shared" si="4"/>
        <v>44605</v>
      </c>
      <c r="K18" s="312">
        <f t="shared" si="5"/>
        <v>1</v>
      </c>
      <c r="L18" s="311">
        <f t="shared" si="4"/>
        <v>44633</v>
      </c>
      <c r="M18" s="312">
        <f t="shared" si="6"/>
        <v>4</v>
      </c>
      <c r="N18" s="311">
        <f t="shared" si="4"/>
        <v>44664</v>
      </c>
      <c r="O18" s="312">
        <f t="shared" si="7"/>
        <v>6</v>
      </c>
      <c r="P18" s="311">
        <f t="shared" si="4"/>
        <v>44694</v>
      </c>
      <c r="Q18" s="312">
        <f t="shared" si="8"/>
        <v>2</v>
      </c>
      <c r="R18" s="311">
        <f t="shared" si="4"/>
        <v>44725</v>
      </c>
      <c r="S18" s="312">
        <f t="shared" si="9"/>
        <v>4</v>
      </c>
      <c r="T18" s="311">
        <f t="shared" si="4"/>
        <v>44755</v>
      </c>
      <c r="U18" s="312">
        <f t="shared" si="10"/>
        <v>7</v>
      </c>
      <c r="V18" s="311">
        <f t="shared" si="4"/>
        <v>44786</v>
      </c>
      <c r="W18" s="312">
        <f t="shared" si="11"/>
        <v>3</v>
      </c>
      <c r="X18" s="311">
        <f t="shared" si="4"/>
        <v>44817</v>
      </c>
      <c r="Y18" s="312">
        <f t="shared" si="12"/>
        <v>5</v>
      </c>
      <c r="Z18" s="311">
        <f t="shared" si="4"/>
        <v>44847</v>
      </c>
      <c r="AA18" s="312">
        <f t="shared" si="13"/>
        <v>1</v>
      </c>
      <c r="AB18" s="311">
        <f t="shared" si="4"/>
        <v>44878</v>
      </c>
      <c r="AC18" s="312">
        <f t="shared" si="1"/>
        <v>3</v>
      </c>
      <c r="AD18" s="313">
        <f t="shared" si="4"/>
        <v>44908</v>
      </c>
    </row>
    <row r="19" spans="5:30">
      <c r="E19">
        <f t="shared" si="0"/>
        <v>2039</v>
      </c>
      <c r="G19" s="310">
        <f t="shared" si="2"/>
        <v>6</v>
      </c>
      <c r="H19" s="311">
        <f t="shared" si="14"/>
        <v>44575</v>
      </c>
      <c r="I19" s="312">
        <f t="shared" si="3"/>
        <v>2</v>
      </c>
      <c r="J19" s="311">
        <f t="shared" si="4"/>
        <v>44606</v>
      </c>
      <c r="K19" s="312">
        <f t="shared" si="5"/>
        <v>2</v>
      </c>
      <c r="L19" s="311">
        <f t="shared" si="4"/>
        <v>44634</v>
      </c>
      <c r="M19" s="312">
        <f t="shared" si="6"/>
        <v>5</v>
      </c>
      <c r="N19" s="311">
        <f t="shared" si="4"/>
        <v>44665</v>
      </c>
      <c r="O19" s="312">
        <f t="shared" si="7"/>
        <v>7</v>
      </c>
      <c r="P19" s="311">
        <f t="shared" si="4"/>
        <v>44695</v>
      </c>
      <c r="Q19" s="312">
        <f t="shared" si="8"/>
        <v>3</v>
      </c>
      <c r="R19" s="311">
        <f t="shared" si="4"/>
        <v>44726</v>
      </c>
      <c r="S19" s="312">
        <f t="shared" si="9"/>
        <v>5</v>
      </c>
      <c r="T19" s="311">
        <f t="shared" si="4"/>
        <v>44756</v>
      </c>
      <c r="U19" s="312">
        <f t="shared" si="10"/>
        <v>1</v>
      </c>
      <c r="V19" s="311">
        <f t="shared" si="4"/>
        <v>44787</v>
      </c>
      <c r="W19" s="312">
        <f t="shared" si="11"/>
        <v>4</v>
      </c>
      <c r="X19" s="311">
        <f t="shared" si="4"/>
        <v>44818</v>
      </c>
      <c r="Y19" s="312">
        <f t="shared" si="12"/>
        <v>6</v>
      </c>
      <c r="Z19" s="311">
        <f t="shared" si="4"/>
        <v>44848</v>
      </c>
      <c r="AA19" s="312">
        <f t="shared" si="13"/>
        <v>2</v>
      </c>
      <c r="AB19" s="311">
        <f t="shared" si="4"/>
        <v>44879</v>
      </c>
      <c r="AC19" s="312">
        <f t="shared" si="1"/>
        <v>4</v>
      </c>
      <c r="AD19" s="313">
        <f t="shared" si="4"/>
        <v>44909</v>
      </c>
    </row>
    <row r="20" spans="5:30">
      <c r="E20">
        <f t="shared" si="0"/>
        <v>2040</v>
      </c>
      <c r="G20" s="310">
        <f t="shared" si="2"/>
        <v>7</v>
      </c>
      <c r="H20" s="311">
        <f t="shared" si="14"/>
        <v>44576</v>
      </c>
      <c r="I20" s="312">
        <f t="shared" si="3"/>
        <v>3</v>
      </c>
      <c r="J20" s="311">
        <f t="shared" si="4"/>
        <v>44607</v>
      </c>
      <c r="K20" s="312">
        <f t="shared" si="5"/>
        <v>3</v>
      </c>
      <c r="L20" s="311">
        <f t="shared" si="4"/>
        <v>44635</v>
      </c>
      <c r="M20" s="312">
        <f t="shared" si="6"/>
        <v>6</v>
      </c>
      <c r="N20" s="311">
        <f t="shared" si="4"/>
        <v>44666</v>
      </c>
      <c r="O20" s="312">
        <f t="shared" si="7"/>
        <v>1</v>
      </c>
      <c r="P20" s="311">
        <f t="shared" si="4"/>
        <v>44696</v>
      </c>
      <c r="Q20" s="312">
        <f t="shared" si="8"/>
        <v>4</v>
      </c>
      <c r="R20" s="311">
        <f t="shared" si="4"/>
        <v>44727</v>
      </c>
      <c r="S20" s="312">
        <f t="shared" si="9"/>
        <v>6</v>
      </c>
      <c r="T20" s="311">
        <f t="shared" si="4"/>
        <v>44757</v>
      </c>
      <c r="U20" s="312">
        <f t="shared" si="10"/>
        <v>2</v>
      </c>
      <c r="V20" s="311">
        <f t="shared" si="4"/>
        <v>44788</v>
      </c>
      <c r="W20" s="312">
        <f t="shared" si="11"/>
        <v>5</v>
      </c>
      <c r="X20" s="311">
        <f t="shared" si="4"/>
        <v>44819</v>
      </c>
      <c r="Y20" s="312">
        <f t="shared" si="12"/>
        <v>7</v>
      </c>
      <c r="Z20" s="311">
        <f t="shared" si="4"/>
        <v>44849</v>
      </c>
      <c r="AA20" s="312">
        <f t="shared" si="13"/>
        <v>3</v>
      </c>
      <c r="AB20" s="311">
        <f t="shared" si="4"/>
        <v>44880</v>
      </c>
      <c r="AC20" s="312">
        <f t="shared" si="1"/>
        <v>5</v>
      </c>
      <c r="AD20" s="313">
        <f t="shared" si="4"/>
        <v>44910</v>
      </c>
    </row>
    <row r="21" spans="5:30">
      <c r="E21">
        <f t="shared" si="0"/>
        <v>2041</v>
      </c>
      <c r="G21" s="310">
        <f t="shared" si="2"/>
        <v>1</v>
      </c>
      <c r="H21" s="311">
        <f t="shared" si="14"/>
        <v>44577</v>
      </c>
      <c r="I21" s="312">
        <f t="shared" si="3"/>
        <v>4</v>
      </c>
      <c r="J21" s="311">
        <f t="shared" si="4"/>
        <v>44608</v>
      </c>
      <c r="K21" s="312">
        <f t="shared" si="5"/>
        <v>4</v>
      </c>
      <c r="L21" s="311">
        <f t="shared" si="4"/>
        <v>44636</v>
      </c>
      <c r="M21" s="312">
        <f t="shared" si="6"/>
        <v>7</v>
      </c>
      <c r="N21" s="311">
        <f t="shared" si="4"/>
        <v>44667</v>
      </c>
      <c r="O21" s="312">
        <f t="shared" si="7"/>
        <v>2</v>
      </c>
      <c r="P21" s="311">
        <f t="shared" si="4"/>
        <v>44697</v>
      </c>
      <c r="Q21" s="312">
        <f t="shared" si="8"/>
        <v>5</v>
      </c>
      <c r="R21" s="311">
        <f t="shared" si="4"/>
        <v>44728</v>
      </c>
      <c r="S21" s="312">
        <f t="shared" si="9"/>
        <v>7</v>
      </c>
      <c r="T21" s="311">
        <f t="shared" si="4"/>
        <v>44758</v>
      </c>
      <c r="U21" s="312">
        <f t="shared" si="10"/>
        <v>3</v>
      </c>
      <c r="V21" s="311">
        <f t="shared" si="4"/>
        <v>44789</v>
      </c>
      <c r="W21" s="312">
        <f t="shared" si="11"/>
        <v>6</v>
      </c>
      <c r="X21" s="311">
        <f t="shared" si="4"/>
        <v>44820</v>
      </c>
      <c r="Y21" s="312">
        <f t="shared" si="12"/>
        <v>1</v>
      </c>
      <c r="Z21" s="311">
        <f t="shared" si="4"/>
        <v>44850</v>
      </c>
      <c r="AA21" s="312">
        <f t="shared" si="13"/>
        <v>4</v>
      </c>
      <c r="AB21" s="311">
        <f t="shared" si="4"/>
        <v>44881</v>
      </c>
      <c r="AC21" s="312">
        <f t="shared" si="1"/>
        <v>6</v>
      </c>
      <c r="AD21" s="313">
        <f t="shared" si="4"/>
        <v>44911</v>
      </c>
    </row>
    <row r="22" spans="5:30">
      <c r="E22">
        <f t="shared" si="0"/>
        <v>2042</v>
      </c>
      <c r="G22" s="310">
        <f t="shared" si="2"/>
        <v>2</v>
      </c>
      <c r="H22" s="311">
        <f>H21+1</f>
        <v>44578</v>
      </c>
      <c r="I22" s="312">
        <f t="shared" si="3"/>
        <v>5</v>
      </c>
      <c r="J22" s="311">
        <f t="shared" si="4"/>
        <v>44609</v>
      </c>
      <c r="K22" s="312">
        <f t="shared" si="5"/>
        <v>5</v>
      </c>
      <c r="L22" s="311">
        <f t="shared" si="4"/>
        <v>44637</v>
      </c>
      <c r="M22" s="312">
        <f t="shared" si="6"/>
        <v>1</v>
      </c>
      <c r="N22" s="311">
        <f t="shared" si="4"/>
        <v>44668</v>
      </c>
      <c r="O22" s="312">
        <f t="shared" si="7"/>
        <v>3</v>
      </c>
      <c r="P22" s="311">
        <f t="shared" si="4"/>
        <v>44698</v>
      </c>
      <c r="Q22" s="312">
        <f t="shared" si="8"/>
        <v>6</v>
      </c>
      <c r="R22" s="311">
        <f t="shared" si="4"/>
        <v>44729</v>
      </c>
      <c r="S22" s="312">
        <f t="shared" si="9"/>
        <v>1</v>
      </c>
      <c r="T22" s="311">
        <f t="shared" si="4"/>
        <v>44759</v>
      </c>
      <c r="U22" s="312">
        <f t="shared" si="10"/>
        <v>4</v>
      </c>
      <c r="V22" s="311">
        <f t="shared" si="4"/>
        <v>44790</v>
      </c>
      <c r="W22" s="312">
        <f t="shared" si="11"/>
        <v>7</v>
      </c>
      <c r="X22" s="311">
        <f t="shared" si="4"/>
        <v>44821</v>
      </c>
      <c r="Y22" s="312">
        <f t="shared" si="12"/>
        <v>2</v>
      </c>
      <c r="Z22" s="311">
        <f t="shared" si="4"/>
        <v>44851</v>
      </c>
      <c r="AA22" s="312">
        <f t="shared" si="13"/>
        <v>5</v>
      </c>
      <c r="AB22" s="311">
        <f t="shared" si="4"/>
        <v>44882</v>
      </c>
      <c r="AC22" s="312">
        <f t="shared" si="1"/>
        <v>7</v>
      </c>
      <c r="AD22" s="313">
        <f t="shared" si="4"/>
        <v>44912</v>
      </c>
    </row>
    <row r="23" spans="5:30">
      <c r="E23">
        <f t="shared" si="0"/>
        <v>2043</v>
      </c>
      <c r="G23" s="310">
        <f t="shared" si="2"/>
        <v>3</v>
      </c>
      <c r="H23" s="311">
        <f t="shared" si="14"/>
        <v>44579</v>
      </c>
      <c r="I23" s="312">
        <f t="shared" si="3"/>
        <v>6</v>
      </c>
      <c r="J23" s="311">
        <f t="shared" si="14"/>
        <v>44610</v>
      </c>
      <c r="K23" s="312">
        <f t="shared" si="5"/>
        <v>6</v>
      </c>
      <c r="L23" s="311">
        <f t="shared" si="14"/>
        <v>44638</v>
      </c>
      <c r="M23" s="312">
        <f t="shared" si="6"/>
        <v>2</v>
      </c>
      <c r="N23" s="311">
        <f t="shared" si="14"/>
        <v>44669</v>
      </c>
      <c r="O23" s="312">
        <f t="shared" si="7"/>
        <v>4</v>
      </c>
      <c r="P23" s="311">
        <f t="shared" si="14"/>
        <v>44699</v>
      </c>
      <c r="Q23" s="312">
        <f t="shared" si="8"/>
        <v>7</v>
      </c>
      <c r="R23" s="311">
        <f t="shared" ref="R23:R35" si="15">R22+1</f>
        <v>44730</v>
      </c>
      <c r="S23" s="312">
        <f t="shared" si="9"/>
        <v>2</v>
      </c>
      <c r="T23" s="311">
        <f t="shared" ref="T23:T36" si="16">T22+1</f>
        <v>44760</v>
      </c>
      <c r="U23" s="312">
        <f t="shared" si="10"/>
        <v>5</v>
      </c>
      <c r="V23" s="311">
        <f t="shared" ref="V23:V36" si="17">V22+1</f>
        <v>44791</v>
      </c>
      <c r="W23" s="312">
        <f t="shared" si="11"/>
        <v>1</v>
      </c>
      <c r="X23" s="311">
        <f t="shared" ref="X23:X35" si="18">X22+1</f>
        <v>44822</v>
      </c>
      <c r="Y23" s="312">
        <f t="shared" si="12"/>
        <v>3</v>
      </c>
      <c r="Z23" s="311">
        <f t="shared" ref="Z23:Z36" si="19">Z22+1</f>
        <v>44852</v>
      </c>
      <c r="AA23" s="312">
        <f t="shared" si="13"/>
        <v>6</v>
      </c>
      <c r="AB23" s="311">
        <f t="shared" ref="AB23:AB35" si="20">AB22+1</f>
        <v>44883</v>
      </c>
      <c r="AC23" s="312">
        <f t="shared" si="1"/>
        <v>1</v>
      </c>
      <c r="AD23" s="313">
        <f t="shared" ref="AD23:AD36" si="21">AD22+1</f>
        <v>44913</v>
      </c>
    </row>
    <row r="24" spans="5:30">
      <c r="E24">
        <f t="shared" si="0"/>
        <v>2044</v>
      </c>
      <c r="G24" s="310">
        <f t="shared" si="2"/>
        <v>4</v>
      </c>
      <c r="H24" s="311">
        <f t="shared" ref="H24:P36" si="22">H23+1</f>
        <v>44580</v>
      </c>
      <c r="I24" s="312">
        <f t="shared" si="3"/>
        <v>7</v>
      </c>
      <c r="J24" s="311">
        <f t="shared" si="22"/>
        <v>44611</v>
      </c>
      <c r="K24" s="312">
        <f t="shared" si="5"/>
        <v>7</v>
      </c>
      <c r="L24" s="311">
        <f t="shared" si="22"/>
        <v>44639</v>
      </c>
      <c r="M24" s="312">
        <f t="shared" si="6"/>
        <v>3</v>
      </c>
      <c r="N24" s="311">
        <f t="shared" si="22"/>
        <v>44670</v>
      </c>
      <c r="O24" s="312">
        <f t="shared" si="7"/>
        <v>5</v>
      </c>
      <c r="P24" s="311">
        <f t="shared" si="22"/>
        <v>44700</v>
      </c>
      <c r="Q24" s="312">
        <f t="shared" si="8"/>
        <v>1</v>
      </c>
      <c r="R24" s="311">
        <f t="shared" si="15"/>
        <v>44731</v>
      </c>
      <c r="S24" s="312">
        <f t="shared" si="9"/>
        <v>3</v>
      </c>
      <c r="T24" s="311">
        <f t="shared" si="16"/>
        <v>44761</v>
      </c>
      <c r="U24" s="312">
        <f t="shared" si="10"/>
        <v>6</v>
      </c>
      <c r="V24" s="311">
        <f t="shared" si="17"/>
        <v>44792</v>
      </c>
      <c r="W24" s="312">
        <f t="shared" si="11"/>
        <v>2</v>
      </c>
      <c r="X24" s="311">
        <f t="shared" si="18"/>
        <v>44823</v>
      </c>
      <c r="Y24" s="312">
        <f t="shared" si="12"/>
        <v>4</v>
      </c>
      <c r="Z24" s="311">
        <f t="shared" si="19"/>
        <v>44853</v>
      </c>
      <c r="AA24" s="312">
        <f t="shared" si="13"/>
        <v>7</v>
      </c>
      <c r="AB24" s="311">
        <f t="shared" si="20"/>
        <v>44884</v>
      </c>
      <c r="AC24" s="312">
        <f t="shared" si="1"/>
        <v>2</v>
      </c>
      <c r="AD24" s="313">
        <f t="shared" si="21"/>
        <v>44914</v>
      </c>
    </row>
    <row r="25" spans="5:30">
      <c r="E25">
        <f t="shared" si="0"/>
        <v>2045</v>
      </c>
      <c r="G25" s="310">
        <f t="shared" si="2"/>
        <v>5</v>
      </c>
      <c r="H25" s="311">
        <f t="shared" si="22"/>
        <v>44581</v>
      </c>
      <c r="I25" s="312">
        <f t="shared" si="3"/>
        <v>1</v>
      </c>
      <c r="J25" s="311">
        <f t="shared" si="22"/>
        <v>44612</v>
      </c>
      <c r="K25" s="312">
        <f t="shared" si="5"/>
        <v>1</v>
      </c>
      <c r="L25" s="311">
        <f t="shared" si="22"/>
        <v>44640</v>
      </c>
      <c r="M25" s="312">
        <f t="shared" si="6"/>
        <v>4</v>
      </c>
      <c r="N25" s="311">
        <f t="shared" si="22"/>
        <v>44671</v>
      </c>
      <c r="O25" s="312">
        <f t="shared" si="7"/>
        <v>6</v>
      </c>
      <c r="P25" s="311">
        <f t="shared" si="22"/>
        <v>44701</v>
      </c>
      <c r="Q25" s="312">
        <f t="shared" si="8"/>
        <v>2</v>
      </c>
      <c r="R25" s="311">
        <f t="shared" si="15"/>
        <v>44732</v>
      </c>
      <c r="S25" s="312">
        <f t="shared" si="9"/>
        <v>4</v>
      </c>
      <c r="T25" s="311">
        <f t="shared" si="16"/>
        <v>44762</v>
      </c>
      <c r="U25" s="312">
        <f t="shared" si="10"/>
        <v>7</v>
      </c>
      <c r="V25" s="311">
        <f t="shared" si="17"/>
        <v>44793</v>
      </c>
      <c r="W25" s="312">
        <f t="shared" si="11"/>
        <v>3</v>
      </c>
      <c r="X25" s="311">
        <f t="shared" si="18"/>
        <v>44824</v>
      </c>
      <c r="Y25" s="312">
        <f t="shared" si="12"/>
        <v>5</v>
      </c>
      <c r="Z25" s="311">
        <f t="shared" si="19"/>
        <v>44854</v>
      </c>
      <c r="AA25" s="312">
        <f t="shared" si="13"/>
        <v>1</v>
      </c>
      <c r="AB25" s="311">
        <f t="shared" si="20"/>
        <v>44885</v>
      </c>
      <c r="AC25" s="312">
        <f t="shared" si="1"/>
        <v>3</v>
      </c>
      <c r="AD25" s="313">
        <f t="shared" si="21"/>
        <v>44915</v>
      </c>
    </row>
    <row r="26" spans="5:30">
      <c r="E26">
        <f t="shared" si="0"/>
        <v>2046</v>
      </c>
      <c r="G26" s="310">
        <f t="shared" si="2"/>
        <v>6</v>
      </c>
      <c r="H26" s="311">
        <f t="shared" si="22"/>
        <v>44582</v>
      </c>
      <c r="I26" s="312">
        <f t="shared" si="3"/>
        <v>2</v>
      </c>
      <c r="J26" s="311">
        <f t="shared" si="22"/>
        <v>44613</v>
      </c>
      <c r="K26" s="312">
        <f t="shared" si="5"/>
        <v>2</v>
      </c>
      <c r="L26" s="311">
        <f t="shared" si="22"/>
        <v>44641</v>
      </c>
      <c r="M26" s="312">
        <f t="shared" si="6"/>
        <v>5</v>
      </c>
      <c r="N26" s="311">
        <f t="shared" si="22"/>
        <v>44672</v>
      </c>
      <c r="O26" s="312">
        <f t="shared" si="7"/>
        <v>7</v>
      </c>
      <c r="P26" s="311">
        <f t="shared" si="22"/>
        <v>44702</v>
      </c>
      <c r="Q26" s="312">
        <f t="shared" si="8"/>
        <v>3</v>
      </c>
      <c r="R26" s="311">
        <f t="shared" si="15"/>
        <v>44733</v>
      </c>
      <c r="S26" s="312">
        <f t="shared" si="9"/>
        <v>5</v>
      </c>
      <c r="T26" s="311">
        <f t="shared" si="16"/>
        <v>44763</v>
      </c>
      <c r="U26" s="312">
        <f t="shared" si="10"/>
        <v>1</v>
      </c>
      <c r="V26" s="311">
        <f t="shared" si="17"/>
        <v>44794</v>
      </c>
      <c r="W26" s="312">
        <f t="shared" si="11"/>
        <v>4</v>
      </c>
      <c r="X26" s="311">
        <f t="shared" si="18"/>
        <v>44825</v>
      </c>
      <c r="Y26" s="312">
        <f t="shared" si="12"/>
        <v>6</v>
      </c>
      <c r="Z26" s="311">
        <f t="shared" si="19"/>
        <v>44855</v>
      </c>
      <c r="AA26" s="312">
        <f t="shared" si="13"/>
        <v>2</v>
      </c>
      <c r="AB26" s="311">
        <f t="shared" si="20"/>
        <v>44886</v>
      </c>
      <c r="AC26" s="312">
        <f t="shared" si="1"/>
        <v>4</v>
      </c>
      <c r="AD26" s="313">
        <f t="shared" si="21"/>
        <v>44916</v>
      </c>
    </row>
    <row r="27" spans="5:30">
      <c r="E27">
        <f t="shared" si="0"/>
        <v>2047</v>
      </c>
      <c r="G27" s="310">
        <f t="shared" si="2"/>
        <v>7</v>
      </c>
      <c r="H27" s="311">
        <f t="shared" si="22"/>
        <v>44583</v>
      </c>
      <c r="I27" s="312">
        <f t="shared" si="3"/>
        <v>3</v>
      </c>
      <c r="J27" s="311">
        <f t="shared" si="22"/>
        <v>44614</v>
      </c>
      <c r="K27" s="312">
        <f t="shared" si="5"/>
        <v>3</v>
      </c>
      <c r="L27" s="311">
        <f t="shared" si="22"/>
        <v>44642</v>
      </c>
      <c r="M27" s="312">
        <f t="shared" si="6"/>
        <v>6</v>
      </c>
      <c r="N27" s="311">
        <f t="shared" si="22"/>
        <v>44673</v>
      </c>
      <c r="O27" s="312">
        <f t="shared" si="7"/>
        <v>1</v>
      </c>
      <c r="P27" s="311">
        <f t="shared" si="22"/>
        <v>44703</v>
      </c>
      <c r="Q27" s="312">
        <f t="shared" si="8"/>
        <v>4</v>
      </c>
      <c r="R27" s="311">
        <f t="shared" si="15"/>
        <v>44734</v>
      </c>
      <c r="S27" s="312">
        <f t="shared" si="9"/>
        <v>6</v>
      </c>
      <c r="T27" s="311">
        <f t="shared" si="16"/>
        <v>44764</v>
      </c>
      <c r="U27" s="312">
        <f t="shared" si="10"/>
        <v>2</v>
      </c>
      <c r="V27" s="311">
        <f t="shared" si="17"/>
        <v>44795</v>
      </c>
      <c r="W27" s="312">
        <f t="shared" si="11"/>
        <v>5</v>
      </c>
      <c r="X27" s="311">
        <f t="shared" si="18"/>
        <v>44826</v>
      </c>
      <c r="Y27" s="312">
        <f t="shared" si="12"/>
        <v>7</v>
      </c>
      <c r="Z27" s="311">
        <f t="shared" si="19"/>
        <v>44856</v>
      </c>
      <c r="AA27" s="312">
        <f t="shared" si="13"/>
        <v>3</v>
      </c>
      <c r="AB27" s="311">
        <f t="shared" si="20"/>
        <v>44887</v>
      </c>
      <c r="AC27" s="312">
        <f t="shared" si="1"/>
        <v>5</v>
      </c>
      <c r="AD27" s="313">
        <f t="shared" si="21"/>
        <v>44917</v>
      </c>
    </row>
    <row r="28" spans="5:30">
      <c r="G28" s="310">
        <f t="shared" si="2"/>
        <v>1</v>
      </c>
      <c r="H28" s="311">
        <f t="shared" si="22"/>
        <v>44584</v>
      </c>
      <c r="I28" s="312">
        <f t="shared" si="3"/>
        <v>4</v>
      </c>
      <c r="J28" s="311">
        <f t="shared" si="22"/>
        <v>44615</v>
      </c>
      <c r="K28" s="312">
        <f t="shared" si="5"/>
        <v>4</v>
      </c>
      <c r="L28" s="311">
        <f t="shared" si="22"/>
        <v>44643</v>
      </c>
      <c r="M28" s="312">
        <f t="shared" si="6"/>
        <v>7</v>
      </c>
      <c r="N28" s="311">
        <f t="shared" si="22"/>
        <v>44674</v>
      </c>
      <c r="O28" s="312">
        <f t="shared" si="7"/>
        <v>2</v>
      </c>
      <c r="P28" s="311">
        <f t="shared" si="22"/>
        <v>44704</v>
      </c>
      <c r="Q28" s="312">
        <f t="shared" si="8"/>
        <v>5</v>
      </c>
      <c r="R28" s="311">
        <f t="shared" si="15"/>
        <v>44735</v>
      </c>
      <c r="S28" s="312">
        <f t="shared" si="9"/>
        <v>7</v>
      </c>
      <c r="T28" s="311">
        <f t="shared" si="16"/>
        <v>44765</v>
      </c>
      <c r="U28" s="312">
        <f t="shared" si="10"/>
        <v>3</v>
      </c>
      <c r="V28" s="311">
        <f t="shared" si="17"/>
        <v>44796</v>
      </c>
      <c r="W28" s="312">
        <f t="shared" si="11"/>
        <v>6</v>
      </c>
      <c r="X28" s="311">
        <f t="shared" si="18"/>
        <v>44827</v>
      </c>
      <c r="Y28" s="312">
        <f t="shared" si="12"/>
        <v>1</v>
      </c>
      <c r="Z28" s="311">
        <f t="shared" si="19"/>
        <v>44857</v>
      </c>
      <c r="AA28" s="312">
        <f t="shared" si="13"/>
        <v>4</v>
      </c>
      <c r="AB28" s="311">
        <f t="shared" si="20"/>
        <v>44888</v>
      </c>
      <c r="AC28" s="312">
        <f t="shared" si="1"/>
        <v>6</v>
      </c>
      <c r="AD28" s="313">
        <f t="shared" si="21"/>
        <v>44918</v>
      </c>
    </row>
    <row r="29" spans="5:30">
      <c r="G29" s="310">
        <f t="shared" si="2"/>
        <v>2</v>
      </c>
      <c r="H29" s="311">
        <f t="shared" si="22"/>
        <v>44585</v>
      </c>
      <c r="I29" s="312">
        <f t="shared" si="3"/>
        <v>5</v>
      </c>
      <c r="J29" s="311">
        <f t="shared" si="22"/>
        <v>44616</v>
      </c>
      <c r="K29" s="312">
        <f t="shared" si="5"/>
        <v>5</v>
      </c>
      <c r="L29" s="311">
        <f t="shared" si="22"/>
        <v>44644</v>
      </c>
      <c r="M29" s="312">
        <f t="shared" si="6"/>
        <v>1</v>
      </c>
      <c r="N29" s="311">
        <f t="shared" si="22"/>
        <v>44675</v>
      </c>
      <c r="O29" s="312">
        <f t="shared" si="7"/>
        <v>3</v>
      </c>
      <c r="P29" s="311">
        <f t="shared" si="22"/>
        <v>44705</v>
      </c>
      <c r="Q29" s="312">
        <f t="shared" si="8"/>
        <v>6</v>
      </c>
      <c r="R29" s="311">
        <f t="shared" si="15"/>
        <v>44736</v>
      </c>
      <c r="S29" s="312">
        <f t="shared" si="9"/>
        <v>1</v>
      </c>
      <c r="T29" s="311">
        <f t="shared" si="16"/>
        <v>44766</v>
      </c>
      <c r="U29" s="312">
        <f t="shared" si="10"/>
        <v>4</v>
      </c>
      <c r="V29" s="311">
        <f t="shared" si="17"/>
        <v>44797</v>
      </c>
      <c r="W29" s="312">
        <f t="shared" si="11"/>
        <v>7</v>
      </c>
      <c r="X29" s="311">
        <f t="shared" si="18"/>
        <v>44828</v>
      </c>
      <c r="Y29" s="312">
        <f t="shared" si="12"/>
        <v>2</v>
      </c>
      <c r="Z29" s="311">
        <f t="shared" si="19"/>
        <v>44858</v>
      </c>
      <c r="AA29" s="312">
        <f t="shared" si="13"/>
        <v>5</v>
      </c>
      <c r="AB29" s="311">
        <f t="shared" si="20"/>
        <v>44889</v>
      </c>
      <c r="AC29" s="312">
        <f t="shared" si="1"/>
        <v>7</v>
      </c>
      <c r="AD29" s="313">
        <f t="shared" si="21"/>
        <v>44919</v>
      </c>
    </row>
    <row r="30" spans="5:30">
      <c r="G30" s="310">
        <f t="shared" si="2"/>
        <v>3</v>
      </c>
      <c r="H30" s="311">
        <f t="shared" si="22"/>
        <v>44586</v>
      </c>
      <c r="I30" s="312">
        <f t="shared" si="3"/>
        <v>6</v>
      </c>
      <c r="J30" s="311">
        <f t="shared" si="22"/>
        <v>44617</v>
      </c>
      <c r="K30" s="312">
        <f t="shared" si="5"/>
        <v>6</v>
      </c>
      <c r="L30" s="311">
        <f t="shared" si="22"/>
        <v>44645</v>
      </c>
      <c r="M30" s="312">
        <f t="shared" si="6"/>
        <v>2</v>
      </c>
      <c r="N30" s="311">
        <f t="shared" si="22"/>
        <v>44676</v>
      </c>
      <c r="O30" s="312">
        <f t="shared" si="7"/>
        <v>4</v>
      </c>
      <c r="P30" s="311">
        <f t="shared" si="22"/>
        <v>44706</v>
      </c>
      <c r="Q30" s="312">
        <f t="shared" si="8"/>
        <v>7</v>
      </c>
      <c r="R30" s="311">
        <f t="shared" si="15"/>
        <v>44737</v>
      </c>
      <c r="S30" s="312">
        <f t="shared" si="9"/>
        <v>2</v>
      </c>
      <c r="T30" s="311">
        <f t="shared" si="16"/>
        <v>44767</v>
      </c>
      <c r="U30" s="312">
        <f t="shared" si="10"/>
        <v>5</v>
      </c>
      <c r="V30" s="311">
        <f t="shared" si="17"/>
        <v>44798</v>
      </c>
      <c r="W30" s="312">
        <f t="shared" si="11"/>
        <v>1</v>
      </c>
      <c r="X30" s="311">
        <f t="shared" si="18"/>
        <v>44829</v>
      </c>
      <c r="Y30" s="312">
        <f t="shared" si="12"/>
        <v>3</v>
      </c>
      <c r="Z30" s="311">
        <f t="shared" si="19"/>
        <v>44859</v>
      </c>
      <c r="AA30" s="312">
        <f t="shared" si="13"/>
        <v>6</v>
      </c>
      <c r="AB30" s="311">
        <f t="shared" si="20"/>
        <v>44890</v>
      </c>
      <c r="AC30" s="312">
        <f t="shared" si="1"/>
        <v>1</v>
      </c>
      <c r="AD30" s="313">
        <f t="shared" si="21"/>
        <v>44920</v>
      </c>
    </row>
    <row r="31" spans="5:30">
      <c r="G31" s="310">
        <f t="shared" si="2"/>
        <v>4</v>
      </c>
      <c r="H31" s="311">
        <f>H30+1</f>
        <v>44587</v>
      </c>
      <c r="I31" s="312">
        <f t="shared" si="3"/>
        <v>7</v>
      </c>
      <c r="J31" s="311">
        <f t="shared" si="22"/>
        <v>44618</v>
      </c>
      <c r="K31" s="312">
        <f t="shared" si="5"/>
        <v>7</v>
      </c>
      <c r="L31" s="311">
        <f t="shared" si="22"/>
        <v>44646</v>
      </c>
      <c r="M31" s="312">
        <f t="shared" si="6"/>
        <v>3</v>
      </c>
      <c r="N31" s="311">
        <f t="shared" si="22"/>
        <v>44677</v>
      </c>
      <c r="O31" s="312">
        <f t="shared" si="7"/>
        <v>5</v>
      </c>
      <c r="P31" s="311">
        <f t="shared" si="22"/>
        <v>44707</v>
      </c>
      <c r="Q31" s="312">
        <f t="shared" si="8"/>
        <v>1</v>
      </c>
      <c r="R31" s="311">
        <f t="shared" si="15"/>
        <v>44738</v>
      </c>
      <c r="S31" s="312">
        <f t="shared" si="9"/>
        <v>3</v>
      </c>
      <c r="T31" s="311">
        <f t="shared" si="16"/>
        <v>44768</v>
      </c>
      <c r="U31" s="312">
        <f t="shared" si="10"/>
        <v>6</v>
      </c>
      <c r="V31" s="311">
        <f t="shared" si="17"/>
        <v>44799</v>
      </c>
      <c r="W31" s="312">
        <f t="shared" si="11"/>
        <v>2</v>
      </c>
      <c r="X31" s="311">
        <f t="shared" si="18"/>
        <v>44830</v>
      </c>
      <c r="Y31" s="312">
        <f t="shared" si="12"/>
        <v>4</v>
      </c>
      <c r="Z31" s="311">
        <f t="shared" si="19"/>
        <v>44860</v>
      </c>
      <c r="AA31" s="312">
        <f t="shared" si="13"/>
        <v>7</v>
      </c>
      <c r="AB31" s="311">
        <f t="shared" si="20"/>
        <v>44891</v>
      </c>
      <c r="AC31" s="312">
        <f t="shared" si="1"/>
        <v>2</v>
      </c>
      <c r="AD31" s="313">
        <f t="shared" si="21"/>
        <v>44921</v>
      </c>
    </row>
    <row r="32" spans="5:30">
      <c r="G32" s="310">
        <f t="shared" si="2"/>
        <v>5</v>
      </c>
      <c r="H32" s="311">
        <f t="shared" si="22"/>
        <v>44588</v>
      </c>
      <c r="I32" s="312">
        <f t="shared" si="3"/>
        <v>1</v>
      </c>
      <c r="J32" s="311">
        <f t="shared" si="22"/>
        <v>44619</v>
      </c>
      <c r="K32" s="312">
        <f t="shared" si="5"/>
        <v>1</v>
      </c>
      <c r="L32" s="311">
        <f t="shared" si="22"/>
        <v>44647</v>
      </c>
      <c r="M32" s="312">
        <f t="shared" si="6"/>
        <v>4</v>
      </c>
      <c r="N32" s="311">
        <f t="shared" si="22"/>
        <v>44678</v>
      </c>
      <c r="O32" s="312">
        <f t="shared" si="7"/>
        <v>6</v>
      </c>
      <c r="P32" s="311">
        <f t="shared" si="22"/>
        <v>44708</v>
      </c>
      <c r="Q32" s="312">
        <f t="shared" si="8"/>
        <v>2</v>
      </c>
      <c r="R32" s="311">
        <f t="shared" si="15"/>
        <v>44739</v>
      </c>
      <c r="S32" s="312">
        <f t="shared" si="9"/>
        <v>4</v>
      </c>
      <c r="T32" s="311">
        <f t="shared" si="16"/>
        <v>44769</v>
      </c>
      <c r="U32" s="312">
        <f t="shared" si="10"/>
        <v>7</v>
      </c>
      <c r="V32" s="311">
        <f t="shared" si="17"/>
        <v>44800</v>
      </c>
      <c r="W32" s="312">
        <f t="shared" si="11"/>
        <v>3</v>
      </c>
      <c r="X32" s="311">
        <f t="shared" si="18"/>
        <v>44831</v>
      </c>
      <c r="Y32" s="312">
        <f t="shared" si="12"/>
        <v>5</v>
      </c>
      <c r="Z32" s="311">
        <f t="shared" si="19"/>
        <v>44861</v>
      </c>
      <c r="AA32" s="312">
        <f t="shared" si="13"/>
        <v>1</v>
      </c>
      <c r="AB32" s="311">
        <f t="shared" si="20"/>
        <v>44892</v>
      </c>
      <c r="AC32" s="312">
        <f t="shared" si="1"/>
        <v>3</v>
      </c>
      <c r="AD32" s="313">
        <f t="shared" si="21"/>
        <v>44922</v>
      </c>
    </row>
    <row r="33" spans="7:30">
      <c r="G33" s="310">
        <f t="shared" si="2"/>
        <v>6</v>
      </c>
      <c r="H33" s="311">
        <f t="shared" si="22"/>
        <v>44589</v>
      </c>
      <c r="I33" s="312">
        <f t="shared" si="3"/>
        <v>2</v>
      </c>
      <c r="J33" s="311">
        <f t="shared" si="22"/>
        <v>44620</v>
      </c>
      <c r="K33" s="312">
        <f t="shared" si="5"/>
        <v>2</v>
      </c>
      <c r="L33" s="311">
        <f t="shared" si="22"/>
        <v>44648</v>
      </c>
      <c r="M33" s="312">
        <f t="shared" si="6"/>
        <v>5</v>
      </c>
      <c r="N33" s="311">
        <f t="shared" si="22"/>
        <v>44679</v>
      </c>
      <c r="O33" s="312">
        <f t="shared" si="7"/>
        <v>7</v>
      </c>
      <c r="P33" s="311">
        <f t="shared" si="22"/>
        <v>44709</v>
      </c>
      <c r="Q33" s="312">
        <f t="shared" si="8"/>
        <v>3</v>
      </c>
      <c r="R33" s="311">
        <f t="shared" si="15"/>
        <v>44740</v>
      </c>
      <c r="S33" s="312">
        <f t="shared" si="9"/>
        <v>5</v>
      </c>
      <c r="T33" s="311">
        <f t="shared" si="16"/>
        <v>44770</v>
      </c>
      <c r="U33" s="312">
        <f t="shared" si="10"/>
        <v>1</v>
      </c>
      <c r="V33" s="311">
        <f t="shared" si="17"/>
        <v>44801</v>
      </c>
      <c r="W33" s="312">
        <f t="shared" si="11"/>
        <v>4</v>
      </c>
      <c r="X33" s="311">
        <f t="shared" si="18"/>
        <v>44832</v>
      </c>
      <c r="Y33" s="312">
        <f t="shared" si="12"/>
        <v>6</v>
      </c>
      <c r="Z33" s="311">
        <f t="shared" si="19"/>
        <v>44862</v>
      </c>
      <c r="AA33" s="312">
        <f t="shared" si="13"/>
        <v>2</v>
      </c>
      <c r="AB33" s="311">
        <f t="shared" si="20"/>
        <v>44893</v>
      </c>
      <c r="AC33" s="312">
        <f t="shared" si="1"/>
        <v>4</v>
      </c>
      <c r="AD33" s="313">
        <f t="shared" si="21"/>
        <v>44923</v>
      </c>
    </row>
    <row r="34" spans="7:30">
      <c r="G34" s="310">
        <f t="shared" si="2"/>
        <v>7</v>
      </c>
      <c r="H34" s="311">
        <f t="shared" si="22"/>
        <v>44590</v>
      </c>
      <c r="I34" s="312">
        <f t="shared" si="3"/>
        <v>7</v>
      </c>
      <c r="J34" s="311"/>
      <c r="K34" s="312">
        <f t="shared" si="5"/>
        <v>3</v>
      </c>
      <c r="L34" s="311">
        <f t="shared" si="22"/>
        <v>44649</v>
      </c>
      <c r="M34" s="312">
        <f t="shared" si="6"/>
        <v>6</v>
      </c>
      <c r="N34" s="311">
        <f t="shared" si="22"/>
        <v>44680</v>
      </c>
      <c r="O34" s="312">
        <f t="shared" si="7"/>
        <v>1</v>
      </c>
      <c r="P34" s="311">
        <f t="shared" si="22"/>
        <v>44710</v>
      </c>
      <c r="Q34" s="312">
        <f t="shared" si="8"/>
        <v>4</v>
      </c>
      <c r="R34" s="311">
        <f t="shared" si="15"/>
        <v>44741</v>
      </c>
      <c r="S34" s="312">
        <f t="shared" si="9"/>
        <v>6</v>
      </c>
      <c r="T34" s="311">
        <f t="shared" si="16"/>
        <v>44771</v>
      </c>
      <c r="U34" s="312">
        <f t="shared" si="10"/>
        <v>2</v>
      </c>
      <c r="V34" s="311">
        <f t="shared" si="17"/>
        <v>44802</v>
      </c>
      <c r="W34" s="312">
        <f t="shared" si="11"/>
        <v>5</v>
      </c>
      <c r="X34" s="311">
        <f t="shared" si="18"/>
        <v>44833</v>
      </c>
      <c r="Y34" s="312">
        <f t="shared" si="12"/>
        <v>7</v>
      </c>
      <c r="Z34" s="311">
        <f t="shared" si="19"/>
        <v>44863</v>
      </c>
      <c r="AA34" s="312">
        <f t="shared" si="13"/>
        <v>3</v>
      </c>
      <c r="AB34" s="311">
        <f t="shared" si="20"/>
        <v>44894</v>
      </c>
      <c r="AC34" s="312">
        <f t="shared" si="1"/>
        <v>5</v>
      </c>
      <c r="AD34" s="313">
        <f t="shared" si="21"/>
        <v>44924</v>
      </c>
    </row>
    <row r="35" spans="7:30">
      <c r="G35" s="310">
        <f t="shared" si="2"/>
        <v>1</v>
      </c>
      <c r="H35" s="311">
        <f t="shared" si="22"/>
        <v>44591</v>
      </c>
      <c r="I35" s="312">
        <f t="shared" si="3"/>
        <v>7</v>
      </c>
      <c r="J35" s="311"/>
      <c r="K35" s="312">
        <f t="shared" si="5"/>
        <v>4</v>
      </c>
      <c r="L35" s="311">
        <f t="shared" si="22"/>
        <v>44650</v>
      </c>
      <c r="M35" s="312">
        <f t="shared" si="6"/>
        <v>7</v>
      </c>
      <c r="N35" s="311">
        <f t="shared" si="22"/>
        <v>44681</v>
      </c>
      <c r="O35" s="312">
        <f t="shared" si="7"/>
        <v>2</v>
      </c>
      <c r="P35" s="311">
        <f t="shared" si="22"/>
        <v>44711</v>
      </c>
      <c r="Q35" s="312">
        <f t="shared" si="8"/>
        <v>5</v>
      </c>
      <c r="R35" s="311">
        <f t="shared" si="15"/>
        <v>44742</v>
      </c>
      <c r="S35" s="312">
        <f t="shared" si="9"/>
        <v>7</v>
      </c>
      <c r="T35" s="311">
        <f t="shared" si="16"/>
        <v>44772</v>
      </c>
      <c r="U35" s="312">
        <f t="shared" si="10"/>
        <v>3</v>
      </c>
      <c r="V35" s="311">
        <f t="shared" si="17"/>
        <v>44803</v>
      </c>
      <c r="W35" s="312">
        <f t="shared" si="11"/>
        <v>6</v>
      </c>
      <c r="X35" s="311">
        <f t="shared" si="18"/>
        <v>44834</v>
      </c>
      <c r="Y35" s="312">
        <f t="shared" si="12"/>
        <v>1</v>
      </c>
      <c r="Z35" s="311">
        <f t="shared" si="19"/>
        <v>44864</v>
      </c>
      <c r="AA35" s="312">
        <f t="shared" si="13"/>
        <v>4</v>
      </c>
      <c r="AB35" s="311">
        <f t="shared" si="20"/>
        <v>44895</v>
      </c>
      <c r="AC35" s="312">
        <f t="shared" si="1"/>
        <v>6</v>
      </c>
      <c r="AD35" s="313">
        <f t="shared" si="21"/>
        <v>44925</v>
      </c>
    </row>
    <row r="36" spans="7:30" ht="15.75" thickBot="1">
      <c r="G36" s="310">
        <f t="shared" si="2"/>
        <v>2</v>
      </c>
      <c r="H36" s="314">
        <f t="shared" si="22"/>
        <v>44592</v>
      </c>
      <c r="I36" s="312">
        <f t="shared" si="3"/>
        <v>7</v>
      </c>
      <c r="J36" s="314"/>
      <c r="K36" s="312">
        <f t="shared" si="5"/>
        <v>5</v>
      </c>
      <c r="L36" s="314">
        <f t="shared" si="22"/>
        <v>44651</v>
      </c>
      <c r="M36" s="312">
        <f t="shared" si="6"/>
        <v>7</v>
      </c>
      <c r="N36" s="314"/>
      <c r="O36" s="312">
        <f t="shared" si="7"/>
        <v>3</v>
      </c>
      <c r="P36" s="314">
        <f t="shared" si="22"/>
        <v>44712</v>
      </c>
      <c r="Q36" s="312">
        <f t="shared" si="8"/>
        <v>7</v>
      </c>
      <c r="R36" s="314"/>
      <c r="S36" s="312">
        <f t="shared" si="9"/>
        <v>1</v>
      </c>
      <c r="T36" s="314">
        <f t="shared" si="16"/>
        <v>44773</v>
      </c>
      <c r="U36" s="312">
        <f t="shared" si="10"/>
        <v>4</v>
      </c>
      <c r="V36" s="314">
        <f t="shared" si="17"/>
        <v>44804</v>
      </c>
      <c r="W36" s="312">
        <f t="shared" si="11"/>
        <v>7</v>
      </c>
      <c r="X36" s="314"/>
      <c r="Y36" s="312">
        <f t="shared" si="12"/>
        <v>2</v>
      </c>
      <c r="Z36" s="314">
        <f t="shared" si="19"/>
        <v>44865</v>
      </c>
      <c r="AA36" s="312">
        <f t="shared" si="13"/>
        <v>7</v>
      </c>
      <c r="AB36" s="314"/>
      <c r="AC36" s="315">
        <f>WEEKDAY(AD36,1)</f>
        <v>7</v>
      </c>
      <c r="AD36" s="316">
        <f t="shared" si="21"/>
        <v>44926</v>
      </c>
    </row>
  </sheetData>
  <conditionalFormatting sqref="AC6:AC36 G6:G36 I6:I36 K6:K36 M6:M36 O6:O36 Q6:Q36 S6:S36 U6:U36 W6:W36 Y6:Y36 AA6:AA36">
    <cfRule type="cellIs" dxfId="37" priority="19" operator="notBetween">
      <formula>2</formula>
      <formula>6</formula>
    </cfRule>
  </conditionalFormatting>
  <conditionalFormatting sqref="H6:H36 J6:J36 L6:L36 N6:N36 P6:P36 R6:R36 T6:T36 V6:V36 X6:X36 Z6:Z36 AB6:AB36 AD6:AD36">
    <cfRule type="expression" dxfId="36" priority="13">
      <formula>COUNTIFS($B$3:$B$15,H$6,$B$3:$B$15,J$6,$B$3:$B$15,L$6,$B$3:$B$15,N$6,$B$3:$B$15,P$6,$B$3:$B$15,R$6,$B$3:$B$15,T$6,$B$3:$B$15,V$6,$B$3:$B$15,X$6,$B$3:$B$15,Z$6,$B$3:$B$15,AB$6,$B$3:$B$15,AD$6)&gt;0</formula>
    </cfRule>
  </conditionalFormatting>
  <conditionalFormatting sqref="H6:H36">
    <cfRule type="expression" dxfId="35" priority="12">
      <formula>COUNTIFS($B$3:$B$15,$H6)</formula>
    </cfRule>
  </conditionalFormatting>
  <conditionalFormatting sqref="J6:J36">
    <cfRule type="expression" dxfId="34" priority="11">
      <formula>COUNTIFS($B$3:$B$15,$J1048552)&gt;0</formula>
    </cfRule>
  </conditionalFormatting>
  <conditionalFormatting sqref="L6:L36">
    <cfRule type="expression" dxfId="33" priority="10">
      <formula>COUNTIFS($B$3:$B$15,$L6)&gt;0</formula>
    </cfRule>
  </conditionalFormatting>
  <conditionalFormatting sqref="N6:N36">
    <cfRule type="expression" dxfId="32" priority="9">
      <formula>COUNTIFS($B$3:$B$15,$N6)&gt;0</formula>
    </cfRule>
  </conditionalFormatting>
  <conditionalFormatting sqref="P6:P36">
    <cfRule type="expression" dxfId="31" priority="8">
      <formula>COUNTIFS($B$3:$B$15,$P6)&gt;0</formula>
    </cfRule>
  </conditionalFormatting>
  <conditionalFormatting sqref="R6:R36">
    <cfRule type="expression" dxfId="30" priority="7">
      <formula>COUNTIFS($B$3:$B$15,$R6)&gt;0</formula>
    </cfRule>
  </conditionalFormatting>
  <conditionalFormatting sqref="T6:T36">
    <cfRule type="expression" dxfId="29" priority="6">
      <formula>COUNTIFS($B$3:$B$15,$T6)&gt;0</formula>
    </cfRule>
  </conditionalFormatting>
  <conditionalFormatting sqref="V6:V36">
    <cfRule type="expression" dxfId="28" priority="5">
      <formula>COUNTIFS($B$3:$B$15,$V6)&gt;0</formula>
    </cfRule>
  </conditionalFormatting>
  <conditionalFormatting sqref="X6:X36">
    <cfRule type="expression" dxfId="27" priority="4">
      <formula>COUNTIFS($B$3:$B$15,$X6)&gt;0</formula>
    </cfRule>
  </conditionalFormatting>
  <conditionalFormatting sqref="Z6:Z36">
    <cfRule type="expression" dxfId="26" priority="3">
      <formula>COUNTIFS($B$3:$B$15,$Z6)&gt;0</formula>
    </cfRule>
  </conditionalFormatting>
  <conditionalFormatting sqref="AB6:AB36">
    <cfRule type="expression" dxfId="25" priority="2">
      <formula>COUNTIFS($B$3:$B$15,$AB6)&gt;0</formula>
    </cfRule>
  </conditionalFormatting>
  <conditionalFormatting sqref="AD6:AD36">
    <cfRule type="expression" dxfId="24" priority="1">
      <formula>COUNTIFS($B$3:$B$15,$AD6)&gt;0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6</xdr:col>
                    <xdr:colOff>28575</xdr:colOff>
                    <xdr:row>0</xdr:row>
                    <xdr:rowOff>9525</xdr:rowOff>
                  </from>
                  <to>
                    <xdr:col>8</xdr:col>
                    <xdr:colOff>247650</xdr:colOff>
                    <xdr:row>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61D05-D648-462B-A813-56FC37FD1917}">
  <sheetPr codeName="Feuil4">
    <tabColor theme="7" tint="0.79998168889431442"/>
  </sheetPr>
  <dimension ref="A3:O39"/>
  <sheetViews>
    <sheetView showGridLines="0" topLeftCell="A4" workbookViewId="0">
      <selection activeCell="B33" sqref="B33:B37"/>
    </sheetView>
  </sheetViews>
  <sheetFormatPr baseColWidth="10" defaultRowHeight="15"/>
  <cols>
    <col min="1" max="1" width="20.85546875" customWidth="1"/>
    <col min="2" max="6" width="26.5703125" customWidth="1"/>
    <col min="7" max="7" width="25" customWidth="1"/>
    <col min="8" max="8" width="21.85546875" customWidth="1"/>
    <col min="9" max="9" width="25.28515625" customWidth="1"/>
    <col min="10" max="20" width="8.42578125" customWidth="1"/>
  </cols>
  <sheetData>
    <row r="3" spans="1:15">
      <c r="A3" s="409" t="s">
        <v>361</v>
      </c>
      <c r="B3" s="408" t="s">
        <v>237</v>
      </c>
      <c r="C3" s="390" t="s">
        <v>380</v>
      </c>
      <c r="D3" s="390" t="s">
        <v>381</v>
      </c>
      <c r="E3" s="390" t="s">
        <v>382</v>
      </c>
      <c r="H3" s="277"/>
      <c r="I3" s="277"/>
      <c r="J3" s="276"/>
      <c r="K3" s="276"/>
    </row>
    <row r="4" spans="1:15">
      <c r="A4" s="410">
        <f>COUNTA(B3:BE3)-1</f>
        <v>3</v>
      </c>
      <c r="B4" s="408" t="s">
        <v>238</v>
      </c>
      <c r="C4" s="390" t="s">
        <v>360</v>
      </c>
      <c r="D4" s="390" t="s">
        <v>378</v>
      </c>
      <c r="E4" s="390" t="s">
        <v>379</v>
      </c>
      <c r="H4" s="277"/>
      <c r="I4" s="277"/>
      <c r="J4" s="276"/>
      <c r="K4" s="276"/>
    </row>
    <row r="5" spans="1:15">
      <c r="B5" s="408" t="s">
        <v>239</v>
      </c>
      <c r="C5" s="391">
        <v>32867</v>
      </c>
      <c r="D5" s="391">
        <v>28651</v>
      </c>
      <c r="E5" s="391">
        <v>26465</v>
      </c>
      <c r="H5" s="279"/>
      <c r="I5" s="279"/>
      <c r="J5" s="276"/>
      <c r="K5" s="276"/>
    </row>
    <row r="6" spans="1:15">
      <c r="B6" s="408" t="s">
        <v>204</v>
      </c>
      <c r="C6" s="391">
        <v>40954</v>
      </c>
      <c r="D6" s="391">
        <v>39622</v>
      </c>
      <c r="E6" s="391">
        <v>42248</v>
      </c>
      <c r="H6" s="279"/>
      <c r="I6" s="279"/>
      <c r="J6" s="276"/>
      <c r="K6" s="276"/>
    </row>
    <row r="7" spans="1:15">
      <c r="B7" s="408" t="s">
        <v>245</v>
      </c>
      <c r="C7" s="391"/>
      <c r="D7" s="391"/>
      <c r="E7" s="391"/>
      <c r="F7" s="265"/>
      <c r="H7" s="277"/>
      <c r="I7" s="277"/>
      <c r="J7" s="276"/>
      <c r="K7" s="276"/>
    </row>
    <row r="8" spans="1:15">
      <c r="B8" s="408" t="s">
        <v>240</v>
      </c>
      <c r="C8" s="390" t="s">
        <v>246</v>
      </c>
      <c r="D8" s="390" t="s">
        <v>246</v>
      </c>
      <c r="E8" s="390" t="s">
        <v>246</v>
      </c>
      <c r="H8" s="277"/>
      <c r="I8" s="277"/>
      <c r="J8" s="276"/>
      <c r="K8" s="276"/>
    </row>
    <row r="9" spans="1:15">
      <c r="B9" s="408" t="s">
        <v>241</v>
      </c>
      <c r="C9" s="390" t="s">
        <v>383</v>
      </c>
      <c r="D9" s="390" t="s">
        <v>383</v>
      </c>
      <c r="E9" s="390" t="s">
        <v>383</v>
      </c>
      <c r="F9" s="443"/>
      <c r="G9" s="443"/>
      <c r="H9" s="443"/>
      <c r="I9" s="443"/>
      <c r="J9" s="443"/>
      <c r="K9" s="443"/>
      <c r="L9" s="443"/>
      <c r="M9" s="443"/>
      <c r="N9" s="443"/>
      <c r="O9" s="443"/>
    </row>
    <row r="10" spans="1:15">
      <c r="B10" s="408" t="s">
        <v>271</v>
      </c>
      <c r="C10" s="390">
        <v>35</v>
      </c>
      <c r="D10" s="390">
        <v>35</v>
      </c>
      <c r="E10" s="390">
        <v>35</v>
      </c>
      <c r="G10" s="442"/>
      <c r="H10" s="277"/>
      <c r="I10" s="277"/>
      <c r="J10" s="276"/>
      <c r="K10" s="276"/>
    </row>
    <row r="11" spans="1:15">
      <c r="B11" s="408" t="s">
        <v>242</v>
      </c>
      <c r="C11" s="390"/>
      <c r="D11" s="390"/>
      <c r="E11" s="390"/>
    </row>
    <row r="12" spans="1:15">
      <c r="B12" s="408" t="s">
        <v>243</v>
      </c>
      <c r="C12" s="390"/>
      <c r="D12" s="390"/>
      <c r="E12" s="390"/>
      <c r="H12" s="277"/>
      <c r="I12" s="277"/>
      <c r="J12" s="276"/>
      <c r="K12" s="276"/>
    </row>
    <row r="13" spans="1:15">
      <c r="B13" s="408" t="s">
        <v>244</v>
      </c>
      <c r="C13" s="392"/>
      <c r="D13" s="392"/>
      <c r="E13" s="392"/>
      <c r="H13" s="277"/>
      <c r="I13" s="277"/>
      <c r="J13" s="276"/>
      <c r="K13" s="276"/>
    </row>
    <row r="14" spans="1:15">
      <c r="B14" s="408" t="s">
        <v>158</v>
      </c>
      <c r="C14" s="393">
        <f>$B$39*1.21</f>
        <v>1939.7751999999998</v>
      </c>
      <c r="D14" s="393">
        <f t="shared" ref="D14" si="0">$B$39*1.25</f>
        <v>2003.8999999999999</v>
      </c>
      <c r="E14" s="393">
        <f>$B$39*1.22</f>
        <v>1955.8063999999997</v>
      </c>
      <c r="H14" s="280"/>
      <c r="I14" s="280"/>
      <c r="J14" s="276"/>
      <c r="K14" s="276"/>
    </row>
    <row r="15" spans="1:15">
      <c r="B15" s="408" t="s">
        <v>168</v>
      </c>
      <c r="C15" s="393">
        <f>C14/151.67</f>
        <v>12.789445506692161</v>
      </c>
      <c r="D15" s="393">
        <f t="shared" ref="D15:E15" si="1">D14/151.67</f>
        <v>13.212237093690248</v>
      </c>
      <c r="E15" s="393">
        <f t="shared" si="1"/>
        <v>12.895143403441681</v>
      </c>
    </row>
    <row r="16" spans="1:15">
      <c r="B16" s="408" t="s">
        <v>281</v>
      </c>
      <c r="C16" s="390">
        <v>200</v>
      </c>
      <c r="D16" s="390">
        <v>100</v>
      </c>
      <c r="E16" s="390">
        <v>150</v>
      </c>
    </row>
    <row r="17" spans="1:8">
      <c r="B17" s="408" t="s">
        <v>284</v>
      </c>
      <c r="C17" s="393">
        <f ca="1">C14*(DATEDIF(C$6,TODAY(),"y")*2%)</f>
        <v>387.95504</v>
      </c>
      <c r="D17" s="393">
        <f t="shared" ref="D17" ca="1" si="2">D14*(DATEDIF(D$6,TODAY(),"y")*2%)</f>
        <v>521.01400000000001</v>
      </c>
      <c r="E17" s="393">
        <f ca="1">E14*(DATEDIF(E$6,TODAY(),"y")*2%)</f>
        <v>234.69676799999996</v>
      </c>
    </row>
    <row r="18" spans="1:8" hidden="1">
      <c r="B18" s="408" t="s">
        <v>332</v>
      </c>
      <c r="C18" s="390"/>
      <c r="D18" s="390"/>
      <c r="E18" s="394"/>
    </row>
    <row r="19" spans="1:8">
      <c r="B19" s="408" t="s">
        <v>268</v>
      </c>
      <c r="C19" s="395" t="s">
        <v>281</v>
      </c>
      <c r="D19" s="395" t="s">
        <v>281</v>
      </c>
      <c r="E19" s="395" t="s">
        <v>281</v>
      </c>
    </row>
    <row r="20" spans="1:8">
      <c r="B20" s="408" t="s">
        <v>269</v>
      </c>
      <c r="C20" s="395" t="s">
        <v>284</v>
      </c>
      <c r="D20" s="395" t="s">
        <v>284</v>
      </c>
      <c r="E20" s="395" t="s">
        <v>284</v>
      </c>
    </row>
    <row r="21" spans="1:8" hidden="1">
      <c r="B21" s="408" t="s">
        <v>270</v>
      </c>
      <c r="C21" s="395" t="s">
        <v>337</v>
      </c>
      <c r="D21" s="395" t="s">
        <v>337</v>
      </c>
      <c r="E21" s="395" t="s">
        <v>337</v>
      </c>
    </row>
    <row r="22" spans="1:8">
      <c r="B22" s="408" t="s">
        <v>359</v>
      </c>
      <c r="C22" s="390" t="s">
        <v>23</v>
      </c>
      <c r="D22" s="394" t="s">
        <v>24</v>
      </c>
      <c r="E22" s="232" t="s">
        <v>24</v>
      </c>
    </row>
    <row r="23" spans="1:8">
      <c r="B23" s="458" t="s">
        <v>399</v>
      </c>
      <c r="C23" s="628">
        <f ca="1">((C14+C16)*12)+C17+((C15*1.25)*32)</f>
        <v>26576.835260267686</v>
      </c>
      <c r="D23" s="629">
        <f ca="1">((D14+D16)*12)+D17+(D15*1.25*43)+(D15*1.5*7)</f>
        <v>26616.700233269592</v>
      </c>
      <c r="E23" s="629">
        <f ca="1">((E14+E16)*12)+E17+(E15*1.25*12)+(E15*1.5*1)+14045.65</f>
        <v>39762.793434156782</v>
      </c>
    </row>
    <row r="24" spans="1:8">
      <c r="B24" s="458" t="s">
        <v>403</v>
      </c>
      <c r="C24" s="630">
        <v>1</v>
      </c>
      <c r="D24" s="631">
        <v>1</v>
      </c>
      <c r="E24" s="631">
        <v>1</v>
      </c>
    </row>
    <row r="25" spans="1:8">
      <c r="B25" s="458" t="s">
        <v>400</v>
      </c>
      <c r="C25" s="628">
        <v>1.5</v>
      </c>
      <c r="D25" s="632">
        <v>2</v>
      </c>
      <c r="E25" s="632">
        <v>2.5</v>
      </c>
    </row>
    <row r="26" spans="1:8">
      <c r="B26" s="458" t="s">
        <v>401</v>
      </c>
      <c r="C26" s="633">
        <f ca="1">C23/C25</f>
        <v>17717.890173511791</v>
      </c>
      <c r="D26" s="632">
        <f ca="1">D23/D25</f>
        <v>13308.350116634796</v>
      </c>
      <c r="E26" s="632">
        <f ca="1">E23/E25</f>
        <v>15905.117373662713</v>
      </c>
    </row>
    <row r="28" spans="1:8">
      <c r="A28" s="323" t="s">
        <v>302</v>
      </c>
      <c r="B28" s="387"/>
      <c r="C28" s="346"/>
      <c r="D28" s="346"/>
      <c r="E28" s="346"/>
      <c r="F28" s="346"/>
      <c r="G28" s="346"/>
      <c r="H28" s="346"/>
    </row>
    <row r="29" spans="1:8">
      <c r="A29" s="323" t="s">
        <v>303</v>
      </c>
      <c r="B29" s="411">
        <v>0.02</v>
      </c>
      <c r="C29" s="445"/>
      <c r="D29" s="445"/>
      <c r="E29" s="445"/>
      <c r="F29" s="445"/>
      <c r="G29" s="346"/>
      <c r="H29" s="346"/>
    </row>
    <row r="30" spans="1:8">
      <c r="A30" s="323" t="s">
        <v>363</v>
      </c>
      <c r="B30" s="387">
        <v>50</v>
      </c>
      <c r="C30" s="346"/>
      <c r="D30" s="346"/>
      <c r="E30" s="346"/>
      <c r="F30" s="346"/>
      <c r="G30" s="346"/>
      <c r="H30" s="346"/>
    </row>
    <row r="31" spans="1:8">
      <c r="H31" s="446">
        <f ca="1">(DATEDIF(C$6,TODAY(),"y")*6%)</f>
        <v>0.6</v>
      </c>
    </row>
    <row r="32" spans="1:8">
      <c r="A32" s="323" t="s">
        <v>177</v>
      </c>
      <c r="B32" s="328" t="s">
        <v>385</v>
      </c>
      <c r="C32" s="388"/>
      <c r="D32" s="388"/>
      <c r="E32" s="388"/>
      <c r="F32" s="388"/>
      <c r="G32" s="388"/>
      <c r="H32" s="388"/>
    </row>
    <row r="33" spans="1:8">
      <c r="A33" s="323" t="s">
        <v>178</v>
      </c>
      <c r="B33" s="328"/>
      <c r="C33" s="388"/>
      <c r="D33" s="388"/>
      <c r="E33" s="388"/>
      <c r="F33" s="388"/>
      <c r="G33" s="388"/>
      <c r="H33" s="388"/>
    </row>
    <row r="34" spans="1:8">
      <c r="A34" s="323" t="s">
        <v>179</v>
      </c>
      <c r="B34" s="328"/>
      <c r="C34" s="388"/>
      <c r="D34" s="388"/>
      <c r="E34" s="388"/>
      <c r="F34" s="388"/>
      <c r="G34" s="388"/>
      <c r="H34" s="388"/>
    </row>
    <row r="35" spans="1:8">
      <c r="A35" s="323" t="s">
        <v>180</v>
      </c>
      <c r="B35" s="328"/>
      <c r="C35" s="388"/>
      <c r="D35" s="388"/>
      <c r="E35" s="388"/>
      <c r="F35" s="388"/>
      <c r="G35" s="388"/>
      <c r="H35" s="388"/>
    </row>
    <row r="36" spans="1:8">
      <c r="A36" s="323" t="s">
        <v>181</v>
      </c>
      <c r="B36" s="329"/>
      <c r="C36" s="389"/>
      <c r="D36" s="389"/>
      <c r="E36" s="389"/>
      <c r="F36" s="389"/>
      <c r="G36" s="389"/>
      <c r="H36" s="389"/>
    </row>
    <row r="37" spans="1:8" ht="15" customHeight="1">
      <c r="A37" s="323" t="s">
        <v>182</v>
      </c>
      <c r="B37" s="328"/>
      <c r="C37" s="388"/>
      <c r="D37" s="388"/>
      <c r="E37" s="388"/>
      <c r="F37" s="388"/>
      <c r="G37" s="388"/>
      <c r="H37" s="388"/>
    </row>
    <row r="39" spans="1:8">
      <c r="A39" s="323" t="s">
        <v>384</v>
      </c>
      <c r="B39" s="328">
        <v>1603.12</v>
      </c>
      <c r="C39" s="388"/>
      <c r="D39" s="388"/>
      <c r="E39" s="388"/>
      <c r="F39" s="388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AD6B312-C94E-41A3-A250-01BE0BC5A970}">
          <x14:formula1>
            <xm:f>'Informations paye_entreprise'!$A$15:$A$36</xm:f>
          </x14:formula1>
          <xm:sqref>C19:E21</xm:sqref>
        </x14:dataValidation>
        <x14:dataValidation type="list" allowBlank="1" showInputMessage="1" showErrorMessage="1" xr:uid="{5159C59C-B537-45FD-BC16-5B455016F608}">
          <x14:formula1>
            <xm:f>'Informations paye_entreprise'!$C$16:$C$17</xm:f>
          </x14:formula1>
          <xm:sqref>C22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84436-3413-4A5E-AAE8-F9B48B36E2A1}">
  <sheetPr codeName="Feuil3">
    <tabColor theme="7" tint="0.59999389629810485"/>
  </sheetPr>
  <dimension ref="A1:D39"/>
  <sheetViews>
    <sheetView showGridLines="0" topLeftCell="A10" workbookViewId="0">
      <selection activeCell="F22" sqref="F22"/>
    </sheetView>
  </sheetViews>
  <sheetFormatPr baseColWidth="10" defaultRowHeight="15"/>
  <cols>
    <col min="2" max="2" width="26.28515625" customWidth="1"/>
    <col min="3" max="3" width="45.85546875" customWidth="1"/>
    <col min="4" max="4" width="2.85546875" customWidth="1"/>
    <col min="6" max="6" width="26.140625" customWidth="1"/>
  </cols>
  <sheetData>
    <row r="1" spans="2:4" ht="23.25" customHeight="1"/>
    <row r="2" spans="2:4">
      <c r="B2" s="275"/>
      <c r="C2" s="275"/>
      <c r="D2" s="275"/>
    </row>
    <row r="3" spans="2:4">
      <c r="B3" s="275" t="s">
        <v>237</v>
      </c>
      <c r="C3" s="277" t="s">
        <v>387</v>
      </c>
      <c r="D3" s="275"/>
    </row>
    <row r="4" spans="2:4">
      <c r="B4" s="275"/>
      <c r="C4" s="278"/>
      <c r="D4" s="275"/>
    </row>
    <row r="5" spans="2:4">
      <c r="B5" s="275" t="s">
        <v>238</v>
      </c>
      <c r="C5" s="277" t="s">
        <v>376</v>
      </c>
      <c r="D5" s="275"/>
    </row>
    <row r="6" spans="2:4">
      <c r="B6" s="275"/>
      <c r="C6" s="278"/>
      <c r="D6" s="275"/>
    </row>
    <row r="7" spans="2:4">
      <c r="B7" s="275" t="s">
        <v>239</v>
      </c>
      <c r="C7" s="279">
        <v>31059</v>
      </c>
      <c r="D7" s="275"/>
    </row>
    <row r="8" spans="2:4">
      <c r="B8" s="275"/>
      <c r="C8" s="278"/>
      <c r="D8" s="275"/>
    </row>
    <row r="9" spans="2:4">
      <c r="B9" s="275" t="s">
        <v>204</v>
      </c>
      <c r="C9" s="279">
        <f ca="1">TODAY()</f>
        <v>44614</v>
      </c>
      <c r="D9" s="275"/>
    </row>
    <row r="10" spans="2:4">
      <c r="B10" s="275"/>
      <c r="C10" s="278"/>
      <c r="D10" s="275"/>
    </row>
    <row r="11" spans="2:4">
      <c r="B11" s="275" t="s">
        <v>245</v>
      </c>
      <c r="C11" s="279"/>
      <c r="D11" s="275"/>
    </row>
    <row r="12" spans="2:4">
      <c r="B12" s="275"/>
      <c r="C12" s="278"/>
      <c r="D12" s="275"/>
    </row>
    <row r="13" spans="2:4">
      <c r="B13" s="275" t="s">
        <v>240</v>
      </c>
      <c r="C13" s="277" t="s">
        <v>246</v>
      </c>
      <c r="D13" s="275"/>
    </row>
    <row r="14" spans="2:4">
      <c r="B14" s="275"/>
      <c r="C14" s="278"/>
      <c r="D14" s="275"/>
    </row>
    <row r="15" spans="2:4">
      <c r="B15" s="275" t="s">
        <v>241</v>
      </c>
      <c r="C15" s="277" t="s">
        <v>377</v>
      </c>
      <c r="D15" s="275"/>
    </row>
    <row r="16" spans="2:4">
      <c r="B16" s="275"/>
      <c r="C16" s="278"/>
      <c r="D16" s="275"/>
    </row>
    <row r="17" spans="1:4">
      <c r="B17" s="275" t="s">
        <v>271</v>
      </c>
      <c r="C17" s="277">
        <v>35</v>
      </c>
      <c r="D17" s="275"/>
    </row>
    <row r="18" spans="1:4">
      <c r="B18" s="275"/>
      <c r="C18" s="278"/>
      <c r="D18" s="275"/>
    </row>
    <row r="19" spans="1:4">
      <c r="B19" s="275" t="s">
        <v>242</v>
      </c>
      <c r="C19" s="277"/>
      <c r="D19" s="275"/>
    </row>
    <row r="20" spans="1:4">
      <c r="B20" s="275"/>
      <c r="C20" s="278"/>
      <c r="D20" s="275"/>
    </row>
    <row r="21" spans="1:4">
      <c r="B21" s="275" t="s">
        <v>243</v>
      </c>
      <c r="C21" s="277"/>
      <c r="D21" s="275"/>
    </row>
    <row r="22" spans="1:4">
      <c r="B22" s="275"/>
      <c r="C22" s="278"/>
      <c r="D22" s="275"/>
    </row>
    <row r="23" spans="1:4">
      <c r="B23" s="275" t="s">
        <v>244</v>
      </c>
      <c r="C23" s="280"/>
      <c r="D23" s="275"/>
    </row>
    <row r="24" spans="1:4" ht="16.5" customHeight="1">
      <c r="B24" s="275"/>
      <c r="C24" s="275"/>
      <c r="D24" s="275"/>
    </row>
    <row r="25" spans="1:4" ht="16.5" customHeight="1">
      <c r="B25" s="275" t="s">
        <v>158</v>
      </c>
      <c r="C25" s="277">
        <v>2100</v>
      </c>
      <c r="D25" s="275"/>
    </row>
    <row r="26" spans="1:4" ht="16.5" customHeight="1">
      <c r="B26" s="275"/>
      <c r="C26" s="275"/>
      <c r="D26" s="275"/>
    </row>
    <row r="27" spans="1:4" ht="16.5" customHeight="1">
      <c r="B27" s="275" t="s">
        <v>168</v>
      </c>
      <c r="C27" s="298">
        <f>$C$25/($C$17*52/12)</f>
        <v>13.846153846153847</v>
      </c>
      <c r="D27" s="275"/>
    </row>
    <row r="28" spans="1:4" ht="16.5" customHeight="1">
      <c r="B28" s="275"/>
      <c r="C28" s="275"/>
      <c r="D28" s="275"/>
    </row>
    <row r="29" spans="1:4" ht="16.5" customHeight="1">
      <c r="A29" s="299" t="s">
        <v>292</v>
      </c>
      <c r="B29" s="275" t="s">
        <v>281</v>
      </c>
      <c r="C29" s="277">
        <v>100</v>
      </c>
      <c r="D29" s="275"/>
    </row>
    <row r="30" spans="1:4" ht="16.5" customHeight="1">
      <c r="B30" s="275"/>
      <c r="C30" s="275"/>
      <c r="D30" s="275"/>
    </row>
    <row r="31" spans="1:4" ht="16.5" customHeight="1">
      <c r="A31" s="299" t="s">
        <v>292</v>
      </c>
      <c r="B31" s="275" t="s">
        <v>277</v>
      </c>
      <c r="C31" s="277">
        <v>50</v>
      </c>
      <c r="D31" s="275"/>
    </row>
    <row r="32" spans="1:4" ht="16.5" customHeight="1">
      <c r="B32" s="275"/>
      <c r="C32" s="275"/>
      <c r="D32" s="275"/>
    </row>
    <row r="33" spans="1:4" ht="16.5" customHeight="1">
      <c r="A33" s="299" t="s">
        <v>292</v>
      </c>
      <c r="B33" s="275" t="s">
        <v>337</v>
      </c>
      <c r="C33" s="277"/>
      <c r="D33" s="275"/>
    </row>
    <row r="34" spans="1:4" ht="16.5" customHeight="1">
      <c r="A34" s="299"/>
      <c r="B34" s="275"/>
      <c r="C34" s="278"/>
      <c r="D34" s="275"/>
    </row>
    <row r="35" spans="1:4" ht="16.5" customHeight="1">
      <c r="A35" s="299"/>
      <c r="B35" s="275" t="s">
        <v>359</v>
      </c>
      <c r="C35" s="277" t="s">
        <v>24</v>
      </c>
      <c r="D35" s="275"/>
    </row>
    <row r="36" spans="1:4" ht="16.5" customHeight="1">
      <c r="B36" s="275"/>
      <c r="C36" s="275"/>
      <c r="D36" s="275"/>
    </row>
    <row r="37" spans="1:4">
      <c r="B37" s="275"/>
      <c r="C37" s="275"/>
      <c r="D37" s="275"/>
    </row>
    <row r="38" spans="1:4">
      <c r="B38" s="275"/>
      <c r="C38" s="275"/>
      <c r="D38" s="275"/>
    </row>
    <row r="39" spans="1:4">
      <c r="B39" s="275"/>
      <c r="C39" s="275"/>
      <c r="D39" s="275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E7AD5DA-8540-433B-A52E-85D7075B4E74}">
          <x14:formula1>
            <xm:f>'Informations paye_entreprise'!$A$15:$A$36</xm:f>
          </x14:formula1>
          <xm:sqref>B31 B29 B33</xm:sqref>
        </x14:dataValidation>
        <x14:dataValidation type="list" allowBlank="1" showInputMessage="1" showErrorMessage="1" xr:uid="{7B7FA7F5-708E-4C6A-825D-B27E6D40460C}">
          <x14:formula1>
            <xm:f>'Informations paye_entreprise'!$C$16:$C$17</xm:f>
          </x14:formula1>
          <xm:sqref>C35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5" tint="0.79998168889431442"/>
  </sheetPr>
  <dimension ref="A1:AA61"/>
  <sheetViews>
    <sheetView showGridLines="0" topLeftCell="A10" zoomScale="80" zoomScaleNormal="80" workbookViewId="0">
      <selection activeCell="R44" sqref="R44"/>
    </sheetView>
  </sheetViews>
  <sheetFormatPr baseColWidth="10" defaultRowHeight="15"/>
  <cols>
    <col min="1" max="1" width="5.42578125" customWidth="1"/>
    <col min="2" max="2" width="31.140625" customWidth="1"/>
    <col min="3" max="20" width="12.28515625" customWidth="1"/>
    <col min="23" max="23" width="2.28515625" customWidth="1"/>
    <col min="26" max="26" width="4.5703125" customWidth="1"/>
  </cols>
  <sheetData>
    <row r="1" spans="2:23" ht="15.75" thickBot="1"/>
    <row r="2" spans="2:23" ht="19.5" thickBot="1">
      <c r="B2" s="481" t="str">
        <f>"RÉCAPITULATIF PAYE COTISATION SALARIALE - "&amp;Sélection!E2</f>
        <v>RÉCAPITULATIF PAYE COTISATION SALARIALE - Juin</v>
      </c>
      <c r="C2" s="482"/>
      <c r="D2" s="482"/>
      <c r="E2" s="482"/>
      <c r="F2" s="482"/>
      <c r="G2" s="482"/>
      <c r="H2" s="482"/>
      <c r="I2" s="482"/>
      <c r="J2" s="482"/>
      <c r="K2" s="482"/>
      <c r="L2" s="482"/>
      <c r="M2" s="482"/>
      <c r="N2" s="482"/>
      <c r="O2" s="482"/>
      <c r="P2" s="482"/>
      <c r="Q2" s="482"/>
      <c r="R2" s="482"/>
      <c r="S2" s="482"/>
      <c r="T2" s="482"/>
    </row>
    <row r="4" spans="2:23">
      <c r="B4" s="36" t="s">
        <v>25</v>
      </c>
      <c r="L4" s="485" t="s">
        <v>27</v>
      </c>
      <c r="M4" s="604">
        <v>3428</v>
      </c>
      <c r="O4" s="50"/>
      <c r="P4" t="s">
        <v>30</v>
      </c>
    </row>
    <row r="5" spans="2:23">
      <c r="L5" s="486"/>
      <c r="M5" s="605"/>
    </row>
    <row r="6" spans="2:23">
      <c r="B6" s="37" t="s">
        <v>26</v>
      </c>
      <c r="L6" s="487"/>
      <c r="M6" s="606"/>
      <c r="O6" s="51"/>
      <c r="P6" t="s">
        <v>31</v>
      </c>
    </row>
    <row r="8" spans="2:23">
      <c r="B8" s="485" t="s">
        <v>0</v>
      </c>
      <c r="C8" s="479"/>
      <c r="D8" s="480"/>
      <c r="E8" s="639" t="str">
        <f>IFERROR(HLOOKUP(C8,'Base employés'!$B$4:$E$26,19,FALSE),"")</f>
        <v/>
      </c>
      <c r="F8" s="479"/>
      <c r="G8" s="480"/>
      <c r="H8" s="639" t="str">
        <f>IFERROR(HLOOKUP(F8,'Base employés'!$B$4:$E$26,19,FALSE),"")</f>
        <v/>
      </c>
      <c r="I8" s="479"/>
      <c r="J8" s="480"/>
      <c r="K8" s="639" t="str">
        <f>IFERROR(HLOOKUP(I8,'Base employés'!$B$4:$E$26,19,FALSE),"")</f>
        <v/>
      </c>
      <c r="L8" s="479" t="s">
        <v>360</v>
      </c>
      <c r="M8" s="480"/>
      <c r="N8" s="639" t="str">
        <f>IFERROR(HLOOKUP(L8,'Base employés'!$B$4:$E$26,19,FALSE),"")</f>
        <v>Cadre</v>
      </c>
      <c r="O8" s="488" t="s">
        <v>378</v>
      </c>
      <c r="P8" s="488"/>
      <c r="Q8" s="639" t="str">
        <f>IFERROR(HLOOKUP(O8,'Base employés'!$B$4:$E$26,19,FALSE),"")</f>
        <v>Non-cadre</v>
      </c>
      <c r="R8" s="480" t="s">
        <v>379</v>
      </c>
      <c r="S8" s="480"/>
      <c r="T8" s="639" t="str">
        <f>IFERROR(HLOOKUP(R8,'Base employés'!$B$4:$E$26,19,FALSE),"")</f>
        <v>Non-cadre</v>
      </c>
      <c r="U8" s="636" t="s">
        <v>20</v>
      </c>
      <c r="V8" s="637"/>
      <c r="W8" s="146"/>
    </row>
    <row r="9" spans="2:23">
      <c r="B9" s="486"/>
      <c r="C9" s="231" t="s">
        <v>157</v>
      </c>
      <c r="D9" s="638"/>
      <c r="E9" s="639" t="str">
        <f>IFERROR(IF(HLOOKUP(C8,'Base employés'!$B$4:$E$26,7,FALSE)&gt;=35,"Plein","Partiel"),"")</f>
        <v/>
      </c>
      <c r="F9" s="231" t="s">
        <v>157</v>
      </c>
      <c r="G9" s="638"/>
      <c r="H9" s="639" t="str">
        <f>IFERROR(IF(HLOOKUP(F8,'Base employés'!$B$4:$E$26,7,FALSE)&gt;=35,"Plein","Partiel"),"")</f>
        <v/>
      </c>
      <c r="I9" s="231" t="s">
        <v>157</v>
      </c>
      <c r="J9" s="638"/>
      <c r="K9" s="639" t="str">
        <f>IFERROR(IF(HLOOKUP(I8,'Base employés'!$B$4:$E$26,7,FALSE)&gt;=35,"Plein","Partiel"),"")</f>
        <v/>
      </c>
      <c r="L9" s="231" t="s">
        <v>157</v>
      </c>
      <c r="M9" s="638"/>
      <c r="N9" s="639" t="str">
        <f>IFERROR(IF(HLOOKUP(L8,'Base employés'!$B$4:$E$26,7,FALSE)&gt;=35,"Plein","Partiel"),"")</f>
        <v>Plein</v>
      </c>
      <c r="O9" s="231" t="s">
        <v>157</v>
      </c>
      <c r="P9" s="638"/>
      <c r="Q9" s="639" t="str">
        <f>IFERROR(IF(HLOOKUP(O8,'Base employés'!$B$4:$E$26,7,FALSE)&gt;=35,"Plein","Partiel"),"")</f>
        <v>Plein</v>
      </c>
      <c r="R9" s="231" t="s">
        <v>157</v>
      </c>
      <c r="S9" s="638"/>
      <c r="T9" s="639" t="str">
        <f>IFERROR(IF(HLOOKUP(R8,'Base employés'!$B$4:$E$26,7,FALSE)&gt;=35,"Plein","Partiel"),"")</f>
        <v>Plein</v>
      </c>
      <c r="U9" s="228"/>
      <c r="V9" s="229"/>
      <c r="W9" s="230"/>
    </row>
    <row r="10" spans="2:23">
      <c r="B10" s="486"/>
      <c r="C10" s="231" t="s">
        <v>158</v>
      </c>
      <c r="D10" s="227"/>
      <c r="E10" s="640">
        <f>IFERROR(HLOOKUP(C8,'Base employés'!$B$4:$E$26,11,FALSE),0)</f>
        <v>0</v>
      </c>
      <c r="F10" s="231" t="s">
        <v>158</v>
      </c>
      <c r="G10" s="227"/>
      <c r="H10" s="640">
        <f>IFERROR(HLOOKUP(F8,'Base employés'!$B$4:$E$26,11,FALSE),0)</f>
        <v>0</v>
      </c>
      <c r="I10" s="231" t="s">
        <v>158</v>
      </c>
      <c r="J10" s="227"/>
      <c r="K10" s="640">
        <f>IFERROR(HLOOKUP(I8,'Base employés'!$B$4:$E$26,11,FALSE),0)</f>
        <v>0</v>
      </c>
      <c r="L10" s="231" t="s">
        <v>158</v>
      </c>
      <c r="M10" s="227"/>
      <c r="N10" s="640">
        <f>IFERROR(HLOOKUP(L8,'Base employés'!$B$4:$E$26,11,FALSE),0)</f>
        <v>1939.7751999999998</v>
      </c>
      <c r="O10" s="231" t="s">
        <v>158</v>
      </c>
      <c r="P10" s="227"/>
      <c r="Q10" s="640">
        <f>IFERROR(HLOOKUP(O8,'Base employés'!$B$4:$E$26,11,FALSE),0)</f>
        <v>2003.8999999999999</v>
      </c>
      <c r="R10" s="231" t="s">
        <v>158</v>
      </c>
      <c r="S10" s="227"/>
      <c r="T10" s="640">
        <f>IFERROR(HLOOKUP(R8,'Base employés'!$B$4:$E$26,11,FALSE),0)</f>
        <v>1955.8063999999997</v>
      </c>
      <c r="U10" s="228"/>
      <c r="V10" s="229"/>
      <c r="W10" s="230"/>
    </row>
    <row r="11" spans="2:23">
      <c r="B11" s="487"/>
      <c r="C11" s="9" t="s">
        <v>1</v>
      </c>
      <c r="D11" s="9" t="s">
        <v>21</v>
      </c>
      <c r="E11" s="26" t="s">
        <v>156</v>
      </c>
      <c r="F11" s="9" t="s">
        <v>1</v>
      </c>
      <c r="G11" s="9" t="s">
        <v>21</v>
      </c>
      <c r="H11" s="26" t="s">
        <v>156</v>
      </c>
      <c r="I11" s="9" t="s">
        <v>1</v>
      </c>
      <c r="J11" s="9" t="s">
        <v>21</v>
      </c>
      <c r="K11" s="26" t="s">
        <v>156</v>
      </c>
      <c r="L11" s="9" t="s">
        <v>1</v>
      </c>
      <c r="M11" s="9" t="s">
        <v>21</v>
      </c>
      <c r="N11" s="26" t="s">
        <v>156</v>
      </c>
      <c r="O11" s="25" t="s">
        <v>1</v>
      </c>
      <c r="P11" s="5" t="s">
        <v>21</v>
      </c>
      <c r="Q11" s="34" t="s">
        <v>2</v>
      </c>
      <c r="R11" s="33" t="s">
        <v>1</v>
      </c>
      <c r="S11" s="9" t="s">
        <v>21</v>
      </c>
      <c r="T11" s="26" t="s">
        <v>2</v>
      </c>
      <c r="U11" s="25" t="s">
        <v>1</v>
      </c>
      <c r="V11" s="5" t="s">
        <v>2</v>
      </c>
      <c r="W11" s="140"/>
    </row>
    <row r="12" spans="2:23">
      <c r="B12" s="1" t="s">
        <v>155</v>
      </c>
      <c r="C12" s="43">
        <v>151.66999999999999</v>
      </c>
      <c r="D12" s="224">
        <f>E12/C12</f>
        <v>0</v>
      </c>
      <c r="E12" s="38">
        <f>E10</f>
        <v>0</v>
      </c>
      <c r="F12" s="43">
        <v>151.66999999999999</v>
      </c>
      <c r="G12" s="224">
        <f>H12/F12</f>
        <v>0</v>
      </c>
      <c r="H12" s="38">
        <f>H10</f>
        <v>0</v>
      </c>
      <c r="I12" s="43">
        <v>151.66999999999999</v>
      </c>
      <c r="J12" s="224">
        <f>K12/I12</f>
        <v>0</v>
      </c>
      <c r="K12" s="38">
        <f>K10</f>
        <v>0</v>
      </c>
      <c r="L12" s="43">
        <v>151.66999999999999</v>
      </c>
      <c r="M12" s="224">
        <f>N12/L12</f>
        <v>12.789445506692161</v>
      </c>
      <c r="N12" s="38">
        <f>N10</f>
        <v>1939.7751999999998</v>
      </c>
      <c r="O12" s="43">
        <v>151.66999999999999</v>
      </c>
      <c r="P12" s="224">
        <f>Q12/O12</f>
        <v>13.212237093690248</v>
      </c>
      <c r="Q12" s="38">
        <f>Q10</f>
        <v>2003.8999999999999</v>
      </c>
      <c r="R12" s="43">
        <v>151.66999999999999</v>
      </c>
      <c r="S12" s="224">
        <f>T12/R12</f>
        <v>12.895143403441681</v>
      </c>
      <c r="T12" s="38">
        <f>T10</f>
        <v>1955.8063999999997</v>
      </c>
      <c r="U12" s="634">
        <f>SUM(R12,O12,L12,I12,F12,C12)</f>
        <v>910.01999999999987</v>
      </c>
      <c r="V12" s="10">
        <f>SUM(K12,H12,E12,N12,Q12,T12)</f>
        <v>5899.4815999999992</v>
      </c>
      <c r="W12" s="219"/>
    </row>
    <row r="13" spans="2:23">
      <c r="B13" s="2" t="s">
        <v>3</v>
      </c>
      <c r="C13" s="44"/>
      <c r="D13" s="225">
        <f>D12*1.25</f>
        <v>0</v>
      </c>
      <c r="E13" s="39"/>
      <c r="F13" s="44"/>
      <c r="G13" s="225">
        <f>G12*1.25</f>
        <v>0</v>
      </c>
      <c r="H13" s="39"/>
      <c r="I13" s="44"/>
      <c r="J13" s="225">
        <f>J12*1.25</f>
        <v>0</v>
      </c>
      <c r="K13" s="39"/>
      <c r="L13" s="44"/>
      <c r="M13" s="225">
        <f>M12*1.25</f>
        <v>15.986806883365201</v>
      </c>
      <c r="N13" s="39"/>
      <c r="O13" s="44"/>
      <c r="P13" s="225">
        <f>P12*1.25</f>
        <v>16.515296367112811</v>
      </c>
      <c r="Q13" s="39"/>
      <c r="R13" s="44"/>
      <c r="S13" s="225">
        <f>S12*1.25</f>
        <v>16.118929254302103</v>
      </c>
      <c r="T13" s="39"/>
      <c r="U13" s="635">
        <f t="shared" ref="U13:U20" si="0">SUM(R13,O13,L13,I13,F13,C13)</f>
        <v>0</v>
      </c>
      <c r="V13" s="11">
        <f t="shared" ref="V13:V20" si="1">SUM(K13,H13,E13,N13,Q13,T13)</f>
        <v>0</v>
      </c>
      <c r="W13" s="219"/>
    </row>
    <row r="14" spans="2:23">
      <c r="B14" s="2" t="s">
        <v>152</v>
      </c>
      <c r="C14" s="44"/>
      <c r="D14" s="225">
        <f>D12*1.5</f>
        <v>0</v>
      </c>
      <c r="E14" s="39"/>
      <c r="F14" s="44"/>
      <c r="G14" s="225">
        <f>G12*1.5</f>
        <v>0</v>
      </c>
      <c r="H14" s="39"/>
      <c r="I14" s="44"/>
      <c r="J14" s="225">
        <f>J12*1.5</f>
        <v>0</v>
      </c>
      <c r="K14" s="39"/>
      <c r="L14" s="44"/>
      <c r="M14" s="225">
        <f>M12*1.5</f>
        <v>19.184168260038241</v>
      </c>
      <c r="N14" s="39"/>
      <c r="O14" s="44"/>
      <c r="P14" s="225">
        <f>P12*1.5</f>
        <v>19.818355640535373</v>
      </c>
      <c r="Q14" s="39"/>
      <c r="R14" s="44"/>
      <c r="S14" s="225">
        <f>S12*1.5</f>
        <v>19.342715105162522</v>
      </c>
      <c r="T14" s="39"/>
      <c r="U14" s="635">
        <f t="shared" si="0"/>
        <v>0</v>
      </c>
      <c r="V14" s="11">
        <f t="shared" si="1"/>
        <v>0</v>
      </c>
      <c r="W14" s="219"/>
    </row>
    <row r="15" spans="2:23">
      <c r="B15" s="2" t="s">
        <v>153</v>
      </c>
      <c r="C15" s="44"/>
      <c r="D15" s="225">
        <f>D12*1.1</f>
        <v>0</v>
      </c>
      <c r="E15" s="39"/>
      <c r="F15" s="44"/>
      <c r="G15" s="225">
        <f>G12*1.1</f>
        <v>0</v>
      </c>
      <c r="H15" s="39"/>
      <c r="I15" s="44"/>
      <c r="J15" s="225">
        <f>J12*1.1</f>
        <v>0</v>
      </c>
      <c r="K15" s="39"/>
      <c r="L15" s="44"/>
      <c r="M15" s="225">
        <f>M12*1.1</f>
        <v>14.068390057361379</v>
      </c>
      <c r="N15" s="39"/>
      <c r="O15" s="44"/>
      <c r="P15" s="225">
        <f>P12*1.1</f>
        <v>14.533460803059274</v>
      </c>
      <c r="Q15" s="39"/>
      <c r="R15" s="44"/>
      <c r="S15" s="225">
        <f>S12*1.1</f>
        <v>14.18465774378585</v>
      </c>
      <c r="T15" s="39"/>
      <c r="U15" s="635">
        <f t="shared" si="0"/>
        <v>0</v>
      </c>
      <c r="V15" s="11">
        <f t="shared" si="1"/>
        <v>0</v>
      </c>
      <c r="W15" s="219"/>
    </row>
    <row r="16" spans="2:23">
      <c r="B16" s="2" t="s">
        <v>154</v>
      </c>
      <c r="C16" s="44"/>
      <c r="D16" s="225"/>
      <c r="E16" s="39"/>
      <c r="F16" s="44"/>
      <c r="G16" s="225"/>
      <c r="H16" s="39"/>
      <c r="I16" s="44"/>
      <c r="J16" s="225"/>
      <c r="K16" s="39"/>
      <c r="L16" s="44"/>
      <c r="M16" s="225"/>
      <c r="N16" s="39"/>
      <c r="O16" s="44"/>
      <c r="P16" s="225"/>
      <c r="Q16" s="39"/>
      <c r="R16" s="44"/>
      <c r="S16" s="225"/>
      <c r="T16" s="39"/>
      <c r="U16" s="635">
        <f t="shared" si="0"/>
        <v>0</v>
      </c>
      <c r="V16" s="11">
        <f t="shared" si="1"/>
        <v>0</v>
      </c>
      <c r="W16" s="219"/>
    </row>
    <row r="17" spans="1:27">
      <c r="B17" s="2" t="s">
        <v>4</v>
      </c>
      <c r="C17" s="44"/>
      <c r="D17" s="225"/>
      <c r="E17" s="39"/>
      <c r="F17" s="44"/>
      <c r="G17" s="225"/>
      <c r="H17" s="39"/>
      <c r="I17" s="44"/>
      <c r="J17" s="225"/>
      <c r="K17" s="39"/>
      <c r="L17" s="44"/>
      <c r="M17" s="225"/>
      <c r="N17" s="39"/>
      <c r="O17" s="44"/>
      <c r="P17" s="225"/>
      <c r="Q17" s="39"/>
      <c r="R17" s="44"/>
      <c r="S17" s="225"/>
      <c r="T17" s="39"/>
      <c r="U17" s="635">
        <f t="shared" si="0"/>
        <v>0</v>
      </c>
      <c r="V17" s="11">
        <f t="shared" si="1"/>
        <v>0</v>
      </c>
      <c r="W17" s="219"/>
    </row>
    <row r="18" spans="1:27">
      <c r="B18" s="2" t="s">
        <v>5</v>
      </c>
      <c r="C18" s="44"/>
      <c r="D18" s="225"/>
      <c r="E18" s="39"/>
      <c r="F18" s="44"/>
      <c r="G18" s="225"/>
      <c r="H18" s="39"/>
      <c r="I18" s="44"/>
      <c r="J18" s="225"/>
      <c r="K18" s="39"/>
      <c r="L18" s="44"/>
      <c r="M18" s="225"/>
      <c r="N18" s="39"/>
      <c r="O18" s="44"/>
      <c r="P18" s="225"/>
      <c r="Q18" s="39"/>
      <c r="R18" s="44"/>
      <c r="S18" s="225"/>
      <c r="T18" s="39"/>
      <c r="U18" s="635">
        <f t="shared" si="0"/>
        <v>0</v>
      </c>
      <c r="V18" s="11">
        <f t="shared" si="1"/>
        <v>0</v>
      </c>
      <c r="W18" s="219"/>
    </row>
    <row r="19" spans="1:27">
      <c r="B19" s="2" t="s">
        <v>6</v>
      </c>
      <c r="C19" s="44"/>
      <c r="D19" s="225"/>
      <c r="E19" s="39"/>
      <c r="F19" s="44"/>
      <c r="G19" s="225"/>
      <c r="H19" s="39"/>
      <c r="I19" s="44"/>
      <c r="J19" s="225"/>
      <c r="K19" s="39"/>
      <c r="L19" s="44"/>
      <c r="M19" s="225"/>
      <c r="N19" s="39"/>
      <c r="O19" s="44"/>
      <c r="P19" s="225"/>
      <c r="Q19" s="39"/>
      <c r="R19" s="44"/>
      <c r="S19" s="225"/>
      <c r="T19" s="39"/>
      <c r="U19" s="635">
        <f t="shared" si="0"/>
        <v>0</v>
      </c>
      <c r="V19" s="11">
        <f t="shared" si="1"/>
        <v>0</v>
      </c>
      <c r="W19" s="219"/>
    </row>
    <row r="20" spans="1:27">
      <c r="B20" s="4" t="s">
        <v>7</v>
      </c>
      <c r="C20" s="45"/>
      <c r="D20" s="226"/>
      <c r="E20" s="40"/>
      <c r="F20" s="45"/>
      <c r="G20" s="226"/>
      <c r="H20" s="40"/>
      <c r="I20" s="45"/>
      <c r="J20" s="226"/>
      <c r="K20" s="40"/>
      <c r="L20" s="45"/>
      <c r="M20" s="226"/>
      <c r="N20" s="40"/>
      <c r="O20" s="45"/>
      <c r="P20" s="226"/>
      <c r="Q20" s="40"/>
      <c r="R20" s="45"/>
      <c r="S20" s="226"/>
      <c r="T20" s="40"/>
      <c r="U20" s="635">
        <f t="shared" si="0"/>
        <v>0</v>
      </c>
      <c r="V20" s="11">
        <f t="shared" si="1"/>
        <v>0</v>
      </c>
      <c r="W20" s="219"/>
    </row>
    <row r="21" spans="1:27">
      <c r="B21" s="2" t="s">
        <v>160</v>
      </c>
      <c r="C21" s="237"/>
      <c r="D21" s="238"/>
      <c r="E21" s="236">
        <f>SUM(E12:E20)</f>
        <v>0</v>
      </c>
      <c r="F21" s="237"/>
      <c r="G21" s="238"/>
      <c r="H21" s="236">
        <f>SUM(H12:H20)</f>
        <v>0</v>
      </c>
      <c r="I21" s="237"/>
      <c r="J21" s="238"/>
      <c r="K21" s="236">
        <f>SUM(K12:K20)</f>
        <v>0</v>
      </c>
      <c r="L21" s="237"/>
      <c r="M21" s="238"/>
      <c r="N21" s="236">
        <f>SUM(N12:N20)</f>
        <v>1939.7751999999998</v>
      </c>
      <c r="O21" s="237"/>
      <c r="P21" s="238"/>
      <c r="Q21" s="236">
        <f>SUM(Q12:Q20)</f>
        <v>2003.8999999999999</v>
      </c>
      <c r="R21" s="237"/>
      <c r="S21" s="238"/>
      <c r="T21" s="236">
        <f>SUM(T12:T20)</f>
        <v>1955.8063999999997</v>
      </c>
      <c r="U21" s="137"/>
      <c r="V21" s="11"/>
      <c r="W21" s="219"/>
    </row>
    <row r="22" spans="1:27">
      <c r="B22" s="6" t="s">
        <v>8</v>
      </c>
      <c r="C22" s="476">
        <f>SUM(E12:E20)</f>
        <v>0</v>
      </c>
      <c r="D22" s="477"/>
      <c r="E22" s="478"/>
      <c r="F22" s="476">
        <f>SUM(H12:H20)</f>
        <v>0</v>
      </c>
      <c r="G22" s="477"/>
      <c r="H22" s="478"/>
      <c r="I22" s="476">
        <f>SUM(K12:K20)</f>
        <v>0</v>
      </c>
      <c r="J22" s="477"/>
      <c r="K22" s="478"/>
      <c r="L22" s="476">
        <f>SUM(N12:N20)</f>
        <v>1939.7751999999998</v>
      </c>
      <c r="M22" s="477"/>
      <c r="N22" s="478"/>
      <c r="O22" s="476">
        <f>SUM(Q12:Q20)</f>
        <v>2003.8999999999999</v>
      </c>
      <c r="P22" s="477"/>
      <c r="Q22" s="478"/>
      <c r="R22" s="476">
        <f>SUM(T12:T20)</f>
        <v>1955.8063999999997</v>
      </c>
      <c r="S22" s="477"/>
      <c r="T22" s="478"/>
      <c r="U22" s="142">
        <f>SUM(C22:T22)</f>
        <v>5899.4815999999992</v>
      </c>
      <c r="V22" s="13"/>
      <c r="W22" s="220"/>
      <c r="X22" s="143" t="s">
        <v>8</v>
      </c>
      <c r="Y22" s="139">
        <f>U22</f>
        <v>5899.4815999999992</v>
      </c>
      <c r="Z22" s="210">
        <v>641</v>
      </c>
      <c r="AA22" t="s">
        <v>98</v>
      </c>
    </row>
    <row r="23" spans="1:27">
      <c r="B23" s="1"/>
      <c r="C23" s="10"/>
      <c r="D23" s="16"/>
      <c r="E23" s="27"/>
      <c r="F23" s="10"/>
      <c r="G23" s="16"/>
      <c r="H23" s="27"/>
      <c r="I23" s="10"/>
      <c r="J23" s="16"/>
      <c r="K23" s="27"/>
      <c r="L23" s="10"/>
      <c r="M23" s="16"/>
      <c r="N23" s="27"/>
      <c r="O23" s="10"/>
      <c r="P23" s="16"/>
      <c r="Q23" s="27"/>
      <c r="R23" s="10"/>
      <c r="S23" s="16"/>
      <c r="T23" s="27"/>
      <c r="U23" s="137">
        <f>SUM(C23,F23,I23,L23,O23,R23)</f>
        <v>0</v>
      </c>
      <c r="V23" s="11">
        <f>SUM(E23,H23,K23,N23,Q23,T23)</f>
        <v>0</v>
      </c>
      <c r="W23" s="219"/>
      <c r="Z23" s="210"/>
    </row>
    <row r="24" spans="1:27">
      <c r="A24" s="50"/>
      <c r="B24" s="2" t="s">
        <v>94</v>
      </c>
      <c r="C24" s="11">
        <f>C22</f>
        <v>0</v>
      </c>
      <c r="D24" s="17"/>
      <c r="E24" s="28">
        <f>C24*D24</f>
        <v>0</v>
      </c>
      <c r="F24" s="11">
        <f>F22</f>
        <v>0</v>
      </c>
      <c r="G24" s="17"/>
      <c r="H24" s="28">
        <f>F24*G24</f>
        <v>0</v>
      </c>
      <c r="I24" s="11">
        <f>I22</f>
        <v>0</v>
      </c>
      <c r="J24" s="17"/>
      <c r="K24" s="28">
        <f>I24*J24</f>
        <v>0</v>
      </c>
      <c r="L24" s="11">
        <f>L22</f>
        <v>1939.7751999999998</v>
      </c>
      <c r="M24" s="17"/>
      <c r="N24" s="28">
        <f>L24*M24</f>
        <v>0</v>
      </c>
      <c r="O24" s="11">
        <f>O22</f>
        <v>2003.8999999999999</v>
      </c>
      <c r="P24" s="17"/>
      <c r="Q24" s="28">
        <f>O24*P24</f>
        <v>0</v>
      </c>
      <c r="R24" s="11">
        <f>R22</f>
        <v>1955.8063999999997</v>
      </c>
      <c r="S24" s="17"/>
      <c r="T24" s="28">
        <f>R24*S24</f>
        <v>0</v>
      </c>
      <c r="U24" s="137">
        <f t="shared" ref="U24:U44" si="2">SUM(C24,F24,I24,L24,O24,R24)</f>
        <v>5899.4815999999992</v>
      </c>
      <c r="V24" s="11">
        <f t="shared" ref="V24:V44" si="3">SUM(E24,H24,K24,N24,Q24,T24)</f>
        <v>0</v>
      </c>
      <c r="W24" s="219"/>
      <c r="Z24" s="210"/>
    </row>
    <row r="25" spans="1:27">
      <c r="A25" s="50"/>
      <c r="B25" s="2" t="s">
        <v>96</v>
      </c>
      <c r="C25" s="11">
        <f>C22</f>
        <v>0</v>
      </c>
      <c r="D25" s="17">
        <f>'Base cotisations'!$E$10</f>
        <v>6.9000000000000006E-2</v>
      </c>
      <c r="E25" s="28">
        <f>C25*D25</f>
        <v>0</v>
      </c>
      <c r="F25" s="11">
        <f>F22</f>
        <v>0</v>
      </c>
      <c r="G25" s="17">
        <f>'Base cotisations'!$E$10</f>
        <v>6.9000000000000006E-2</v>
      </c>
      <c r="H25" s="28">
        <f>F25*G25</f>
        <v>0</v>
      </c>
      <c r="I25" s="11">
        <f>I22</f>
        <v>0</v>
      </c>
      <c r="J25" s="17">
        <f>'Base cotisations'!$E$10</f>
        <v>6.9000000000000006E-2</v>
      </c>
      <c r="K25" s="28">
        <f>I25*J25</f>
        <v>0</v>
      </c>
      <c r="L25" s="11">
        <f>L22</f>
        <v>1939.7751999999998</v>
      </c>
      <c r="M25" s="17">
        <f>'Base cotisations'!$E$10</f>
        <v>6.9000000000000006E-2</v>
      </c>
      <c r="N25" s="28">
        <f>L25*M25</f>
        <v>133.84448879999999</v>
      </c>
      <c r="O25" s="11">
        <f>O22</f>
        <v>2003.8999999999999</v>
      </c>
      <c r="P25" s="17">
        <f>'Base cotisations'!$E$10</f>
        <v>6.9000000000000006E-2</v>
      </c>
      <c r="Q25" s="28">
        <f>O25*P25</f>
        <v>138.26910000000001</v>
      </c>
      <c r="R25" s="11">
        <f>R22</f>
        <v>1955.8063999999997</v>
      </c>
      <c r="S25" s="17">
        <f>'Base cotisations'!$E$10</f>
        <v>6.9000000000000006E-2</v>
      </c>
      <c r="T25" s="28">
        <f>R25*S25</f>
        <v>134.95064159999998</v>
      </c>
      <c r="U25" s="137">
        <f t="shared" si="2"/>
        <v>5899.4815999999992</v>
      </c>
      <c r="V25" s="11">
        <f t="shared" si="3"/>
        <v>407.06423039999999</v>
      </c>
      <c r="W25" s="219"/>
      <c r="Z25" s="210"/>
    </row>
    <row r="26" spans="1:27">
      <c r="A26" s="50"/>
      <c r="B26" s="2" t="s">
        <v>144</v>
      </c>
      <c r="C26" s="11">
        <f>IF(C22&gt;$M$4,$M$4,C22)</f>
        <v>0</v>
      </c>
      <c r="D26" s="17">
        <f>'Base cotisations'!$E$11</f>
        <v>4.0000000000000001E-3</v>
      </c>
      <c r="E26" s="28">
        <f>C26*D26</f>
        <v>0</v>
      </c>
      <c r="F26" s="11">
        <f>IF(F22&gt;$M$4,$M$4,F22)</f>
        <v>0</v>
      </c>
      <c r="G26" s="17">
        <f>'Base cotisations'!$E$11</f>
        <v>4.0000000000000001E-3</v>
      </c>
      <c r="H26" s="28">
        <f>F26*G26</f>
        <v>0</v>
      </c>
      <c r="I26" s="11">
        <f>IF(I22&gt;$M$4,$M$4,I22)</f>
        <v>0</v>
      </c>
      <c r="J26" s="17">
        <f>'Base cotisations'!$E$11</f>
        <v>4.0000000000000001E-3</v>
      </c>
      <c r="K26" s="28">
        <f>I26*J26</f>
        <v>0</v>
      </c>
      <c r="L26" s="11">
        <f>IF(L22&gt;$M$4,$M$4,L22)</f>
        <v>1939.7751999999998</v>
      </c>
      <c r="M26" s="17">
        <f>'Base cotisations'!$E$11</f>
        <v>4.0000000000000001E-3</v>
      </c>
      <c r="N26" s="28">
        <f>L26*M26</f>
        <v>7.7591007999999997</v>
      </c>
      <c r="O26" s="11">
        <f>IF(O22&gt;$M$4,$M$4,O22)</f>
        <v>2003.8999999999999</v>
      </c>
      <c r="P26" s="17">
        <f>'Base cotisations'!$E$11</f>
        <v>4.0000000000000001E-3</v>
      </c>
      <c r="Q26" s="28">
        <f>O26*P26</f>
        <v>8.0155999999999992</v>
      </c>
      <c r="R26" s="11">
        <f>IF(R22&gt;$M$4,$M$4,R22)</f>
        <v>1955.8063999999997</v>
      </c>
      <c r="S26" s="17">
        <f>'Base cotisations'!$E$11</f>
        <v>4.0000000000000001E-3</v>
      </c>
      <c r="T26" s="28">
        <f>R26*S26</f>
        <v>7.8232255999999989</v>
      </c>
      <c r="U26" s="137">
        <f t="shared" si="2"/>
        <v>5899.4815999999992</v>
      </c>
      <c r="V26" s="11">
        <f t="shared" si="3"/>
        <v>23.597926399999999</v>
      </c>
      <c r="W26" s="219"/>
      <c r="Z26" s="210"/>
    </row>
    <row r="27" spans="1:27">
      <c r="A27" s="50"/>
      <c r="B27" s="2" t="s">
        <v>145</v>
      </c>
      <c r="C27" s="24"/>
      <c r="D27" s="136"/>
      <c r="E27" s="28">
        <f t="shared" ref="E27" si="4">C27*D27</f>
        <v>0</v>
      </c>
      <c r="F27" s="24"/>
      <c r="G27" s="136"/>
      <c r="H27" s="28">
        <f t="shared" ref="H27" si="5">F27*G27</f>
        <v>0</v>
      </c>
      <c r="I27" s="24"/>
      <c r="J27" s="136"/>
      <c r="K27" s="28">
        <f t="shared" ref="K27" si="6">I27*J27</f>
        <v>0</v>
      </c>
      <c r="L27" s="24"/>
      <c r="M27" s="136"/>
      <c r="N27" s="28">
        <f t="shared" ref="N27" si="7">L27*M27</f>
        <v>0</v>
      </c>
      <c r="O27" s="24"/>
      <c r="P27" s="136"/>
      <c r="Q27" s="28">
        <f t="shared" ref="Q27" si="8">O27*P27</f>
        <v>0</v>
      </c>
      <c r="R27" s="24"/>
      <c r="S27" s="136"/>
      <c r="T27" s="28">
        <f t="shared" ref="T27" si="9">R27*S27</f>
        <v>0</v>
      </c>
      <c r="U27" s="137">
        <f t="shared" si="2"/>
        <v>0</v>
      </c>
      <c r="V27" s="11">
        <f t="shared" si="3"/>
        <v>0</v>
      </c>
      <c r="W27" s="219"/>
      <c r="Z27" s="210"/>
    </row>
    <row r="28" spans="1:27">
      <c r="A28" s="50"/>
      <c r="B28" s="2" t="s">
        <v>28</v>
      </c>
      <c r="C28" s="11">
        <f>C22</f>
        <v>0</v>
      </c>
      <c r="D28" s="136"/>
      <c r="E28" s="28">
        <f>C28*D28</f>
        <v>0</v>
      </c>
      <c r="F28" s="11">
        <f>F22</f>
        <v>0</v>
      </c>
      <c r="G28" s="136"/>
      <c r="H28" s="28">
        <f>F28*G28</f>
        <v>0</v>
      </c>
      <c r="I28" s="11">
        <f>I22</f>
        <v>0</v>
      </c>
      <c r="J28" s="136"/>
      <c r="K28" s="28">
        <f>I28*J28</f>
        <v>0</v>
      </c>
      <c r="L28" s="11">
        <f>L22</f>
        <v>1939.7751999999998</v>
      </c>
      <c r="M28" s="136"/>
      <c r="N28" s="28">
        <f>L28*M28</f>
        <v>0</v>
      </c>
      <c r="O28" s="11">
        <f>O22</f>
        <v>2003.8999999999999</v>
      </c>
      <c r="P28" s="136"/>
      <c r="Q28" s="28">
        <f>O28*P28</f>
        <v>0</v>
      </c>
      <c r="R28" s="11">
        <f>R22</f>
        <v>1955.8063999999997</v>
      </c>
      <c r="S28" s="136"/>
      <c r="T28" s="28">
        <f>R28*S28</f>
        <v>0</v>
      </c>
      <c r="U28" s="137">
        <f t="shared" si="2"/>
        <v>5899.4815999999992</v>
      </c>
      <c r="V28" s="11">
        <f t="shared" si="3"/>
        <v>0</v>
      </c>
      <c r="W28" s="219"/>
      <c r="Z28" s="210"/>
    </row>
    <row r="29" spans="1:27">
      <c r="A29" s="50"/>
      <c r="B29" s="2" t="s">
        <v>29</v>
      </c>
      <c r="C29" s="11">
        <f>C22</f>
        <v>0</v>
      </c>
      <c r="D29" s="136"/>
      <c r="E29" s="28">
        <f>C29*D29</f>
        <v>0</v>
      </c>
      <c r="F29" s="11">
        <f>F22</f>
        <v>0</v>
      </c>
      <c r="G29" s="136"/>
      <c r="H29" s="28">
        <f>F29*G29</f>
        <v>0</v>
      </c>
      <c r="I29" s="11">
        <f>I22</f>
        <v>0</v>
      </c>
      <c r="J29" s="136"/>
      <c r="K29" s="28">
        <f>I29*J29</f>
        <v>0</v>
      </c>
      <c r="L29" s="11">
        <f>L22</f>
        <v>1939.7751999999998</v>
      </c>
      <c r="M29" s="136"/>
      <c r="N29" s="28">
        <f>L29*M29</f>
        <v>0</v>
      </c>
      <c r="O29" s="11">
        <f>O22</f>
        <v>2003.8999999999999</v>
      </c>
      <c r="P29" s="136"/>
      <c r="Q29" s="28">
        <f>O29*P29</f>
        <v>0</v>
      </c>
      <c r="R29" s="11">
        <f>R22</f>
        <v>1955.8063999999997</v>
      </c>
      <c r="S29" s="136"/>
      <c r="T29" s="28">
        <f>R29*S29</f>
        <v>0</v>
      </c>
      <c r="U29" s="137">
        <f t="shared" si="2"/>
        <v>5899.4815999999992</v>
      </c>
      <c r="V29" s="11">
        <f t="shared" si="3"/>
        <v>0</v>
      </c>
      <c r="W29" s="219"/>
      <c r="Z29" s="210"/>
    </row>
    <row r="30" spans="1:27">
      <c r="A30" s="51"/>
      <c r="B30" s="14" t="s">
        <v>9</v>
      </c>
      <c r="C30" s="15">
        <f>IF(AND(E8="non-cadre",C22&lt;$M$4),C22,IF(AND(E8="non-cadre",C22&gt;$M$4),$M$4,0))</f>
        <v>0</v>
      </c>
      <c r="D30" s="19">
        <f>'Base cotisations'!$E$21</f>
        <v>3.15E-2</v>
      </c>
      <c r="E30" s="30">
        <f t="shared" ref="E30:E40" si="10">C30*D30</f>
        <v>0</v>
      </c>
      <c r="F30" s="15">
        <f>IF(AND(H8="non-cadre",F22&lt;$M$4),F22,IF(AND(H8="non-cadre",F22&gt;$M$4),$M$4,0))</f>
        <v>0</v>
      </c>
      <c r="G30" s="19">
        <f>'Base cotisations'!$E$21</f>
        <v>3.15E-2</v>
      </c>
      <c r="H30" s="30">
        <f t="shared" ref="H30:H40" si="11">F30*G30</f>
        <v>0</v>
      </c>
      <c r="I30" s="15">
        <f>IF(AND(K8="non-cadre",I22&lt;$M$4),I22,IF(AND(K8="non-cadre",I22&gt;$M$4),$M$4,0))</f>
        <v>0</v>
      </c>
      <c r="J30" s="19">
        <f>'Base cotisations'!$E$21</f>
        <v>3.15E-2</v>
      </c>
      <c r="K30" s="30">
        <f t="shared" ref="K30:K40" si="12">I30*J30</f>
        <v>0</v>
      </c>
      <c r="L30" s="15">
        <f>IF(AND(N8="non-cadre",L22&lt;$M$4),L22,IF(AND(N8="non-cadre",L22&gt;$M$4),$M$4,0))</f>
        <v>0</v>
      </c>
      <c r="M30" s="19">
        <f>'Base cotisations'!$E$21</f>
        <v>3.15E-2</v>
      </c>
      <c r="N30" s="30">
        <f t="shared" ref="N30:N40" si="13">L30*M30</f>
        <v>0</v>
      </c>
      <c r="O30" s="15">
        <f>IF(AND(Q8="non-cadre",O22&lt;$M$4),O22,IF(AND(Q8="non-cadre",O22&gt;$M$4),$M$4,0))</f>
        <v>2003.8999999999999</v>
      </c>
      <c r="P30" s="19">
        <f>'Base cotisations'!$E$21</f>
        <v>3.15E-2</v>
      </c>
      <c r="Q30" s="30">
        <f t="shared" ref="Q30:Q40" si="14">O30*P30</f>
        <v>63.12285</v>
      </c>
      <c r="R30" s="15">
        <f>IF(AND(T8="non-cadre",R22&lt;$M$4),R22,IF(AND(T8="non-cadre",R22&gt;$M$4),$M$4,0))</f>
        <v>1955.8063999999997</v>
      </c>
      <c r="S30" s="19">
        <f>'Base cotisations'!$E$21</f>
        <v>3.15E-2</v>
      </c>
      <c r="T30" s="30">
        <f t="shared" ref="T30:T40" si="15">R30*S30</f>
        <v>61.607901599999991</v>
      </c>
      <c r="U30" s="137">
        <f t="shared" si="2"/>
        <v>3959.7063999999996</v>
      </c>
      <c r="V30" s="11">
        <f t="shared" si="3"/>
        <v>124.73075159999999</v>
      </c>
      <c r="W30" s="219"/>
      <c r="X30" s="3"/>
      <c r="Y30" s="3"/>
      <c r="Z30" s="211"/>
    </row>
    <row r="31" spans="1:27">
      <c r="A31" s="51"/>
      <c r="B31" s="14" t="s">
        <v>10</v>
      </c>
      <c r="C31" s="15">
        <f>IF(AND(E8="non-cadre",C22&lt;$M$4),0,IF(AND(E8="non-cadre",C22&gt;$M$4),C22-$M$4,0))</f>
        <v>0</v>
      </c>
      <c r="D31" s="19">
        <f>'Base cotisations'!$E$22</f>
        <v>8.6400000000000005E-2</v>
      </c>
      <c r="E31" s="30">
        <f t="shared" si="10"/>
        <v>0</v>
      </c>
      <c r="F31" s="15">
        <f>IF(AND(H8="non-cadre",F22&lt;$M$4),0,IF(AND(H8="non-cadre",F22&gt;$M$4),F22-$M$4,0))</f>
        <v>0</v>
      </c>
      <c r="G31" s="19">
        <f>'Base cotisations'!$E$22</f>
        <v>8.6400000000000005E-2</v>
      </c>
      <c r="H31" s="30">
        <f t="shared" si="11"/>
        <v>0</v>
      </c>
      <c r="I31" s="15">
        <f>IF(AND(K8="non-cadre",I22&lt;$M$4),0,IF(AND(K8="non-cadre",I22&gt;$M$4),I22-$M$4,0))</f>
        <v>0</v>
      </c>
      <c r="J31" s="19">
        <f>'Base cotisations'!$E$22</f>
        <v>8.6400000000000005E-2</v>
      </c>
      <c r="K31" s="30">
        <f t="shared" si="12"/>
        <v>0</v>
      </c>
      <c r="L31" s="15">
        <f>IF(AND(N8="non-cadre",L22&lt;$M$4),0,IF(AND(N8="non-cadre",L22&gt;$M$4),L22-$M$4,0))</f>
        <v>0</v>
      </c>
      <c r="M31" s="19">
        <f>'Base cotisations'!$E$22</f>
        <v>8.6400000000000005E-2</v>
      </c>
      <c r="N31" s="30">
        <f t="shared" si="13"/>
        <v>0</v>
      </c>
      <c r="O31" s="15">
        <f>IF(AND(Q8="non-cadre",O22&lt;$M$4),0,IF(AND(Q8="non-cadre",O22&gt;$M$4),O22-$M$4,0))</f>
        <v>0</v>
      </c>
      <c r="P31" s="19">
        <f>'Base cotisations'!$E$22</f>
        <v>8.6400000000000005E-2</v>
      </c>
      <c r="Q31" s="30">
        <f t="shared" si="14"/>
        <v>0</v>
      </c>
      <c r="R31" s="15">
        <f>IF(AND(T8="non-cadre",R22&lt;$M$4),0,IF(AND(T8="non-cadre",R22&gt;$M$4),R22-$M$4,0))</f>
        <v>0</v>
      </c>
      <c r="S31" s="19">
        <f>'Base cotisations'!$E$22</f>
        <v>8.6400000000000005E-2</v>
      </c>
      <c r="T31" s="30">
        <f t="shared" si="15"/>
        <v>0</v>
      </c>
      <c r="U31" s="137">
        <f t="shared" si="2"/>
        <v>0</v>
      </c>
      <c r="V31" s="11">
        <f t="shared" si="3"/>
        <v>0</v>
      </c>
      <c r="W31" s="219"/>
      <c r="X31" s="3"/>
      <c r="Y31" s="3"/>
      <c r="Z31" s="211"/>
    </row>
    <row r="32" spans="1:27">
      <c r="A32" s="51"/>
      <c r="B32" s="2" t="s">
        <v>11</v>
      </c>
      <c r="C32" s="11">
        <f>IF(AND(C22&lt;$M$4,E8="cadre"),C22,IF(AND(C22&gt;3311,E8="cadre"),$M$4,0))</f>
        <v>0</v>
      </c>
      <c r="D32" s="17">
        <f>'Base cotisations'!$E$21</f>
        <v>3.15E-2</v>
      </c>
      <c r="E32" s="28">
        <f t="shared" si="10"/>
        <v>0</v>
      </c>
      <c r="F32" s="11">
        <f>IF(AND(F22&lt;$M$4,H8="cadre"),F22,IF(AND(F22&gt;3311,H8="cadre"),$M$4,0))</f>
        <v>0</v>
      </c>
      <c r="G32" s="17">
        <f>'Base cotisations'!$E$21</f>
        <v>3.15E-2</v>
      </c>
      <c r="H32" s="28">
        <f t="shared" si="11"/>
        <v>0</v>
      </c>
      <c r="I32" s="11">
        <f>IF(AND(I22&lt;$M$4,K8="cadre"),I22,IF(AND(I22&gt;3311,K8="cadre"),$M$4,0))</f>
        <v>0</v>
      </c>
      <c r="J32" s="17">
        <f>'Base cotisations'!$E$21</f>
        <v>3.15E-2</v>
      </c>
      <c r="K32" s="28">
        <f t="shared" si="12"/>
        <v>0</v>
      </c>
      <c r="L32" s="11">
        <f>IF(AND(L22&lt;$M$4,N8="cadre"),L22,IF(AND(L22&gt;3311,N8="cadre"),$M$4,0))</f>
        <v>1939.7751999999998</v>
      </c>
      <c r="M32" s="17">
        <f>'Base cotisations'!$E$21</f>
        <v>3.15E-2</v>
      </c>
      <c r="N32" s="28">
        <f t="shared" si="13"/>
        <v>61.102918799999998</v>
      </c>
      <c r="O32" s="11">
        <f>IF(AND(O22&lt;$M$4,Q8="cadre"),O22,IF(AND(O22&gt;3311,Q8="cadre"),$M$4,0))</f>
        <v>0</v>
      </c>
      <c r="P32" s="17">
        <f>'Base cotisations'!$E$21</f>
        <v>3.15E-2</v>
      </c>
      <c r="Q32" s="28">
        <f t="shared" si="14"/>
        <v>0</v>
      </c>
      <c r="R32" s="11">
        <f>IF(AND(R22&lt;$M$4,T8="cadre"),R22,IF(AND(R22&gt;3311,T8="cadre"),$M$4,0))</f>
        <v>0</v>
      </c>
      <c r="S32" s="17">
        <f>'Base cotisations'!$E$21</f>
        <v>3.15E-2</v>
      </c>
      <c r="T32" s="28">
        <f t="shared" si="15"/>
        <v>0</v>
      </c>
      <c r="U32" s="137">
        <f t="shared" si="2"/>
        <v>1939.7751999999998</v>
      </c>
      <c r="V32" s="11">
        <f t="shared" si="3"/>
        <v>61.102918799999998</v>
      </c>
      <c r="W32" s="219"/>
      <c r="X32" s="3"/>
      <c r="Y32" s="3"/>
      <c r="Z32" s="211"/>
    </row>
    <row r="33" spans="1:27">
      <c r="A33" s="51"/>
      <c r="B33" s="2" t="s">
        <v>12</v>
      </c>
      <c r="C33" s="11">
        <f>IF(AND(C22&gt;$M$4,E8="cadre"),C22-$M$4,0)</f>
        <v>0</v>
      </c>
      <c r="D33" s="17">
        <f>'Base cotisations'!$E$22</f>
        <v>8.6400000000000005E-2</v>
      </c>
      <c r="E33" s="28">
        <f t="shared" si="10"/>
        <v>0</v>
      </c>
      <c r="F33" s="11">
        <f>IF(AND(F22&gt;$M$4,H8="cadre"),F22-$M$4,0)</f>
        <v>0</v>
      </c>
      <c r="G33" s="17">
        <f>'Base cotisations'!$E$22</f>
        <v>8.6400000000000005E-2</v>
      </c>
      <c r="H33" s="28">
        <f t="shared" si="11"/>
        <v>0</v>
      </c>
      <c r="I33" s="11">
        <f>IF(AND(I22&gt;$M$4,K8="cadre"),I22-$M$4,0)</f>
        <v>0</v>
      </c>
      <c r="J33" s="17">
        <f>'Base cotisations'!$E$22</f>
        <v>8.6400000000000005E-2</v>
      </c>
      <c r="K33" s="28">
        <f t="shared" si="12"/>
        <v>0</v>
      </c>
      <c r="L33" s="11">
        <f>IF(AND(L22&gt;$M$4,N8="cadre"),L22-$M$4,0)</f>
        <v>0</v>
      </c>
      <c r="M33" s="17">
        <f>'Base cotisations'!$E$22</f>
        <v>8.6400000000000005E-2</v>
      </c>
      <c r="N33" s="28">
        <f t="shared" si="13"/>
        <v>0</v>
      </c>
      <c r="O33" s="11">
        <f>IF(AND(O22&gt;$M$4,Q8="cadre"),O22-$M$4,0)</f>
        <v>0</v>
      </c>
      <c r="P33" s="17">
        <f>'Base cotisations'!$E$22</f>
        <v>8.6400000000000005E-2</v>
      </c>
      <c r="Q33" s="28">
        <f t="shared" si="14"/>
        <v>0</v>
      </c>
      <c r="R33" s="11">
        <f>IF(AND(R22&gt;$M$4,T8="cadre"),R22-$M$4,0)</f>
        <v>0</v>
      </c>
      <c r="S33" s="17">
        <f>'Base cotisations'!$E$22</f>
        <v>8.6400000000000005E-2</v>
      </c>
      <c r="T33" s="28">
        <f t="shared" si="15"/>
        <v>0</v>
      </c>
      <c r="U33" s="137">
        <f t="shared" si="2"/>
        <v>0</v>
      </c>
      <c r="V33" s="11">
        <f t="shared" si="3"/>
        <v>0</v>
      </c>
      <c r="W33" s="219"/>
      <c r="X33" s="3"/>
      <c r="Y33" s="3"/>
      <c r="Z33" s="211"/>
    </row>
    <row r="34" spans="1:27">
      <c r="A34" s="51"/>
      <c r="B34" s="14" t="s">
        <v>149</v>
      </c>
      <c r="C34" s="15">
        <f>IF(AND(E8="non-cadre",C22&gt;$M$4),$M$4,IF(AND(E8="non-cadre",C22&lt;$M$4),C22,0))</f>
        <v>0</v>
      </c>
      <c r="D34" s="19">
        <f>'Base cotisations'!$E$23</f>
        <v>8.6E-3</v>
      </c>
      <c r="E34" s="30">
        <f t="shared" si="10"/>
        <v>0</v>
      </c>
      <c r="F34" s="15">
        <f>IF(AND(H8="non-cadre",F22&gt;$M$4),$M$4,IF(AND(H8="non-cadre",F22&lt;$M$4),F22,0))</f>
        <v>0</v>
      </c>
      <c r="G34" s="19">
        <f>'Base cotisations'!$E$23</f>
        <v>8.6E-3</v>
      </c>
      <c r="H34" s="30">
        <f t="shared" si="11"/>
        <v>0</v>
      </c>
      <c r="I34" s="15">
        <f>IF(AND(K8="non-cadre",I22&gt;$M$4),$M$4,IF(AND(K8="non-cadre",I22&lt;$M$4),I22,0))</f>
        <v>0</v>
      </c>
      <c r="J34" s="19">
        <f>'Base cotisations'!$E$23</f>
        <v>8.6E-3</v>
      </c>
      <c r="K34" s="30">
        <f t="shared" si="12"/>
        <v>0</v>
      </c>
      <c r="L34" s="15">
        <f>IF(AND(N8="non-cadre",L22&gt;$M$4),$M$4,IF(AND(N8="non-cadre",L22&lt;$M$4),L22,0))</f>
        <v>0</v>
      </c>
      <c r="M34" s="19">
        <f>'Base cotisations'!$E$23</f>
        <v>8.6E-3</v>
      </c>
      <c r="N34" s="30">
        <f t="shared" si="13"/>
        <v>0</v>
      </c>
      <c r="O34" s="15">
        <f>IF(AND(Q8="non-cadre",O22&gt;$M$4),$M$4,IF(AND(Q8="non-cadre",O22&lt;$M$4),O22,0))</f>
        <v>2003.8999999999999</v>
      </c>
      <c r="P34" s="19">
        <f>'Base cotisations'!$E$23</f>
        <v>8.6E-3</v>
      </c>
      <c r="Q34" s="30">
        <f t="shared" si="14"/>
        <v>17.233539999999998</v>
      </c>
      <c r="R34" s="15">
        <f>IF(AND(T8="non-cadre",R22&gt;$M$4),$M$4,IF(AND(T8="non-cadre",R22&lt;$M$4),R22,0))</f>
        <v>1955.8063999999997</v>
      </c>
      <c r="S34" s="19">
        <f>'Base cotisations'!$E$23</f>
        <v>8.6E-3</v>
      </c>
      <c r="T34" s="30">
        <f t="shared" si="15"/>
        <v>16.819935039999997</v>
      </c>
      <c r="U34" s="137">
        <f t="shared" si="2"/>
        <v>3959.7063999999996</v>
      </c>
      <c r="V34" s="11">
        <f t="shared" si="3"/>
        <v>34.053475039999995</v>
      </c>
      <c r="W34" s="219"/>
      <c r="X34" s="3"/>
      <c r="Y34" s="3"/>
      <c r="Z34" s="211"/>
    </row>
    <row r="35" spans="1:27">
      <c r="A35" s="51"/>
      <c r="B35" s="14" t="s">
        <v>148</v>
      </c>
      <c r="C35" s="15">
        <f>IF(AND(E8="non-cadre",C22&lt;$M$4),0,IF(AND(E8="non-cadre",C22&gt;$M$4),C22-$M$4,0))</f>
        <v>0</v>
      </c>
      <c r="D35" s="19">
        <f>'Base cotisations'!$E$24</f>
        <v>1.0800000000000001E-2</v>
      </c>
      <c r="E35" s="30">
        <f t="shared" si="10"/>
        <v>0</v>
      </c>
      <c r="F35" s="15">
        <f>IF(AND(H8="non-cadre",F22&lt;$M$4),0,IF(AND(H8="non-cadre",F22&gt;$M$4),F22-$M$4,0))</f>
        <v>0</v>
      </c>
      <c r="G35" s="19">
        <f>'Base cotisations'!$E$24</f>
        <v>1.0800000000000001E-2</v>
      </c>
      <c r="H35" s="30">
        <f t="shared" si="11"/>
        <v>0</v>
      </c>
      <c r="I35" s="15">
        <f>IF(AND(K8="non-cadre",I22&lt;$M$4),0,IF(AND(K8="non-cadre",I22&gt;$M$4),I22-$M$4,0))</f>
        <v>0</v>
      </c>
      <c r="J35" s="19">
        <f>'Base cotisations'!$E$24</f>
        <v>1.0800000000000001E-2</v>
      </c>
      <c r="K35" s="30">
        <f t="shared" si="12"/>
        <v>0</v>
      </c>
      <c r="L35" s="15">
        <f>IF(AND(N8="non-cadre",L22&lt;$M$4),0,IF(AND(N8="non-cadre",L22&gt;$M$4),L22-$M$4,0))</f>
        <v>0</v>
      </c>
      <c r="M35" s="19">
        <f>'Base cotisations'!$E$24</f>
        <v>1.0800000000000001E-2</v>
      </c>
      <c r="N35" s="30">
        <f t="shared" si="13"/>
        <v>0</v>
      </c>
      <c r="O35" s="15">
        <f>IF(AND(Q8="non-cadre",O22&lt;$M$4),0,IF(AND(Q8="non-cadre",O22&gt;$M$4),O22-$M$4,0))</f>
        <v>0</v>
      </c>
      <c r="P35" s="19">
        <f>'Base cotisations'!$E$24</f>
        <v>1.0800000000000001E-2</v>
      </c>
      <c r="Q35" s="30">
        <f t="shared" si="14"/>
        <v>0</v>
      </c>
      <c r="R35" s="15">
        <f>IF(AND(T8="non-cadre",R22&lt;$M$4),0,IF(AND(T8="non-cadre",R22&gt;$M$4),R22-$M$4,0))</f>
        <v>0</v>
      </c>
      <c r="S35" s="19">
        <f>'Base cotisations'!$E$24</f>
        <v>1.0800000000000001E-2</v>
      </c>
      <c r="T35" s="30">
        <f t="shared" si="15"/>
        <v>0</v>
      </c>
      <c r="U35" s="137">
        <f t="shared" si="2"/>
        <v>0</v>
      </c>
      <c r="V35" s="11">
        <f t="shared" si="3"/>
        <v>0</v>
      </c>
      <c r="W35" s="219"/>
      <c r="X35" s="3"/>
      <c r="Y35" s="3"/>
      <c r="Z35" s="211"/>
    </row>
    <row r="36" spans="1:27">
      <c r="A36" s="51"/>
      <c r="B36" s="2" t="s">
        <v>150</v>
      </c>
      <c r="C36" s="11">
        <f>IF(AND(C22&lt;$M$4,E8="cadre"),C22,IF(AND(C22&gt;3311,E8="cadre"),$M$4,0))</f>
        <v>0</v>
      </c>
      <c r="D36" s="17">
        <f>'Base cotisations'!$E$23</f>
        <v>8.6E-3</v>
      </c>
      <c r="E36" s="28">
        <f t="shared" si="10"/>
        <v>0</v>
      </c>
      <c r="F36" s="11">
        <f>IF(AND(F22&lt;$M$4,H8="cadre"),F22,IF(AND(F22&gt;3311,H8="cadre"),$M$4,0))</f>
        <v>0</v>
      </c>
      <c r="G36" s="17">
        <f>'Base cotisations'!$E$23</f>
        <v>8.6E-3</v>
      </c>
      <c r="H36" s="28">
        <f t="shared" si="11"/>
        <v>0</v>
      </c>
      <c r="I36" s="11">
        <f>IF(AND(I22&lt;$M$4,K8="cadre"),I22,IF(AND(I22&gt;3311,K8="cadre"),$M$4,0))</f>
        <v>0</v>
      </c>
      <c r="J36" s="17">
        <f>'Base cotisations'!$E$23</f>
        <v>8.6E-3</v>
      </c>
      <c r="K36" s="28">
        <f t="shared" si="12"/>
        <v>0</v>
      </c>
      <c r="L36" s="11">
        <f>IF(AND(L22&lt;$M$4,N8="cadre"),L22,IF(AND(L22&gt;3311,N8="cadre"),$M$4,0))</f>
        <v>1939.7751999999998</v>
      </c>
      <c r="M36" s="17">
        <f>'Base cotisations'!$E$23</f>
        <v>8.6E-3</v>
      </c>
      <c r="N36" s="28">
        <f t="shared" si="13"/>
        <v>16.682066719999998</v>
      </c>
      <c r="O36" s="11">
        <f>IF(AND(O22&lt;$M$4,Q8="cadre"),O22,IF(AND(O22&gt;3311,Q8="cadre"),$M$4,0))</f>
        <v>0</v>
      </c>
      <c r="P36" s="17">
        <f>'Base cotisations'!$E$23</f>
        <v>8.6E-3</v>
      </c>
      <c r="Q36" s="28">
        <f t="shared" si="14"/>
        <v>0</v>
      </c>
      <c r="R36" s="11">
        <f>IF(AND(R22&lt;$M$4,T8="cadre"),R22,IF(AND(R22&gt;3311,T8="cadre"),$M$4,0))</f>
        <v>0</v>
      </c>
      <c r="S36" s="17">
        <f>'Base cotisations'!$E$23</f>
        <v>8.6E-3</v>
      </c>
      <c r="T36" s="28">
        <f t="shared" si="15"/>
        <v>0</v>
      </c>
      <c r="U36" s="137">
        <f t="shared" si="2"/>
        <v>1939.7751999999998</v>
      </c>
      <c r="V36" s="11">
        <f t="shared" si="3"/>
        <v>16.682066719999998</v>
      </c>
      <c r="W36" s="219"/>
      <c r="X36" s="3"/>
      <c r="Y36" s="3"/>
      <c r="Z36" s="211"/>
    </row>
    <row r="37" spans="1:27">
      <c r="A37" s="51"/>
      <c r="B37" s="2" t="s">
        <v>151</v>
      </c>
      <c r="C37" s="11">
        <f>IF(AND(C22&gt;$M$4,E8="cadre"),C22-$M$4,0)</f>
        <v>0</v>
      </c>
      <c r="D37" s="17">
        <f>'Base cotisations'!$E$24</f>
        <v>1.0800000000000001E-2</v>
      </c>
      <c r="E37" s="28">
        <f t="shared" si="10"/>
        <v>0</v>
      </c>
      <c r="F37" s="11">
        <f>IF(AND(F22&gt;$M$4,H8="cadre"),F22-$M$4,0)</f>
        <v>0</v>
      </c>
      <c r="G37" s="17">
        <f>'Base cotisations'!$E$24</f>
        <v>1.0800000000000001E-2</v>
      </c>
      <c r="H37" s="28">
        <f t="shared" si="11"/>
        <v>0</v>
      </c>
      <c r="I37" s="11">
        <f>IF(AND(I22&gt;$M$4,K8="cadre"),I22-$M$4,0)</f>
        <v>0</v>
      </c>
      <c r="J37" s="17">
        <f>'Base cotisations'!$E$24</f>
        <v>1.0800000000000001E-2</v>
      </c>
      <c r="K37" s="28">
        <f t="shared" si="12"/>
        <v>0</v>
      </c>
      <c r="L37" s="11">
        <f>IF(AND(L22&gt;$M$4,N8="cadre"),L22-$M$4,0)</f>
        <v>0</v>
      </c>
      <c r="M37" s="17">
        <f>'Base cotisations'!$E$24</f>
        <v>1.0800000000000001E-2</v>
      </c>
      <c r="N37" s="28">
        <f t="shared" si="13"/>
        <v>0</v>
      </c>
      <c r="O37" s="11">
        <f>IF(AND(O22&gt;$M$4,Q8="cadre"),O22-$M$4,0)</f>
        <v>0</v>
      </c>
      <c r="P37" s="17">
        <f>'Base cotisations'!$E$24</f>
        <v>1.0800000000000001E-2</v>
      </c>
      <c r="Q37" s="28">
        <f t="shared" si="14"/>
        <v>0</v>
      </c>
      <c r="R37" s="11">
        <f>IF(AND(R22&gt;$M$4,T8="cadre"),R22-$M$4,0)</f>
        <v>0</v>
      </c>
      <c r="S37" s="17">
        <f>'Base cotisations'!$E$24</f>
        <v>1.0800000000000001E-2</v>
      </c>
      <c r="T37" s="28">
        <f t="shared" si="15"/>
        <v>0</v>
      </c>
      <c r="U37" s="137">
        <f t="shared" si="2"/>
        <v>0</v>
      </c>
      <c r="V37" s="11">
        <f t="shared" si="3"/>
        <v>0</v>
      </c>
      <c r="W37" s="219"/>
      <c r="X37" s="3"/>
      <c r="Y37" s="3"/>
      <c r="Z37" s="211"/>
    </row>
    <row r="38" spans="1:27">
      <c r="A38" s="51"/>
      <c r="B38" s="2" t="s">
        <v>13</v>
      </c>
      <c r="C38" s="11">
        <f>IF(E8="cadre",C22,0)</f>
        <v>0</v>
      </c>
      <c r="D38" s="17">
        <f>+'Base cotisations'!$E$25</f>
        <v>1.4E-3</v>
      </c>
      <c r="E38" s="28">
        <f t="shared" si="10"/>
        <v>0</v>
      </c>
      <c r="F38" s="11">
        <f>IF(H8="cadre",F22,0)</f>
        <v>0</v>
      </c>
      <c r="G38" s="17">
        <f>+'Base cotisations'!$E$25</f>
        <v>1.4E-3</v>
      </c>
      <c r="H38" s="28">
        <f t="shared" si="11"/>
        <v>0</v>
      </c>
      <c r="I38" s="11">
        <f>IF(K8="cadre",I22,0)</f>
        <v>0</v>
      </c>
      <c r="J38" s="17">
        <f>+'Base cotisations'!$E$25</f>
        <v>1.4E-3</v>
      </c>
      <c r="K38" s="28">
        <f t="shared" si="12"/>
        <v>0</v>
      </c>
      <c r="L38" s="11">
        <f>IF(N8="cadre",L22,0)</f>
        <v>1939.7751999999998</v>
      </c>
      <c r="M38" s="17">
        <f>+'Base cotisations'!$E$25</f>
        <v>1.4E-3</v>
      </c>
      <c r="N38" s="28">
        <f t="shared" si="13"/>
        <v>2.7156852799999998</v>
      </c>
      <c r="O38" s="11">
        <f>IF(Q8="cadre",O22,0)</f>
        <v>0</v>
      </c>
      <c r="P38" s="17">
        <f>+'Base cotisations'!$E$25</f>
        <v>1.4E-3</v>
      </c>
      <c r="Q38" s="28">
        <f t="shared" si="14"/>
        <v>0</v>
      </c>
      <c r="R38" s="11">
        <f>IF(T8="cadre",R22,0)</f>
        <v>0</v>
      </c>
      <c r="S38" s="17">
        <f>+'Base cotisations'!$E$25</f>
        <v>1.4E-3</v>
      </c>
      <c r="T38" s="28">
        <f t="shared" si="15"/>
        <v>0</v>
      </c>
      <c r="U38" s="137">
        <f t="shared" si="2"/>
        <v>1939.7751999999998</v>
      </c>
      <c r="V38" s="11">
        <f t="shared" si="3"/>
        <v>2.7156852799999998</v>
      </c>
      <c r="W38" s="219"/>
      <c r="X38" s="3"/>
      <c r="Y38" s="3"/>
      <c r="Z38" s="211"/>
    </row>
    <row r="39" spans="1:27">
      <c r="A39" s="51"/>
      <c r="B39" s="2" t="s">
        <v>14</v>
      </c>
      <c r="C39" s="11">
        <f>IF(E8="cadre",C22,0)</f>
        <v>0</v>
      </c>
      <c r="D39" s="20">
        <f>'Base cotisations'!$E$19</f>
        <v>2.4000000000000001E-4</v>
      </c>
      <c r="E39" s="28">
        <f t="shared" si="10"/>
        <v>0</v>
      </c>
      <c r="F39" s="11">
        <f>IF(H8="cadre",F22,0)</f>
        <v>0</v>
      </c>
      <c r="G39" s="20">
        <f>'Base cotisations'!$E$19</f>
        <v>2.4000000000000001E-4</v>
      </c>
      <c r="H39" s="28">
        <f t="shared" si="11"/>
        <v>0</v>
      </c>
      <c r="I39" s="11">
        <f>IF(K8="cadre",I22,0)</f>
        <v>0</v>
      </c>
      <c r="J39" s="20">
        <f>'Base cotisations'!$E$19</f>
        <v>2.4000000000000001E-4</v>
      </c>
      <c r="K39" s="28">
        <f t="shared" si="12"/>
        <v>0</v>
      </c>
      <c r="L39" s="11">
        <f>IF(N8="cadre",L22,0)</f>
        <v>1939.7751999999998</v>
      </c>
      <c r="M39" s="20">
        <f>'Base cotisations'!$E$19</f>
        <v>2.4000000000000001E-4</v>
      </c>
      <c r="N39" s="28">
        <f t="shared" si="13"/>
        <v>0.46554604799999999</v>
      </c>
      <c r="O39" s="11">
        <f>IF(Q8="cadre",O22,0)</f>
        <v>0</v>
      </c>
      <c r="P39" s="20">
        <f>'Base cotisations'!$E$19</f>
        <v>2.4000000000000001E-4</v>
      </c>
      <c r="Q39" s="28">
        <f t="shared" si="14"/>
        <v>0</v>
      </c>
      <c r="R39" s="11">
        <f>IF(T8="cadre",R22,0)</f>
        <v>0</v>
      </c>
      <c r="S39" s="20">
        <f>'Base cotisations'!$E$19</f>
        <v>2.4000000000000001E-4</v>
      </c>
      <c r="T39" s="28">
        <f t="shared" si="15"/>
        <v>0</v>
      </c>
      <c r="U39" s="137">
        <f t="shared" si="2"/>
        <v>1939.7751999999998</v>
      </c>
      <c r="V39" s="11">
        <f t="shared" si="3"/>
        <v>0.46554604799999999</v>
      </c>
      <c r="W39" s="219"/>
      <c r="X39" s="216"/>
      <c r="Y39" s="3"/>
      <c r="Z39" s="211"/>
    </row>
    <row r="40" spans="1:27">
      <c r="A40" s="51"/>
      <c r="B40" s="14" t="s">
        <v>15</v>
      </c>
      <c r="C40" s="15">
        <f>IF(C22&lt;$M$4,C22,IF(C22&gt;$M$4,$M$4,""))</f>
        <v>0</v>
      </c>
      <c r="D40" s="136">
        <v>5.7999999999999996E-3</v>
      </c>
      <c r="E40" s="30">
        <f t="shared" si="10"/>
        <v>0</v>
      </c>
      <c r="F40" s="15">
        <f>IF(F22&lt;$M$4,F22,IF(F22&gt;$M$4,$M$4,""))</f>
        <v>0</v>
      </c>
      <c r="G40" s="136">
        <v>5.7999999999999996E-3</v>
      </c>
      <c r="H40" s="30">
        <f t="shared" si="11"/>
        <v>0</v>
      </c>
      <c r="I40" s="15">
        <f>IF(I22&lt;$M$4,I22,IF(I22&gt;$M$4,$M$4,""))</f>
        <v>0</v>
      </c>
      <c r="J40" s="136">
        <v>5.7999999999999996E-3</v>
      </c>
      <c r="K40" s="30">
        <f t="shared" si="12"/>
        <v>0</v>
      </c>
      <c r="L40" s="15">
        <f>IF(L22&lt;$M$4,L22,IF(L22&gt;$M$4,$M$4,""))</f>
        <v>1939.7751999999998</v>
      </c>
      <c r="M40" s="136">
        <v>5.7999999999999996E-3</v>
      </c>
      <c r="N40" s="30">
        <f t="shared" si="13"/>
        <v>11.250696159999999</v>
      </c>
      <c r="O40" s="15">
        <f>IF(O22&lt;$M$4,O22,IF(O22&gt;$M$4,$M$4,""))</f>
        <v>2003.8999999999999</v>
      </c>
      <c r="P40" s="136"/>
      <c r="Q40" s="30">
        <f t="shared" si="14"/>
        <v>0</v>
      </c>
      <c r="R40" s="15">
        <f>IF(R22&lt;$M$4,R22,IF(R22&gt;$M$4,$M$4,""))</f>
        <v>1955.8063999999997</v>
      </c>
      <c r="S40" s="136"/>
      <c r="T40" s="30">
        <f t="shared" si="15"/>
        <v>0</v>
      </c>
      <c r="U40" s="137">
        <f t="shared" si="2"/>
        <v>5899.4815999999992</v>
      </c>
      <c r="V40" s="11">
        <f t="shared" si="3"/>
        <v>11.250696159999999</v>
      </c>
      <c r="W40" s="219"/>
      <c r="X40" s="3"/>
      <c r="Y40" s="3"/>
      <c r="Z40" s="211"/>
    </row>
    <row r="41" spans="1:27">
      <c r="A41" s="51"/>
      <c r="B41" s="14" t="s">
        <v>16</v>
      </c>
      <c r="C41" s="15">
        <v>152.57</v>
      </c>
      <c r="D41" s="19">
        <v>0.4</v>
      </c>
      <c r="E41" s="187">
        <f>D41*C41</f>
        <v>61.027999999999999</v>
      </c>
      <c r="F41" s="15">
        <v>152.57</v>
      </c>
      <c r="G41" s="19">
        <v>0.4</v>
      </c>
      <c r="H41" s="187">
        <f>G41*F41</f>
        <v>61.027999999999999</v>
      </c>
      <c r="I41" s="15">
        <v>152.57</v>
      </c>
      <c r="J41" s="19">
        <v>0.4</v>
      </c>
      <c r="K41" s="187">
        <f>J41*I41</f>
        <v>61.027999999999999</v>
      </c>
      <c r="L41" s="15">
        <v>152.57</v>
      </c>
      <c r="M41" s="19">
        <v>0.4</v>
      </c>
      <c r="N41" s="187">
        <f>M41*L41</f>
        <v>61.027999999999999</v>
      </c>
      <c r="O41" s="15">
        <f>IF(O22&lt;$M$4,O22,IF(O22&gt;$M$4,$M$4,""))</f>
        <v>2003.8999999999999</v>
      </c>
      <c r="P41" s="19"/>
      <c r="Q41" s="187"/>
      <c r="R41" s="15">
        <f>IF(R22&lt;$M$4,R22,IF(R22&gt;$M$4,$M$4,""))</f>
        <v>1955.8063999999997</v>
      </c>
      <c r="S41" s="19"/>
      <c r="T41" s="187"/>
      <c r="U41" s="137">
        <f t="shared" si="2"/>
        <v>4569.9863999999998</v>
      </c>
      <c r="V41" s="11">
        <f t="shared" si="3"/>
        <v>244.11199999999999</v>
      </c>
      <c r="W41" s="220"/>
      <c r="X41" s="144">
        <f>SUM(V30:V41)</f>
        <v>495.11313964799996</v>
      </c>
      <c r="Y41" s="138"/>
      <c r="Z41" s="211">
        <v>437</v>
      </c>
      <c r="AA41" t="s">
        <v>97</v>
      </c>
    </row>
    <row r="42" spans="1:27">
      <c r="A42" s="50"/>
      <c r="B42" s="2" t="s">
        <v>147</v>
      </c>
      <c r="C42" s="11">
        <f>(C22*0.9825)+E40+E41</f>
        <v>61.027999999999999</v>
      </c>
      <c r="D42" s="17">
        <f>'Base cotisations'!$E$4</f>
        <v>2.4E-2</v>
      </c>
      <c r="E42" s="28">
        <f>C42*D42</f>
        <v>1.464672</v>
      </c>
      <c r="F42" s="11">
        <f>(F22*0.9825)+H40+H41</f>
        <v>61.027999999999999</v>
      </c>
      <c r="G42" s="17">
        <f>'Base cotisations'!$E$4</f>
        <v>2.4E-2</v>
      </c>
      <c r="H42" s="28">
        <f>F42*G42</f>
        <v>1.464672</v>
      </c>
      <c r="I42" s="11">
        <f>(I22*0.9825)+K40+K41</f>
        <v>61.027999999999999</v>
      </c>
      <c r="J42" s="17">
        <f>'Base cotisations'!$E$4</f>
        <v>2.4E-2</v>
      </c>
      <c r="K42" s="28">
        <f>I42*J42</f>
        <v>1.464672</v>
      </c>
      <c r="L42" s="11">
        <f>(L22*0.9825)+N40+N41</f>
        <v>1978.1078301599998</v>
      </c>
      <c r="M42" s="17">
        <f>'Base cotisations'!$E$4</f>
        <v>2.4E-2</v>
      </c>
      <c r="N42" s="28">
        <f>L42*M42</f>
        <v>47.474587923839998</v>
      </c>
      <c r="O42" s="11">
        <f>(O22*0.9825)+Q40+Q41</f>
        <v>1968.8317500000001</v>
      </c>
      <c r="P42" s="17">
        <f>'Base cotisations'!$E$4</f>
        <v>2.4E-2</v>
      </c>
      <c r="Q42" s="28">
        <f>O42*P42</f>
        <v>47.251961999999999</v>
      </c>
      <c r="R42" s="11">
        <f>(R22*0.9825)+T40+T41</f>
        <v>1921.5797879999998</v>
      </c>
      <c r="S42" s="17">
        <f>'Base cotisations'!$E$4</f>
        <v>2.4E-2</v>
      </c>
      <c r="T42" s="28">
        <f>R42*S42</f>
        <v>46.117914911999996</v>
      </c>
      <c r="U42" s="137">
        <f t="shared" si="2"/>
        <v>6051.6033681600002</v>
      </c>
      <c r="V42" s="11">
        <f t="shared" si="3"/>
        <v>145.23848083583999</v>
      </c>
      <c r="W42" s="219"/>
      <c r="Z42" s="210"/>
    </row>
    <row r="43" spans="1:27">
      <c r="A43" s="50"/>
      <c r="B43" s="2" t="s">
        <v>146</v>
      </c>
      <c r="C43" s="11">
        <f>(C22*0.9825)+E40+E41</f>
        <v>61.027999999999999</v>
      </c>
      <c r="D43" s="17">
        <f>'Base cotisations'!$E$5</f>
        <v>6.8000000000000005E-2</v>
      </c>
      <c r="E43" s="28">
        <f>C43*D43</f>
        <v>4.1499040000000003</v>
      </c>
      <c r="F43" s="11">
        <f>(F22*0.9825)+H40+H41</f>
        <v>61.027999999999999</v>
      </c>
      <c r="G43" s="17">
        <f>'Base cotisations'!$E$5</f>
        <v>6.8000000000000005E-2</v>
      </c>
      <c r="H43" s="28">
        <f>F43*G43</f>
        <v>4.1499040000000003</v>
      </c>
      <c r="I43" s="11">
        <f>(I22*0.9825)+K40+K41</f>
        <v>61.027999999999999</v>
      </c>
      <c r="J43" s="17">
        <f>'Base cotisations'!$E$5</f>
        <v>6.8000000000000005E-2</v>
      </c>
      <c r="K43" s="28">
        <f>I43*J43</f>
        <v>4.1499040000000003</v>
      </c>
      <c r="L43" s="11">
        <f>(L22*0.9825)+N40+N41</f>
        <v>1978.1078301599998</v>
      </c>
      <c r="M43" s="17">
        <f>'Base cotisations'!$E$5</f>
        <v>6.8000000000000005E-2</v>
      </c>
      <c r="N43" s="28">
        <f>L43*M43</f>
        <v>134.51133245087999</v>
      </c>
      <c r="O43" s="11">
        <f>(O22*0.9825)+Q40+Q41</f>
        <v>1968.8317500000001</v>
      </c>
      <c r="P43" s="17">
        <f>'Base cotisations'!$E$5</f>
        <v>6.8000000000000005E-2</v>
      </c>
      <c r="Q43" s="28">
        <f>O43*P43</f>
        <v>133.88055900000001</v>
      </c>
      <c r="R43" s="11">
        <f>(R22*0.9825)+T40+T41</f>
        <v>1921.5797879999998</v>
      </c>
      <c r="S43" s="17">
        <f>'Base cotisations'!$E$5</f>
        <v>6.8000000000000005E-2</v>
      </c>
      <c r="T43" s="28">
        <f>R43*S43</f>
        <v>130.667425584</v>
      </c>
      <c r="U43" s="137">
        <f t="shared" si="2"/>
        <v>6051.6033681600002</v>
      </c>
      <c r="V43" s="11">
        <f t="shared" si="3"/>
        <v>411.50902903488003</v>
      </c>
      <c r="W43" s="219"/>
      <c r="Z43" s="210"/>
    </row>
    <row r="44" spans="1:27">
      <c r="A44" s="50"/>
      <c r="B44" s="4" t="s">
        <v>109</v>
      </c>
      <c r="C44" s="12">
        <f>(C22*0.9825)+E40+E41</f>
        <v>61.027999999999999</v>
      </c>
      <c r="D44" s="18">
        <f>'Base cotisations'!$E$6</f>
        <v>5.0000000000000001E-3</v>
      </c>
      <c r="E44" s="29">
        <f>C44*D44</f>
        <v>0.30514000000000002</v>
      </c>
      <c r="F44" s="12">
        <f>(F22*0.9825)+H40+H41</f>
        <v>61.027999999999999</v>
      </c>
      <c r="G44" s="18">
        <f>'Base cotisations'!$E$6</f>
        <v>5.0000000000000001E-3</v>
      </c>
      <c r="H44" s="29">
        <f>F44*G44</f>
        <v>0.30514000000000002</v>
      </c>
      <c r="I44" s="12">
        <f>(I22*0.9825)+K40+K41</f>
        <v>61.027999999999999</v>
      </c>
      <c r="J44" s="18">
        <f>'Base cotisations'!$E$6</f>
        <v>5.0000000000000001E-3</v>
      </c>
      <c r="K44" s="29">
        <f>I44*J44</f>
        <v>0.30514000000000002</v>
      </c>
      <c r="L44" s="12">
        <f>(L22*0.9825)+N40+N41</f>
        <v>1978.1078301599998</v>
      </c>
      <c r="M44" s="18">
        <f>'Base cotisations'!$E$6</f>
        <v>5.0000000000000001E-3</v>
      </c>
      <c r="N44" s="29">
        <f>L44*M44</f>
        <v>9.8905391507999987</v>
      </c>
      <c r="O44" s="12">
        <f>(O22*0.9825)+Q40+Q41</f>
        <v>1968.8317500000001</v>
      </c>
      <c r="P44" s="18">
        <f>'Base cotisations'!$E$6</f>
        <v>5.0000000000000001E-3</v>
      </c>
      <c r="Q44" s="29">
        <f>O44*P44</f>
        <v>9.8441587500000001</v>
      </c>
      <c r="R44" s="12">
        <f>(R22*0.9825)+T40+T41</f>
        <v>1921.5797879999998</v>
      </c>
      <c r="S44" s="18">
        <f>'Base cotisations'!$E$6</f>
        <v>5.0000000000000001E-3</v>
      </c>
      <c r="T44" s="29">
        <f>R44*S44</f>
        <v>9.6078989399999983</v>
      </c>
      <c r="U44" s="137">
        <f t="shared" si="2"/>
        <v>6051.6033681600002</v>
      </c>
      <c r="V44" s="11">
        <f t="shared" si="3"/>
        <v>30.258016840799996</v>
      </c>
      <c r="W44" s="220"/>
      <c r="X44" s="144">
        <f>SUM(V42:V44)</f>
        <v>587.00552671152002</v>
      </c>
      <c r="Y44" s="50"/>
      <c r="Z44" s="210">
        <v>431</v>
      </c>
      <c r="AA44" t="s">
        <v>97</v>
      </c>
    </row>
    <row r="45" spans="1:27">
      <c r="B45" s="21" t="s">
        <v>22</v>
      </c>
      <c r="C45" s="22"/>
      <c r="D45" s="23"/>
      <c r="E45" s="31">
        <f>SUM(E23:E44)</f>
        <v>66.947716</v>
      </c>
      <c r="F45" s="22"/>
      <c r="G45" s="23"/>
      <c r="H45" s="31">
        <f>SUM(H23:H44)</f>
        <v>66.947716</v>
      </c>
      <c r="I45" s="22"/>
      <c r="J45" s="23"/>
      <c r="K45" s="31">
        <f>SUM(K23:K44)</f>
        <v>66.947716</v>
      </c>
      <c r="L45" s="22"/>
      <c r="M45" s="23"/>
      <c r="N45" s="31">
        <f>SUM(N23:N44)</f>
        <v>486.72496213351997</v>
      </c>
      <c r="O45" s="48"/>
      <c r="P45" s="41"/>
      <c r="Q45" s="42">
        <f>SUM(Q23:Q44)</f>
        <v>417.61776975000004</v>
      </c>
      <c r="R45" s="22"/>
      <c r="S45" s="23"/>
      <c r="T45" s="31">
        <f>SUM(T23:T44)</f>
        <v>407.59494327599992</v>
      </c>
      <c r="U45" s="13"/>
      <c r="V45" s="13">
        <f>SUM(E45,H45,K45,N45,Q45,T45)</f>
        <v>1512.7808231595197</v>
      </c>
      <c r="W45" s="219"/>
      <c r="Z45" s="210"/>
    </row>
    <row r="46" spans="1:27">
      <c r="B46" s="6" t="s">
        <v>17</v>
      </c>
      <c r="C46" s="10">
        <f>C22-E45</f>
        <v>-66.947716</v>
      </c>
      <c r="D46" s="10"/>
      <c r="E46" s="27"/>
      <c r="F46" s="10">
        <f>F22-H45</f>
        <v>-66.947716</v>
      </c>
      <c r="G46" s="10"/>
      <c r="H46" s="27"/>
      <c r="I46" s="10">
        <f>I22-K45</f>
        <v>-66.947716</v>
      </c>
      <c r="J46" s="10"/>
      <c r="K46" s="27"/>
      <c r="L46" s="10">
        <f>L22-N45</f>
        <v>1453.0502378664798</v>
      </c>
      <c r="M46" s="10"/>
      <c r="N46" s="27"/>
      <c r="O46" s="43">
        <f>O22-Q45</f>
        <v>1586.2822302499999</v>
      </c>
      <c r="P46" s="43"/>
      <c r="Q46" s="38"/>
      <c r="R46" s="10">
        <f>R22-T45</f>
        <v>1548.2114567239998</v>
      </c>
      <c r="S46" s="10"/>
      <c r="T46" s="27"/>
      <c r="U46" s="13">
        <f>SUM(C46,F46,I46,L46,O46,R46)</f>
        <v>4386.7007768404792</v>
      </c>
      <c r="V46" s="13"/>
      <c r="W46" s="219"/>
    </row>
    <row r="47" spans="1:27">
      <c r="B47" s="1" t="s">
        <v>7</v>
      </c>
      <c r="C47" s="10"/>
      <c r="D47" s="10"/>
      <c r="E47" s="27"/>
      <c r="F47" s="10"/>
      <c r="G47" s="10"/>
      <c r="H47" s="27"/>
      <c r="I47" s="10"/>
      <c r="J47" s="10"/>
      <c r="K47" s="27"/>
      <c r="L47" s="10"/>
      <c r="M47" s="10"/>
      <c r="N47" s="27"/>
      <c r="O47" s="43"/>
      <c r="P47" s="43"/>
      <c r="Q47" s="38"/>
      <c r="R47" s="10"/>
      <c r="S47" s="10"/>
      <c r="T47" s="27"/>
      <c r="U47" s="137">
        <f>SUM(C47,F47,I47,L47,O47,R47)</f>
        <v>0</v>
      </c>
      <c r="V47" s="11">
        <f>SUM(E47,H47,K47,N47,Q47,T47)</f>
        <v>0</v>
      </c>
      <c r="W47" s="219"/>
    </row>
    <row r="48" spans="1:27">
      <c r="B48" s="2" t="s">
        <v>5</v>
      </c>
      <c r="C48" s="11"/>
      <c r="D48" s="11"/>
      <c r="E48" s="28"/>
      <c r="F48" s="11"/>
      <c r="G48" s="11"/>
      <c r="H48" s="28"/>
      <c r="I48" s="11"/>
      <c r="J48" s="11"/>
      <c r="K48" s="28"/>
      <c r="L48" s="11"/>
      <c r="M48" s="11"/>
      <c r="N48" s="28"/>
      <c r="O48" s="44"/>
      <c r="P48" s="44"/>
      <c r="Q48" s="39"/>
      <c r="R48" s="11"/>
      <c r="S48" s="11"/>
      <c r="T48" s="28"/>
      <c r="U48" s="137">
        <f t="shared" ref="U48:U50" si="16">SUM(C48,F48,I48,L48,O48,R48)</f>
        <v>0</v>
      </c>
      <c r="V48" s="11">
        <f t="shared" ref="V48:V50" si="17">SUM(E48,H48,K48,N48,Q48,T48)</f>
        <v>0</v>
      </c>
      <c r="W48" s="219"/>
    </row>
    <row r="49" spans="2:25">
      <c r="B49" s="4" t="s">
        <v>18</v>
      </c>
      <c r="C49" s="12"/>
      <c r="D49" s="12"/>
      <c r="E49" s="29"/>
      <c r="F49" s="12"/>
      <c r="G49" s="12"/>
      <c r="H49" s="29"/>
      <c r="I49" s="12"/>
      <c r="J49" s="12"/>
      <c r="K49" s="29"/>
      <c r="L49" s="12"/>
      <c r="M49" s="12"/>
      <c r="N49" s="29"/>
      <c r="O49" s="45"/>
      <c r="P49" s="45"/>
      <c r="Q49" s="40"/>
      <c r="R49" s="12"/>
      <c r="S49" s="12"/>
      <c r="T49" s="29"/>
      <c r="U49" s="137">
        <f t="shared" si="16"/>
        <v>0</v>
      </c>
      <c r="V49" s="11">
        <f t="shared" si="17"/>
        <v>0</v>
      </c>
      <c r="W49" s="219"/>
    </row>
    <row r="50" spans="2:25">
      <c r="B50" s="7" t="s">
        <v>19</v>
      </c>
      <c r="C50" s="13">
        <f>SUM(C46:C49)</f>
        <v>-66.947716</v>
      </c>
      <c r="D50" s="13"/>
      <c r="E50" s="32"/>
      <c r="F50" s="13">
        <f>SUM(F46:F49)</f>
        <v>-66.947716</v>
      </c>
      <c r="G50" s="13"/>
      <c r="H50" s="32"/>
      <c r="I50" s="13">
        <f>SUM(I46:I49)</f>
        <v>-66.947716</v>
      </c>
      <c r="J50" s="13"/>
      <c r="K50" s="32"/>
      <c r="L50" s="13">
        <f>SUM(L46:L49)</f>
        <v>1453.0502378664798</v>
      </c>
      <c r="M50" s="13"/>
      <c r="N50" s="32"/>
      <c r="O50" s="46">
        <f>SUM(O46:O49)</f>
        <v>1586.2822302499999</v>
      </c>
      <c r="P50" s="46"/>
      <c r="Q50" s="47"/>
      <c r="R50" s="13">
        <f>SUM(R46:R49)</f>
        <v>1548.2114567239998</v>
      </c>
      <c r="S50" s="13"/>
      <c r="T50" s="32"/>
      <c r="U50" s="217">
        <f t="shared" si="16"/>
        <v>4386.7007768404792</v>
      </c>
      <c r="V50" s="12">
        <f t="shared" si="17"/>
        <v>0</v>
      </c>
      <c r="W50" s="220"/>
      <c r="X50" s="144">
        <f>+U50</f>
        <v>4386.7007768404792</v>
      </c>
      <c r="Y50" t="s">
        <v>97</v>
      </c>
    </row>
    <row r="51" spans="2:25">
      <c r="R51" s="49"/>
    </row>
    <row r="53" spans="2:25">
      <c r="L53" t="s">
        <v>32</v>
      </c>
      <c r="M53" t="s">
        <v>33</v>
      </c>
      <c r="N53" t="s">
        <v>34</v>
      </c>
      <c r="O53" t="s">
        <v>35</v>
      </c>
      <c r="P53" t="s">
        <v>36</v>
      </c>
      <c r="Q53" t="s">
        <v>37</v>
      </c>
    </row>
    <row r="54" spans="2:25">
      <c r="L54" t="s">
        <v>38</v>
      </c>
      <c r="M54" t="s">
        <v>39</v>
      </c>
      <c r="N54" t="s">
        <v>40</v>
      </c>
      <c r="O54" t="s">
        <v>41</v>
      </c>
      <c r="P54" t="s">
        <v>42</v>
      </c>
      <c r="Q54" t="s">
        <v>43</v>
      </c>
    </row>
    <row r="55" spans="2:25">
      <c r="L55" t="s">
        <v>389</v>
      </c>
      <c r="M55">
        <v>641000</v>
      </c>
      <c r="N55" t="s">
        <v>46</v>
      </c>
      <c r="O55" t="s">
        <v>49</v>
      </c>
      <c r="P55" s="52">
        <f>U22+U49</f>
        <v>5899.4815999999992</v>
      </c>
    </row>
    <row r="56" spans="2:25">
      <c r="M56">
        <v>431000</v>
      </c>
      <c r="N56" t="s">
        <v>30</v>
      </c>
      <c r="O56" t="s">
        <v>49</v>
      </c>
      <c r="Q56" s="52">
        <f>SUM(V24:V29)+V43+V42+V44</f>
        <v>1017.6676835115201</v>
      </c>
    </row>
    <row r="57" spans="2:25">
      <c r="M57">
        <v>437000</v>
      </c>
      <c r="N57" t="s">
        <v>47</v>
      </c>
      <c r="O57" t="s">
        <v>49</v>
      </c>
      <c r="Q57" s="52">
        <f>SUM(V30:V41)</f>
        <v>495.11313964799996</v>
      </c>
    </row>
    <row r="58" spans="2:25">
      <c r="M58">
        <v>421000</v>
      </c>
      <c r="N58" t="s">
        <v>48</v>
      </c>
      <c r="O58" t="s">
        <v>49</v>
      </c>
      <c r="Q58" s="52">
        <f>U50</f>
        <v>4386.7007768404792</v>
      </c>
    </row>
    <row r="61" spans="2:25">
      <c r="L61" t="s">
        <v>44</v>
      </c>
      <c r="P61" s="52">
        <f>SUM(P55:P60)</f>
        <v>5899.4815999999992</v>
      </c>
      <c r="Q61" s="52">
        <f>SUM(Q55:Q60)</f>
        <v>5899.4815999999992</v>
      </c>
    </row>
  </sheetData>
  <mergeCells count="17">
    <mergeCell ref="M4:M6"/>
    <mergeCell ref="L4:L6"/>
    <mergeCell ref="B2:T2"/>
    <mergeCell ref="U8:V8"/>
    <mergeCell ref="I22:K22"/>
    <mergeCell ref="F8:G8"/>
    <mergeCell ref="F22:H22"/>
    <mergeCell ref="C8:D8"/>
    <mergeCell ref="C22:E22"/>
    <mergeCell ref="B8:B11"/>
    <mergeCell ref="O8:P8"/>
    <mergeCell ref="L8:M8"/>
    <mergeCell ref="R8:S8"/>
    <mergeCell ref="I8:J8"/>
    <mergeCell ref="L22:N22"/>
    <mergeCell ref="O22:Q22"/>
    <mergeCell ref="R22:T22"/>
  </mergeCells>
  <conditionalFormatting sqref="E10 H10 K10 N10 Q10 T10">
    <cfRule type="cellIs" dxfId="23" priority="2" operator="equal">
      <formula>0</formula>
    </cfRule>
  </conditionalFormatting>
  <conditionalFormatting sqref="C8:D8 F8:G8 I8:J8 L8:M8 O8:P8 R8:S8">
    <cfRule type="containsBlanks" dxfId="22" priority="1">
      <formula>LEN(TRIM(C8))=0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tabColor theme="5" tint="0.59999389629810485"/>
  </sheetPr>
  <dimension ref="A1:AA67"/>
  <sheetViews>
    <sheetView showGridLines="0" topLeftCell="A7" zoomScale="80" zoomScaleNormal="80" workbookViewId="0">
      <selection activeCell="S34" sqref="S34"/>
    </sheetView>
  </sheetViews>
  <sheetFormatPr baseColWidth="10" defaultRowHeight="15"/>
  <cols>
    <col min="1" max="1" width="4.42578125" customWidth="1"/>
    <col min="2" max="2" width="31.42578125" customWidth="1"/>
    <col min="4" max="4" width="9.42578125" customWidth="1"/>
    <col min="7" max="7" width="9.7109375" customWidth="1"/>
    <col min="10" max="10" width="8.140625" customWidth="1"/>
    <col min="13" max="13" width="7.7109375" customWidth="1"/>
    <col min="16" max="16" width="7.85546875" customWidth="1"/>
    <col min="19" max="19" width="7.7109375" customWidth="1"/>
  </cols>
  <sheetData>
    <row r="1" spans="2:26" ht="15.75" thickBot="1"/>
    <row r="2" spans="2:26" ht="19.5" thickBot="1">
      <c r="B2" s="481" t="s">
        <v>224</v>
      </c>
      <c r="C2" s="482"/>
      <c r="D2" s="482"/>
      <c r="E2" s="482"/>
      <c r="F2" s="482"/>
      <c r="G2" s="482"/>
      <c r="H2" s="482"/>
      <c r="I2" s="482"/>
      <c r="J2" s="482"/>
      <c r="K2" s="482"/>
      <c r="L2" s="482"/>
      <c r="M2" s="482"/>
      <c r="N2" s="482"/>
      <c r="O2" s="482"/>
      <c r="P2" s="482"/>
      <c r="Q2" s="482"/>
      <c r="R2" s="482"/>
      <c r="S2" s="482"/>
      <c r="T2" s="482"/>
    </row>
    <row r="4" spans="2:26">
      <c r="B4" s="36" t="s">
        <v>25</v>
      </c>
      <c r="O4" s="483" t="s">
        <v>27</v>
      </c>
      <c r="P4" s="484">
        <f>'Informations paye_entreprise'!D2</f>
        <v>3428</v>
      </c>
      <c r="R4" s="50"/>
      <c r="S4" t="s">
        <v>30</v>
      </c>
    </row>
    <row r="5" spans="2:26">
      <c r="O5" s="483"/>
      <c r="P5" s="484"/>
    </row>
    <row r="6" spans="2:26">
      <c r="B6" s="37" t="s">
        <v>26</v>
      </c>
      <c r="O6" s="483"/>
      <c r="P6" s="484"/>
      <c r="R6" s="51"/>
      <c r="S6" t="s">
        <v>31</v>
      </c>
    </row>
    <row r="7" spans="2:26">
      <c r="Q7" s="276"/>
    </row>
    <row r="8" spans="2:26">
      <c r="B8" s="485" t="s">
        <v>0</v>
      </c>
      <c r="C8" s="479"/>
      <c r="D8" s="480"/>
      <c r="E8" s="639" t="str">
        <f>IFERROR(HLOOKUP(C8,'Base employés'!$B$4:$E$26,19,FALSE),"")</f>
        <v/>
      </c>
      <c r="F8" s="479"/>
      <c r="G8" s="480"/>
      <c r="H8" s="639" t="str">
        <f>IFERROR(HLOOKUP(F8,'Base employés'!$B$4:$E$26,19,FALSE),"")</f>
        <v/>
      </c>
      <c r="I8" s="479"/>
      <c r="J8" s="480"/>
      <c r="K8" s="639" t="str">
        <f>IFERROR(HLOOKUP(I8,'Base employés'!$B$4:$E$26,19,FALSE),"")</f>
        <v/>
      </c>
      <c r="L8" s="479" t="s">
        <v>360</v>
      </c>
      <c r="M8" s="480"/>
      <c r="N8" s="639" t="str">
        <f>IFERROR(HLOOKUP(L8,'Base employés'!$B$4:$E$26,19,FALSE),"")</f>
        <v>Cadre</v>
      </c>
      <c r="O8" s="488" t="s">
        <v>378</v>
      </c>
      <c r="P8" s="488"/>
      <c r="Q8" s="639" t="str">
        <f>IFERROR(HLOOKUP(O8,'Base employés'!$B$4:$E$26,19,FALSE),"")</f>
        <v>Non-cadre</v>
      </c>
      <c r="R8" s="480" t="s">
        <v>379</v>
      </c>
      <c r="S8" s="480"/>
      <c r="T8" s="639" t="str">
        <f>IFERROR(HLOOKUP(R8,'Base employés'!$B$4:$E$26,19,FALSE),"")</f>
        <v>Non-cadre</v>
      </c>
      <c r="U8" s="35" t="s">
        <v>20</v>
      </c>
      <c r="V8" s="8"/>
    </row>
    <row r="9" spans="2:26">
      <c r="B9" s="487"/>
      <c r="C9" s="9" t="s">
        <v>1</v>
      </c>
      <c r="D9" s="9" t="s">
        <v>21</v>
      </c>
      <c r="E9" s="26" t="s">
        <v>2</v>
      </c>
      <c r="F9" s="9" t="s">
        <v>1</v>
      </c>
      <c r="G9" s="9" t="s">
        <v>21</v>
      </c>
      <c r="H9" s="26" t="s">
        <v>2</v>
      </c>
      <c r="I9" s="9" t="s">
        <v>1</v>
      </c>
      <c r="J9" s="9" t="s">
        <v>21</v>
      </c>
      <c r="K9" s="26" t="s">
        <v>2</v>
      </c>
      <c r="L9" s="9" t="s">
        <v>1</v>
      </c>
      <c r="M9" s="9" t="s">
        <v>21</v>
      </c>
      <c r="N9" s="26" t="s">
        <v>2</v>
      </c>
      <c r="O9" s="25" t="s">
        <v>1</v>
      </c>
      <c r="P9" s="444" t="s">
        <v>21</v>
      </c>
      <c r="Q9" s="34" t="s">
        <v>2</v>
      </c>
      <c r="R9" s="33" t="s">
        <v>1</v>
      </c>
      <c r="S9" s="9" t="s">
        <v>21</v>
      </c>
      <c r="T9" s="26" t="s">
        <v>2</v>
      </c>
      <c r="U9" s="25" t="s">
        <v>1</v>
      </c>
      <c r="V9" s="5" t="s">
        <v>2</v>
      </c>
    </row>
    <row r="10" spans="2:26">
      <c r="B10" s="1" t="s">
        <v>155</v>
      </c>
      <c r="C10" s="43">
        <f>Salariale!C12</f>
        <v>151.66999999999999</v>
      </c>
      <c r="D10" s="43">
        <f>Salariale!D12</f>
        <v>0</v>
      </c>
      <c r="E10" s="43">
        <f>Salariale!E12</f>
        <v>0</v>
      </c>
      <c r="F10" s="43">
        <f>Salariale!F12</f>
        <v>151.66999999999999</v>
      </c>
      <c r="G10" s="43">
        <f>Salariale!G12</f>
        <v>0</v>
      </c>
      <c r="H10" s="43">
        <f>Salariale!H12</f>
        <v>0</v>
      </c>
      <c r="I10" s="43">
        <f>Salariale!I12</f>
        <v>151.66999999999999</v>
      </c>
      <c r="J10" s="43">
        <f>Salariale!J12</f>
        <v>0</v>
      </c>
      <c r="K10" s="43">
        <f>Salariale!K12</f>
        <v>0</v>
      </c>
      <c r="L10" s="43">
        <f>Salariale!L12</f>
        <v>151.66999999999999</v>
      </c>
      <c r="M10" s="43">
        <f>Salariale!M12</f>
        <v>12.789445506692161</v>
      </c>
      <c r="N10" s="43">
        <f>Salariale!N12</f>
        <v>1939.7751999999998</v>
      </c>
      <c r="O10" s="43">
        <f>Salariale!O12</f>
        <v>151.66999999999999</v>
      </c>
      <c r="P10" s="43">
        <f>Salariale!P12</f>
        <v>13.212237093690248</v>
      </c>
      <c r="Q10" s="43">
        <f>Salariale!Q12</f>
        <v>2003.8999999999999</v>
      </c>
      <c r="R10" s="43">
        <f>Salariale!R12</f>
        <v>151.66999999999999</v>
      </c>
      <c r="S10" s="43">
        <f>Salariale!S12</f>
        <v>12.895143403441681</v>
      </c>
      <c r="T10" s="43">
        <f>Salariale!T12</f>
        <v>1955.8063999999997</v>
      </c>
      <c r="U10" s="141" t="e">
        <f>SUM(L10+O10+R10+#REF!+#REF!+#REF!+#REF!+#REF!)</f>
        <v>#REF!</v>
      </c>
      <c r="V10" s="10" t="e">
        <f>SUM(N10+Q10+T10+#REF!+#REF!+#REF!+#REF!+#REF!)</f>
        <v>#REF!</v>
      </c>
    </row>
    <row r="11" spans="2:26">
      <c r="B11" s="2" t="s">
        <v>3</v>
      </c>
      <c r="C11" s="44">
        <f>Salariale!C13</f>
        <v>0</v>
      </c>
      <c r="D11" s="225">
        <f>Salariale!D13</f>
        <v>0</v>
      </c>
      <c r="E11" s="39">
        <f>Salariale!E13</f>
        <v>0</v>
      </c>
      <c r="F11" s="44">
        <f>Salariale!F13</f>
        <v>0</v>
      </c>
      <c r="G11" s="225">
        <f>Salariale!G13</f>
        <v>0</v>
      </c>
      <c r="H11" s="39">
        <f>Salariale!H13</f>
        <v>0</v>
      </c>
      <c r="I11" s="44">
        <f>Salariale!I13</f>
        <v>0</v>
      </c>
      <c r="J11" s="225">
        <f>Salariale!J13</f>
        <v>0</v>
      </c>
      <c r="K11" s="39">
        <f>Salariale!K13</f>
        <v>0</v>
      </c>
      <c r="L11" s="44">
        <f>Salariale!L13</f>
        <v>0</v>
      </c>
      <c r="M11" s="225">
        <f>Salariale!M13</f>
        <v>15.986806883365201</v>
      </c>
      <c r="N11" s="39">
        <f>Salariale!N13</f>
        <v>0</v>
      </c>
      <c r="O11" s="145">
        <f>Salariale!O13</f>
        <v>0</v>
      </c>
      <c r="P11" s="44">
        <f>Salariale!P13</f>
        <v>16.515296367112811</v>
      </c>
      <c r="Q11" s="225">
        <f>Salariale!Q13</f>
        <v>0</v>
      </c>
      <c r="R11" s="39">
        <f>Salariale!R13</f>
        <v>0</v>
      </c>
      <c r="S11" s="145">
        <f>Salariale!S13</f>
        <v>16.118929254302103</v>
      </c>
      <c r="T11" s="44">
        <f>Salariale!T13</f>
        <v>0</v>
      </c>
      <c r="U11" s="137" t="e">
        <f>SUM(L11+O11+R11+#REF!+#REF!+#REF!+#REF!+#REF!)</f>
        <v>#REF!</v>
      </c>
      <c r="V11" s="11" t="e">
        <f>SUM(N11+Q11+T11+#REF!+#REF!+#REF!+#REF!+#REF!)</f>
        <v>#REF!</v>
      </c>
    </row>
    <row r="12" spans="2:26">
      <c r="B12" s="2" t="s">
        <v>152</v>
      </c>
      <c r="C12" s="44">
        <f>Salariale!C14</f>
        <v>0</v>
      </c>
      <c r="D12" s="225">
        <f>Salariale!D14</f>
        <v>0</v>
      </c>
      <c r="E12" s="39">
        <f>Salariale!E14</f>
        <v>0</v>
      </c>
      <c r="F12" s="44">
        <f>Salariale!F14</f>
        <v>0</v>
      </c>
      <c r="G12" s="225">
        <f>Salariale!G14</f>
        <v>0</v>
      </c>
      <c r="H12" s="39">
        <f>Salariale!H14</f>
        <v>0</v>
      </c>
      <c r="I12" s="44">
        <f>Salariale!I14</f>
        <v>0</v>
      </c>
      <c r="J12" s="225">
        <f>Salariale!J14</f>
        <v>0</v>
      </c>
      <c r="K12" s="39">
        <f>Salariale!K14</f>
        <v>0</v>
      </c>
      <c r="L12" s="44">
        <f>Salariale!L14</f>
        <v>0</v>
      </c>
      <c r="M12" s="225">
        <f>Salariale!M14</f>
        <v>19.184168260038241</v>
      </c>
      <c r="N12" s="39">
        <f>Salariale!N14</f>
        <v>0</v>
      </c>
      <c r="O12" s="145">
        <f>Salariale!O14</f>
        <v>0</v>
      </c>
      <c r="P12" s="44">
        <f>Salariale!P14</f>
        <v>19.818355640535373</v>
      </c>
      <c r="Q12" s="225">
        <f>Salariale!Q14</f>
        <v>0</v>
      </c>
      <c r="R12" s="39">
        <f>Salariale!R14</f>
        <v>0</v>
      </c>
      <c r="S12" s="145">
        <f>Salariale!S14</f>
        <v>19.342715105162522</v>
      </c>
      <c r="T12" s="44">
        <f>Salariale!T14</f>
        <v>0</v>
      </c>
      <c r="U12" s="137" t="e">
        <f>SUM(L12+O12+R12+#REF!+#REF!+#REF!+#REF!+#REF!)</f>
        <v>#REF!</v>
      </c>
      <c r="V12" s="11" t="e">
        <f>SUM(N12+Q12+T12+#REF!+#REF!+#REF!+#REF!+#REF!)</f>
        <v>#REF!</v>
      </c>
    </row>
    <row r="13" spans="2:26">
      <c r="B13" s="2" t="s">
        <v>153</v>
      </c>
      <c r="C13" s="44">
        <f>Salariale!C15</f>
        <v>0</v>
      </c>
      <c r="D13" s="225">
        <f>Salariale!D15</f>
        <v>0</v>
      </c>
      <c r="E13" s="39">
        <f>Salariale!E15</f>
        <v>0</v>
      </c>
      <c r="F13" s="44">
        <f>Salariale!F15</f>
        <v>0</v>
      </c>
      <c r="G13" s="225">
        <f>Salariale!G15</f>
        <v>0</v>
      </c>
      <c r="H13" s="39">
        <f>Salariale!H15</f>
        <v>0</v>
      </c>
      <c r="I13" s="44">
        <f>Salariale!I15</f>
        <v>0</v>
      </c>
      <c r="J13" s="225">
        <f>Salariale!J15</f>
        <v>0</v>
      </c>
      <c r="K13" s="39">
        <f>Salariale!K15</f>
        <v>0</v>
      </c>
      <c r="L13" s="44">
        <f>Salariale!L15</f>
        <v>0</v>
      </c>
      <c r="M13" s="225">
        <f>Salariale!M15</f>
        <v>14.068390057361379</v>
      </c>
      <c r="N13" s="39">
        <f>Salariale!N15</f>
        <v>0</v>
      </c>
      <c r="O13" s="145">
        <f>Salariale!O15</f>
        <v>0</v>
      </c>
      <c r="P13" s="44">
        <f>Salariale!P15</f>
        <v>14.533460803059274</v>
      </c>
      <c r="Q13" s="225">
        <f>Salariale!Q15</f>
        <v>0</v>
      </c>
      <c r="R13" s="39">
        <f>Salariale!R15</f>
        <v>0</v>
      </c>
      <c r="S13" s="145">
        <f>Salariale!S15</f>
        <v>14.18465774378585</v>
      </c>
      <c r="T13" s="44">
        <f>Salariale!T15</f>
        <v>0</v>
      </c>
      <c r="U13" s="137" t="e">
        <f>SUM(L13+O13+R13+#REF!+#REF!+#REF!+#REF!+#REF!)</f>
        <v>#REF!</v>
      </c>
      <c r="V13" s="11" t="e">
        <f>SUM(N13+Q13+T13+#REF!+#REF!+#REF!+#REF!+#REF!)</f>
        <v>#REF!</v>
      </c>
    </row>
    <row r="14" spans="2:26">
      <c r="B14" s="2" t="s">
        <v>154</v>
      </c>
      <c r="C14" s="44">
        <f>Salariale!C16</f>
        <v>0</v>
      </c>
      <c r="D14" s="225">
        <f>Salariale!D16</f>
        <v>0</v>
      </c>
      <c r="E14" s="39">
        <f>Salariale!E16</f>
        <v>0</v>
      </c>
      <c r="F14" s="44">
        <f>Salariale!F16</f>
        <v>0</v>
      </c>
      <c r="G14" s="225">
        <f>Salariale!G16</f>
        <v>0</v>
      </c>
      <c r="H14" s="39">
        <f>Salariale!H16</f>
        <v>0</v>
      </c>
      <c r="I14" s="44">
        <f>Salariale!I16</f>
        <v>0</v>
      </c>
      <c r="J14" s="225">
        <f>Salariale!J16</f>
        <v>0</v>
      </c>
      <c r="K14" s="39">
        <f>Salariale!K16</f>
        <v>0</v>
      </c>
      <c r="L14" s="44">
        <f>Salariale!L16</f>
        <v>0</v>
      </c>
      <c r="M14" s="225">
        <f>Salariale!M16</f>
        <v>0</v>
      </c>
      <c r="N14" s="39">
        <f>Salariale!N16</f>
        <v>0</v>
      </c>
      <c r="O14" s="145">
        <f>Salariale!O16</f>
        <v>0</v>
      </c>
      <c r="P14" s="44">
        <f>Salariale!P16</f>
        <v>0</v>
      </c>
      <c r="Q14" s="225">
        <f>Salariale!Q16</f>
        <v>0</v>
      </c>
      <c r="R14" s="39">
        <f>Salariale!R16</f>
        <v>0</v>
      </c>
      <c r="S14" s="145">
        <f>Salariale!S16</f>
        <v>0</v>
      </c>
      <c r="T14" s="44">
        <f>Salariale!T16</f>
        <v>0</v>
      </c>
      <c r="U14" s="137" t="e">
        <f>SUM(L14+O14+R14+#REF!+#REF!+#REF!+#REF!+#REF!)</f>
        <v>#REF!</v>
      </c>
      <c r="V14" s="11" t="e">
        <f>SUM(N14+Q14+T14+#REF!+#REF!+#REF!+#REF!+#REF!)</f>
        <v>#REF!</v>
      </c>
    </row>
    <row r="15" spans="2:26">
      <c r="B15" s="2" t="s">
        <v>4</v>
      </c>
      <c r="C15" s="44">
        <f>Salariale!C17</f>
        <v>0</v>
      </c>
      <c r="D15" s="225">
        <f>Salariale!D17</f>
        <v>0</v>
      </c>
      <c r="E15" s="39">
        <f>Salariale!E17</f>
        <v>0</v>
      </c>
      <c r="F15" s="44">
        <f>Salariale!F17</f>
        <v>0</v>
      </c>
      <c r="G15" s="225">
        <f>Salariale!G17</f>
        <v>0</v>
      </c>
      <c r="H15" s="39">
        <f>Salariale!H17</f>
        <v>0</v>
      </c>
      <c r="I15" s="44">
        <f>Salariale!I17</f>
        <v>0</v>
      </c>
      <c r="J15" s="225">
        <f>Salariale!J17</f>
        <v>0</v>
      </c>
      <c r="K15" s="39">
        <f>Salariale!K17</f>
        <v>0</v>
      </c>
      <c r="L15" s="44">
        <f>Salariale!L17</f>
        <v>0</v>
      </c>
      <c r="M15" s="225">
        <f>Salariale!M17</f>
        <v>0</v>
      </c>
      <c r="N15" s="39">
        <f>Salariale!N17</f>
        <v>0</v>
      </c>
      <c r="O15" s="145">
        <f>Salariale!O17</f>
        <v>0</v>
      </c>
      <c r="P15" s="44">
        <f>Salariale!P17</f>
        <v>0</v>
      </c>
      <c r="Q15" s="225">
        <f>Salariale!Q17</f>
        <v>0</v>
      </c>
      <c r="R15" s="39">
        <f>Salariale!R17</f>
        <v>0</v>
      </c>
      <c r="S15" s="145">
        <f>Salariale!S17</f>
        <v>0</v>
      </c>
      <c r="T15" s="44">
        <f>Salariale!T17</f>
        <v>0</v>
      </c>
      <c r="U15" s="137" t="e">
        <f>SUM(L15+O15+R15+#REF!+#REF!+#REF!+#REF!+#REF!)</f>
        <v>#REF!</v>
      </c>
      <c r="V15" s="11" t="e">
        <f>SUM(N15+Q15+T15+#REF!+#REF!+#REF!+#REF!+#REF!)</f>
        <v>#REF!</v>
      </c>
      <c r="Z15" s="210"/>
    </row>
    <row r="16" spans="2:26">
      <c r="B16" s="2" t="s">
        <v>5</v>
      </c>
      <c r="C16" s="44">
        <f>Salariale!C18</f>
        <v>0</v>
      </c>
      <c r="D16" s="225">
        <f>Salariale!D18</f>
        <v>0</v>
      </c>
      <c r="E16" s="39">
        <f>Salariale!E18</f>
        <v>0</v>
      </c>
      <c r="F16" s="44">
        <f>Salariale!F18</f>
        <v>0</v>
      </c>
      <c r="G16" s="225">
        <f>Salariale!G18</f>
        <v>0</v>
      </c>
      <c r="H16" s="39">
        <f>Salariale!H18</f>
        <v>0</v>
      </c>
      <c r="I16" s="44">
        <f>Salariale!I18</f>
        <v>0</v>
      </c>
      <c r="J16" s="225">
        <f>Salariale!J18</f>
        <v>0</v>
      </c>
      <c r="K16" s="39">
        <f>Salariale!K18</f>
        <v>0</v>
      </c>
      <c r="L16" s="44">
        <f>Salariale!L18</f>
        <v>0</v>
      </c>
      <c r="M16" s="225">
        <f>Salariale!M18</f>
        <v>0</v>
      </c>
      <c r="N16" s="39">
        <f>Salariale!N18</f>
        <v>0</v>
      </c>
      <c r="O16" s="145">
        <f>Salariale!O18</f>
        <v>0</v>
      </c>
      <c r="P16" s="44">
        <f>Salariale!P18</f>
        <v>0</v>
      </c>
      <c r="Q16" s="225">
        <f>Salariale!Q18</f>
        <v>0</v>
      </c>
      <c r="R16" s="39">
        <f>Salariale!R18</f>
        <v>0</v>
      </c>
      <c r="S16" s="145">
        <f>Salariale!S18</f>
        <v>0</v>
      </c>
      <c r="T16" s="44">
        <f>Salariale!T18</f>
        <v>0</v>
      </c>
      <c r="U16" s="137"/>
      <c r="V16" s="11"/>
      <c r="Z16" s="210"/>
    </row>
    <row r="17" spans="1:26">
      <c r="B17" s="2" t="s">
        <v>6</v>
      </c>
      <c r="C17" s="44">
        <f>Salariale!C19</f>
        <v>0</v>
      </c>
      <c r="D17" s="225">
        <f>Salariale!D19</f>
        <v>0</v>
      </c>
      <c r="E17" s="39">
        <f>Salariale!E19</f>
        <v>0</v>
      </c>
      <c r="F17" s="44">
        <f>Salariale!F19</f>
        <v>0</v>
      </c>
      <c r="G17" s="225">
        <f>Salariale!G19</f>
        <v>0</v>
      </c>
      <c r="H17" s="39">
        <f>Salariale!H19</f>
        <v>0</v>
      </c>
      <c r="I17" s="44">
        <f>Salariale!I19</f>
        <v>0</v>
      </c>
      <c r="J17" s="225">
        <f>Salariale!J19</f>
        <v>0</v>
      </c>
      <c r="K17" s="39">
        <f>Salariale!K19</f>
        <v>0</v>
      </c>
      <c r="L17" s="44">
        <f>Salariale!L19</f>
        <v>0</v>
      </c>
      <c r="M17" s="225">
        <f>Salariale!M19</f>
        <v>0</v>
      </c>
      <c r="N17" s="39">
        <f>Salariale!N19</f>
        <v>0</v>
      </c>
      <c r="O17" s="145">
        <f>Salariale!O19</f>
        <v>0</v>
      </c>
      <c r="P17" s="44">
        <f>Salariale!P19</f>
        <v>0</v>
      </c>
      <c r="Q17" s="225">
        <f>Salariale!Q19</f>
        <v>0</v>
      </c>
      <c r="R17" s="39">
        <f>Salariale!R19</f>
        <v>0</v>
      </c>
      <c r="S17" s="145">
        <f>Salariale!S19</f>
        <v>0</v>
      </c>
      <c r="T17" s="44">
        <f>Salariale!T19</f>
        <v>0</v>
      </c>
      <c r="U17" s="137"/>
      <c r="V17" s="11"/>
      <c r="Z17" s="210"/>
    </row>
    <row r="18" spans="1:26">
      <c r="B18" s="4" t="s">
        <v>7</v>
      </c>
      <c r="C18" s="45">
        <f>Salariale!C20</f>
        <v>0</v>
      </c>
      <c r="D18" s="226">
        <f>Salariale!D20</f>
        <v>0</v>
      </c>
      <c r="E18" s="40">
        <f>Salariale!E20</f>
        <v>0</v>
      </c>
      <c r="F18" s="45">
        <f>Salariale!F20</f>
        <v>0</v>
      </c>
      <c r="G18" s="226">
        <f>Salariale!G20</f>
        <v>0</v>
      </c>
      <c r="H18" s="40">
        <f>Salariale!H20</f>
        <v>0</v>
      </c>
      <c r="I18" s="45">
        <f>Salariale!I20</f>
        <v>0</v>
      </c>
      <c r="J18" s="226">
        <f>Salariale!J20</f>
        <v>0</v>
      </c>
      <c r="K18" s="40">
        <f>Salariale!K20</f>
        <v>0</v>
      </c>
      <c r="L18" s="45">
        <f>Salariale!L20</f>
        <v>0</v>
      </c>
      <c r="M18" s="226">
        <f>Salariale!M20</f>
        <v>0</v>
      </c>
      <c r="N18" s="40">
        <f>Salariale!N20</f>
        <v>0</v>
      </c>
      <c r="O18" s="218">
        <f>Salariale!O20</f>
        <v>0</v>
      </c>
      <c r="P18" s="45">
        <f>Salariale!P20</f>
        <v>0</v>
      </c>
      <c r="Q18" s="226">
        <f>Salariale!Q20</f>
        <v>0</v>
      </c>
      <c r="R18" s="40">
        <f>Salariale!R20</f>
        <v>0</v>
      </c>
      <c r="S18" s="218">
        <f>Salariale!S20</f>
        <v>0</v>
      </c>
      <c r="T18" s="45">
        <f>Salariale!T20</f>
        <v>0</v>
      </c>
      <c r="U18" s="137"/>
      <c r="V18" s="11"/>
      <c r="Z18" s="210"/>
    </row>
    <row r="19" spans="1:26">
      <c r="B19" s="2" t="s">
        <v>160</v>
      </c>
      <c r="C19" s="234"/>
      <c r="D19" s="235"/>
      <c r="E19" s="28">
        <f>SUM(E10:E18)</f>
        <v>0</v>
      </c>
      <c r="F19" s="234"/>
      <c r="G19" s="235"/>
      <c r="H19" s="28">
        <f>SUM(H10:H18)</f>
        <v>0</v>
      </c>
      <c r="I19" s="234"/>
      <c r="J19" s="235"/>
      <c r="K19" s="28">
        <f>SUM(K10:K18)</f>
        <v>0</v>
      </c>
      <c r="L19" s="234"/>
      <c r="M19" s="235"/>
      <c r="N19" s="28">
        <f>SUM(N10:N18)</f>
        <v>1939.7751999999998</v>
      </c>
      <c r="O19" s="234"/>
      <c r="P19" s="235"/>
      <c r="Q19" s="28">
        <f>SUM(Q10:Q18)</f>
        <v>2003.8999999999999</v>
      </c>
      <c r="R19" s="234"/>
      <c r="S19" s="235"/>
      <c r="T19" s="28">
        <f>SUM(T10:T18)</f>
        <v>1955.8063999999997</v>
      </c>
      <c r="U19" s="137"/>
      <c r="V19" s="11"/>
      <c r="Z19" s="210"/>
    </row>
    <row r="20" spans="1:26">
      <c r="B20" s="6" t="s">
        <v>106</v>
      </c>
      <c r="C20" s="476">
        <f>SUM(E10:E18)</f>
        <v>0</v>
      </c>
      <c r="D20" s="477"/>
      <c r="E20" s="478"/>
      <c r="F20" s="641">
        <f>SUM(H10:H18)</f>
        <v>0</v>
      </c>
      <c r="G20" s="477"/>
      <c r="H20" s="478"/>
      <c r="I20" s="641">
        <f>SUM(K10:K18)</f>
        <v>0</v>
      </c>
      <c r="J20" s="477"/>
      <c r="K20" s="478"/>
      <c r="L20" s="641">
        <f>SUM(N10:N18)</f>
        <v>1939.7751999999998</v>
      </c>
      <c r="M20" s="477"/>
      <c r="N20" s="478"/>
      <c r="O20" s="641">
        <f>SUM(Q10:Q18)</f>
        <v>2003.8999999999999</v>
      </c>
      <c r="P20" s="477"/>
      <c r="Q20" s="478"/>
      <c r="R20" s="641">
        <f>SUM(T10:T18)</f>
        <v>1955.8063999999997</v>
      </c>
      <c r="S20" s="477"/>
      <c r="T20" s="478"/>
      <c r="U20" s="142" t="e">
        <f>SUM(L20+O20+R20+#REF!+#REF!+#REF!+#REF!+#REF!)</f>
        <v>#REF!</v>
      </c>
      <c r="V20" s="13" t="e">
        <f>SUM(N20+Q20+T20+#REF!+#REF!+#REF!+#REF!+#REF!)</f>
        <v>#REF!</v>
      </c>
      <c r="X20" s="147" t="s">
        <v>8</v>
      </c>
      <c r="Y20" s="215"/>
      <c r="Z20" s="210"/>
    </row>
    <row r="21" spans="1:26">
      <c r="B21" s="1"/>
      <c r="C21" s="10"/>
      <c r="D21" s="16"/>
      <c r="E21" s="27"/>
      <c r="F21" s="10"/>
      <c r="G21" s="16"/>
      <c r="H21" s="27"/>
      <c r="I21" s="10"/>
      <c r="J21" s="16"/>
      <c r="K21" s="27"/>
      <c r="L21" s="10"/>
      <c r="M21" s="16"/>
      <c r="N21" s="27"/>
      <c r="O21" s="10"/>
      <c r="P21" s="16"/>
      <c r="Q21" s="27"/>
      <c r="R21" s="10"/>
      <c r="S21" s="16"/>
      <c r="T21" s="27"/>
      <c r="U21" s="137" t="e">
        <f>SUM(L21+O21+R21+#REF!+#REF!+#REF!+#REF!+#REF!)</f>
        <v>#REF!</v>
      </c>
      <c r="V21" s="11" t="e">
        <f>SUM(N21+Q21+T21+#REF!+#REF!+#REF!+#REF!+#REF!)</f>
        <v>#REF!</v>
      </c>
      <c r="Z21" s="210"/>
    </row>
    <row r="22" spans="1:26">
      <c r="A22" s="50"/>
      <c r="B22" s="2" t="s">
        <v>94</v>
      </c>
      <c r="C22" s="11">
        <f>C20</f>
        <v>0</v>
      </c>
      <c r="D22" s="17">
        <f>'Base cotisations'!$C$8</f>
        <v>7.0000000000000007E-2</v>
      </c>
      <c r="E22" s="28">
        <f>C22*D22</f>
        <v>0</v>
      </c>
      <c r="F22" s="11">
        <f>F20</f>
        <v>0</v>
      </c>
      <c r="G22" s="17">
        <f>'Base cotisations'!$C$8</f>
        <v>7.0000000000000007E-2</v>
      </c>
      <c r="H22" s="28">
        <f>F22*G22</f>
        <v>0</v>
      </c>
      <c r="I22" s="11">
        <f>I20</f>
        <v>0</v>
      </c>
      <c r="J22" s="17">
        <f>'Base cotisations'!$C$8</f>
        <v>7.0000000000000007E-2</v>
      </c>
      <c r="K22" s="28">
        <f>I22*J22</f>
        <v>0</v>
      </c>
      <c r="L22" s="11">
        <f>L20</f>
        <v>1939.7751999999998</v>
      </c>
      <c r="M22" s="17">
        <f>'Base cotisations'!$C$8</f>
        <v>7.0000000000000007E-2</v>
      </c>
      <c r="N22" s="28">
        <f>L22*M22</f>
        <v>135.78426400000001</v>
      </c>
      <c r="O22" s="11">
        <f>O20</f>
        <v>2003.8999999999999</v>
      </c>
      <c r="P22" s="17">
        <f>'Base cotisations'!$C$8</f>
        <v>7.0000000000000007E-2</v>
      </c>
      <c r="Q22" s="28">
        <f>O22*P22</f>
        <v>140.273</v>
      </c>
      <c r="R22" s="11">
        <f>R20</f>
        <v>1955.8063999999997</v>
      </c>
      <c r="S22" s="17">
        <f>'Base cotisations'!$C$8</f>
        <v>7.0000000000000007E-2</v>
      </c>
      <c r="T22" s="28">
        <f>R22*S22</f>
        <v>136.90644799999998</v>
      </c>
      <c r="U22" s="137" t="e">
        <f>SUM(L22+O22+R22+#REF!+#REF!+#REF!+#REF!+#REF!)</f>
        <v>#REF!</v>
      </c>
      <c r="V22" s="11" t="e">
        <f>SUM(N22+Q22+T22+#REF!+#REF!+#REF!+#REF!+#REF!)</f>
        <v>#REF!</v>
      </c>
      <c r="Z22" s="210"/>
    </row>
    <row r="23" spans="1:26">
      <c r="A23" s="50"/>
      <c r="B23" s="2" t="s">
        <v>96</v>
      </c>
      <c r="C23" s="11">
        <f>C20</f>
        <v>0</v>
      </c>
      <c r="D23" s="17">
        <f>'Base cotisations'!$C$10</f>
        <v>8.5500000000000007E-2</v>
      </c>
      <c r="E23" s="28">
        <f>C23*D23</f>
        <v>0</v>
      </c>
      <c r="F23" s="11">
        <f>F20</f>
        <v>0</v>
      </c>
      <c r="G23" s="17">
        <f>'Base cotisations'!$C$10</f>
        <v>8.5500000000000007E-2</v>
      </c>
      <c r="H23" s="28">
        <f>F23*G23</f>
        <v>0</v>
      </c>
      <c r="I23" s="11">
        <f>I20</f>
        <v>0</v>
      </c>
      <c r="J23" s="17">
        <f>'Base cotisations'!$C$10</f>
        <v>8.5500000000000007E-2</v>
      </c>
      <c r="K23" s="28">
        <f>I23*J23</f>
        <v>0</v>
      </c>
      <c r="L23" s="11">
        <f>L20</f>
        <v>1939.7751999999998</v>
      </c>
      <c r="M23" s="17">
        <f>'Base cotisations'!$C$10</f>
        <v>8.5500000000000007E-2</v>
      </c>
      <c r="N23" s="28">
        <f>L23*M23</f>
        <v>165.85077960000001</v>
      </c>
      <c r="O23" s="11">
        <f>O20</f>
        <v>2003.8999999999999</v>
      </c>
      <c r="P23" s="17">
        <f>'Base cotisations'!$C$10</f>
        <v>8.5500000000000007E-2</v>
      </c>
      <c r="Q23" s="28">
        <f>O23*P23</f>
        <v>171.33345</v>
      </c>
      <c r="R23" s="11">
        <f>R20</f>
        <v>1955.8063999999997</v>
      </c>
      <c r="S23" s="17">
        <f>'Base cotisations'!$C$10</f>
        <v>8.5500000000000007E-2</v>
      </c>
      <c r="T23" s="28">
        <f>R23*S23</f>
        <v>167.2214472</v>
      </c>
      <c r="U23" s="137" t="e">
        <f>SUM(L23+O23+R23+#REF!+#REF!+#REF!+#REF!+#REF!)</f>
        <v>#REF!</v>
      </c>
      <c r="V23" s="11" t="e">
        <f>SUM(N23+Q23+T23+#REF!+#REF!+#REF!+#REF!+#REF!)</f>
        <v>#REF!</v>
      </c>
      <c r="Z23" s="210"/>
    </row>
    <row r="24" spans="1:26">
      <c r="A24" s="50"/>
      <c r="B24" s="2" t="s">
        <v>144</v>
      </c>
      <c r="C24" s="11">
        <f>IF(C20&gt;$P$4,$P$4,C20)</f>
        <v>0</v>
      </c>
      <c r="D24" s="17">
        <f>'Base cotisations'!$C$11</f>
        <v>1.9E-2</v>
      </c>
      <c r="E24" s="28">
        <f>C24*D24</f>
        <v>0</v>
      </c>
      <c r="F24" s="11">
        <f>IF(F20&gt;$P$4,$P$4,F20)</f>
        <v>0</v>
      </c>
      <c r="G24" s="17">
        <f>'Base cotisations'!$C$11</f>
        <v>1.9E-2</v>
      </c>
      <c r="H24" s="28">
        <f>F24*G24</f>
        <v>0</v>
      </c>
      <c r="I24" s="11">
        <f>IF(I20&gt;$P$4,$P$4,I20)</f>
        <v>0</v>
      </c>
      <c r="J24" s="17">
        <f>'Base cotisations'!$C$11</f>
        <v>1.9E-2</v>
      </c>
      <c r="K24" s="28">
        <f>I24*J24</f>
        <v>0</v>
      </c>
      <c r="L24" s="11">
        <f>IF(L20&gt;$P$4,$P$4,L20)</f>
        <v>1939.7751999999998</v>
      </c>
      <c r="M24" s="17">
        <f>'Base cotisations'!$C$11</f>
        <v>1.9E-2</v>
      </c>
      <c r="N24" s="28">
        <f>L24*M24</f>
        <v>36.855728799999994</v>
      </c>
      <c r="O24" s="11">
        <f>IF(O20&gt;$P$4,$P$4,O20)</f>
        <v>2003.8999999999999</v>
      </c>
      <c r="P24" s="17">
        <f>'Base cotisations'!$C$11</f>
        <v>1.9E-2</v>
      </c>
      <c r="Q24" s="28">
        <f>O24*P24</f>
        <v>38.074099999999994</v>
      </c>
      <c r="R24" s="11">
        <f>IF(R20&gt;$P$4,$P$4,R20)</f>
        <v>1955.8063999999997</v>
      </c>
      <c r="S24" s="17">
        <f>'Base cotisations'!$C$11</f>
        <v>1.9E-2</v>
      </c>
      <c r="T24" s="28">
        <f>R24*S24</f>
        <v>37.160321599999996</v>
      </c>
      <c r="U24" s="137" t="e">
        <f>SUM(L24+O24+R24+#REF!+#REF!+#REF!+#REF!+#REF!)</f>
        <v>#REF!</v>
      </c>
      <c r="V24" s="11" t="e">
        <f>SUM(N24+Q24+T24+#REF!+#REF!+#REF!+#REF!+#REF!)</f>
        <v>#REF!</v>
      </c>
      <c r="Z24" s="210"/>
    </row>
    <row r="25" spans="1:26">
      <c r="A25" s="50"/>
      <c r="B25" s="2" t="s">
        <v>145</v>
      </c>
      <c r="C25" s="24"/>
      <c r="D25" s="136"/>
      <c r="E25" s="28">
        <f t="shared" ref="E25" si="0">C25*D25</f>
        <v>0</v>
      </c>
      <c r="F25" s="24"/>
      <c r="G25" s="136"/>
      <c r="H25" s="28">
        <f t="shared" ref="H25" si="1">F25*G25</f>
        <v>0</v>
      </c>
      <c r="I25" s="24"/>
      <c r="J25" s="136"/>
      <c r="K25" s="28">
        <f t="shared" ref="K25" si="2">I25*J25</f>
        <v>0</v>
      </c>
      <c r="L25" s="24"/>
      <c r="M25" s="136"/>
      <c r="N25" s="28">
        <f t="shared" ref="N25" si="3">L25*M25</f>
        <v>0</v>
      </c>
      <c r="O25" s="24"/>
      <c r="P25" s="136"/>
      <c r="Q25" s="28">
        <f t="shared" ref="Q25" si="4">O25*P25</f>
        <v>0</v>
      </c>
      <c r="R25" s="24"/>
      <c r="S25" s="136"/>
      <c r="T25" s="28">
        <f t="shared" ref="T25" si="5">R25*S25</f>
        <v>0</v>
      </c>
      <c r="U25" s="137" t="e">
        <f>SUM(L25+O25+R25+#REF!+#REF!+#REF!+#REF!+#REF!)</f>
        <v>#REF!</v>
      </c>
      <c r="V25" s="11" t="e">
        <f>SUM(N25+Q25+T25+#REF!+#REF!+#REF!+#REF!+#REF!)</f>
        <v>#REF!</v>
      </c>
      <c r="Z25" s="210"/>
    </row>
    <row r="26" spans="1:26">
      <c r="A26" s="50"/>
      <c r="B26" s="2" t="s">
        <v>28</v>
      </c>
      <c r="C26" s="11">
        <f>C20</f>
        <v>0</v>
      </c>
      <c r="D26" s="136"/>
      <c r="E26" s="28">
        <f>C26*D26</f>
        <v>0</v>
      </c>
      <c r="F26" s="11">
        <f>F20</f>
        <v>0</v>
      </c>
      <c r="G26" s="136"/>
      <c r="H26" s="28">
        <f>F26*G26</f>
        <v>0</v>
      </c>
      <c r="I26" s="11">
        <f>I20</f>
        <v>0</v>
      </c>
      <c r="J26" s="136"/>
      <c r="K26" s="28">
        <f>I26*J26</f>
        <v>0</v>
      </c>
      <c r="L26" s="11">
        <f>L20</f>
        <v>1939.7751999999998</v>
      </c>
      <c r="M26" s="136"/>
      <c r="N26" s="28">
        <f>L26*M26</f>
        <v>0</v>
      </c>
      <c r="O26" s="11">
        <f>O20</f>
        <v>2003.8999999999999</v>
      </c>
      <c r="P26" s="136"/>
      <c r="Q26" s="28">
        <f>O26*P26</f>
        <v>0</v>
      </c>
      <c r="R26" s="11">
        <f>R20</f>
        <v>1955.8063999999997</v>
      </c>
      <c r="S26" s="136"/>
      <c r="T26" s="28">
        <f>R26*S26</f>
        <v>0</v>
      </c>
      <c r="U26" s="137" t="e">
        <f>SUM(L26+O26+R26+#REF!+#REF!+#REF!+#REF!+#REF!)</f>
        <v>#REF!</v>
      </c>
      <c r="V26" s="11" t="e">
        <f>SUM(N26+Q26+T26+#REF!+#REF!+#REF!+#REF!+#REF!)</f>
        <v>#REF!</v>
      </c>
      <c r="Z26" s="210"/>
    </row>
    <row r="27" spans="1:26">
      <c r="A27" s="50"/>
      <c r="B27" s="2" t="s">
        <v>29</v>
      </c>
      <c r="C27" s="11">
        <f>C20</f>
        <v>0</v>
      </c>
      <c r="D27" s="136"/>
      <c r="E27" s="28">
        <f>C27*D27</f>
        <v>0</v>
      </c>
      <c r="F27" s="11">
        <f>F20</f>
        <v>0</v>
      </c>
      <c r="G27" s="136"/>
      <c r="H27" s="28">
        <f>F27*G27</f>
        <v>0</v>
      </c>
      <c r="I27" s="11">
        <f>I20</f>
        <v>0</v>
      </c>
      <c r="J27" s="136"/>
      <c r="K27" s="28">
        <f>I27*J27</f>
        <v>0</v>
      </c>
      <c r="L27" s="11">
        <f>L20</f>
        <v>1939.7751999999998</v>
      </c>
      <c r="M27" s="136"/>
      <c r="N27" s="28">
        <f>L27*M27</f>
        <v>0</v>
      </c>
      <c r="O27" s="11">
        <f>O20</f>
        <v>2003.8999999999999</v>
      </c>
      <c r="P27" s="136"/>
      <c r="Q27" s="28">
        <f>O27*P27</f>
        <v>0</v>
      </c>
      <c r="R27" s="11">
        <f>R20</f>
        <v>1955.8063999999997</v>
      </c>
      <c r="S27" s="136"/>
      <c r="T27" s="28">
        <f>R27*S27</f>
        <v>0</v>
      </c>
      <c r="U27" s="137" t="e">
        <f>SUM(L27+O27+R27+#REF!+#REF!+#REF!+#REF!+#REF!)</f>
        <v>#REF!</v>
      </c>
      <c r="V27" s="11" t="e">
        <f>SUM(N27+Q27+T27+#REF!+#REF!+#REF!+#REF!+#REF!)</f>
        <v>#REF!</v>
      </c>
      <c r="Z27" s="210"/>
    </row>
    <row r="28" spans="1:26">
      <c r="A28" s="51"/>
      <c r="B28" s="14" t="s">
        <v>9</v>
      </c>
      <c r="C28" s="15">
        <f>IF(AND(E8="non-cadre",C20&lt;$P$4),C20,IF(AND(E8="non-cadre",C20&gt;$P$4),$P$4,0))</f>
        <v>0</v>
      </c>
      <c r="D28" s="19">
        <f>'Base cotisations'!$C$21</f>
        <v>4.7199999999999999E-2</v>
      </c>
      <c r="E28" s="30">
        <f t="shared" ref="E28:E37" si="6">C28*D28</f>
        <v>0</v>
      </c>
      <c r="F28" s="15">
        <f>IF(AND(H8="non-cadre",F20&lt;$P$4),F20,IF(AND(H8="non-cadre",F20&gt;$P$4),$P$4,0))</f>
        <v>0</v>
      </c>
      <c r="G28" s="19">
        <f>'Base cotisations'!$C$21</f>
        <v>4.7199999999999999E-2</v>
      </c>
      <c r="H28" s="30">
        <f t="shared" ref="H28:H37" si="7">F28*G28</f>
        <v>0</v>
      </c>
      <c r="I28" s="15">
        <f>IF(AND(K8="non-cadre",I20&lt;$P$4),I20,IF(AND(K8="non-cadre",I20&gt;$P$4),$P$4,0))</f>
        <v>0</v>
      </c>
      <c r="J28" s="19">
        <f>'Base cotisations'!$C$21</f>
        <v>4.7199999999999999E-2</v>
      </c>
      <c r="K28" s="30">
        <f t="shared" ref="K28:K37" si="8">I28*J28</f>
        <v>0</v>
      </c>
      <c r="L28" s="15">
        <f>IF(AND(N8="non-cadre",L20&lt;$P$4),L20,IF(AND(N8="non-cadre",L20&gt;$P$4),$P$4,0))</f>
        <v>0</v>
      </c>
      <c r="M28" s="19">
        <f>'Base cotisations'!$C$21</f>
        <v>4.7199999999999999E-2</v>
      </c>
      <c r="N28" s="30">
        <f t="shared" ref="N28:N37" si="9">L28*M28</f>
        <v>0</v>
      </c>
      <c r="O28" s="15">
        <f>IF(AND(Q8="non-cadre",O20&lt;$P$4),O20,IF(AND(Q8="non-cadre",O20&gt;$P$4),$P$4,0))</f>
        <v>2003.8999999999999</v>
      </c>
      <c r="P28" s="19">
        <f>'Base cotisations'!$C$21</f>
        <v>4.7199999999999999E-2</v>
      </c>
      <c r="Q28" s="30">
        <f t="shared" ref="Q28:Q38" si="10">O28*P28</f>
        <v>94.584079999999986</v>
      </c>
      <c r="R28" s="15">
        <f>IF(AND(T8="non-cadre",R20&lt;$P$4),R20,IF(AND(T8="non-cadre",R20&gt;$P$4),$P$4,0))</f>
        <v>1955.8063999999997</v>
      </c>
      <c r="S28" s="19">
        <f>'Base cotisations'!$C$21</f>
        <v>4.7199999999999999E-2</v>
      </c>
      <c r="T28" s="30">
        <f t="shared" ref="T28:T38" si="11">R28*S28</f>
        <v>92.314062079999985</v>
      </c>
      <c r="U28" s="137" t="e">
        <f>SUM(L28+O28+R28+#REF!+#REF!+#REF!+#REF!+#REF!)</f>
        <v>#REF!</v>
      </c>
      <c r="V28" s="11" t="e">
        <f>SUM(N28+Q28+T28+#REF!+#REF!+#REF!+#REF!+#REF!)</f>
        <v>#REF!</v>
      </c>
      <c r="X28" s="3"/>
      <c r="Y28" s="3"/>
      <c r="Z28" s="211"/>
    </row>
    <row r="29" spans="1:26">
      <c r="A29" s="51"/>
      <c r="B29" s="14" t="s">
        <v>10</v>
      </c>
      <c r="C29" s="15">
        <f>IF(AND(E8="non-cadre",C20&lt;$P$4),0,IF(AND(E8="non-cadre",C20&gt;$P$4),C20-$P$4,0))</f>
        <v>0</v>
      </c>
      <c r="D29" s="19">
        <f>'Base cotisations'!$C$22</f>
        <v>0.1295</v>
      </c>
      <c r="E29" s="30">
        <f t="shared" si="6"/>
        <v>0</v>
      </c>
      <c r="F29" s="15">
        <f>IF(AND(H8="non-cadre",F20&lt;$P$4),0,IF(AND(H8="non-cadre",F20&gt;$P$4),F20-$P$4,0))</f>
        <v>0</v>
      </c>
      <c r="G29" s="19">
        <f>'Base cotisations'!$C$22</f>
        <v>0.1295</v>
      </c>
      <c r="H29" s="30">
        <f t="shared" si="7"/>
        <v>0</v>
      </c>
      <c r="I29" s="15">
        <f>IF(AND(K8="non-cadre",I20&lt;$P$4),0,IF(AND(K8="non-cadre",I20&gt;$P$4),I20-$P$4,0))</f>
        <v>0</v>
      </c>
      <c r="J29" s="19">
        <f>'Base cotisations'!$C$22</f>
        <v>0.1295</v>
      </c>
      <c r="K29" s="30">
        <f t="shared" si="8"/>
        <v>0</v>
      </c>
      <c r="L29" s="15">
        <f>IF(AND(N8="non-cadre",L20&lt;$P$4),0,IF(AND(N8="non-cadre",L20&gt;$P$4),L20-$P$4,0))</f>
        <v>0</v>
      </c>
      <c r="M29" s="19">
        <f>'Base cotisations'!$C$22</f>
        <v>0.1295</v>
      </c>
      <c r="N29" s="30">
        <f t="shared" si="9"/>
        <v>0</v>
      </c>
      <c r="O29" s="15">
        <f>IF(AND(Q8="non-cadre",O20&lt;$P$4),0,IF(AND(Q8="non-cadre",O20&gt;$P$4),O20-$P$4,0))</f>
        <v>0</v>
      </c>
      <c r="P29" s="19">
        <f>'Base cotisations'!$C$22</f>
        <v>0.1295</v>
      </c>
      <c r="Q29" s="30">
        <f t="shared" si="10"/>
        <v>0</v>
      </c>
      <c r="R29" s="15">
        <f>IF(AND(T8="non-cadre",R20&lt;$P$4),0,IF(AND(T8="non-cadre",R20&gt;$P$4),R20-$P$4,0))</f>
        <v>0</v>
      </c>
      <c r="S29" s="19">
        <f>'Base cotisations'!$C$22</f>
        <v>0.1295</v>
      </c>
      <c r="T29" s="30">
        <f t="shared" si="11"/>
        <v>0</v>
      </c>
      <c r="U29" s="137" t="e">
        <f>SUM(L29+O29+R29+#REF!+#REF!+#REF!+#REF!+#REF!)</f>
        <v>#REF!</v>
      </c>
      <c r="V29" s="11" t="e">
        <f>SUM(N29+Q29+T29+#REF!+#REF!+#REF!+#REF!+#REF!)</f>
        <v>#REF!</v>
      </c>
      <c r="X29" s="3"/>
      <c r="Y29" s="3"/>
      <c r="Z29" s="211"/>
    </row>
    <row r="30" spans="1:26">
      <c r="A30" s="51"/>
      <c r="B30" s="2" t="s">
        <v>11</v>
      </c>
      <c r="C30" s="11">
        <f>IF(AND(C20&lt;$P$4,E8="cadre"),C20,IF(AND(C20&gt;3311,E8="cadre"),$P$4,0))</f>
        <v>0</v>
      </c>
      <c r="D30" s="17">
        <f>'Base cotisations'!$C$21</f>
        <v>4.7199999999999999E-2</v>
      </c>
      <c r="E30" s="28">
        <f t="shared" si="6"/>
        <v>0</v>
      </c>
      <c r="F30" s="11">
        <f>IF(AND(F20&lt;$P$4,H8="cadre"),F20,IF(AND(F20&gt;3311,H8="cadre"),$P$4,0))</f>
        <v>0</v>
      </c>
      <c r="G30" s="17">
        <f>'Base cotisations'!$C$21</f>
        <v>4.7199999999999999E-2</v>
      </c>
      <c r="H30" s="28">
        <f t="shared" si="7"/>
        <v>0</v>
      </c>
      <c r="I30" s="11">
        <f>IF(AND(I20&lt;$P$4,K8="cadre"),I20,IF(AND(I20&gt;3311,K8="cadre"),$P$4,0))</f>
        <v>0</v>
      </c>
      <c r="J30" s="17">
        <f>'Base cotisations'!$C$21</f>
        <v>4.7199999999999999E-2</v>
      </c>
      <c r="K30" s="28">
        <f t="shared" si="8"/>
        <v>0</v>
      </c>
      <c r="L30" s="11">
        <f>IF(AND(L20&lt;$P$4,N8="cadre"),L20,IF(AND(L20&gt;3311,N8="cadre"),$P$4,0))</f>
        <v>1939.7751999999998</v>
      </c>
      <c r="M30" s="17">
        <f>'Base cotisations'!$C$21</f>
        <v>4.7199999999999999E-2</v>
      </c>
      <c r="N30" s="28">
        <f t="shared" si="9"/>
        <v>91.557389439999994</v>
      </c>
      <c r="O30" s="11">
        <f>IF(AND(O20&lt;$P$4,Q8="cadre"),O20,IF(AND(O20&gt;3311,Q8="cadre"),$P$4,0))</f>
        <v>0</v>
      </c>
      <c r="P30" s="17">
        <f>'Base cotisations'!$C$21</f>
        <v>4.7199999999999999E-2</v>
      </c>
      <c r="Q30" s="28">
        <f t="shared" si="10"/>
        <v>0</v>
      </c>
      <c r="R30" s="11">
        <f>IF(AND(R20&lt;$P$4,T8="cadre"),R20,IF(AND(R20&gt;3311,T8="cadre"),$P$4,0))</f>
        <v>0</v>
      </c>
      <c r="S30" s="17">
        <f>'Base cotisations'!$C$21</f>
        <v>4.7199999999999999E-2</v>
      </c>
      <c r="T30" s="28">
        <f t="shared" si="11"/>
        <v>0</v>
      </c>
      <c r="U30" s="137" t="e">
        <f>SUM(L30+O30+R30+#REF!+#REF!+#REF!+#REF!+#REF!)</f>
        <v>#REF!</v>
      </c>
      <c r="V30" s="11" t="e">
        <f>SUM(N30+Q30+T30+#REF!+#REF!+#REF!+#REF!+#REF!)</f>
        <v>#REF!</v>
      </c>
      <c r="X30" s="3"/>
      <c r="Y30" s="3"/>
      <c r="Z30" s="211"/>
    </row>
    <row r="31" spans="1:26">
      <c r="A31" s="51"/>
      <c r="B31" s="2" t="s">
        <v>12</v>
      </c>
      <c r="C31" s="11">
        <f>IF(AND(C20&gt;$P$4,E8="cadre"),C20-$P$4,0)</f>
        <v>0</v>
      </c>
      <c r="D31" s="17">
        <f>'Base cotisations'!$C$22</f>
        <v>0.1295</v>
      </c>
      <c r="E31" s="28">
        <f t="shared" si="6"/>
        <v>0</v>
      </c>
      <c r="F31" s="11">
        <f>IF(AND(F20&gt;$P$4,H8="cadre"),F20-$P$4,0)</f>
        <v>0</v>
      </c>
      <c r="G31" s="17">
        <f>'Base cotisations'!$C$22</f>
        <v>0.1295</v>
      </c>
      <c r="H31" s="28">
        <f t="shared" si="7"/>
        <v>0</v>
      </c>
      <c r="I31" s="11">
        <f>IF(AND(I20&gt;$P$4,K8="cadre"),I20-$P$4,0)</f>
        <v>0</v>
      </c>
      <c r="J31" s="17">
        <f>'Base cotisations'!$C$22</f>
        <v>0.1295</v>
      </c>
      <c r="K31" s="28">
        <f t="shared" si="8"/>
        <v>0</v>
      </c>
      <c r="L31" s="11">
        <f>IF(AND(L20&gt;$P$4,N8="cadre"),L20-$P$4,0)</f>
        <v>0</v>
      </c>
      <c r="M31" s="17">
        <f>'Base cotisations'!$C$22</f>
        <v>0.1295</v>
      </c>
      <c r="N31" s="28">
        <f t="shared" si="9"/>
        <v>0</v>
      </c>
      <c r="O31" s="11">
        <f>IF(AND(O20&gt;$P$4,Q8="cadre"),O20-$P$4,0)</f>
        <v>0</v>
      </c>
      <c r="P31" s="17">
        <f>'Base cotisations'!$C$22</f>
        <v>0.1295</v>
      </c>
      <c r="Q31" s="28">
        <f t="shared" si="10"/>
        <v>0</v>
      </c>
      <c r="R31" s="11">
        <f>IF(AND(R20&gt;$P$4,T8="cadre"),R20-$P$4,0)</f>
        <v>0</v>
      </c>
      <c r="S31" s="17">
        <f>'Base cotisations'!$C$22</f>
        <v>0.1295</v>
      </c>
      <c r="T31" s="28">
        <f t="shared" si="11"/>
        <v>0</v>
      </c>
      <c r="U31" s="137" t="e">
        <f>SUM(L31+O31+R31+#REF!+#REF!+#REF!+#REF!+#REF!)</f>
        <v>#REF!</v>
      </c>
      <c r="V31" s="11" t="e">
        <f>SUM(N31+Q31+T31+#REF!+#REF!+#REF!+#REF!+#REF!)</f>
        <v>#REF!</v>
      </c>
      <c r="X31" s="3"/>
      <c r="Y31" s="3"/>
      <c r="Z31" s="211"/>
    </row>
    <row r="32" spans="1:26">
      <c r="A32" s="51"/>
      <c r="B32" s="14" t="s">
        <v>149</v>
      </c>
      <c r="C32" s="15">
        <f>IF(AND(E8="non-cadre",C20&gt;$P$4),$P$4,IF(AND(E8="non-cadre",C20&lt;$P$4),C20,0))</f>
        <v>0</v>
      </c>
      <c r="D32" s="19">
        <f>'Base cotisations'!$C$23</f>
        <v>1.29E-2</v>
      </c>
      <c r="E32" s="30">
        <f t="shared" si="6"/>
        <v>0</v>
      </c>
      <c r="F32" s="15">
        <f>IF(AND(H8="non-cadre",F20&gt;$P$4),$P$4,IF(AND(H8="non-cadre",F20&lt;$P$4),F20,0))</f>
        <v>0</v>
      </c>
      <c r="G32" s="19">
        <f>'Base cotisations'!$C$23</f>
        <v>1.29E-2</v>
      </c>
      <c r="H32" s="30">
        <f t="shared" si="7"/>
        <v>0</v>
      </c>
      <c r="I32" s="15">
        <f>IF(AND(K8="non-cadre",I20&gt;$P$4),$P$4,IF(AND(K8="non-cadre",I20&lt;$P$4),I20,0))</f>
        <v>0</v>
      </c>
      <c r="J32" s="19">
        <f>'Base cotisations'!$C$23</f>
        <v>1.29E-2</v>
      </c>
      <c r="K32" s="30">
        <f t="shared" si="8"/>
        <v>0</v>
      </c>
      <c r="L32" s="15">
        <f>IF(AND(N8="non-cadre",L20&gt;$P$4),$P$4,IF(AND(N8="non-cadre",L20&lt;$P$4),L20,0))</f>
        <v>0</v>
      </c>
      <c r="M32" s="19">
        <f>'Base cotisations'!$C$23</f>
        <v>1.29E-2</v>
      </c>
      <c r="N32" s="30">
        <f t="shared" si="9"/>
        <v>0</v>
      </c>
      <c r="O32" s="15">
        <f>IF(AND(Q8="non-cadre",O20&gt;$P$4),$P$4,IF(AND(Q8="non-cadre",O20&lt;$P$4),O20,0))</f>
        <v>2003.8999999999999</v>
      </c>
      <c r="P32" s="19">
        <f>'Base cotisations'!$C$23</f>
        <v>1.29E-2</v>
      </c>
      <c r="Q32" s="30">
        <f t="shared" si="10"/>
        <v>25.850309999999997</v>
      </c>
      <c r="R32" s="15">
        <f>IF(AND(T8="non-cadre",R20&gt;$P$4),$P$4,IF(AND(T8="non-cadre",R20&lt;$P$4),R20,0))</f>
        <v>1955.8063999999997</v>
      </c>
      <c r="S32" s="19">
        <f>'Base cotisations'!$C$23</f>
        <v>1.29E-2</v>
      </c>
      <c r="T32" s="30">
        <f t="shared" si="11"/>
        <v>25.229902559999996</v>
      </c>
      <c r="U32" s="137" t="e">
        <f>SUM(L32+O32+R32+#REF!+#REF!+#REF!+#REF!+#REF!)</f>
        <v>#REF!</v>
      </c>
      <c r="V32" s="11" t="e">
        <f>SUM(N32+Q32+T32+#REF!+#REF!+#REF!+#REF!+#REF!)</f>
        <v>#REF!</v>
      </c>
      <c r="X32" s="3"/>
      <c r="Y32" s="3"/>
      <c r="Z32" s="211"/>
    </row>
    <row r="33" spans="1:27">
      <c r="A33" s="51"/>
      <c r="B33" s="14" t="s">
        <v>148</v>
      </c>
      <c r="C33" s="15">
        <f>IF(AND(E8="non-cadre",C20&lt;$P$4),0,IF(AND(E8="non-cadre",C20&gt;$P$4),C20-$P$4,0))</f>
        <v>0</v>
      </c>
      <c r="D33" s="19">
        <f>'Base cotisations'!$C$24</f>
        <v>1.6199999999999999E-2</v>
      </c>
      <c r="E33" s="30">
        <f t="shared" si="6"/>
        <v>0</v>
      </c>
      <c r="F33" s="15">
        <f>IF(AND(H8="non-cadre",F20&lt;$P$4),0,IF(AND(H8="non-cadre",F20&gt;$P$4),F20-$P$4,0))</f>
        <v>0</v>
      </c>
      <c r="G33" s="19">
        <f>'Base cotisations'!$C$24</f>
        <v>1.6199999999999999E-2</v>
      </c>
      <c r="H33" s="30">
        <f t="shared" si="7"/>
        <v>0</v>
      </c>
      <c r="I33" s="15">
        <f>IF(AND(K8="non-cadre",I20&lt;$P$4),0,IF(AND(K8="non-cadre",I20&gt;$P$4),I20-$P$4,0))</f>
        <v>0</v>
      </c>
      <c r="J33" s="19">
        <f>'Base cotisations'!$C$24</f>
        <v>1.6199999999999999E-2</v>
      </c>
      <c r="K33" s="30">
        <f t="shared" si="8"/>
        <v>0</v>
      </c>
      <c r="L33" s="15">
        <f>IF(AND(N8="non-cadre",L20&lt;$P$4),0,IF(AND(N8="non-cadre",L20&gt;$P$4),L20-$P$4,0))</f>
        <v>0</v>
      </c>
      <c r="M33" s="19">
        <f>'Base cotisations'!$C$24</f>
        <v>1.6199999999999999E-2</v>
      </c>
      <c r="N33" s="30">
        <f t="shared" si="9"/>
        <v>0</v>
      </c>
      <c r="O33" s="15">
        <f>IF(AND(Q8="non-cadre",O20&lt;$P$4),0,IF(AND(Q8="non-cadre",O20&gt;$P$4),O20-$P$4,0))</f>
        <v>0</v>
      </c>
      <c r="P33" s="19">
        <f>'Base cotisations'!$C$24</f>
        <v>1.6199999999999999E-2</v>
      </c>
      <c r="Q33" s="30">
        <f t="shared" si="10"/>
        <v>0</v>
      </c>
      <c r="R33" s="15">
        <f>IF(AND(T8="non-cadre",R20&lt;$P$4),0,IF(AND(T8="non-cadre",R20&gt;$P$4),R20-$P$4,0))</f>
        <v>0</v>
      </c>
      <c r="S33" s="19">
        <f>'Base cotisations'!$C$24</f>
        <v>1.6199999999999999E-2</v>
      </c>
      <c r="T33" s="30">
        <f t="shared" si="11"/>
        <v>0</v>
      </c>
      <c r="U33" s="137" t="e">
        <f>SUM(L33+O33+R33+#REF!+#REF!+#REF!+#REF!+#REF!)</f>
        <v>#REF!</v>
      </c>
      <c r="V33" s="11" t="e">
        <f>SUM(N33+Q33+T33+#REF!+#REF!+#REF!+#REF!+#REF!)</f>
        <v>#REF!</v>
      </c>
      <c r="X33" s="3"/>
      <c r="Y33" s="3"/>
      <c r="Z33" s="211"/>
    </row>
    <row r="34" spans="1:27">
      <c r="A34" s="51"/>
      <c r="B34" s="2" t="s">
        <v>150</v>
      </c>
      <c r="C34" s="11">
        <f>IF(AND(C20&lt;$P$4,E8="cadre"),C20,IF(AND(C20&gt;3311,E8="cadre"),$P$4,0))</f>
        <v>0</v>
      </c>
      <c r="D34" s="17">
        <f>'Base cotisations'!$C$23</f>
        <v>1.29E-2</v>
      </c>
      <c r="E34" s="28">
        <f t="shared" si="6"/>
        <v>0</v>
      </c>
      <c r="F34" s="11">
        <f>IF(AND(F20&lt;$P$4,H8="cadre"),F20,IF(AND(F20&gt;3311,H8="cadre"),$P$4,0))</f>
        <v>0</v>
      </c>
      <c r="G34" s="17">
        <f>'Base cotisations'!$C$23</f>
        <v>1.29E-2</v>
      </c>
      <c r="H34" s="28">
        <f t="shared" si="7"/>
        <v>0</v>
      </c>
      <c r="I34" s="11">
        <f>IF(AND(I20&lt;$P$4,K8="cadre"),I20,IF(AND(I20&gt;3311,K8="cadre"),$P$4,0))</f>
        <v>0</v>
      </c>
      <c r="J34" s="17">
        <f>'Base cotisations'!$C$23</f>
        <v>1.29E-2</v>
      </c>
      <c r="K34" s="28">
        <f t="shared" si="8"/>
        <v>0</v>
      </c>
      <c r="L34" s="11">
        <f>IF(AND(L20&lt;$P$4,N8="cadre"),L20,IF(AND(L20&gt;3311,N8="cadre"),$P$4,0))</f>
        <v>1939.7751999999998</v>
      </c>
      <c r="M34" s="17">
        <f>'Base cotisations'!$C$23</f>
        <v>1.29E-2</v>
      </c>
      <c r="N34" s="28">
        <f t="shared" si="9"/>
        <v>25.023100079999999</v>
      </c>
      <c r="O34" s="11">
        <f>IF(AND(O20&lt;$P$4,Q8="cadre"),O20,IF(AND(O20&gt;3311,Q8="cadre"),$P$4,0))</f>
        <v>0</v>
      </c>
      <c r="P34" s="17">
        <f>'Base cotisations'!$C$23</f>
        <v>1.29E-2</v>
      </c>
      <c r="Q34" s="28">
        <f t="shared" si="10"/>
        <v>0</v>
      </c>
      <c r="R34" s="11">
        <f>IF(AND(R20&lt;$P$4,T8="cadre"),R20,IF(AND(R20&gt;3311,T8="cadre"),$P$4,0))</f>
        <v>0</v>
      </c>
      <c r="S34" s="17">
        <f>'Base cotisations'!$C$23</f>
        <v>1.29E-2</v>
      </c>
      <c r="T34" s="28">
        <f t="shared" si="11"/>
        <v>0</v>
      </c>
      <c r="U34" s="137" t="e">
        <f>SUM(L34+O34+R34+#REF!+#REF!+#REF!+#REF!+#REF!)</f>
        <v>#REF!</v>
      </c>
      <c r="V34" s="11" t="e">
        <f>SUM(N34+Q34+T34+#REF!+#REF!+#REF!+#REF!+#REF!)</f>
        <v>#REF!</v>
      </c>
      <c r="X34" s="3"/>
      <c r="Y34" s="3"/>
      <c r="Z34" s="211"/>
    </row>
    <row r="35" spans="1:27">
      <c r="A35" s="51"/>
      <c r="B35" s="2" t="s">
        <v>151</v>
      </c>
      <c r="C35" s="11">
        <f>IF(AND(C20&gt;$P$4,E8="cadre"),C20-$P$4,0)</f>
        <v>0</v>
      </c>
      <c r="D35" s="17">
        <f>'Base cotisations'!$C$24</f>
        <v>1.6199999999999999E-2</v>
      </c>
      <c r="E35" s="28">
        <f t="shared" si="6"/>
        <v>0</v>
      </c>
      <c r="F35" s="11">
        <f>IF(AND(F20&gt;$P$4,H8="cadre"),F20-$P$4,0)</f>
        <v>0</v>
      </c>
      <c r="G35" s="17">
        <f>'Base cotisations'!$C$24</f>
        <v>1.6199999999999999E-2</v>
      </c>
      <c r="H35" s="28">
        <f t="shared" si="7"/>
        <v>0</v>
      </c>
      <c r="I35" s="11">
        <f>IF(AND(I20&gt;$P$4,K8="cadre"),I20-$P$4,0)</f>
        <v>0</v>
      </c>
      <c r="J35" s="17">
        <f>'Base cotisations'!$C$24</f>
        <v>1.6199999999999999E-2</v>
      </c>
      <c r="K35" s="28">
        <f t="shared" si="8"/>
        <v>0</v>
      </c>
      <c r="L35" s="11">
        <f>IF(AND(L20&gt;$P$4,N8="cadre"),L20-$P$4,0)</f>
        <v>0</v>
      </c>
      <c r="M35" s="17">
        <f>'Base cotisations'!$C$24</f>
        <v>1.6199999999999999E-2</v>
      </c>
      <c r="N35" s="28">
        <f t="shared" si="9"/>
        <v>0</v>
      </c>
      <c r="O35" s="11">
        <f>IF(AND(O20&gt;$P$4,Q8="cadre"),O20-$P$4,0)</f>
        <v>0</v>
      </c>
      <c r="P35" s="17">
        <f>'Base cotisations'!$C$24</f>
        <v>1.6199999999999999E-2</v>
      </c>
      <c r="Q35" s="28">
        <f t="shared" si="10"/>
        <v>0</v>
      </c>
      <c r="R35" s="11">
        <f>IF(AND(R20&gt;$P$4,T8="cadre"),R20-$P$4,0)</f>
        <v>0</v>
      </c>
      <c r="S35" s="17">
        <f>'Base cotisations'!$C$24</f>
        <v>1.6199999999999999E-2</v>
      </c>
      <c r="T35" s="28">
        <f t="shared" si="11"/>
        <v>0</v>
      </c>
      <c r="U35" s="137" t="e">
        <f>SUM(L35+O35+R35+#REF!+#REF!+#REF!+#REF!+#REF!)</f>
        <v>#REF!</v>
      </c>
      <c r="V35" s="11" t="e">
        <f>SUM(N35+Q35+T35+#REF!+#REF!+#REF!+#REF!+#REF!)</f>
        <v>#REF!</v>
      </c>
      <c r="X35" s="3"/>
      <c r="Y35" s="3"/>
      <c r="Z35" s="211"/>
    </row>
    <row r="36" spans="1:27">
      <c r="A36" s="51"/>
      <c r="B36" s="2" t="s">
        <v>13</v>
      </c>
      <c r="C36" s="11">
        <f>IF(E8="cadre",C20,0)</f>
        <v>0</v>
      </c>
      <c r="D36" s="17">
        <f>'Base cotisations'!$C$25</f>
        <v>2.0999999999999999E-3</v>
      </c>
      <c r="E36" s="28">
        <f t="shared" si="6"/>
        <v>0</v>
      </c>
      <c r="F36" s="11">
        <f>IF(H8="cadre",F20,0)</f>
        <v>0</v>
      </c>
      <c r="G36" s="17">
        <f>'Base cotisations'!$C$25</f>
        <v>2.0999999999999999E-3</v>
      </c>
      <c r="H36" s="28">
        <f t="shared" si="7"/>
        <v>0</v>
      </c>
      <c r="I36" s="11">
        <f>IF(K8="cadre",I20,0)</f>
        <v>0</v>
      </c>
      <c r="J36" s="17">
        <f>'Base cotisations'!$C$25</f>
        <v>2.0999999999999999E-3</v>
      </c>
      <c r="K36" s="28">
        <f t="shared" si="8"/>
        <v>0</v>
      </c>
      <c r="L36" s="11">
        <f>IF(N8="cadre",L20,0)</f>
        <v>1939.7751999999998</v>
      </c>
      <c r="M36" s="17">
        <f>'Base cotisations'!$C$25</f>
        <v>2.0999999999999999E-3</v>
      </c>
      <c r="N36" s="28">
        <f t="shared" si="9"/>
        <v>4.0735279199999992</v>
      </c>
      <c r="O36" s="11">
        <f>IF(Q8="cadre",O20,0)</f>
        <v>0</v>
      </c>
      <c r="P36" s="17">
        <f>'Base cotisations'!$C$25</f>
        <v>2.0999999999999999E-3</v>
      </c>
      <c r="Q36" s="28">
        <f t="shared" si="10"/>
        <v>0</v>
      </c>
      <c r="R36" s="11">
        <f>IF(T8="cadre",R20,0)</f>
        <v>0</v>
      </c>
      <c r="S36" s="17">
        <f>'Base cotisations'!$C$25</f>
        <v>2.0999999999999999E-3</v>
      </c>
      <c r="T36" s="28">
        <f t="shared" si="11"/>
        <v>0</v>
      </c>
      <c r="U36" s="137" t="e">
        <f>SUM(L36+O36+R36+#REF!+#REF!+#REF!+#REF!+#REF!)</f>
        <v>#REF!</v>
      </c>
      <c r="V36" s="11" t="e">
        <f>SUM(N36+Q36+T36+#REF!+#REF!+#REF!+#REF!+#REF!)</f>
        <v>#REF!</v>
      </c>
      <c r="X36" s="3"/>
      <c r="Y36" s="3"/>
      <c r="Z36" s="211"/>
    </row>
    <row r="37" spans="1:27">
      <c r="A37" s="51"/>
      <c r="B37" s="2" t="s">
        <v>14</v>
      </c>
      <c r="C37" s="11">
        <f>IF(E8="cadre",C20,0)</f>
        <v>0</v>
      </c>
      <c r="D37" s="20">
        <f>'Base cotisations'!$C$19</f>
        <v>3.6000000000000002E-4</v>
      </c>
      <c r="E37" s="28">
        <f t="shared" si="6"/>
        <v>0</v>
      </c>
      <c r="F37" s="11">
        <f>IF(H8="cadre",F20,0)</f>
        <v>0</v>
      </c>
      <c r="G37" s="20">
        <f>'Base cotisations'!$C$19</f>
        <v>3.6000000000000002E-4</v>
      </c>
      <c r="H37" s="28">
        <f t="shared" si="7"/>
        <v>0</v>
      </c>
      <c r="I37" s="11">
        <f>IF(K8="cadre",I20,0)</f>
        <v>0</v>
      </c>
      <c r="J37" s="20">
        <f>'Base cotisations'!$C$19</f>
        <v>3.6000000000000002E-4</v>
      </c>
      <c r="K37" s="28">
        <f t="shared" si="8"/>
        <v>0</v>
      </c>
      <c r="L37" s="11">
        <f>IF(N8="cadre",L20,0)</f>
        <v>1939.7751999999998</v>
      </c>
      <c r="M37" s="20">
        <f>'Base cotisations'!$C$19</f>
        <v>3.6000000000000002E-4</v>
      </c>
      <c r="N37" s="28">
        <f t="shared" si="9"/>
        <v>0.69831907199999999</v>
      </c>
      <c r="O37" s="11">
        <f>IF(Q8="cadre",O20,0)</f>
        <v>0</v>
      </c>
      <c r="P37" s="20">
        <f>'Base cotisations'!$C$19</f>
        <v>3.6000000000000002E-4</v>
      </c>
      <c r="Q37" s="28">
        <f t="shared" si="10"/>
        <v>0</v>
      </c>
      <c r="R37" s="11">
        <f>IF(T8="cadre",R20,0)</f>
        <v>0</v>
      </c>
      <c r="S37" s="20">
        <f>'Base cotisations'!$C$19</f>
        <v>3.6000000000000002E-4</v>
      </c>
      <c r="T37" s="28">
        <f t="shared" si="11"/>
        <v>0</v>
      </c>
      <c r="U37" s="137" t="e">
        <f>SUM(L37+O37+R37+#REF!+#REF!+#REF!+#REF!+#REF!)</f>
        <v>#REF!</v>
      </c>
      <c r="V37" s="11" t="e">
        <f>SUM(N37+Q37+T37+#REF!+#REF!+#REF!+#REF!+#REF!)</f>
        <v>#REF!</v>
      </c>
      <c r="X37" s="216"/>
      <c r="Y37" s="3"/>
      <c r="Z37" s="211"/>
    </row>
    <row r="38" spans="1:27">
      <c r="A38" s="51"/>
      <c r="B38" s="14" t="s">
        <v>15</v>
      </c>
      <c r="C38" s="15">
        <f>IF(C20&lt;$P$4,C20,IF(C20&gt;$P$4,$P$4,""))</f>
        <v>0</v>
      </c>
      <c r="D38" s="136"/>
      <c r="E38" s="30">
        <f>C38*D38</f>
        <v>0</v>
      </c>
      <c r="F38" s="15">
        <f>IF(F20&lt;$P$4,F20,IF(F20&gt;$P$4,$P$4,""))</f>
        <v>0</v>
      </c>
      <c r="G38" s="136"/>
      <c r="H38" s="30">
        <f>F38*G38</f>
        <v>0</v>
      </c>
      <c r="I38" s="15">
        <f>IF(I20&lt;$P$4,I20,IF(I20&gt;$P$4,$P$4,""))</f>
        <v>0</v>
      </c>
      <c r="J38" s="136"/>
      <c r="K38" s="30">
        <f>I38*J38</f>
        <v>0</v>
      </c>
      <c r="L38" s="15">
        <f>IF(L20&lt;$P$4,L20,IF(L20&gt;$P$4,$P$4,""))</f>
        <v>1939.7751999999998</v>
      </c>
      <c r="M38" s="136"/>
      <c r="N38" s="30">
        <f>L38*M38</f>
        <v>0</v>
      </c>
      <c r="O38" s="15">
        <f>IF(O20&lt;$P$4,O20,IF(O20&gt;$P$4,$P$4,""))</f>
        <v>2003.8999999999999</v>
      </c>
      <c r="P38" s="136"/>
      <c r="Q38" s="30">
        <f t="shared" si="10"/>
        <v>0</v>
      </c>
      <c r="R38" s="15">
        <f>IF(R20&lt;$P$4,R20,IF(R20&gt;$P$4,$P$4,""))</f>
        <v>1955.8063999999997</v>
      </c>
      <c r="S38" s="136"/>
      <c r="T38" s="30">
        <f t="shared" si="11"/>
        <v>0</v>
      </c>
      <c r="U38" s="137" t="e">
        <f>SUM(L38+O38+R38+#REF!+#REF!+#REF!+#REF!+#REF!)</f>
        <v>#REF!</v>
      </c>
      <c r="V38" s="11" t="e">
        <f>SUM(N38+Q38+T38+#REF!+#REF!+#REF!+#REF!+#REF!)</f>
        <v>#REF!</v>
      </c>
      <c r="X38" s="3"/>
      <c r="Y38" s="3"/>
      <c r="Z38" s="211"/>
    </row>
    <row r="39" spans="1:27">
      <c r="A39" s="51"/>
      <c r="B39" s="14" t="s">
        <v>16</v>
      </c>
      <c r="C39" s="15">
        <f>IF(C20&lt;$P$4,C20,IF(C20&gt;$P$4,$P$4,""))</f>
        <v>0</v>
      </c>
      <c r="D39" s="19">
        <f>'Base cotisations'!$C$27</f>
        <v>1.4999999999999999E-2</v>
      </c>
      <c r="E39" s="187"/>
      <c r="F39" s="15">
        <f>IF(F20&lt;$P$4,F20,IF(F20&gt;$P$4,$P$4,""))</f>
        <v>0</v>
      </c>
      <c r="G39" s="19">
        <f>'Base cotisations'!$C$27</f>
        <v>1.4999999999999999E-2</v>
      </c>
      <c r="H39" s="187"/>
      <c r="I39" s="15">
        <f>IF(I20&lt;$P$4,I20,IF(I20&gt;$P$4,$P$4,""))</f>
        <v>0</v>
      </c>
      <c r="J39" s="19">
        <f>'Base cotisations'!$C$27</f>
        <v>1.4999999999999999E-2</v>
      </c>
      <c r="K39" s="187"/>
      <c r="L39" s="15">
        <f>IF(L20&lt;$P$4,L20,IF(L20&gt;$P$4,$P$4,""))</f>
        <v>1939.7751999999998</v>
      </c>
      <c r="M39" s="19">
        <f>'Base cotisations'!$C$27</f>
        <v>1.4999999999999999E-2</v>
      </c>
      <c r="N39" s="187"/>
      <c r="O39" s="15">
        <f>IF(O20&lt;$P$4,O20,IF(O20&gt;$P$4,$P$4,""))</f>
        <v>2003.8999999999999</v>
      </c>
      <c r="P39" s="19">
        <f>'Base cotisations'!$C$27</f>
        <v>1.4999999999999999E-2</v>
      </c>
      <c r="Q39" s="187"/>
      <c r="R39" s="15">
        <f>IF(R20&lt;$P$4,R20,IF(R20&gt;$P$4,$P$4,""))</f>
        <v>1955.8063999999997</v>
      </c>
      <c r="S39" s="19">
        <f>'Base cotisations'!$C$27</f>
        <v>1.4999999999999999E-2</v>
      </c>
      <c r="T39" s="187"/>
      <c r="U39" s="137" t="e">
        <f>SUM(L39+O39+R39+#REF!+#REF!+#REF!+#REF!+#REF!)</f>
        <v>#REF!</v>
      </c>
      <c r="V39" s="11" t="e">
        <f>SUM(N39+Q39+T39+#REF!+#REF!+#REF!+#REF!+#REF!)</f>
        <v>#REF!</v>
      </c>
      <c r="X39" s="144" t="e">
        <f>SUM(V28:V39)</f>
        <v>#REF!</v>
      </c>
      <c r="Y39" s="138"/>
      <c r="Z39" s="211">
        <v>437</v>
      </c>
      <c r="AA39" t="s">
        <v>97</v>
      </c>
    </row>
    <row r="40" spans="1:27">
      <c r="A40" s="50"/>
      <c r="B40" s="2" t="s">
        <v>147</v>
      </c>
      <c r="C40" s="11">
        <f>(C20*0.9825)+E38+E39</f>
        <v>0</v>
      </c>
      <c r="D40" s="17"/>
      <c r="E40" s="28">
        <f>C40*D40</f>
        <v>0</v>
      </c>
      <c r="F40" s="11">
        <f>(F20*0.9825)+H38+H39</f>
        <v>0</v>
      </c>
      <c r="G40" s="17"/>
      <c r="H40" s="28">
        <f>F40*G40</f>
        <v>0</v>
      </c>
      <c r="I40" s="11">
        <f>(I20*0.9825)+K38+K39</f>
        <v>0</v>
      </c>
      <c r="J40" s="17"/>
      <c r="K40" s="28">
        <f>I40*J40</f>
        <v>0</v>
      </c>
      <c r="L40" s="11">
        <f>(L20*0.9825)+N38+N39</f>
        <v>1905.8291339999998</v>
      </c>
      <c r="M40" s="17"/>
      <c r="N40" s="28">
        <f>L40*M40</f>
        <v>0</v>
      </c>
      <c r="O40" s="11">
        <f>(O20*0.9825)+Q38+Q39</f>
        <v>1968.8317500000001</v>
      </c>
      <c r="P40" s="17"/>
      <c r="Q40" s="28">
        <f>O40*P40</f>
        <v>0</v>
      </c>
      <c r="R40" s="11">
        <f>(R20*0.9825)+T38+T39</f>
        <v>1921.5797879999998</v>
      </c>
      <c r="S40" s="17"/>
      <c r="T40" s="28">
        <f>R40*S40</f>
        <v>0</v>
      </c>
      <c r="U40" s="137" t="e">
        <f>SUM(L40+O40+R40+#REF!+#REF!+#REF!+#REF!+#REF!)</f>
        <v>#REF!</v>
      </c>
      <c r="V40" s="11" t="e">
        <f>SUM(N40+Q40+T40+#REF!+#REF!+#REF!+#REF!+#REF!)</f>
        <v>#REF!</v>
      </c>
      <c r="Z40" s="210"/>
    </row>
    <row r="41" spans="1:27">
      <c r="A41" s="50"/>
      <c r="B41" s="2" t="s">
        <v>146</v>
      </c>
      <c r="C41" s="11">
        <f>(C20*0.9825)+E38+E39</f>
        <v>0</v>
      </c>
      <c r="D41" s="17"/>
      <c r="E41" s="28">
        <f>C41*D41</f>
        <v>0</v>
      </c>
      <c r="F41" s="11">
        <f>(F20*0.9825)+H38+H39</f>
        <v>0</v>
      </c>
      <c r="G41" s="17"/>
      <c r="H41" s="28">
        <f>F41*G41</f>
        <v>0</v>
      </c>
      <c r="I41" s="11">
        <f>(I20*0.9825)+K38+K39</f>
        <v>0</v>
      </c>
      <c r="J41" s="17"/>
      <c r="K41" s="28">
        <f>I41*J41</f>
        <v>0</v>
      </c>
      <c r="L41" s="11">
        <f>(L20*0.9825)+N38+N39</f>
        <v>1905.8291339999998</v>
      </c>
      <c r="M41" s="17"/>
      <c r="N41" s="28">
        <f>L41*M41</f>
        <v>0</v>
      </c>
      <c r="O41" s="11">
        <f>(O20*0.9825)+Q38+Q39</f>
        <v>1968.8317500000001</v>
      </c>
      <c r="P41" s="17"/>
      <c r="Q41" s="28">
        <f>O41*P41</f>
        <v>0</v>
      </c>
      <c r="R41" s="11">
        <f>(R20*0.9825)+T38+T39</f>
        <v>1921.5797879999998</v>
      </c>
      <c r="S41" s="17"/>
      <c r="T41" s="28">
        <f>R41*S41</f>
        <v>0</v>
      </c>
      <c r="U41" s="137"/>
      <c r="V41" s="11"/>
      <c r="Z41" s="210"/>
    </row>
    <row r="42" spans="1:27">
      <c r="A42" s="50"/>
      <c r="B42" s="4" t="s">
        <v>109</v>
      </c>
      <c r="C42" s="12">
        <f>(C20*0.9825)+E38+E39</f>
        <v>0</v>
      </c>
      <c r="D42" s="18"/>
      <c r="E42" s="29">
        <f>C42*D42</f>
        <v>0</v>
      </c>
      <c r="F42" s="12">
        <f>(F20*0.9825)+H38+H39</f>
        <v>0</v>
      </c>
      <c r="G42" s="18"/>
      <c r="H42" s="29">
        <f>F42*G42</f>
        <v>0</v>
      </c>
      <c r="I42" s="12">
        <f>(I20*0.9825)+K38+K39</f>
        <v>0</v>
      </c>
      <c r="J42" s="18"/>
      <c r="K42" s="29">
        <f>I42*J42</f>
        <v>0</v>
      </c>
      <c r="L42" s="12">
        <f>(L20*0.9825)+N38+N39</f>
        <v>1905.8291339999998</v>
      </c>
      <c r="M42" s="18"/>
      <c r="N42" s="29">
        <f>L42*M42</f>
        <v>0</v>
      </c>
      <c r="O42" s="12">
        <f>(O20*0.9825)+Q38+Q39</f>
        <v>1968.8317500000001</v>
      </c>
      <c r="P42" s="18"/>
      <c r="Q42" s="29">
        <f>O42*P42</f>
        <v>0</v>
      </c>
      <c r="R42" s="12">
        <f>(R20*0.9825)+T38+T39</f>
        <v>1921.5797879999998</v>
      </c>
      <c r="S42" s="18"/>
      <c r="T42" s="29">
        <f>R42*S42</f>
        <v>0</v>
      </c>
    </row>
    <row r="43" spans="1:27">
      <c r="B43" s="21" t="s">
        <v>22</v>
      </c>
      <c r="C43" s="48"/>
      <c r="D43" s="41"/>
      <c r="E43" s="42">
        <f>SUM(E21:E42)</f>
        <v>0</v>
      </c>
      <c r="F43" s="48"/>
      <c r="G43" s="41"/>
      <c r="H43" s="42">
        <f>SUM(N14:N35)</f>
        <v>2394.8464619199999</v>
      </c>
      <c r="I43" s="48"/>
      <c r="J43" s="41"/>
      <c r="K43" s="42">
        <f>SUM(N21:N42)</f>
        <v>459.84310891200005</v>
      </c>
      <c r="L43" s="22"/>
      <c r="M43" s="23"/>
      <c r="N43" s="31">
        <f>SUM(Q21:Q42)</f>
        <v>470.11493999999993</v>
      </c>
      <c r="O43" s="48"/>
      <c r="P43" s="41"/>
      <c r="Q43" s="42">
        <f>SUM(T21:T42)</f>
        <v>458.83218143999994</v>
      </c>
      <c r="R43" s="22"/>
      <c r="S43" s="23"/>
      <c r="T43" s="31" t="e">
        <f>SUM(#REF!)</f>
        <v>#REF!</v>
      </c>
      <c r="U43" s="137" t="e">
        <f>SUM(I42+L42+O42+R42+#REF!+#REF!+#REF!+#REF!)</f>
        <v>#REF!</v>
      </c>
      <c r="V43" s="11" t="e">
        <f>SUM(K42+N42+Q42+T42+#REF!+#REF!+#REF!+#REF!)</f>
        <v>#REF!</v>
      </c>
      <c r="X43" s="144" t="e">
        <f>SUM(#REF!)</f>
        <v>#REF!</v>
      </c>
      <c r="Y43" s="50"/>
      <c r="Z43" s="210">
        <v>431</v>
      </c>
      <c r="AA43" t="s">
        <v>97</v>
      </c>
    </row>
    <row r="44" spans="1:27">
      <c r="B44" s="6" t="s">
        <v>17</v>
      </c>
      <c r="C44" s="43">
        <f>I6-E43</f>
        <v>0</v>
      </c>
      <c r="D44" s="43"/>
      <c r="E44" s="38"/>
      <c r="F44" s="43">
        <f>L13-H43</f>
        <v>-2394.8464619199999</v>
      </c>
      <c r="G44" s="43"/>
      <c r="H44" s="38"/>
      <c r="I44" s="43">
        <f>O20-K43</f>
        <v>1544.0568910879997</v>
      </c>
      <c r="J44" s="43"/>
      <c r="K44" s="38"/>
      <c r="L44" s="10">
        <f>R20-N43</f>
        <v>1485.6914599999998</v>
      </c>
      <c r="M44" s="10"/>
      <c r="N44" s="27"/>
      <c r="O44" s="43" t="e">
        <f>#REF!-Q43</f>
        <v>#REF!</v>
      </c>
      <c r="P44" s="43"/>
      <c r="Q44" s="38"/>
      <c r="R44" s="10" t="e">
        <f>#REF!-T43</f>
        <v>#REF!</v>
      </c>
      <c r="S44" s="10"/>
      <c r="T44" s="27"/>
    </row>
    <row r="45" spans="1:27">
      <c r="B45" s="1" t="s">
        <v>7</v>
      </c>
      <c r="C45" s="43"/>
      <c r="D45" s="43"/>
      <c r="E45" s="38"/>
      <c r="F45" s="43"/>
      <c r="G45" s="43"/>
      <c r="H45" s="38"/>
      <c r="I45" s="43"/>
      <c r="J45" s="43"/>
      <c r="K45" s="38"/>
      <c r="L45" s="10"/>
      <c r="M45" s="10"/>
      <c r="N45" s="27"/>
      <c r="O45" s="43"/>
      <c r="P45" s="43"/>
      <c r="Q45" s="38"/>
      <c r="R45" s="10"/>
      <c r="S45" s="10"/>
      <c r="T45" s="27"/>
    </row>
    <row r="46" spans="1:27">
      <c r="B46" s="2" t="s">
        <v>5</v>
      </c>
      <c r="C46" s="44"/>
      <c r="D46" s="44"/>
      <c r="E46" s="39"/>
      <c r="F46" s="44"/>
      <c r="G46" s="44"/>
      <c r="H46" s="39"/>
      <c r="I46" s="44"/>
      <c r="J46" s="44"/>
      <c r="K46" s="39"/>
      <c r="L46" s="11"/>
      <c r="M46" s="11"/>
      <c r="N46" s="28"/>
      <c r="O46" s="44"/>
      <c r="P46" s="44"/>
      <c r="Q46" s="39"/>
      <c r="R46" s="11"/>
      <c r="S46" s="11"/>
      <c r="T46" s="28"/>
    </row>
    <row r="47" spans="1:27">
      <c r="B47" s="4" t="s">
        <v>18</v>
      </c>
      <c r="C47" s="45"/>
      <c r="D47" s="45"/>
      <c r="E47" s="40"/>
      <c r="F47" s="45"/>
      <c r="G47" s="45"/>
      <c r="H47" s="40"/>
      <c r="I47" s="45"/>
      <c r="J47" s="45"/>
      <c r="K47" s="40"/>
      <c r="L47" s="12"/>
      <c r="M47" s="12"/>
      <c r="N47" s="29"/>
      <c r="O47" s="45"/>
      <c r="P47" s="45"/>
      <c r="Q47" s="40"/>
      <c r="R47" s="12"/>
      <c r="S47" s="12"/>
      <c r="T47" s="29"/>
    </row>
    <row r="48" spans="1:27">
      <c r="B48" s="7" t="s">
        <v>19</v>
      </c>
      <c r="C48" s="46">
        <f>SUM(C44:C47)</f>
        <v>0</v>
      </c>
      <c r="D48" s="46"/>
      <c r="E48" s="47"/>
      <c r="F48" s="46">
        <f>SUM(F44:F47)</f>
        <v>-2394.8464619199999</v>
      </c>
      <c r="G48" s="46"/>
      <c r="H48" s="47"/>
      <c r="I48" s="46">
        <f>SUM(I44:I47)</f>
        <v>1544.0568910879997</v>
      </c>
      <c r="J48" s="46"/>
      <c r="K48" s="47"/>
      <c r="L48" s="13">
        <f>SUM(L44:L47)</f>
        <v>1485.6914599999998</v>
      </c>
      <c r="M48" s="13"/>
      <c r="N48" s="32"/>
      <c r="O48" s="46" t="e">
        <f>SUM(O44:O47)</f>
        <v>#REF!</v>
      </c>
      <c r="P48" s="46"/>
      <c r="Q48" s="47"/>
      <c r="R48" s="13" t="e">
        <f>SUM(R44:R47)</f>
        <v>#REF!</v>
      </c>
      <c r="S48" s="13"/>
      <c r="T48" s="32"/>
    </row>
    <row r="59" spans="3:8">
      <c r="C59" t="s">
        <v>32</v>
      </c>
      <c r="D59" t="s">
        <v>33</v>
      </c>
      <c r="E59" t="s">
        <v>34</v>
      </c>
      <c r="F59" t="s">
        <v>35</v>
      </c>
      <c r="G59" t="s">
        <v>36</v>
      </c>
      <c r="H59" t="s">
        <v>37</v>
      </c>
    </row>
    <row r="60" spans="3:8">
      <c r="C60" t="s">
        <v>38</v>
      </c>
      <c r="D60" t="s">
        <v>39</v>
      </c>
      <c r="E60" t="s">
        <v>40</v>
      </c>
      <c r="F60" t="s">
        <v>41</v>
      </c>
      <c r="G60" t="s">
        <v>42</v>
      </c>
      <c r="H60" t="s">
        <v>43</v>
      </c>
    </row>
    <row r="61" spans="3:8">
      <c r="C61" t="s">
        <v>45</v>
      </c>
      <c r="D61">
        <v>645000</v>
      </c>
      <c r="E61" t="s">
        <v>46</v>
      </c>
      <c r="F61" t="s">
        <v>49</v>
      </c>
      <c r="G61" s="52" t="e">
        <f>#REF!</f>
        <v>#REF!</v>
      </c>
    </row>
    <row r="62" spans="3:8">
      <c r="C62" t="s">
        <v>45</v>
      </c>
      <c r="D62">
        <v>431000</v>
      </c>
      <c r="E62" t="s">
        <v>30</v>
      </c>
      <c r="F62" t="s">
        <v>49</v>
      </c>
      <c r="H62" s="52" t="e">
        <f>SUM(V22:V34)+V35+#REF!+#REF!</f>
        <v>#REF!</v>
      </c>
    </row>
    <row r="63" spans="3:8">
      <c r="C63" t="s">
        <v>45</v>
      </c>
      <c r="D63">
        <v>437000</v>
      </c>
      <c r="E63" t="s">
        <v>47</v>
      </c>
      <c r="F63" t="s">
        <v>49</v>
      </c>
      <c r="H63" s="52" t="e">
        <f>SUM(#REF!)</f>
        <v>#REF!</v>
      </c>
    </row>
    <row r="64" spans="3:8">
      <c r="H64" s="52"/>
    </row>
    <row r="67" spans="3:8">
      <c r="C67" t="s">
        <v>44</v>
      </c>
      <c r="G67" s="52" t="e">
        <f>SUM(G61:G66)</f>
        <v>#REF!</v>
      </c>
      <c r="H67" s="52" t="e">
        <f>SUM(H61:H66)</f>
        <v>#REF!</v>
      </c>
    </row>
  </sheetData>
  <mergeCells count="16">
    <mergeCell ref="C8:D8"/>
    <mergeCell ref="C20:E20"/>
    <mergeCell ref="I8:J8"/>
    <mergeCell ref="I20:K20"/>
    <mergeCell ref="F8:G8"/>
    <mergeCell ref="F20:H20"/>
    <mergeCell ref="B2:T2"/>
    <mergeCell ref="O4:O6"/>
    <mergeCell ref="P4:P6"/>
    <mergeCell ref="B8:B9"/>
    <mergeCell ref="L8:M8"/>
    <mergeCell ref="O8:P8"/>
    <mergeCell ref="R8:S8"/>
    <mergeCell ref="L20:N20"/>
    <mergeCell ref="O20:Q20"/>
    <mergeCell ref="R20:T20"/>
  </mergeCells>
  <conditionalFormatting sqref="C8:D8 F8:G8 I8:J8 L8:M8 O8:P8 R8:S8">
    <cfRule type="containsBlanks" dxfId="21" priority="1">
      <formula>LEN(TRIM(C8))=0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>
    <tabColor theme="5" tint="0.39997558519241921"/>
  </sheetPr>
  <dimension ref="A2:T59"/>
  <sheetViews>
    <sheetView showGridLines="0" topLeftCell="L1" workbookViewId="0">
      <selection activeCell="M18" sqref="M18"/>
    </sheetView>
  </sheetViews>
  <sheetFormatPr baseColWidth="10" defaultRowHeight="15" outlineLevelCol="1"/>
  <cols>
    <col min="1" max="1" width="4.7109375" hidden="1" customWidth="1" outlineLevel="1"/>
    <col min="2" max="2" width="11.42578125" hidden="1" customWidth="1" outlineLevel="1"/>
    <col min="3" max="3" width="23.140625" hidden="1" customWidth="1" outlineLevel="1"/>
    <col min="4" max="4" width="7.85546875" hidden="1" customWidth="1" outlineLevel="1"/>
    <col min="5" max="5" width="11.42578125" hidden="1" customWidth="1" outlineLevel="1"/>
    <col min="6" max="6" width="7.85546875" hidden="1" customWidth="1" outlineLevel="1"/>
    <col min="7" max="7" width="11.42578125" hidden="1" customWidth="1" outlineLevel="1"/>
    <col min="8" max="8" width="7.140625" hidden="1" customWidth="1" outlineLevel="1"/>
    <col min="9" max="9" width="11.42578125" hidden="1" customWidth="1" outlineLevel="1"/>
    <col min="10" max="10" width="12.42578125" hidden="1" customWidth="1" outlineLevel="1"/>
    <col min="11" max="11" width="11.42578125" hidden="1" customWidth="1" outlineLevel="1"/>
    <col min="12" max="12" width="5.85546875" customWidth="1" collapsed="1"/>
  </cols>
  <sheetData>
    <row r="2" spans="2:20">
      <c r="Q2" s="512" t="s">
        <v>54</v>
      </c>
      <c r="R2" s="512"/>
      <c r="S2" s="512"/>
      <c r="T2" s="512"/>
    </row>
    <row r="3" spans="2:20" ht="18">
      <c r="C3" s="513" t="s">
        <v>50</v>
      </c>
      <c r="D3" s="513"/>
      <c r="E3" s="513"/>
      <c r="F3" s="513"/>
      <c r="G3" s="513"/>
      <c r="H3" s="513"/>
      <c r="I3" s="513"/>
      <c r="Q3" s="512" t="s">
        <v>248</v>
      </c>
      <c r="R3" s="512"/>
      <c r="S3" s="512"/>
      <c r="T3" s="512"/>
    </row>
    <row r="4" spans="2:20" ht="18">
      <c r="C4" s="221"/>
      <c r="D4" s="221"/>
      <c r="E4" s="221"/>
      <c r="F4" s="221"/>
      <c r="G4" s="221"/>
      <c r="H4" s="221"/>
      <c r="I4" s="221"/>
      <c r="Q4" s="512" t="s">
        <v>249</v>
      </c>
      <c r="R4" s="512"/>
      <c r="S4" s="512" t="s">
        <v>250</v>
      </c>
      <c r="T4" s="512"/>
    </row>
    <row r="5" spans="2:20">
      <c r="B5" s="53"/>
      <c r="H5" s="53"/>
      <c r="I5" s="53"/>
      <c r="J5" s="53"/>
      <c r="K5" s="54"/>
      <c r="N5" s="255" t="s">
        <v>30</v>
      </c>
      <c r="Q5" t="s">
        <v>183</v>
      </c>
      <c r="R5" t="s">
        <v>21</v>
      </c>
      <c r="S5" t="s">
        <v>183</v>
      </c>
      <c r="T5" t="s">
        <v>21</v>
      </c>
    </row>
    <row r="6" spans="2:20">
      <c r="B6" s="502" t="s">
        <v>51</v>
      </c>
      <c r="C6" s="503"/>
      <c r="D6" s="56"/>
      <c r="E6" s="506" t="s">
        <v>52</v>
      </c>
      <c r="F6" s="57"/>
      <c r="G6" s="58" t="s">
        <v>51</v>
      </c>
      <c r="H6" s="58"/>
      <c r="I6" s="58"/>
      <c r="J6" s="59"/>
      <c r="K6" s="54"/>
      <c r="N6" s="2" t="s">
        <v>94</v>
      </c>
    </row>
    <row r="7" spans="2:20">
      <c r="B7" s="504"/>
      <c r="C7" s="505"/>
      <c r="D7" s="60"/>
      <c r="E7" s="507"/>
      <c r="F7" s="495" t="s">
        <v>53</v>
      </c>
      <c r="G7" s="496"/>
      <c r="H7" s="495" t="s">
        <v>54</v>
      </c>
      <c r="I7" s="496"/>
      <c r="J7" s="61" t="s">
        <v>55</v>
      </c>
      <c r="K7" s="54"/>
      <c r="N7" s="2" t="s">
        <v>96</v>
      </c>
    </row>
    <row r="8" spans="2:20">
      <c r="B8" s="62"/>
      <c r="C8" s="63"/>
      <c r="D8" s="64"/>
      <c r="E8" s="65"/>
      <c r="F8" s="66" t="s">
        <v>56</v>
      </c>
      <c r="G8" s="67" t="s">
        <v>57</v>
      </c>
      <c r="H8" s="66" t="s">
        <v>56</v>
      </c>
      <c r="I8" s="66" t="s">
        <v>58</v>
      </c>
      <c r="J8" s="186" t="s">
        <v>59</v>
      </c>
      <c r="K8" s="54"/>
      <c r="N8" s="2" t="s">
        <v>144</v>
      </c>
    </row>
    <row r="9" spans="2:20">
      <c r="B9" s="489" t="s">
        <v>30</v>
      </c>
      <c r="C9" s="490"/>
      <c r="D9" s="490"/>
      <c r="E9" s="490"/>
      <c r="F9" s="490"/>
      <c r="G9" s="490"/>
      <c r="H9" s="490"/>
      <c r="I9" s="490"/>
      <c r="J9" s="491"/>
      <c r="K9" s="54"/>
      <c r="N9" s="2" t="s">
        <v>145</v>
      </c>
    </row>
    <row r="10" spans="2:20">
      <c r="B10" s="71"/>
      <c r="C10" s="72"/>
      <c r="D10" s="68"/>
      <c r="E10" s="69"/>
      <c r="F10" s="70"/>
      <c r="G10" s="73"/>
      <c r="H10" s="70"/>
      <c r="I10" s="70"/>
      <c r="J10" s="70"/>
      <c r="K10" s="54"/>
      <c r="N10" s="2" t="s">
        <v>28</v>
      </c>
    </row>
    <row r="11" spans="2:20">
      <c r="B11" s="74" t="s">
        <v>60</v>
      </c>
      <c r="C11" s="75"/>
      <c r="D11" s="209" t="s">
        <v>101</v>
      </c>
      <c r="E11" s="76" t="e">
        <f>Patronale!U20</f>
        <v>#REF!</v>
      </c>
      <c r="F11" s="77"/>
      <c r="G11" s="78"/>
      <c r="H11" s="78"/>
      <c r="I11" s="73"/>
      <c r="J11" s="70"/>
      <c r="K11" s="54"/>
      <c r="N11" s="2" t="s">
        <v>29</v>
      </c>
    </row>
    <row r="12" spans="2:20">
      <c r="B12" s="55"/>
      <c r="C12" s="79" t="s">
        <v>61</v>
      </c>
      <c r="D12" s="206">
        <f>F12-H12</f>
        <v>7.0000000000000007E-2</v>
      </c>
      <c r="E12" s="80" t="e">
        <f>E11</f>
        <v>#REF!</v>
      </c>
      <c r="F12" s="81">
        <f>Salariale!M24+Patronale!M22</f>
        <v>7.0000000000000007E-2</v>
      </c>
      <c r="G12" s="82" t="e">
        <f>E12*F12</f>
        <v>#REF!</v>
      </c>
      <c r="H12" s="83">
        <f>Salariale!M24</f>
        <v>0</v>
      </c>
      <c r="I12" s="84" t="e">
        <f>E12*H12</f>
        <v>#REF!</v>
      </c>
      <c r="J12" s="84" t="e">
        <f>G12-I12</f>
        <v>#REF!</v>
      </c>
      <c r="K12" s="54"/>
    </row>
    <row r="13" spans="2:20">
      <c r="B13" s="85"/>
      <c r="C13" s="72" t="s">
        <v>62</v>
      </c>
      <c r="D13" s="207">
        <f t="shared" ref="D13:D18" si="0">F13-H13</f>
        <v>4.7199999999999999E-2</v>
      </c>
      <c r="E13" s="189" t="e">
        <f>E12</f>
        <v>#REF!</v>
      </c>
      <c r="F13" s="88">
        <f>Patronale!M28</f>
        <v>4.7199999999999999E-2</v>
      </c>
      <c r="G13" s="78" t="e">
        <f t="shared" ref="G13:G19" si="1">E13*F13</f>
        <v>#REF!</v>
      </c>
      <c r="H13" s="89"/>
      <c r="I13" s="90" t="e">
        <f t="shared" ref="I13:I23" si="2">E13*H13</f>
        <v>#REF!</v>
      </c>
      <c r="J13" s="90" t="e">
        <f t="shared" ref="J13:J28" si="3">G13-I13</f>
        <v>#REF!</v>
      </c>
      <c r="K13" s="54"/>
      <c r="N13" s="255" t="s">
        <v>247</v>
      </c>
    </row>
    <row r="14" spans="2:20">
      <c r="B14" s="85"/>
      <c r="C14" s="72" t="s">
        <v>95</v>
      </c>
      <c r="D14" s="207">
        <f t="shared" si="0"/>
        <v>0</v>
      </c>
      <c r="E14" s="189" t="e">
        <f>E11</f>
        <v>#REF!</v>
      </c>
      <c r="F14" s="88">
        <f>Salariale!M25+Patronale!M25</f>
        <v>6.9000000000000006E-2</v>
      </c>
      <c r="G14" s="78" t="e">
        <f t="shared" si="1"/>
        <v>#REF!</v>
      </c>
      <c r="H14" s="89">
        <f>Salariale!M25</f>
        <v>6.9000000000000006E-2</v>
      </c>
      <c r="I14" s="90" t="e">
        <f t="shared" si="2"/>
        <v>#REF!</v>
      </c>
      <c r="J14" s="90" t="e">
        <f t="shared" si="3"/>
        <v>#REF!</v>
      </c>
      <c r="K14" s="54"/>
      <c r="N14" s="14" t="s">
        <v>9</v>
      </c>
    </row>
    <row r="15" spans="2:20">
      <c r="B15" s="85"/>
      <c r="C15" s="72" t="s">
        <v>103</v>
      </c>
      <c r="D15" s="207">
        <f t="shared" si="0"/>
        <v>1.6199999999999999E-2</v>
      </c>
      <c r="E15" s="189" t="e">
        <f>E14</f>
        <v>#REF!</v>
      </c>
      <c r="F15" s="88">
        <f>Patronale!M33+Salariale!M28</f>
        <v>1.6199999999999999E-2</v>
      </c>
      <c r="G15" s="78" t="e">
        <f t="shared" si="1"/>
        <v>#REF!</v>
      </c>
      <c r="H15" s="89">
        <f>Salariale!M28</f>
        <v>0</v>
      </c>
      <c r="I15" s="90" t="e">
        <f>E15*H15</f>
        <v>#REF!</v>
      </c>
      <c r="J15" s="90" t="e">
        <f t="shared" si="3"/>
        <v>#REF!</v>
      </c>
      <c r="K15" s="54"/>
      <c r="N15" s="14" t="s">
        <v>10</v>
      </c>
    </row>
    <row r="16" spans="2:20">
      <c r="B16" s="85"/>
      <c r="C16" s="72" t="s">
        <v>29</v>
      </c>
      <c r="D16" s="207"/>
      <c r="E16" s="189" t="e">
        <f>E11</f>
        <v>#REF!</v>
      </c>
      <c r="F16" s="88">
        <f>Patronale!M34</f>
        <v>1.29E-2</v>
      </c>
      <c r="G16" s="78" t="e">
        <f>E16*F16</f>
        <v>#REF!</v>
      </c>
      <c r="H16" s="89">
        <f>Salariale!M29</f>
        <v>0</v>
      </c>
      <c r="I16" s="90" t="e">
        <f>E16*H16</f>
        <v>#REF!</v>
      </c>
      <c r="J16" s="90" t="e">
        <f t="shared" si="3"/>
        <v>#REF!</v>
      </c>
      <c r="K16" s="54"/>
      <c r="N16" s="2" t="s">
        <v>11</v>
      </c>
    </row>
    <row r="17" spans="2:14">
      <c r="B17" s="85"/>
      <c r="C17" s="72" t="s">
        <v>63</v>
      </c>
      <c r="D17" s="214">
        <f t="shared" si="0"/>
        <v>0</v>
      </c>
      <c r="E17" s="189" t="e">
        <f t="shared" ref="E17" si="4">E15</f>
        <v>#REF!</v>
      </c>
      <c r="F17" s="150">
        <f>Patronale!M27</f>
        <v>0</v>
      </c>
      <c r="G17" s="78" t="e">
        <f t="shared" si="1"/>
        <v>#REF!</v>
      </c>
      <c r="H17" s="89"/>
      <c r="I17" s="90" t="e">
        <f t="shared" si="2"/>
        <v>#REF!</v>
      </c>
      <c r="J17" s="90" t="e">
        <f t="shared" si="3"/>
        <v>#REF!</v>
      </c>
      <c r="K17" s="54"/>
      <c r="N17" s="2" t="s">
        <v>12</v>
      </c>
    </row>
    <row r="18" spans="2:14">
      <c r="B18" s="85"/>
      <c r="C18" s="72" t="s">
        <v>64</v>
      </c>
      <c r="D18" s="207">
        <f t="shared" si="0"/>
        <v>3.4500000000000003E-2</v>
      </c>
      <c r="E18" s="189" t="e">
        <f>Patronale!U24</f>
        <v>#REF!</v>
      </c>
      <c r="F18" s="88">
        <f>M18</f>
        <v>3.4500000000000003E-2</v>
      </c>
      <c r="G18" s="78" t="e">
        <f t="shared" si="1"/>
        <v>#REF!</v>
      </c>
      <c r="H18" s="89"/>
      <c r="I18" s="90" t="e">
        <f>E18*H18</f>
        <v>#REF!</v>
      </c>
      <c r="J18" s="90" t="e">
        <f t="shared" si="3"/>
        <v>#REF!</v>
      </c>
      <c r="K18" s="54" t="s">
        <v>105</v>
      </c>
      <c r="M18" s="188">
        <v>3.4500000000000003E-2</v>
      </c>
      <c r="N18" s="14" t="s">
        <v>149</v>
      </c>
    </row>
    <row r="19" spans="2:14" ht="15.75" customHeight="1">
      <c r="B19" s="85"/>
      <c r="C19" s="72" t="s">
        <v>65</v>
      </c>
      <c r="D19" s="207">
        <f>F19-H19</f>
        <v>1.7999999999999999E-2</v>
      </c>
      <c r="E19" s="189" t="e">
        <f>Patronale!U23</f>
        <v>#REF!</v>
      </c>
      <c r="F19" s="88">
        <f>M19</f>
        <v>1.7999999999999999E-2</v>
      </c>
      <c r="G19" s="78" t="e">
        <f t="shared" si="1"/>
        <v>#REF!</v>
      </c>
      <c r="H19" s="89"/>
      <c r="I19" s="90" t="e">
        <f>E19*H19</f>
        <v>#REF!</v>
      </c>
      <c r="J19" s="90" t="e">
        <f t="shared" si="3"/>
        <v>#REF!</v>
      </c>
      <c r="K19" s="54" t="s">
        <v>104</v>
      </c>
      <c r="M19" s="188">
        <v>1.7999999999999999E-2</v>
      </c>
      <c r="N19" s="14" t="s">
        <v>148</v>
      </c>
    </row>
    <row r="20" spans="2:14" ht="3" customHeight="1">
      <c r="B20" s="157"/>
      <c r="C20" s="157"/>
      <c r="D20" s="202"/>
      <c r="E20" s="197"/>
      <c r="F20" s="198"/>
      <c r="G20" s="199"/>
      <c r="H20" s="200"/>
      <c r="I20" s="201"/>
      <c r="J20" s="201"/>
      <c r="K20" s="54"/>
      <c r="N20" s="2" t="s">
        <v>150</v>
      </c>
    </row>
    <row r="21" spans="2:14">
      <c r="B21" s="74" t="s">
        <v>66</v>
      </c>
      <c r="C21" s="75"/>
      <c r="D21" s="94"/>
      <c r="E21" s="76" t="e">
        <f>Patronale!U26</f>
        <v>#REF!</v>
      </c>
      <c r="F21" s="77"/>
      <c r="G21" s="78"/>
      <c r="H21" s="89"/>
      <c r="I21" s="90"/>
      <c r="J21" s="90"/>
      <c r="K21" s="54"/>
      <c r="N21" s="2" t="s">
        <v>151</v>
      </c>
    </row>
    <row r="22" spans="2:14">
      <c r="B22" s="95"/>
      <c r="C22" s="79" t="s">
        <v>67</v>
      </c>
      <c r="D22" s="206">
        <f>F22-H22</f>
        <v>0</v>
      </c>
      <c r="E22" s="80" t="e">
        <f>E21</f>
        <v>#REF!</v>
      </c>
      <c r="F22" s="96">
        <f>Salariale!M26+Patronale!M26</f>
        <v>4.0000000000000001E-3</v>
      </c>
      <c r="G22" s="82" t="e">
        <f>E22*F22</f>
        <v>#REF!</v>
      </c>
      <c r="H22" s="83">
        <f>Salariale!M26</f>
        <v>4.0000000000000001E-3</v>
      </c>
      <c r="I22" s="84" t="e">
        <f>E22*H22</f>
        <v>#REF!</v>
      </c>
      <c r="J22" s="84" t="e">
        <f t="shared" si="3"/>
        <v>#REF!</v>
      </c>
      <c r="K22" s="54"/>
      <c r="N22" s="2" t="s">
        <v>13</v>
      </c>
    </row>
    <row r="23" spans="2:14">
      <c r="B23" s="85"/>
      <c r="C23" s="86" t="s">
        <v>62</v>
      </c>
      <c r="D23" s="207">
        <f>F23-H23</f>
        <v>0.1295</v>
      </c>
      <c r="E23" s="87" t="e">
        <f>E21</f>
        <v>#REF!</v>
      </c>
      <c r="F23" s="88">
        <f>Patronale!M29</f>
        <v>0.1295</v>
      </c>
      <c r="G23" s="78" t="e">
        <f>E23*F23</f>
        <v>#REF!</v>
      </c>
      <c r="H23" s="89"/>
      <c r="I23" s="90" t="e">
        <f t="shared" si="2"/>
        <v>#REF!</v>
      </c>
      <c r="J23" s="90" t="e">
        <f t="shared" si="3"/>
        <v>#REF!</v>
      </c>
      <c r="K23" s="54"/>
      <c r="N23" s="2" t="s">
        <v>14</v>
      </c>
    </row>
    <row r="24" spans="2:14" ht="3" customHeight="1">
      <c r="B24" s="157"/>
      <c r="C24" s="157"/>
      <c r="D24" s="196"/>
      <c r="E24" s="197"/>
      <c r="F24" s="198"/>
      <c r="G24" s="199"/>
      <c r="H24" s="200"/>
      <c r="I24" s="201"/>
      <c r="J24" s="201"/>
      <c r="K24" s="54"/>
      <c r="N24" s="14" t="s">
        <v>15</v>
      </c>
    </row>
    <row r="25" spans="2:14">
      <c r="B25" s="99" t="s">
        <v>68</v>
      </c>
      <c r="C25" s="86"/>
      <c r="D25" s="207" t="e">
        <f>F25-H25</f>
        <v>#REF!</v>
      </c>
      <c r="E25" s="76" t="e">
        <f>Salariale!#REF!</f>
        <v>#REF!</v>
      </c>
      <c r="F25" s="77" t="e">
        <f>Salariale!#REF!+Salariale!M42+Salariale!M44</f>
        <v>#REF!</v>
      </c>
      <c r="G25" s="78" t="e">
        <f>E25*F25</f>
        <v>#REF!</v>
      </c>
      <c r="H25" s="89" t="e">
        <f>Salariale!#REF!+Salariale!M42+Salariale!M44</f>
        <v>#REF!</v>
      </c>
      <c r="I25" s="212" t="e">
        <f>G25</f>
        <v>#REF!</v>
      </c>
      <c r="J25" s="90" t="e">
        <f t="shared" si="3"/>
        <v>#REF!</v>
      </c>
      <c r="K25" s="54"/>
      <c r="N25" s="14" t="s">
        <v>16</v>
      </c>
    </row>
    <row r="26" spans="2:14" ht="3" customHeight="1">
      <c r="B26" s="157"/>
      <c r="C26" s="157"/>
      <c r="D26" s="196"/>
      <c r="E26" s="197"/>
      <c r="F26" s="198"/>
      <c r="G26" s="199"/>
      <c r="H26" s="200"/>
      <c r="I26" s="201"/>
      <c r="J26" s="201"/>
      <c r="K26" s="54"/>
      <c r="N26" s="2" t="s">
        <v>147</v>
      </c>
    </row>
    <row r="27" spans="2:14">
      <c r="B27" s="99" t="s">
        <v>69</v>
      </c>
      <c r="C27" s="86"/>
      <c r="D27" s="207" t="e">
        <f>F27-H27</f>
        <v>#REF!</v>
      </c>
      <c r="E27" s="76" t="e">
        <f>E11</f>
        <v>#REF!</v>
      </c>
      <c r="F27" s="77" t="e">
        <f>Salariale!#REF!+Patronale!M35</f>
        <v>#REF!</v>
      </c>
      <c r="G27" s="78" t="e">
        <f>E27*F27</f>
        <v>#REF!</v>
      </c>
      <c r="H27" s="89" t="e">
        <f>Salariale!#REF!</f>
        <v>#REF!</v>
      </c>
      <c r="I27" s="90" t="e">
        <f>E27*H27</f>
        <v>#REF!</v>
      </c>
      <c r="J27" s="90" t="e">
        <f t="shared" si="3"/>
        <v>#REF!</v>
      </c>
      <c r="K27" s="54"/>
      <c r="N27" s="2" t="s">
        <v>146</v>
      </c>
    </row>
    <row r="28" spans="2:14">
      <c r="B28" s="99" t="s">
        <v>70</v>
      </c>
      <c r="C28" s="86"/>
      <c r="D28" s="207">
        <f>F28-H28</f>
        <v>4.7199999999999999E-2</v>
      </c>
      <c r="E28" s="76" t="e">
        <f>E11</f>
        <v>#REF!</v>
      </c>
      <c r="F28" s="88">
        <f>Patronale!M30+Salariale!M27</f>
        <v>4.7199999999999999E-2</v>
      </c>
      <c r="G28" s="78" t="e">
        <f>E28*F28</f>
        <v>#REF!</v>
      </c>
      <c r="H28" s="89">
        <f>Salariale!M27</f>
        <v>0</v>
      </c>
      <c r="I28" s="100" t="e">
        <f>E28*H28</f>
        <v>#REF!</v>
      </c>
      <c r="J28" s="90" t="e">
        <f t="shared" si="3"/>
        <v>#REF!</v>
      </c>
      <c r="K28" s="54"/>
    </row>
    <row r="29" spans="2:14">
      <c r="B29" s="99" t="s">
        <v>71</v>
      </c>
      <c r="C29" s="72"/>
      <c r="D29" s="207">
        <f>F29-H29</f>
        <v>0.1295</v>
      </c>
      <c r="E29" s="193" t="e">
        <f>Patronale!U31</f>
        <v>#REF!</v>
      </c>
      <c r="F29" s="77">
        <f>Patronale!M31</f>
        <v>0.1295</v>
      </c>
      <c r="G29" s="194" t="e">
        <f>F29*E29</f>
        <v>#REF!</v>
      </c>
      <c r="H29" s="78"/>
      <c r="I29" s="195" t="e">
        <f>E29*H29</f>
        <v>#REF!</v>
      </c>
      <c r="J29" s="100" t="e">
        <f>G29-I29</f>
        <v>#REF!</v>
      </c>
      <c r="K29" s="54"/>
    </row>
    <row r="30" spans="2:14">
      <c r="B30" s="99" t="s">
        <v>72</v>
      </c>
      <c r="C30" s="86"/>
      <c r="D30" s="190"/>
      <c r="E30" s="191"/>
      <c r="F30" s="192"/>
      <c r="G30" s="78" t="e">
        <f>-Salariale!#REF!</f>
        <v>#REF!</v>
      </c>
      <c r="H30" s="103"/>
      <c r="I30" s="100"/>
      <c r="J30" s="90" t="e">
        <f>-Salariale!#REF!</f>
        <v>#REF!</v>
      </c>
      <c r="K30" s="54"/>
      <c r="L30" s="213"/>
    </row>
    <row r="31" spans="2:14">
      <c r="B31" s="97" t="s">
        <v>73</v>
      </c>
      <c r="C31" s="91"/>
      <c r="D31" s="185"/>
      <c r="E31" s="183"/>
      <c r="F31" s="184"/>
      <c r="G31" s="92" t="e">
        <f>Patronale!#REF!</f>
        <v>#REF!</v>
      </c>
      <c r="H31" s="92"/>
      <c r="I31" s="98"/>
      <c r="J31" s="93" t="e">
        <f>G31</f>
        <v>#REF!</v>
      </c>
      <c r="K31" s="54"/>
    </row>
    <row r="32" spans="2:14">
      <c r="B32" s="71"/>
      <c r="C32" s="72"/>
      <c r="D32" s="68"/>
      <c r="E32" s="87"/>
      <c r="F32" s="102"/>
      <c r="G32" s="78"/>
      <c r="H32" s="103"/>
      <c r="I32" s="70"/>
      <c r="J32" s="70"/>
      <c r="K32" s="54"/>
    </row>
    <row r="33" spans="2:11">
      <c r="B33" s="161" t="s">
        <v>74</v>
      </c>
      <c r="C33" s="110"/>
      <c r="D33" s="152"/>
      <c r="E33" s="153"/>
      <c r="F33" s="154"/>
      <c r="G33" s="155" t="e">
        <f>SUM(G12:G31)+G30</f>
        <v>#REF!</v>
      </c>
      <c r="H33" s="155"/>
      <c r="I33" s="155" t="e">
        <f>SUM(I12:I31)</f>
        <v>#REF!</v>
      </c>
      <c r="J33" s="156" t="e">
        <f>SUM(J12:J29)+J30+J31</f>
        <v>#REF!</v>
      </c>
      <c r="K33" s="54"/>
    </row>
    <row r="34" spans="2:11">
      <c r="B34" s="162"/>
      <c r="C34" s="157"/>
      <c r="D34" s="157"/>
      <c r="E34" s="158"/>
      <c r="F34" s="159"/>
      <c r="G34" s="160"/>
      <c r="H34" s="160"/>
      <c r="I34" s="160"/>
      <c r="J34" s="160"/>
      <c r="K34" s="54"/>
    </row>
    <row r="35" spans="2:11">
      <c r="B35" s="492" t="s">
        <v>75</v>
      </c>
      <c r="C35" s="493"/>
      <c r="D35" s="493"/>
      <c r="E35" s="493"/>
      <c r="F35" s="493"/>
      <c r="G35" s="493"/>
      <c r="H35" s="493"/>
      <c r="I35" s="493"/>
      <c r="J35" s="494"/>
      <c r="K35" s="54"/>
    </row>
    <row r="36" spans="2:11">
      <c r="B36" s="508" t="s">
        <v>76</v>
      </c>
      <c r="C36" s="509"/>
      <c r="D36" s="203"/>
      <c r="E36" s="69"/>
      <c r="F36" s="108"/>
      <c r="G36" s="73"/>
      <c r="H36" s="109"/>
      <c r="I36" s="73"/>
      <c r="J36" s="73"/>
      <c r="K36" s="54"/>
    </row>
    <row r="37" spans="2:11">
      <c r="B37" s="55" t="s">
        <v>77</v>
      </c>
      <c r="C37" s="111"/>
      <c r="D37" s="206">
        <v>7.7499999999999999E-2</v>
      </c>
      <c r="E37" s="112">
        <v>7336</v>
      </c>
      <c r="F37" s="113">
        <f>Salariale!M30+Patronale!M36</f>
        <v>3.3599999999999998E-2</v>
      </c>
      <c r="G37" s="82">
        <f>E37*F37</f>
        <v>246.4896</v>
      </c>
      <c r="H37" s="114">
        <v>3.1E-2</v>
      </c>
      <c r="I37" s="101">
        <f>E37*H37</f>
        <v>227.416</v>
      </c>
      <c r="J37" s="101">
        <f t="shared" ref="J37:J42" si="5">G37-I37</f>
        <v>19.073599999999999</v>
      </c>
      <c r="K37" s="54"/>
    </row>
    <row r="38" spans="2:11">
      <c r="B38" s="85" t="s">
        <v>78</v>
      </c>
      <c r="C38" s="115"/>
      <c r="D38" s="207">
        <v>0.20250000000000001</v>
      </c>
      <c r="E38" s="116"/>
      <c r="F38" s="108">
        <f>Salariale!M31+Patronale!M37</f>
        <v>8.6760000000000004E-2</v>
      </c>
      <c r="G38" s="78">
        <f t="shared" ref="G38:G42" si="6">E38*F38</f>
        <v>0</v>
      </c>
      <c r="H38" s="117">
        <v>8.1000000000000003E-2</v>
      </c>
      <c r="I38" s="100">
        <f t="shared" ref="I38:I42" si="7">E38*H38</f>
        <v>0</v>
      </c>
      <c r="J38" s="100">
        <f t="shared" si="5"/>
        <v>0</v>
      </c>
      <c r="K38" s="54"/>
    </row>
    <row r="39" spans="2:11">
      <c r="B39" s="118" t="s">
        <v>79</v>
      </c>
      <c r="C39" s="115"/>
      <c r="D39" s="207">
        <v>0.02</v>
      </c>
      <c r="E39" s="116">
        <f>E37</f>
        <v>7336</v>
      </c>
      <c r="F39" s="108">
        <f>Salariale!M34+Patronale!M40</f>
        <v>8.6E-3</v>
      </c>
      <c r="G39" s="78">
        <f t="shared" si="6"/>
        <v>63.089599999999997</v>
      </c>
      <c r="H39" s="117">
        <v>8.0000000000000002E-3</v>
      </c>
      <c r="I39" s="100">
        <f t="shared" si="7"/>
        <v>58.688000000000002</v>
      </c>
      <c r="J39" s="100">
        <f t="shared" si="5"/>
        <v>4.4015999999999948</v>
      </c>
      <c r="K39" s="54"/>
    </row>
    <row r="40" spans="2:11">
      <c r="B40" s="118" t="s">
        <v>80</v>
      </c>
      <c r="C40" s="115"/>
      <c r="D40" s="207">
        <v>0.02</v>
      </c>
      <c r="E40" s="116"/>
      <c r="F40" s="108">
        <f>Salariale!M35+Patronale!M41</f>
        <v>1.0800000000000001E-2</v>
      </c>
      <c r="G40" s="78">
        <f t="shared" si="6"/>
        <v>0</v>
      </c>
      <c r="H40" s="117">
        <v>8.9999999999999993E-3</v>
      </c>
      <c r="I40" s="100">
        <f t="shared" si="7"/>
        <v>0</v>
      </c>
      <c r="J40" s="100">
        <f t="shared" si="5"/>
        <v>0</v>
      </c>
      <c r="K40" s="54"/>
    </row>
    <row r="41" spans="2:11">
      <c r="B41" s="85" t="s">
        <v>81</v>
      </c>
      <c r="C41" s="72"/>
      <c r="D41" s="207">
        <v>7.7499999999999999E-2</v>
      </c>
      <c r="E41" s="116">
        <v>3311</v>
      </c>
      <c r="F41" s="108">
        <f>Salariale!M32+Patronale!M38</f>
        <v>3.15E-2</v>
      </c>
      <c r="G41" s="78">
        <f t="shared" si="6"/>
        <v>104.29649999999999</v>
      </c>
      <c r="H41" s="117">
        <v>3.1E-2</v>
      </c>
      <c r="I41" s="100">
        <f t="shared" si="7"/>
        <v>102.64100000000001</v>
      </c>
      <c r="J41" s="100">
        <f t="shared" si="5"/>
        <v>1.6554999999999893</v>
      </c>
      <c r="K41" s="54"/>
    </row>
    <row r="42" spans="2:11">
      <c r="B42" s="85" t="s">
        <v>82</v>
      </c>
      <c r="C42" s="72"/>
      <c r="D42" s="207">
        <v>0.02</v>
      </c>
      <c r="E42" s="116">
        <v>3311</v>
      </c>
      <c r="F42" s="108">
        <f>Salariale!M36+Patronale!J42</f>
        <v>8.6E-3</v>
      </c>
      <c r="G42" s="78">
        <f t="shared" si="6"/>
        <v>28.474599999999999</v>
      </c>
      <c r="H42" s="117">
        <f>H39</f>
        <v>8.0000000000000002E-3</v>
      </c>
      <c r="I42" s="100">
        <f t="shared" si="7"/>
        <v>26.488</v>
      </c>
      <c r="J42" s="100">
        <f t="shared" si="5"/>
        <v>1.9865999999999993</v>
      </c>
      <c r="K42" s="54"/>
    </row>
    <row r="43" spans="2:11">
      <c r="B43" s="163" t="s">
        <v>83</v>
      </c>
      <c r="C43" s="164"/>
      <c r="D43" s="205"/>
      <c r="E43" s="165"/>
      <c r="F43" s="166"/>
      <c r="G43" s="135">
        <f>SUM(G37:G42)</f>
        <v>442.3503</v>
      </c>
      <c r="H43" s="167"/>
      <c r="I43" s="135">
        <f>SUM(I37:I42)</f>
        <v>415.233</v>
      </c>
      <c r="J43" s="135">
        <f>SUM(J37:J42)</f>
        <v>27.117299999999982</v>
      </c>
      <c r="K43" s="54"/>
    </row>
    <row r="44" spans="2:11">
      <c r="B44" s="510" t="s">
        <v>84</v>
      </c>
      <c r="C44" s="511"/>
      <c r="D44" s="204"/>
      <c r="E44" s="69"/>
      <c r="F44" s="124"/>
      <c r="G44" s="73"/>
      <c r="H44" s="109"/>
      <c r="I44" s="73"/>
      <c r="J44" s="73"/>
      <c r="K44" s="54"/>
    </row>
    <row r="45" spans="2:11">
      <c r="B45" s="125" t="s">
        <v>85</v>
      </c>
      <c r="C45" s="126"/>
      <c r="D45" s="206">
        <v>0.20549999999999999</v>
      </c>
      <c r="E45" s="112">
        <v>2314</v>
      </c>
      <c r="F45" s="113">
        <f>Salariale!M33+Patronale!M39</f>
        <v>0.1014</v>
      </c>
      <c r="G45" s="82">
        <f>E45*F45</f>
        <v>234.6396</v>
      </c>
      <c r="H45" s="114">
        <v>7.8E-2</v>
      </c>
      <c r="I45" s="101">
        <f>E45*H45</f>
        <v>180.49199999999999</v>
      </c>
      <c r="J45" s="101">
        <f t="shared" ref="J45:J52" si="8">G45-I45</f>
        <v>54.147600000000011</v>
      </c>
      <c r="K45" s="54"/>
    </row>
    <row r="46" spans="2:11">
      <c r="B46" s="127" t="s">
        <v>86</v>
      </c>
      <c r="C46" s="72"/>
      <c r="D46" s="207">
        <v>2.1999999999999999E-2</v>
      </c>
      <c r="E46" s="116">
        <v>2314</v>
      </c>
      <c r="F46" s="108" t="e">
        <f>Salariale!M37+Patronale!#REF!</f>
        <v>#REF!</v>
      </c>
      <c r="G46" s="78" t="e">
        <f t="shared" ref="G46:G49" si="9">E46*F46</f>
        <v>#REF!</v>
      </c>
      <c r="H46" s="117">
        <v>8.9999999999999993E-3</v>
      </c>
      <c r="I46" s="100">
        <f t="shared" ref="I46:I48" si="10">E46*H46</f>
        <v>20.825999999999997</v>
      </c>
      <c r="J46" s="100" t="e">
        <f t="shared" si="8"/>
        <v>#REF!</v>
      </c>
      <c r="K46" s="54"/>
    </row>
    <row r="47" spans="2:11">
      <c r="B47" s="127" t="s">
        <v>87</v>
      </c>
      <c r="C47" s="72"/>
      <c r="D47" s="207">
        <v>3.5000000000000001E-3</v>
      </c>
      <c r="E47" s="116">
        <v>5625</v>
      </c>
      <c r="F47" s="108" t="e">
        <f>Salariale!M38+Patronale!#REF!</f>
        <v>#REF!</v>
      </c>
      <c r="G47" s="78" t="e">
        <f t="shared" si="9"/>
        <v>#REF!</v>
      </c>
      <c r="H47" s="117">
        <v>1.2999999999999999E-3</v>
      </c>
      <c r="I47" s="100">
        <f t="shared" si="10"/>
        <v>7.3125</v>
      </c>
      <c r="J47" s="100" t="e">
        <f t="shared" si="8"/>
        <v>#REF!</v>
      </c>
      <c r="K47" s="54"/>
    </row>
    <row r="48" spans="2:11">
      <c r="B48" s="127" t="s">
        <v>88</v>
      </c>
      <c r="C48" s="72"/>
      <c r="D48" s="207">
        <v>5.9999999999999995E-4</v>
      </c>
      <c r="E48" s="116">
        <v>5625</v>
      </c>
      <c r="F48" s="108" t="e">
        <f>Salariale!M39+Patronale!#REF!</f>
        <v>#REF!</v>
      </c>
      <c r="G48" s="78" t="e">
        <f t="shared" si="9"/>
        <v>#REF!</v>
      </c>
      <c r="H48" s="148">
        <f>Salariale!M39</f>
        <v>2.4000000000000001E-4</v>
      </c>
      <c r="I48" s="100">
        <f t="shared" si="10"/>
        <v>1.35</v>
      </c>
      <c r="J48" s="100" t="e">
        <f t="shared" si="8"/>
        <v>#REF!</v>
      </c>
      <c r="K48" s="54"/>
    </row>
    <row r="49" spans="2:11">
      <c r="B49" s="128" t="s">
        <v>89</v>
      </c>
      <c r="C49" s="119"/>
      <c r="D49" s="208">
        <v>1.4999999999999999E-2</v>
      </c>
      <c r="E49" s="120">
        <f>E42</f>
        <v>3311</v>
      </c>
      <c r="F49" s="151"/>
      <c r="G49" s="92">
        <f t="shared" si="9"/>
        <v>0</v>
      </c>
      <c r="H49" s="121">
        <f>Salariale!M40</f>
        <v>5.7999999999999996E-3</v>
      </c>
      <c r="I49" s="129"/>
      <c r="J49" s="98">
        <f t="shared" si="8"/>
        <v>0</v>
      </c>
      <c r="K49" s="54"/>
    </row>
    <row r="50" spans="2:11">
      <c r="B50" s="104" t="s">
        <v>90</v>
      </c>
      <c r="C50" s="105"/>
      <c r="D50" s="106"/>
      <c r="E50" s="122"/>
      <c r="F50" s="130"/>
      <c r="G50" s="123" t="e">
        <f>SUM(G45:G49)</f>
        <v>#REF!</v>
      </c>
      <c r="H50" s="107"/>
      <c r="I50" s="123">
        <f>SUM(I45:I49)</f>
        <v>209.98049999999998</v>
      </c>
      <c r="J50" s="123" t="e">
        <f>SUM(J45:J49)</f>
        <v>#REF!</v>
      </c>
      <c r="K50" s="54"/>
    </row>
    <row r="51" spans="2:11">
      <c r="B51" s="125" t="s">
        <v>91</v>
      </c>
      <c r="C51" s="126"/>
      <c r="D51" s="126"/>
      <c r="E51" s="131"/>
      <c r="F51" s="132"/>
      <c r="G51" s="133" t="e">
        <f>Salariale!V41+Patronale!#REF!</f>
        <v>#REF!</v>
      </c>
      <c r="H51" s="149">
        <f>Salariale!V41</f>
        <v>244.11199999999999</v>
      </c>
      <c r="I51" s="101">
        <f>H51</f>
        <v>244.11199999999999</v>
      </c>
      <c r="J51" s="101" t="e">
        <f>G51-I51</f>
        <v>#REF!</v>
      </c>
      <c r="K51" s="54"/>
    </row>
    <row r="52" spans="2:11">
      <c r="B52" s="128" t="s">
        <v>92</v>
      </c>
      <c r="C52" s="119"/>
      <c r="D52" s="119"/>
      <c r="E52" s="120" t="e">
        <f>E21</f>
        <v>#REF!</v>
      </c>
      <c r="F52" s="121" t="e">
        <f>Salariale!M40+Patronale!#REF!</f>
        <v>#REF!</v>
      </c>
      <c r="G52" s="134" t="e">
        <f>E52*F52</f>
        <v>#REF!</v>
      </c>
      <c r="H52" s="121">
        <v>4.7999999999999996E-3</v>
      </c>
      <c r="I52" s="98" t="e">
        <f t="shared" ref="I52" si="11">E52*H52</f>
        <v>#REF!</v>
      </c>
      <c r="J52" s="98" t="e">
        <f t="shared" si="8"/>
        <v>#REF!</v>
      </c>
      <c r="K52" s="54"/>
    </row>
    <row r="53" spans="2:11">
      <c r="B53" s="85"/>
      <c r="C53" s="72"/>
      <c r="D53" s="72"/>
      <c r="E53" s="73"/>
      <c r="F53" s="72"/>
      <c r="G53" s="73"/>
      <c r="H53" s="109"/>
      <c r="I53" s="135" t="e">
        <f>SUM(I51:I52)</f>
        <v>#REF!</v>
      </c>
      <c r="J53" s="135" t="e">
        <f>SUM(J51:J52)</f>
        <v>#REF!</v>
      </c>
      <c r="K53" s="54"/>
    </row>
    <row r="54" spans="2:11">
      <c r="B54" s="182" t="s">
        <v>93</v>
      </c>
      <c r="C54" s="177"/>
      <c r="D54" s="178"/>
      <c r="E54" s="179"/>
      <c r="F54" s="177"/>
      <c r="G54" s="180" t="e">
        <f>G50+G43+G33+G51+G52</f>
        <v>#REF!</v>
      </c>
      <c r="H54" s="181"/>
      <c r="I54" s="180" t="e">
        <f>I53+I50+I43+I33</f>
        <v>#REF!</v>
      </c>
      <c r="J54" s="180" t="e">
        <f>J53+J50+J43+J33</f>
        <v>#REF!</v>
      </c>
      <c r="K54" s="54"/>
    </row>
    <row r="55" spans="2:11">
      <c r="B55" s="172"/>
      <c r="C55" s="172"/>
      <c r="D55" s="173"/>
      <c r="E55" s="174"/>
      <c r="F55" s="172"/>
      <c r="G55" s="175"/>
      <c r="H55" s="175"/>
      <c r="I55" s="176" t="s">
        <v>99</v>
      </c>
      <c r="J55" s="176" t="s">
        <v>100</v>
      </c>
      <c r="K55" s="54"/>
    </row>
    <row r="56" spans="2:11">
      <c r="B56" s="168"/>
      <c r="C56" s="168"/>
      <c r="D56" s="169"/>
      <c r="E56" s="170"/>
      <c r="F56" s="168"/>
      <c r="G56" s="171"/>
      <c r="H56" s="171"/>
      <c r="I56" s="171"/>
      <c r="J56" s="171"/>
      <c r="K56" s="54"/>
    </row>
    <row r="57" spans="2:11">
      <c r="B57" s="499" t="s">
        <v>102</v>
      </c>
      <c r="C57" s="500"/>
      <c r="D57" s="500"/>
      <c r="E57" s="500"/>
      <c r="F57" s="500"/>
      <c r="G57" s="500"/>
      <c r="H57" s="501"/>
      <c r="I57" s="497" t="e">
        <f>I54+J54</f>
        <v>#REF!</v>
      </c>
      <c r="J57" s="498"/>
      <c r="K57" s="54"/>
    </row>
    <row r="58" spans="2:11"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2:11">
      <c r="B59" s="54"/>
      <c r="C59" s="54"/>
      <c r="D59" s="54"/>
      <c r="E59" s="54"/>
      <c r="F59" s="54"/>
      <c r="G59" s="54"/>
      <c r="H59" s="54"/>
      <c r="I59" s="54"/>
      <c r="J59" s="54"/>
      <c r="K59" s="54"/>
    </row>
  </sheetData>
  <mergeCells count="15">
    <mergeCell ref="Q3:T3"/>
    <mergeCell ref="Q2:T2"/>
    <mergeCell ref="S4:T4"/>
    <mergeCell ref="Q4:R4"/>
    <mergeCell ref="C3:I3"/>
    <mergeCell ref="B9:J9"/>
    <mergeCell ref="B35:J35"/>
    <mergeCell ref="F7:G7"/>
    <mergeCell ref="H7:I7"/>
    <mergeCell ref="I57:J57"/>
    <mergeCell ref="B57:H57"/>
    <mergeCell ref="B6:C7"/>
    <mergeCell ref="E6:E7"/>
    <mergeCell ref="B36:C36"/>
    <mergeCell ref="B44:C4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11C2F-9CDA-4C85-986C-C146F77313D1}">
  <sheetPr codeName="Feuil15">
    <tabColor theme="5" tint="-0.249977111117893"/>
    <pageSetUpPr fitToPage="1"/>
  </sheetPr>
  <dimension ref="B2:O91"/>
  <sheetViews>
    <sheetView showGridLines="0" zoomScaleNormal="100" workbookViewId="0">
      <selection activeCell="D70" sqref="D70"/>
    </sheetView>
  </sheetViews>
  <sheetFormatPr baseColWidth="10" defaultRowHeight="15"/>
  <cols>
    <col min="2" max="2" width="6.140625" customWidth="1"/>
    <col min="3" max="3" width="14.7109375" customWidth="1"/>
    <col min="4" max="4" width="15.7109375" customWidth="1"/>
    <col min="7" max="7" width="7.5703125" customWidth="1"/>
    <col min="8" max="8" width="7.28515625" customWidth="1"/>
    <col min="9" max="10" width="9" customWidth="1"/>
    <col min="11" max="11" width="12" customWidth="1"/>
    <col min="12" max="12" width="10.140625" customWidth="1"/>
    <col min="13" max="15" width="9" customWidth="1"/>
  </cols>
  <sheetData>
    <row r="2" spans="2:15" ht="18.75">
      <c r="B2" s="359" t="str">
        <f>'Base employés'!$B$32</f>
        <v>Guilbaud</v>
      </c>
      <c r="J2" s="339" t="s">
        <v>320</v>
      </c>
    </row>
    <row r="3" spans="2:15">
      <c r="B3" s="3">
        <f>'Base employés'!$B$33</f>
        <v>0</v>
      </c>
      <c r="C3" s="3"/>
      <c r="D3" s="3"/>
      <c r="E3" s="3"/>
      <c r="F3" s="3"/>
      <c r="G3" s="3"/>
      <c r="H3" s="3"/>
      <c r="J3" s="356" t="s">
        <v>321</v>
      </c>
      <c r="K3" s="453" t="str">
        <f>Sélection!$E$2</f>
        <v>Juin</v>
      </c>
      <c r="L3" s="357">
        <f ca="1">YEAR(TODAY())</f>
        <v>2022</v>
      </c>
    </row>
    <row r="4" spans="2:15">
      <c r="B4" s="3">
        <f>'Base employés'!$B$34</f>
        <v>0</v>
      </c>
      <c r="C4" s="3"/>
      <c r="D4" s="3"/>
      <c r="E4" s="3"/>
      <c r="F4" s="3"/>
      <c r="G4" s="3"/>
      <c r="H4" s="3"/>
    </row>
    <row r="5" spans="2:15">
      <c r="B5" s="3"/>
      <c r="C5" s="3"/>
      <c r="D5" s="3"/>
      <c r="E5" s="3"/>
      <c r="F5" s="3"/>
      <c r="G5" s="3"/>
      <c r="H5" s="3"/>
    </row>
    <row r="6" spans="2:15">
      <c r="B6" s="3" t="s">
        <v>317</v>
      </c>
      <c r="C6" s="471">
        <f>'Base employés'!$B$36</f>
        <v>0</v>
      </c>
      <c r="D6" s="472" t="s">
        <v>318</v>
      </c>
      <c r="E6" s="473">
        <f>'Base employés'!$B$37</f>
        <v>0</v>
      </c>
      <c r="F6" s="3"/>
      <c r="G6" s="3"/>
      <c r="H6" s="3"/>
      <c r="I6" s="256"/>
      <c r="J6" s="256"/>
      <c r="K6" s="256"/>
      <c r="L6" s="256"/>
      <c r="M6" s="256"/>
      <c r="N6" s="256"/>
    </row>
    <row r="7" spans="2:15">
      <c r="B7" s="3"/>
      <c r="C7" s="3"/>
      <c r="D7" s="3"/>
      <c r="E7" s="3"/>
      <c r="F7" s="3"/>
      <c r="G7" s="3"/>
      <c r="H7" s="3"/>
      <c r="I7" s="358" t="str">
        <f>CONCATENATE(Sélection!$C$2," ",Sélection!$C$3)</f>
        <v>B. Pascal</v>
      </c>
      <c r="J7" s="256"/>
      <c r="K7" s="256"/>
      <c r="L7" s="256"/>
      <c r="M7" s="256"/>
      <c r="N7" s="256"/>
    </row>
    <row r="8" spans="2:15">
      <c r="B8" s="3"/>
      <c r="C8" s="472" t="s">
        <v>319</v>
      </c>
      <c r="D8" s="471">
        <f>HLOOKUP(Sélection!$C$2,'Base employés'!$B$3:$AF$18,11,FALSE)</f>
        <v>0</v>
      </c>
      <c r="E8" s="3"/>
      <c r="F8" s="3"/>
      <c r="G8" s="3"/>
      <c r="H8" s="3"/>
      <c r="I8" s="358">
        <f>HLOOKUP(Sélection!$C$2,'Base employés'!$B$3:$AF$18,9,FALSE)</f>
        <v>0</v>
      </c>
      <c r="J8" s="256"/>
      <c r="K8" s="256"/>
      <c r="L8" s="256"/>
      <c r="M8" s="256"/>
      <c r="N8" s="256"/>
    </row>
    <row r="9" spans="2:15">
      <c r="B9" s="3"/>
      <c r="C9" s="472" t="s">
        <v>315</v>
      </c>
      <c r="D9" s="342" t="str">
        <f>HLOOKUP(Sélection!$C$2,'Base employés'!$B$3:$AF$18,6,FALSE)</f>
        <v>CDI</v>
      </c>
      <c r="E9" s="3"/>
      <c r="F9" s="3"/>
      <c r="G9" s="3"/>
      <c r="H9" s="3"/>
      <c r="I9" s="358">
        <f>HLOOKUP(Sélection!$C$2,'Base employés'!$B$3:$AF$18,10,FALSE)</f>
        <v>0</v>
      </c>
      <c r="J9" s="256"/>
      <c r="K9" s="256"/>
      <c r="L9" s="256"/>
      <c r="M9" s="256"/>
      <c r="N9" s="256"/>
    </row>
    <row r="10" spans="2:15">
      <c r="B10" s="3"/>
      <c r="C10" s="472"/>
      <c r="D10" s="342"/>
      <c r="E10" s="3"/>
      <c r="F10" s="3"/>
      <c r="G10" s="3"/>
      <c r="H10" s="3"/>
      <c r="I10" s="358"/>
      <c r="J10" s="256"/>
      <c r="K10" s="256"/>
      <c r="L10" s="256"/>
      <c r="M10" s="256"/>
      <c r="N10" s="256"/>
    </row>
    <row r="11" spans="2:15">
      <c r="B11" s="3"/>
      <c r="C11" s="472" t="s">
        <v>316</v>
      </c>
      <c r="D11" s="342" t="str">
        <f>HLOOKUP(Sélection!$C$2,'Base employés'!$B$3:$AF$18,7,FALSE)</f>
        <v>Responsable d'affaire</v>
      </c>
      <c r="E11" s="3"/>
      <c r="F11" s="3"/>
      <c r="G11" s="3"/>
      <c r="H11" s="3"/>
    </row>
    <row r="12" spans="2:15">
      <c r="B12" s="3"/>
      <c r="C12" s="472" t="s">
        <v>334</v>
      </c>
      <c r="D12" s="474">
        <f>HLOOKUP(Sélection!$C$2,'Base employés'!$B$3:$AF$18,4,FALSE)</f>
        <v>39622</v>
      </c>
      <c r="E12" s="472" t="s">
        <v>358</v>
      </c>
      <c r="F12" s="473">
        <f>'Informations paye_entreprise'!$D$2</f>
        <v>3428</v>
      </c>
      <c r="G12" s="3"/>
      <c r="H12" s="3"/>
    </row>
    <row r="13" spans="2:15">
      <c r="B13" s="3"/>
      <c r="C13" s="3"/>
      <c r="D13" s="3"/>
      <c r="E13" s="3"/>
      <c r="F13" s="3"/>
      <c r="G13" s="3"/>
      <c r="H13" s="3"/>
    </row>
    <row r="14" spans="2:15">
      <c r="B14" s="3"/>
      <c r="C14" s="3"/>
      <c r="D14" s="3"/>
      <c r="E14" s="3"/>
      <c r="F14" s="3"/>
      <c r="G14" s="3"/>
      <c r="H14" s="3"/>
    </row>
    <row r="15" spans="2:15">
      <c r="B15" s="515" t="s">
        <v>326</v>
      </c>
      <c r="C15" s="516"/>
      <c r="D15" s="516"/>
      <c r="E15" s="516"/>
      <c r="F15" s="516"/>
      <c r="G15" s="516"/>
      <c r="H15" s="517"/>
      <c r="I15" s="340" t="s">
        <v>183</v>
      </c>
      <c r="J15" s="340" t="s">
        <v>21</v>
      </c>
      <c r="K15" s="340" t="s">
        <v>323</v>
      </c>
      <c r="L15" s="340" t="s">
        <v>324</v>
      </c>
      <c r="M15" s="514" t="s">
        <v>325</v>
      </c>
      <c r="N15" s="514"/>
      <c r="O15" s="514"/>
    </row>
    <row r="16" spans="2:15">
      <c r="B16" s="2"/>
      <c r="C16" s="3" t="s">
        <v>158</v>
      </c>
      <c r="D16" s="3"/>
      <c r="E16" s="3"/>
      <c r="F16" s="3"/>
      <c r="G16" s="3"/>
      <c r="H16" s="254"/>
      <c r="I16" s="475">
        <v>151.66999999999999</v>
      </c>
      <c r="J16" s="352">
        <f>HLOOKUP(Sélection!$C$2,'Base employés'!$B$3:$BF$18,12,FALSE)/BS!$I$16</f>
        <v>13.212237093690248</v>
      </c>
      <c r="L16" s="352">
        <f>IF(AND(I16&lt;&gt;"",J16&lt;&gt;""),I16*J16,"")</f>
        <v>2003.8999999999999</v>
      </c>
      <c r="M16" s="1"/>
      <c r="N16" s="233"/>
      <c r="O16" s="253"/>
    </row>
    <row r="17" spans="2:15">
      <c r="B17" s="2"/>
      <c r="C17" s="3" t="s">
        <v>184</v>
      </c>
      <c r="D17" s="3"/>
      <c r="E17" s="3"/>
      <c r="F17" s="3"/>
      <c r="G17" s="3"/>
      <c r="H17" s="254"/>
      <c r="I17" s="354">
        <f>'Heures supplémentaires'!$D$9</f>
        <v>8</v>
      </c>
      <c r="J17" s="353">
        <f ca="1">'Heures supplémentaires'!$D$19</f>
        <v>21.633431133381684</v>
      </c>
      <c r="L17" s="353">
        <f ca="1">IF(AND(I17&lt;&gt;"",J17&lt;&gt;""),I17*J17,0)</f>
        <v>173.06744906705347</v>
      </c>
      <c r="M17" s="2"/>
      <c r="N17" s="3"/>
      <c r="O17" s="254"/>
    </row>
    <row r="18" spans="2:15">
      <c r="B18" s="2"/>
      <c r="C18" s="3" t="s">
        <v>328</v>
      </c>
      <c r="D18" s="3"/>
      <c r="E18" s="3"/>
      <c r="F18" s="3"/>
      <c r="G18" s="3"/>
      <c r="H18" s="254"/>
      <c r="I18" s="354">
        <f>'Heures supplémentaires'!$E$9</f>
        <v>0</v>
      </c>
      <c r="J18" s="353">
        <f ca="1">'Heures supplémentaires'!$D$20</f>
        <v>25.960117360058021</v>
      </c>
      <c r="L18" s="353">
        <f ca="1">IF(AND(I18&lt;&gt;"",J18&lt;&gt;""),I18*J18,0)</f>
        <v>0</v>
      </c>
      <c r="M18" s="2"/>
      <c r="N18" s="3"/>
      <c r="O18" s="254"/>
    </row>
    <row r="19" spans="2:15">
      <c r="B19" s="2"/>
      <c r="C19" s="346" t="s">
        <v>304</v>
      </c>
      <c r="D19" s="3"/>
      <c r="E19" s="3"/>
      <c r="F19" s="3"/>
      <c r="G19" s="3"/>
      <c r="H19" s="254"/>
      <c r="I19" s="354" t="str">
        <f>IF(Sélection!$E$6="Oui",'Tableau absence'!$F$7,"")</f>
        <v/>
      </c>
      <c r="J19" s="353" t="str">
        <f>IFERROR(L19/I19,"")</f>
        <v/>
      </c>
      <c r="L19" s="44"/>
      <c r="M19" s="2"/>
      <c r="N19" s="3"/>
      <c r="O19" s="254"/>
    </row>
    <row r="20" spans="2:15">
      <c r="B20" s="2"/>
      <c r="C20" s="346" t="s">
        <v>373</v>
      </c>
      <c r="D20" s="3"/>
      <c r="E20" s="3"/>
      <c r="F20" s="3"/>
      <c r="G20" s="3"/>
      <c r="H20" s="254"/>
      <c r="I20" s="354">
        <f>IF(Sélection!$E$10="Oui",'Calcul ICCP_ICP'!$J$8,"")</f>
        <v>5</v>
      </c>
      <c r="J20" s="353">
        <f t="shared" ref="J20:J22" si="0">IFERROR(L20/I20,"")</f>
        <v>-67.811999999999998</v>
      </c>
      <c r="L20" s="353">
        <v>-339.06</v>
      </c>
      <c r="M20" s="2"/>
      <c r="N20" s="3"/>
      <c r="O20" s="254"/>
    </row>
    <row r="21" spans="2:15">
      <c r="B21" s="2"/>
      <c r="C21" s="346" t="s">
        <v>374</v>
      </c>
      <c r="D21" s="3"/>
      <c r="E21" s="3"/>
      <c r="F21" s="3"/>
      <c r="G21" s="3"/>
      <c r="H21" s="254"/>
      <c r="I21" s="354">
        <f>IF(Sélection!$E$10="Oui",'Calcul ICCP_ICP'!$J$8,"")</f>
        <v>5</v>
      </c>
      <c r="J21" s="353">
        <f t="shared" ca="1" si="0"/>
        <v>88.905999999999992</v>
      </c>
      <c r="L21" s="353">
        <f ca="1">IF(AND(Sélection!$E$10="Oui",'Calcul ICCP_ICP'!$M$54&gt;'Calcul ICCP_ICP'!$F$60),'Calcul ICCP_ICP'!$M$54,IF(AND(Sélection!$E$10="Oui",'Calcul ICCP_ICP'!$F$60&gt;'Calcul ICCP_ICP'!$M$54),'Calcul ICCP_ICP'!$F$60,""))</f>
        <v>444.53</v>
      </c>
      <c r="M21" s="2"/>
      <c r="N21" s="3"/>
      <c r="O21" s="254"/>
    </row>
    <row r="22" spans="2:15">
      <c r="B22" s="2"/>
      <c r="C22" s="346" t="s">
        <v>375</v>
      </c>
      <c r="D22" s="3"/>
      <c r="E22" s="3"/>
      <c r="F22" s="3"/>
      <c r="G22" s="3"/>
      <c r="H22" s="254"/>
      <c r="I22" s="354" t="str">
        <f>IF(Sélection!$E$8="Oui",'Calcul ICCP_ICP'!$H$10,"")</f>
        <v/>
      </c>
      <c r="J22" s="353" t="str">
        <f t="shared" ca="1" si="0"/>
        <v/>
      </c>
      <c r="L22" s="353" t="str">
        <f ca="1">IF(AND('Calcul ICCP_ICP'!$M$36&gt;'Calcul ICCP_ICP'!$F$42,Sélection!$E$8="Oui"),'Calcul ICCP_ICP'!$M$36,IF(AND('Calcul ICCP_ICP'!$M$42&gt;'Calcul ICCP_ICP'!$M$36,Sélection!$E$8="Oui"),'Calcul ICCP_ICP'!$F$42,""))</f>
        <v/>
      </c>
      <c r="M22" s="2"/>
      <c r="N22" s="3"/>
      <c r="O22" s="254"/>
    </row>
    <row r="23" spans="2:15">
      <c r="B23" s="2"/>
      <c r="C23" s="346" t="s">
        <v>329</v>
      </c>
      <c r="D23" s="3"/>
      <c r="E23" s="3"/>
      <c r="F23" s="3"/>
      <c r="G23" s="3"/>
      <c r="H23" s="254"/>
      <c r="I23" s="354"/>
      <c r="J23" s="353"/>
      <c r="L23" s="353">
        <f ca="1">IF('Calcul ICCP_ICP'!$G$22&gt;0,'Calcul ICCP_ICP'!$G$22,0)</f>
        <v>0</v>
      </c>
      <c r="M23" s="2"/>
      <c r="N23" s="3"/>
      <c r="O23" s="254"/>
    </row>
    <row r="24" spans="2:15">
      <c r="B24" s="2"/>
      <c r="C24" s="346" t="s">
        <v>333</v>
      </c>
      <c r="D24" s="3"/>
      <c r="E24" s="3"/>
      <c r="F24" s="3"/>
      <c r="G24" s="3"/>
      <c r="H24" s="254"/>
      <c r="I24" s="354"/>
      <c r="J24" s="353"/>
      <c r="L24" s="353">
        <f>HLOOKUP(Sélection!$C$2,'Base employés'!$B$3:$BF$18,14,FALSE)+IF(K3="janvier",HLOOKUP(Sélection!$C$2,'Base employés'!$B$3:$BF$18,15,FALSE),0)</f>
        <v>100</v>
      </c>
      <c r="M24" s="2"/>
      <c r="N24" s="3"/>
      <c r="O24" s="254"/>
    </row>
    <row r="25" spans="2:15">
      <c r="B25" s="2"/>
      <c r="C25" s="3"/>
      <c r="D25" s="3"/>
      <c r="E25" s="3"/>
      <c r="F25" s="3"/>
      <c r="G25" s="3"/>
      <c r="H25" s="254"/>
      <c r="I25" s="354"/>
      <c r="J25" s="353"/>
      <c r="L25" s="353">
        <f>IF(AND(I25&lt;&gt;"",J25&lt;&gt;""),I25*J25,0)</f>
        <v>0</v>
      </c>
      <c r="M25" s="2"/>
      <c r="N25" s="3"/>
      <c r="O25" s="254"/>
    </row>
    <row r="26" spans="2:15">
      <c r="B26" s="2"/>
      <c r="C26" s="3"/>
      <c r="D26" s="3"/>
      <c r="E26" s="3"/>
      <c r="F26" s="3"/>
      <c r="G26" s="3"/>
      <c r="H26" s="254"/>
      <c r="I26" s="354"/>
      <c r="J26" s="353"/>
      <c r="L26" s="353">
        <f>IF(AND(I26&lt;&gt;"",J26&lt;&gt;""),I26*J26,0)</f>
        <v>0</v>
      </c>
      <c r="M26" s="2"/>
      <c r="N26" s="3"/>
      <c r="O26" s="254"/>
    </row>
    <row r="27" spans="2:15" ht="15.75" thickBot="1">
      <c r="B27" s="363"/>
      <c r="C27" s="364" t="s">
        <v>185</v>
      </c>
      <c r="D27" s="290"/>
      <c r="E27" s="290"/>
      <c r="F27" s="290"/>
      <c r="G27" s="290"/>
      <c r="H27" s="365"/>
      <c r="I27" s="370"/>
      <c r="J27" s="367"/>
      <c r="K27" s="367">
        <f t="shared" ref="K27:K65" si="1">IF(AND(I27&lt;&gt;"",J27&lt;&gt;""),I27*J27,0)</f>
        <v>0</v>
      </c>
      <c r="L27" s="368">
        <f ca="1">SUM(L16:L26)</f>
        <v>2382.4374490670534</v>
      </c>
      <c r="M27" s="363"/>
      <c r="N27" s="290"/>
      <c r="O27" s="365"/>
    </row>
    <row r="28" spans="2:15" ht="15.75" thickTop="1">
      <c r="B28" s="2"/>
      <c r="C28" s="3"/>
      <c r="D28" s="3"/>
      <c r="E28" s="3"/>
      <c r="F28" s="3"/>
      <c r="G28" s="3"/>
      <c r="H28" s="254"/>
      <c r="I28" s="353"/>
      <c r="J28" s="341"/>
      <c r="K28" s="341">
        <f t="shared" si="1"/>
        <v>0</v>
      </c>
      <c r="L28" s="341"/>
      <c r="M28" s="2"/>
      <c r="N28" s="3"/>
      <c r="O28" s="254"/>
    </row>
    <row r="29" spans="2:15">
      <c r="B29" s="2"/>
      <c r="C29" s="342" t="s">
        <v>120</v>
      </c>
      <c r="D29" s="3"/>
      <c r="E29" s="3"/>
      <c r="F29" s="3"/>
      <c r="G29" s="3"/>
      <c r="H29" s="254"/>
      <c r="I29" s="353"/>
      <c r="J29" s="343"/>
      <c r="K29" s="353">
        <f t="shared" si="1"/>
        <v>0</v>
      </c>
      <c r="L29" s="341"/>
      <c r="M29" s="2"/>
      <c r="N29" s="344"/>
      <c r="O29" s="254"/>
    </row>
    <row r="30" spans="2:15">
      <c r="B30" s="2"/>
      <c r="C30" s="3" t="s">
        <v>121</v>
      </c>
      <c r="D30" s="3"/>
      <c r="E30" s="3"/>
      <c r="F30" s="3"/>
      <c r="G30" s="3"/>
      <c r="H30" s="254"/>
      <c r="I30" s="353"/>
      <c r="J30" s="343"/>
      <c r="K30" s="353">
        <f t="shared" si="1"/>
        <v>0</v>
      </c>
      <c r="L30" s="341"/>
      <c r="M30" s="355">
        <f ca="1">$L$27</f>
        <v>2382.4374490670534</v>
      </c>
      <c r="N30" s="344">
        <v>7.2999999999999995E-2</v>
      </c>
      <c r="O30" s="354">
        <f ca="1">IF(AND(M30&lt;&gt;"",N30&lt;&gt;""),M30*N30,0)</f>
        <v>173.9179337818949</v>
      </c>
    </row>
    <row r="31" spans="2:15">
      <c r="B31" s="2"/>
      <c r="C31" s="345" t="s">
        <v>327</v>
      </c>
      <c r="D31" s="3"/>
      <c r="E31" s="3"/>
      <c r="F31" s="3"/>
      <c r="G31" s="3"/>
      <c r="H31" s="254"/>
      <c r="I31" s="353"/>
      <c r="J31" s="343"/>
      <c r="K31" s="354">
        <f>'Base employés'!$B$30*0.5</f>
        <v>25</v>
      </c>
      <c r="L31" s="341"/>
      <c r="M31" s="355"/>
      <c r="N31" s="344"/>
      <c r="O31" s="354">
        <f>'Base employés'!$B$30*0.5</f>
        <v>25</v>
      </c>
    </row>
    <row r="32" spans="2:15">
      <c r="B32" s="2"/>
      <c r="C32" s="3" t="s">
        <v>64</v>
      </c>
      <c r="D32" s="3"/>
      <c r="E32" s="3"/>
      <c r="F32" s="3"/>
      <c r="G32" s="3"/>
      <c r="H32" s="254"/>
      <c r="I32" s="353"/>
      <c r="J32" s="343"/>
      <c r="K32" s="353">
        <f t="shared" si="1"/>
        <v>0</v>
      </c>
      <c r="L32" s="341"/>
      <c r="M32" s="355">
        <f t="shared" ref="M32:M60" ca="1" si="2">$L$27</f>
        <v>2382.4374490670534</v>
      </c>
      <c r="N32" s="344">
        <v>5.2499999999999998E-2</v>
      </c>
      <c r="O32" s="354">
        <f t="shared" ref="O32:O65" ca="1" si="3">IF(AND(M32&lt;&gt;"",N32&lt;&gt;""),M32*N32,0)</f>
        <v>125.0779660760203</v>
      </c>
    </row>
    <row r="33" spans="2:15">
      <c r="B33" s="2"/>
      <c r="C33" s="3" t="s">
        <v>397</v>
      </c>
      <c r="D33" s="3"/>
      <c r="E33" s="3"/>
      <c r="F33" s="3"/>
      <c r="G33" s="3"/>
      <c r="H33" s="254"/>
      <c r="I33" s="353">
        <f ca="1">IF($L$27&gt;$F$12,$F$12,$L$27)</f>
        <v>2382.4374490670534</v>
      </c>
      <c r="J33" s="343">
        <v>6.9000000000000006E-2</v>
      </c>
      <c r="K33" s="353">
        <f t="shared" ca="1" si="1"/>
        <v>164.38818398562671</v>
      </c>
      <c r="L33" s="341"/>
      <c r="M33" s="355">
        <f ca="1">IF($L$27&gt;$F$12,$F$12,$L$27)</f>
        <v>2382.4374490670534</v>
      </c>
      <c r="N33" s="344">
        <v>8.5500000000000007E-2</v>
      </c>
      <c r="O33" s="354">
        <f t="shared" ca="1" si="3"/>
        <v>203.69840189523308</v>
      </c>
    </row>
    <row r="34" spans="2:15">
      <c r="B34" s="2"/>
      <c r="C34" s="3" t="s">
        <v>398</v>
      </c>
      <c r="D34" s="3"/>
      <c r="E34" s="3"/>
      <c r="F34" s="3"/>
      <c r="G34" s="3"/>
      <c r="H34" s="254"/>
      <c r="I34" s="353">
        <f ca="1">IF($L$27&gt;$F$12,$L$27-$F$12,0)</f>
        <v>0</v>
      </c>
      <c r="J34" s="343">
        <v>4.0000000000000001E-3</v>
      </c>
      <c r="K34" s="353">
        <f t="shared" ca="1" si="1"/>
        <v>0</v>
      </c>
      <c r="L34" s="341"/>
      <c r="M34" s="355">
        <f ca="1">IF($L$27&gt;$F$12,$L$27-$F$12,0)</f>
        <v>0</v>
      </c>
      <c r="N34" s="344">
        <v>1.9E-2</v>
      </c>
      <c r="O34" s="354">
        <f t="shared" ca="1" si="3"/>
        <v>0</v>
      </c>
    </row>
    <row r="35" spans="2:15">
      <c r="B35" s="2"/>
      <c r="C35" s="3" t="s">
        <v>110</v>
      </c>
      <c r="D35" s="3"/>
      <c r="E35" s="3"/>
      <c r="F35" s="3"/>
      <c r="G35" s="3"/>
      <c r="H35" s="254"/>
      <c r="I35" s="353"/>
      <c r="J35" s="343"/>
      <c r="K35" s="353"/>
      <c r="L35" s="341"/>
      <c r="M35" s="355">
        <f t="shared" ca="1" si="2"/>
        <v>2382.4374490670534</v>
      </c>
      <c r="N35" s="344">
        <v>8.9999999999999993E-3</v>
      </c>
      <c r="O35" s="354">
        <f t="shared" ca="1" si="3"/>
        <v>21.441937041603481</v>
      </c>
    </row>
    <row r="36" spans="2:15">
      <c r="B36" s="2"/>
      <c r="C36" s="342" t="s">
        <v>124</v>
      </c>
      <c r="D36" s="3"/>
      <c r="E36" s="3"/>
      <c r="F36" s="3"/>
      <c r="G36" s="3"/>
      <c r="H36" s="254"/>
      <c r="I36" s="353"/>
      <c r="J36" s="343"/>
      <c r="K36" s="353">
        <f t="shared" si="1"/>
        <v>0</v>
      </c>
      <c r="L36" s="341"/>
      <c r="M36" s="355"/>
      <c r="N36" s="344"/>
      <c r="O36" s="354">
        <f t="shared" si="3"/>
        <v>0</v>
      </c>
    </row>
    <row r="37" spans="2:15">
      <c r="B37" s="2"/>
      <c r="C37" s="3" t="s">
        <v>125</v>
      </c>
      <c r="D37" s="3"/>
      <c r="E37" s="3"/>
      <c r="F37" s="3"/>
      <c r="G37" s="3"/>
      <c r="H37" s="254"/>
      <c r="I37" s="353"/>
      <c r="J37" s="343"/>
      <c r="K37" s="353">
        <f t="shared" si="1"/>
        <v>0</v>
      </c>
      <c r="L37" s="341"/>
      <c r="M37" s="355">
        <f ca="1">IF('Base employés'!$A$4&lt;50,$L$27,0)</f>
        <v>2382.4374490670534</v>
      </c>
      <c r="N37" s="344">
        <v>1E-3</v>
      </c>
      <c r="O37" s="354">
        <f t="shared" ca="1" si="3"/>
        <v>2.3824374490670537</v>
      </c>
    </row>
    <row r="38" spans="2:15">
      <c r="B38" s="2"/>
      <c r="C38" s="3" t="s">
        <v>126</v>
      </c>
      <c r="D38" s="3"/>
      <c r="E38" s="3"/>
      <c r="F38" s="3"/>
      <c r="G38" s="3"/>
      <c r="H38" s="254"/>
      <c r="I38" s="353"/>
      <c r="J38" s="343"/>
      <c r="K38" s="353">
        <f t="shared" si="1"/>
        <v>0</v>
      </c>
      <c r="L38" s="341"/>
      <c r="M38" s="355">
        <f>IF('Base employés'!$A$4&gt;50,$L$27,0)</f>
        <v>0</v>
      </c>
      <c r="N38" s="344">
        <v>5.0000000000000001E-3</v>
      </c>
      <c r="O38" s="354">
        <f t="shared" si="3"/>
        <v>0</v>
      </c>
    </row>
    <row r="39" spans="2:15">
      <c r="B39" s="2"/>
      <c r="C39" s="342" t="s">
        <v>127</v>
      </c>
      <c r="D39" s="3"/>
      <c r="E39" s="3"/>
      <c r="F39" s="3"/>
      <c r="G39" s="3"/>
      <c r="H39" s="254"/>
      <c r="I39" s="353"/>
      <c r="J39" s="343"/>
      <c r="K39" s="353">
        <f t="shared" si="1"/>
        <v>0</v>
      </c>
      <c r="L39" s="341"/>
      <c r="M39" s="355"/>
      <c r="N39" s="344"/>
      <c r="O39" s="354">
        <f t="shared" si="3"/>
        <v>0</v>
      </c>
    </row>
    <row r="40" spans="2:15">
      <c r="B40" s="2"/>
      <c r="C40" s="3" t="s">
        <v>128</v>
      </c>
      <c r="D40" s="3"/>
      <c r="E40" s="3"/>
      <c r="F40" s="3"/>
      <c r="G40" s="3"/>
      <c r="H40" s="254"/>
      <c r="I40" s="353"/>
      <c r="J40" s="343"/>
      <c r="K40" s="353">
        <f>IF(AND(I40&lt;&gt;"",J40&lt;&gt;""),I40*J40,0)</f>
        <v>0</v>
      </c>
      <c r="L40" s="341"/>
      <c r="M40" s="355">
        <f t="shared" ca="1" si="2"/>
        <v>2382.4374490670534</v>
      </c>
      <c r="N40" s="344">
        <v>4.0500000000000001E-2</v>
      </c>
      <c r="O40" s="354">
        <f t="shared" ca="1" si="3"/>
        <v>96.488716687215671</v>
      </c>
    </row>
    <row r="41" spans="2:15">
      <c r="B41" s="2"/>
      <c r="C41" s="3" t="s">
        <v>112</v>
      </c>
      <c r="D41" s="3"/>
      <c r="E41" s="3"/>
      <c r="F41" s="3"/>
      <c r="G41" s="3"/>
      <c r="H41" s="254"/>
      <c r="I41" s="353"/>
      <c r="J41" s="343"/>
      <c r="K41" s="353">
        <f t="shared" si="1"/>
        <v>0</v>
      </c>
      <c r="L41" s="341"/>
      <c r="M41" s="355">
        <f t="shared" ca="1" si="2"/>
        <v>2382.4374490670534</v>
      </c>
      <c r="N41" s="344">
        <v>1.5E-3</v>
      </c>
      <c r="O41" s="354">
        <f t="shared" ca="1" si="3"/>
        <v>3.5736561736005803</v>
      </c>
    </row>
    <row r="42" spans="2:15">
      <c r="B42" s="2"/>
      <c r="C42" s="3" t="s">
        <v>362</v>
      </c>
      <c r="D42" s="3"/>
      <c r="E42" s="3"/>
      <c r="F42" s="3"/>
      <c r="G42" s="3"/>
      <c r="H42" s="254"/>
      <c r="I42" s="353">
        <f>IF(HLOOKUP(Sélection!$C$2,'Base employés'!$B$3:$BF$22,20,FALSE)="Cadre",BS!$L$27,0)</f>
        <v>0</v>
      </c>
      <c r="J42" s="343">
        <v>2.4000000000000001E-4</v>
      </c>
      <c r="K42" s="353">
        <f t="shared" si="1"/>
        <v>0</v>
      </c>
      <c r="L42" s="341"/>
      <c r="M42" s="355">
        <f>IF(HLOOKUP(Sélection!$C$2,'Base employés'!$B$3:$BF$22,20,FALSE)="Cadre",BS!$L$27,0)</f>
        <v>0</v>
      </c>
      <c r="N42" s="344">
        <v>3.6000000000000002E-4</v>
      </c>
      <c r="O42" s="354">
        <f t="shared" si="3"/>
        <v>0</v>
      </c>
    </row>
    <row r="43" spans="2:15">
      <c r="B43" s="2"/>
      <c r="C43" s="342" t="s">
        <v>330</v>
      </c>
      <c r="D43" s="3"/>
      <c r="E43" s="3"/>
      <c r="F43" s="3"/>
      <c r="G43" s="3"/>
      <c r="H43" s="254"/>
      <c r="I43" s="353"/>
      <c r="J43" s="343"/>
      <c r="K43" s="353">
        <f t="shared" si="1"/>
        <v>0</v>
      </c>
      <c r="L43" s="341"/>
      <c r="M43" s="355"/>
      <c r="N43" s="344"/>
      <c r="O43" s="354">
        <f t="shared" si="3"/>
        <v>0</v>
      </c>
    </row>
    <row r="44" spans="2:15">
      <c r="B44" s="2"/>
      <c r="C44" s="3" t="s">
        <v>114</v>
      </c>
      <c r="D44" s="3"/>
      <c r="E44" s="3"/>
      <c r="F44" s="3"/>
      <c r="G44" s="3"/>
      <c r="H44" s="254"/>
      <c r="I44" s="353">
        <f ca="1">IF($L$27&gt;$F$12,$F$12,$L$27)</f>
        <v>2382.4374490670534</v>
      </c>
      <c r="J44" s="343">
        <v>3.15E-2</v>
      </c>
      <c r="K44" s="353">
        <f t="shared" ca="1" si="1"/>
        <v>75.04677964561219</v>
      </c>
      <c r="L44" s="341"/>
      <c r="M44" s="355">
        <f ca="1">IF($L$27&gt;$F$12,$F$12,$L$27)</f>
        <v>2382.4374490670534</v>
      </c>
      <c r="N44" s="344">
        <v>7.7200000000000005E-2</v>
      </c>
      <c r="O44" s="354">
        <f t="shared" ca="1" si="3"/>
        <v>183.92417106797654</v>
      </c>
    </row>
    <row r="45" spans="2:15">
      <c r="B45" s="2"/>
      <c r="C45" s="3" t="s">
        <v>115</v>
      </c>
      <c r="D45" s="3"/>
      <c r="E45" s="3"/>
      <c r="F45" s="3"/>
      <c r="G45" s="3"/>
      <c r="H45" s="254"/>
      <c r="I45" s="353">
        <f ca="1">IF($L$27&gt;$F$12,$L$27-$F$12,0)</f>
        <v>0</v>
      </c>
      <c r="J45" s="343">
        <v>8.6400000000000005E-2</v>
      </c>
      <c r="K45" s="353">
        <f t="shared" ca="1" si="1"/>
        <v>0</v>
      </c>
      <c r="L45" s="341"/>
      <c r="M45" s="355">
        <f ca="1">IF($L$27&gt;$F$12,$L$27-$F$12,0)</f>
        <v>0</v>
      </c>
      <c r="N45" s="344">
        <v>0.1295</v>
      </c>
      <c r="O45" s="354">
        <f t="shared" ca="1" si="3"/>
        <v>0</v>
      </c>
    </row>
    <row r="46" spans="2:15">
      <c r="B46" s="2"/>
      <c r="C46" s="3" t="s">
        <v>130</v>
      </c>
      <c r="D46" s="3"/>
      <c r="E46" s="3"/>
      <c r="F46" s="3"/>
      <c r="G46" s="3"/>
      <c r="H46" s="254"/>
      <c r="I46" s="353">
        <f ca="1">IF($L$27&gt;$F$12,$F$12,$L$27)</f>
        <v>2382.4374490670534</v>
      </c>
      <c r="J46" s="343">
        <v>8.6E-3</v>
      </c>
      <c r="K46" s="353">
        <f t="shared" ca="1" si="1"/>
        <v>20.488962061976661</v>
      </c>
      <c r="L46" s="341"/>
      <c r="M46" s="355">
        <f ca="1">IF($L$27&gt;$F$12,$F$12,$L$27)</f>
        <v>2382.4374490670534</v>
      </c>
      <c r="N46" s="344">
        <v>1.29E-2</v>
      </c>
      <c r="O46" s="354">
        <f t="shared" ca="1" si="3"/>
        <v>30.73344309296499</v>
      </c>
    </row>
    <row r="47" spans="2:15">
      <c r="B47" s="2"/>
      <c r="C47" s="3" t="s">
        <v>131</v>
      </c>
      <c r="D47" s="3"/>
      <c r="E47" s="3"/>
      <c r="F47" s="3"/>
      <c r="G47" s="3"/>
      <c r="H47" s="254"/>
      <c r="I47" s="353">
        <f ca="1">IF($L$27&gt;$F$12,$L$27-$F$12,0)</f>
        <v>0</v>
      </c>
      <c r="J47" s="343">
        <v>1.6199999999999999E-2</v>
      </c>
      <c r="K47" s="353">
        <f t="shared" ca="1" si="1"/>
        <v>0</v>
      </c>
      <c r="L47" s="341"/>
      <c r="M47" s="355">
        <f ca="1">IF($L$27&gt;$F$12,$L$27-$F$12,0)</f>
        <v>0</v>
      </c>
      <c r="N47" s="344">
        <v>1.0800000000000001E-2</v>
      </c>
      <c r="O47" s="354">
        <f t="shared" ca="1" si="3"/>
        <v>0</v>
      </c>
    </row>
    <row r="48" spans="2:15">
      <c r="B48" s="2"/>
      <c r="C48" s="3" t="s">
        <v>132</v>
      </c>
      <c r="D48" s="3"/>
      <c r="E48" s="3"/>
      <c r="F48" s="3"/>
      <c r="G48" s="3"/>
      <c r="H48" s="254"/>
      <c r="I48" s="353">
        <f ca="1">IF($L$27&gt;$F$12,$L$27,0)</f>
        <v>0</v>
      </c>
      <c r="J48" s="343">
        <v>1.4E-3</v>
      </c>
      <c r="K48" s="353">
        <f t="shared" ca="1" si="1"/>
        <v>0</v>
      </c>
      <c r="L48" s="341"/>
      <c r="M48" s="355">
        <f ca="1">IF($L$27&gt;$F$12,$L$27,0)</f>
        <v>0</v>
      </c>
      <c r="N48" s="344">
        <v>2.0999999999999999E-3</v>
      </c>
      <c r="O48" s="354">
        <f t="shared" ca="1" si="3"/>
        <v>0</v>
      </c>
    </row>
    <row r="49" spans="2:15">
      <c r="B49" s="2"/>
      <c r="C49" s="346" t="s">
        <v>331</v>
      </c>
      <c r="D49" s="3"/>
      <c r="E49" s="3"/>
      <c r="F49" s="3"/>
      <c r="G49" s="3"/>
      <c r="H49" s="254"/>
      <c r="I49" s="353"/>
      <c r="J49" s="343"/>
      <c r="K49" s="353">
        <f t="shared" si="1"/>
        <v>0</v>
      </c>
      <c r="L49" s="341"/>
      <c r="M49" s="355"/>
      <c r="N49" s="344"/>
      <c r="O49" s="354">
        <f t="shared" si="3"/>
        <v>0</v>
      </c>
    </row>
    <row r="50" spans="2:15">
      <c r="B50" s="2"/>
      <c r="C50" s="342" t="s">
        <v>133</v>
      </c>
      <c r="D50" s="3"/>
      <c r="E50" s="3"/>
      <c r="F50" s="3"/>
      <c r="G50" s="3"/>
      <c r="H50" s="254"/>
      <c r="I50" s="353"/>
      <c r="J50" s="343"/>
      <c r="K50" s="353">
        <f t="shared" si="1"/>
        <v>0</v>
      </c>
      <c r="L50" s="341"/>
      <c r="M50" s="355"/>
      <c r="N50" s="344"/>
      <c r="O50" s="354">
        <f t="shared" si="3"/>
        <v>0</v>
      </c>
    </row>
    <row r="51" spans="2:15">
      <c r="B51" s="2"/>
      <c r="C51" s="3" t="s">
        <v>116</v>
      </c>
      <c r="D51" s="3"/>
      <c r="E51" s="3"/>
      <c r="F51" s="3"/>
      <c r="G51" s="3"/>
      <c r="H51" s="254"/>
      <c r="I51" s="353"/>
      <c r="J51" s="343"/>
      <c r="K51" s="353">
        <f t="shared" si="1"/>
        <v>0</v>
      </c>
      <c r="L51" s="341"/>
      <c r="M51" s="355">
        <f t="shared" ca="1" si="2"/>
        <v>2382.4374490670534</v>
      </c>
      <c r="N51" s="344">
        <v>1.4999999999999999E-2</v>
      </c>
      <c r="O51" s="354">
        <f t="shared" ca="1" si="3"/>
        <v>35.736561736005797</v>
      </c>
    </row>
    <row r="52" spans="2:15">
      <c r="B52" s="2"/>
      <c r="C52" s="342" t="s">
        <v>134</v>
      </c>
      <c r="D52" s="3"/>
      <c r="E52" s="3"/>
      <c r="F52" s="3"/>
      <c r="G52" s="3"/>
      <c r="H52" s="254"/>
      <c r="I52" s="353"/>
      <c r="J52" s="343"/>
      <c r="K52" s="353">
        <f t="shared" si="1"/>
        <v>0</v>
      </c>
      <c r="L52" s="341"/>
      <c r="M52" s="355"/>
      <c r="N52" s="344"/>
      <c r="O52" s="354">
        <f t="shared" si="3"/>
        <v>0</v>
      </c>
    </row>
    <row r="53" spans="2:15">
      <c r="B53" s="2"/>
      <c r="C53" s="3" t="s">
        <v>135</v>
      </c>
      <c r="D53" s="3"/>
      <c r="E53" s="3"/>
      <c r="F53" s="3"/>
      <c r="G53" s="3"/>
      <c r="H53" s="254"/>
      <c r="I53" s="353"/>
      <c r="J53" s="343"/>
      <c r="K53" s="353">
        <f t="shared" si="1"/>
        <v>0</v>
      </c>
      <c r="L53" s="341"/>
      <c r="M53" s="355">
        <f t="shared" ca="1" si="2"/>
        <v>2382.4374490670534</v>
      </c>
      <c r="N53" s="344">
        <v>0.08</v>
      </c>
      <c r="O53" s="354">
        <f t="shared" ca="1" si="3"/>
        <v>190.59499592536429</v>
      </c>
    </row>
    <row r="54" spans="2:15">
      <c r="B54" s="2"/>
      <c r="C54" s="3" t="s">
        <v>136</v>
      </c>
      <c r="D54" s="3"/>
      <c r="E54" s="3"/>
      <c r="F54" s="3"/>
      <c r="G54" s="3"/>
      <c r="H54" s="254"/>
      <c r="I54" s="353"/>
      <c r="J54" s="343"/>
      <c r="K54" s="353">
        <f t="shared" si="1"/>
        <v>0</v>
      </c>
      <c r="L54" s="341"/>
      <c r="M54" s="355">
        <f>IF('Base employés'!$A$4&gt;11,$L$27,0)</f>
        <v>0</v>
      </c>
      <c r="N54" s="344"/>
      <c r="O54" s="354">
        <f t="shared" si="3"/>
        <v>0</v>
      </c>
    </row>
    <row r="55" spans="2:15">
      <c r="B55" s="2"/>
      <c r="C55" s="3" t="s">
        <v>117</v>
      </c>
      <c r="D55" s="3"/>
      <c r="E55" s="3"/>
      <c r="F55" s="3"/>
      <c r="G55" s="3"/>
      <c r="H55" s="254"/>
      <c r="I55" s="353"/>
      <c r="J55" s="343"/>
      <c r="K55" s="353">
        <f t="shared" si="1"/>
        <v>0</v>
      </c>
      <c r="L55" s="341"/>
      <c r="M55" s="355">
        <f t="shared" ca="1" si="2"/>
        <v>2382.4374490670534</v>
      </c>
      <c r="N55" s="344">
        <v>1.6000000000000001E-4</v>
      </c>
      <c r="O55" s="354">
        <f t="shared" ca="1" si="3"/>
        <v>0.3811899918507286</v>
      </c>
    </row>
    <row r="56" spans="2:15">
      <c r="B56" s="2"/>
      <c r="C56" s="342" t="s">
        <v>137</v>
      </c>
      <c r="D56" s="3"/>
      <c r="E56" s="3"/>
      <c r="F56" s="3"/>
      <c r="G56" s="3"/>
      <c r="H56" s="254"/>
      <c r="I56" s="353"/>
      <c r="J56" s="343"/>
      <c r="K56" s="353">
        <f t="shared" si="1"/>
        <v>0</v>
      </c>
      <c r="L56" s="341"/>
      <c r="M56" s="355"/>
      <c r="N56" s="344"/>
      <c r="O56" s="354">
        <f t="shared" si="3"/>
        <v>0</v>
      </c>
    </row>
    <row r="57" spans="2:15">
      <c r="B57" s="2"/>
      <c r="C57" s="3" t="s">
        <v>138</v>
      </c>
      <c r="D57" s="3"/>
      <c r="E57" s="3"/>
      <c r="F57" s="3"/>
      <c r="G57" s="3"/>
      <c r="H57" s="254"/>
      <c r="I57" s="353"/>
      <c r="J57" s="343"/>
      <c r="K57" s="353">
        <f t="shared" si="1"/>
        <v>0</v>
      </c>
      <c r="L57" s="341"/>
      <c r="M57" s="355">
        <f t="shared" ca="1" si="2"/>
        <v>2382.4374490670534</v>
      </c>
      <c r="N57" s="344">
        <v>6.7999999999999996E-3</v>
      </c>
      <c r="O57" s="354">
        <f t="shared" ca="1" si="3"/>
        <v>16.200574653655963</v>
      </c>
    </row>
    <row r="58" spans="2:15">
      <c r="B58" s="2"/>
      <c r="C58" s="3" t="s">
        <v>139</v>
      </c>
      <c r="D58" s="3"/>
      <c r="E58" s="3"/>
      <c r="F58" s="3"/>
      <c r="G58" s="3"/>
      <c r="H58" s="254"/>
      <c r="I58" s="353"/>
      <c r="J58" s="343"/>
      <c r="K58" s="353">
        <f t="shared" si="1"/>
        <v>0</v>
      </c>
      <c r="L58" s="341"/>
      <c r="M58" s="355">
        <f ca="1">IF('Base employés'!$A$4&lt;11,$L$27,0)</f>
        <v>2382.4374490670534</v>
      </c>
      <c r="N58" s="344">
        <v>5.4999999999999997E-3</v>
      </c>
      <c r="O58" s="354">
        <f t="shared" ca="1" si="3"/>
        <v>13.103405969868794</v>
      </c>
    </row>
    <row r="59" spans="2:15">
      <c r="B59" s="2"/>
      <c r="C59" s="3" t="s">
        <v>140</v>
      </c>
      <c r="D59" s="3"/>
      <c r="E59" s="3"/>
      <c r="F59" s="3"/>
      <c r="G59" s="3"/>
      <c r="H59" s="254"/>
      <c r="I59" s="353"/>
      <c r="J59" s="343"/>
      <c r="K59" s="353">
        <f t="shared" si="1"/>
        <v>0</v>
      </c>
      <c r="L59" s="341"/>
      <c r="M59" s="355">
        <f>IF('Base employés'!$A$4&gt;11,$L$27,0)</f>
        <v>0</v>
      </c>
      <c r="N59" s="344">
        <v>0.01</v>
      </c>
      <c r="O59" s="354">
        <f t="shared" si="3"/>
        <v>0</v>
      </c>
    </row>
    <row r="60" spans="2:15">
      <c r="B60" s="2"/>
      <c r="C60" s="3" t="s">
        <v>141</v>
      </c>
      <c r="D60" s="3"/>
      <c r="E60" s="3"/>
      <c r="F60" s="3"/>
      <c r="G60" s="3"/>
      <c r="H60" s="254"/>
      <c r="I60" s="353"/>
      <c r="J60" s="343"/>
      <c r="K60" s="353">
        <f t="shared" si="1"/>
        <v>0</v>
      </c>
      <c r="L60" s="341"/>
      <c r="M60" s="355">
        <f t="shared" ca="1" si="2"/>
        <v>2382.4374490670534</v>
      </c>
      <c r="N60" s="344">
        <v>0.01</v>
      </c>
      <c r="O60" s="354">
        <f t="shared" ca="1" si="3"/>
        <v>23.824374490670536</v>
      </c>
    </row>
    <row r="61" spans="2:15">
      <c r="B61" s="2"/>
      <c r="C61" s="3" t="s">
        <v>142</v>
      </c>
      <c r="D61" s="3"/>
      <c r="E61" s="3"/>
      <c r="F61" s="3"/>
      <c r="G61" s="3"/>
      <c r="H61" s="254"/>
      <c r="I61" s="353"/>
      <c r="J61" s="343"/>
      <c r="K61" s="353">
        <f t="shared" si="1"/>
        <v>0</v>
      </c>
      <c r="L61" s="341"/>
      <c r="M61" s="355">
        <f>IF('Base employés'!$A$4&gt;50,$L$27,0)</f>
        <v>0</v>
      </c>
      <c r="N61" s="344">
        <v>4.4999999999999997E-3</v>
      </c>
      <c r="O61" s="354">
        <f t="shared" si="3"/>
        <v>0</v>
      </c>
    </row>
    <row r="62" spans="2:15">
      <c r="B62" s="2"/>
      <c r="C62" s="3" t="s">
        <v>118</v>
      </c>
      <c r="D62" s="3"/>
      <c r="E62" s="3"/>
      <c r="F62" s="3"/>
      <c r="G62" s="3"/>
      <c r="H62" s="254"/>
      <c r="I62" s="353"/>
      <c r="J62" s="343"/>
      <c r="K62" s="353">
        <f t="shared" si="1"/>
        <v>0</v>
      </c>
      <c r="L62" s="341"/>
      <c r="M62" s="355"/>
      <c r="N62" s="344"/>
      <c r="O62" s="354">
        <f t="shared" si="3"/>
        <v>0</v>
      </c>
    </row>
    <row r="63" spans="2:15">
      <c r="B63" s="2"/>
      <c r="C63" s="3" t="s">
        <v>107</v>
      </c>
      <c r="D63" s="3"/>
      <c r="E63" s="3"/>
      <c r="F63" s="3"/>
      <c r="G63" s="3"/>
      <c r="H63" s="254"/>
      <c r="I63" s="353">
        <f ca="1">($L$27*0.9825)+$O$51+$O$49+$O$31</f>
        <v>2401.4813554443863</v>
      </c>
      <c r="J63" s="343">
        <v>2.4E-2</v>
      </c>
      <c r="K63" s="353">
        <f ca="1">IF(AND(I63&lt;&gt;"",J63&lt;&gt;""),I63*J63,0)</f>
        <v>57.635552530665272</v>
      </c>
      <c r="L63" s="341"/>
      <c r="M63" s="355"/>
      <c r="N63" s="3"/>
      <c r="O63" s="354">
        <f t="shared" si="3"/>
        <v>0</v>
      </c>
    </row>
    <row r="64" spans="2:15">
      <c r="B64" s="2"/>
      <c r="C64" s="3" t="s">
        <v>108</v>
      </c>
      <c r="D64" s="3"/>
      <c r="E64" s="3"/>
      <c r="F64" s="3"/>
      <c r="G64" s="3"/>
      <c r="H64" s="254"/>
      <c r="I64" s="353">
        <f ca="1">($L$27*0.9825)+$O$51+$O$49+$O$31</f>
        <v>2401.4813554443863</v>
      </c>
      <c r="J64" s="343">
        <v>6.8000000000000005E-2</v>
      </c>
      <c r="K64" s="353">
        <f t="shared" ca="1" si="1"/>
        <v>163.30073217021828</v>
      </c>
      <c r="L64" s="341"/>
      <c r="M64" s="355"/>
      <c r="N64" s="3"/>
      <c r="O64" s="354">
        <f t="shared" si="3"/>
        <v>0</v>
      </c>
    </row>
    <row r="65" spans="2:15">
      <c r="B65" s="2"/>
      <c r="C65" s="3" t="s">
        <v>109</v>
      </c>
      <c r="D65" s="3"/>
      <c r="E65" s="3"/>
      <c r="F65" s="3"/>
      <c r="G65" s="3"/>
      <c r="H65" s="254"/>
      <c r="I65" s="353">
        <f ca="1">$L$27</f>
        <v>2382.4374490670534</v>
      </c>
      <c r="J65" s="343">
        <v>5.0000000000000001E-3</v>
      </c>
      <c r="K65" s="353">
        <f t="shared" ca="1" si="1"/>
        <v>11.912187245335268</v>
      </c>
      <c r="L65" s="341"/>
      <c r="M65" s="355"/>
      <c r="N65" s="3"/>
      <c r="O65" s="354">
        <f t="shared" si="3"/>
        <v>0</v>
      </c>
    </row>
    <row r="66" spans="2:15">
      <c r="B66" s="2"/>
      <c r="C66" s="3"/>
      <c r="D66" s="3"/>
      <c r="E66" s="3"/>
      <c r="F66" s="3"/>
      <c r="G66" s="3"/>
      <c r="H66" s="254"/>
      <c r="I66" s="353"/>
      <c r="J66" s="341"/>
      <c r="K66" s="353"/>
      <c r="L66" s="341"/>
      <c r="M66" s="355"/>
      <c r="N66" s="3"/>
      <c r="O66" s="354"/>
    </row>
    <row r="67" spans="2:15">
      <c r="B67" s="2"/>
      <c r="C67" s="3"/>
      <c r="D67" s="3"/>
      <c r="E67" s="3"/>
      <c r="F67" s="3"/>
      <c r="G67" s="3"/>
      <c r="H67" s="254"/>
      <c r="I67" s="353"/>
      <c r="J67" s="341"/>
      <c r="K67" s="353"/>
      <c r="L67" s="341"/>
      <c r="M67" s="355"/>
      <c r="N67" s="3"/>
      <c r="O67" s="354"/>
    </row>
    <row r="68" spans="2:15">
      <c r="B68" s="2"/>
      <c r="C68" s="342" t="s">
        <v>335</v>
      </c>
      <c r="D68" s="3"/>
      <c r="E68" s="3"/>
      <c r="F68" s="3"/>
      <c r="G68" s="3"/>
      <c r="H68" s="254"/>
      <c r="I68" s="353"/>
      <c r="J68" s="341"/>
      <c r="K68" s="360">
        <f ca="1">SUM(K30:K67)</f>
        <v>517.77239763943442</v>
      </c>
      <c r="L68" s="341"/>
      <c r="M68" s="355"/>
      <c r="N68" s="3"/>
      <c r="O68" s="361">
        <f ca="1">SUM(O30:O67)</f>
        <v>1146.0797660329927</v>
      </c>
    </row>
    <row r="69" spans="2:15">
      <c r="B69" s="2"/>
      <c r="C69" s="3"/>
      <c r="D69" s="3"/>
      <c r="E69" s="3"/>
      <c r="F69" s="3"/>
      <c r="G69" s="3"/>
      <c r="H69" s="254"/>
      <c r="I69" s="353"/>
      <c r="J69" s="341"/>
      <c r="K69" s="353"/>
      <c r="L69" s="341"/>
      <c r="M69" s="355"/>
      <c r="N69" s="3"/>
      <c r="O69" s="354"/>
    </row>
    <row r="70" spans="2:15" ht="15.75" thickBot="1">
      <c r="B70" s="363"/>
      <c r="C70" s="364" t="s">
        <v>186</v>
      </c>
      <c r="D70" s="290"/>
      <c r="E70" s="290"/>
      <c r="F70" s="290"/>
      <c r="G70" s="290"/>
      <c r="H70" s="365"/>
      <c r="I70" s="366"/>
      <c r="J70" s="367"/>
      <c r="K70" s="366"/>
      <c r="L70" s="368">
        <f ca="1">$L$27-$K$68</f>
        <v>1864.6650514276189</v>
      </c>
      <c r="M70" s="369"/>
      <c r="N70" s="290"/>
      <c r="O70" s="370"/>
    </row>
    <row r="71" spans="2:15" ht="15.75" thickTop="1">
      <c r="B71" s="2"/>
      <c r="C71" s="3"/>
      <c r="D71" s="3"/>
      <c r="E71" s="3"/>
      <c r="F71" s="3"/>
      <c r="G71" s="3"/>
      <c r="H71" s="254"/>
      <c r="I71" s="353"/>
      <c r="J71" s="341"/>
      <c r="K71" s="353"/>
      <c r="L71" s="341"/>
      <c r="M71" s="355"/>
      <c r="N71" s="3"/>
      <c r="O71" s="354"/>
    </row>
    <row r="72" spans="2:15">
      <c r="B72" s="2"/>
      <c r="C72" s="3" t="s">
        <v>187</v>
      </c>
      <c r="D72" s="3"/>
      <c r="E72" s="3"/>
      <c r="F72" s="3"/>
      <c r="G72" s="3"/>
      <c r="H72" s="254"/>
      <c r="I72" s="353"/>
      <c r="J72" s="341"/>
      <c r="K72" s="353"/>
      <c r="L72" s="341"/>
      <c r="M72" s="355"/>
      <c r="N72" s="3"/>
      <c r="O72" s="354"/>
    </row>
    <row r="73" spans="2:15" hidden="1">
      <c r="B73" s="2"/>
      <c r="C73" s="3" t="s">
        <v>188</v>
      </c>
      <c r="D73" s="3"/>
      <c r="E73" s="3"/>
      <c r="F73" s="3"/>
      <c r="G73" s="3"/>
      <c r="H73" s="254"/>
      <c r="I73" s="353"/>
      <c r="J73" s="341"/>
      <c r="K73" s="353"/>
      <c r="L73" s="341"/>
      <c r="M73" s="355"/>
      <c r="N73" s="3"/>
      <c r="O73" s="354"/>
    </row>
    <row r="74" spans="2:15" hidden="1">
      <c r="B74" s="2"/>
      <c r="C74" s="3" t="s">
        <v>189</v>
      </c>
      <c r="D74" s="3"/>
      <c r="E74" s="3"/>
      <c r="F74" s="3"/>
      <c r="G74" s="3"/>
      <c r="H74" s="254"/>
      <c r="I74" s="353"/>
      <c r="J74" s="341"/>
      <c r="K74" s="353"/>
      <c r="L74" s="341"/>
      <c r="M74" s="355"/>
      <c r="N74" s="3"/>
      <c r="O74" s="354"/>
    </row>
    <row r="75" spans="2:15">
      <c r="B75" s="2"/>
      <c r="C75" s="3" t="s">
        <v>190</v>
      </c>
      <c r="D75" s="3"/>
      <c r="E75" s="3"/>
      <c r="F75" s="3"/>
      <c r="G75" s="3"/>
      <c r="H75" s="254"/>
      <c r="I75" s="353">
        <f>'Tableau absence'!N3-'Tableau absence'!H7-'Tableau absence'!H14</f>
        <v>16</v>
      </c>
      <c r="J75" s="341">
        <v>3.68</v>
      </c>
      <c r="K75" s="353">
        <f>IF(I75&gt;0,J75*I75,"")</f>
        <v>58.88</v>
      </c>
      <c r="L75" s="341"/>
      <c r="M75" s="355">
        <f>IF(I75=0,0,I75)</f>
        <v>16</v>
      </c>
      <c r="N75" s="3">
        <f>9.2*0.6</f>
        <v>5.52</v>
      </c>
      <c r="O75" s="354">
        <f>IF(M75&gt;0,N75*M75,"")</f>
        <v>88.32</v>
      </c>
    </row>
    <row r="76" spans="2:15">
      <c r="B76" s="2"/>
      <c r="C76" s="3" t="s">
        <v>18</v>
      </c>
      <c r="D76" s="3"/>
      <c r="E76" s="3"/>
      <c r="F76" s="3"/>
      <c r="G76" s="3"/>
      <c r="H76" s="254"/>
      <c r="I76" s="353"/>
      <c r="J76" s="341"/>
      <c r="K76" s="353"/>
      <c r="L76" s="341"/>
      <c r="M76" s="355"/>
      <c r="N76" s="3"/>
      <c r="O76" s="354"/>
    </row>
    <row r="77" spans="2:15">
      <c r="B77" s="2"/>
      <c r="C77" s="3"/>
      <c r="D77" s="3"/>
      <c r="E77" s="3"/>
      <c r="F77" s="3"/>
      <c r="G77" s="3"/>
      <c r="H77" s="254"/>
      <c r="I77" s="353"/>
      <c r="J77" s="341"/>
      <c r="K77" s="353"/>
      <c r="L77" s="341"/>
      <c r="M77" s="355"/>
      <c r="N77" s="3"/>
      <c r="O77" s="354"/>
    </row>
    <row r="78" spans="2:15">
      <c r="B78" s="2"/>
      <c r="C78" s="342" t="s">
        <v>192</v>
      </c>
      <c r="D78" s="3"/>
      <c r="E78" s="3"/>
      <c r="F78" s="3"/>
      <c r="G78" s="3"/>
      <c r="H78" s="254"/>
      <c r="I78" s="353"/>
      <c r="J78" s="341"/>
      <c r="K78" s="353"/>
      <c r="L78" s="341"/>
      <c r="M78" s="355"/>
      <c r="N78" s="3"/>
      <c r="O78" s="354"/>
    </row>
    <row r="79" spans="2:15">
      <c r="B79" s="2"/>
      <c r="C79" s="3"/>
      <c r="D79" s="3"/>
      <c r="E79" s="3"/>
      <c r="F79" s="3"/>
      <c r="G79" s="3"/>
      <c r="H79" s="254"/>
      <c r="I79" s="353"/>
      <c r="J79" s="341"/>
      <c r="K79" s="353"/>
      <c r="L79" s="341"/>
      <c r="M79" s="355"/>
      <c r="N79" s="3"/>
      <c r="O79" s="354"/>
    </row>
    <row r="80" spans="2:15" ht="16.5" thickBot="1">
      <c r="B80" s="363"/>
      <c r="C80" s="371" t="s">
        <v>322</v>
      </c>
      <c r="D80" s="372"/>
      <c r="E80" s="372"/>
      <c r="F80" s="372"/>
      <c r="G80" s="372"/>
      <c r="H80" s="373"/>
      <c r="I80" s="374"/>
      <c r="J80" s="375"/>
      <c r="K80" s="374"/>
      <c r="L80" s="376">
        <f ca="1">$L$70-SUM($K$72:$K$76)</f>
        <v>1805.7850514276188</v>
      </c>
      <c r="M80" s="369"/>
      <c r="N80" s="290"/>
      <c r="O80" s="470">
        <f>SUM(O72:O79)</f>
        <v>88.32</v>
      </c>
    </row>
    <row r="81" spans="2:15" ht="15.75" thickTop="1">
      <c r="B81" s="2"/>
      <c r="C81" s="3"/>
      <c r="D81" s="3"/>
      <c r="E81" s="3"/>
      <c r="F81" s="3"/>
      <c r="G81" s="3"/>
      <c r="H81" s="254"/>
      <c r="I81" s="353"/>
      <c r="J81" s="341"/>
      <c r="K81" s="353"/>
      <c r="L81" s="341"/>
      <c r="M81" s="355"/>
      <c r="N81" s="3"/>
      <c r="O81" s="354"/>
    </row>
    <row r="82" spans="2:15">
      <c r="B82" s="2"/>
      <c r="C82" s="3" t="s">
        <v>193</v>
      </c>
      <c r="D82" s="3"/>
      <c r="E82" s="3"/>
      <c r="F82" s="3"/>
      <c r="G82" s="3"/>
      <c r="H82" s="254"/>
      <c r="I82" s="353"/>
      <c r="J82" s="353"/>
      <c r="K82" s="353">
        <f ca="1">PAS!F14</f>
        <v>28.263951069152295</v>
      </c>
      <c r="L82" s="341"/>
      <c r="M82" s="355"/>
      <c r="N82" s="3"/>
      <c r="O82" s="354"/>
    </row>
    <row r="83" spans="2:15">
      <c r="B83" s="2"/>
      <c r="C83" s="3" t="s">
        <v>191</v>
      </c>
      <c r="D83" s="3"/>
      <c r="E83" s="3"/>
      <c r="F83" s="3"/>
      <c r="G83" s="3"/>
      <c r="H83" s="254"/>
      <c r="I83" s="353"/>
      <c r="J83" s="341"/>
      <c r="K83" s="49">
        <f>IF(AND(Sélection!$F$9="Dernier mois",'Saisie sur salaire'!$E$19&gt;0),'Saisie sur salaire'!$E$19,IF(Sélection!$F$9="Mensuel",'Saisie sur salaire'!$E$18,IF(AND(Sélection!$F$9="Dernier mois",'Saisie sur salaire'!$E$19=0),'Saisie sur salaire'!$E$18,"")))</f>
        <v>0</v>
      </c>
      <c r="L83" s="341"/>
      <c r="M83" s="355"/>
      <c r="N83" s="3"/>
      <c r="O83" s="354"/>
    </row>
    <row r="84" spans="2:15">
      <c r="B84" s="2"/>
      <c r="C84" s="3"/>
      <c r="D84" s="3"/>
      <c r="E84" s="3"/>
      <c r="F84" s="3"/>
      <c r="G84" s="3"/>
      <c r="H84" s="254"/>
      <c r="I84" s="353"/>
      <c r="J84" s="341"/>
      <c r="K84" s="353"/>
      <c r="L84" s="341"/>
      <c r="M84" s="355"/>
      <c r="N84" s="3"/>
      <c r="O84" s="354"/>
    </row>
    <row r="85" spans="2:15">
      <c r="B85" s="2"/>
      <c r="C85" s="342" t="s">
        <v>388</v>
      </c>
      <c r="D85" s="3"/>
      <c r="E85" s="3"/>
      <c r="F85" s="3"/>
      <c r="G85" s="3"/>
      <c r="H85" s="254"/>
      <c r="I85" s="353"/>
      <c r="J85" s="341"/>
      <c r="K85" s="353"/>
      <c r="L85" s="360">
        <f ca="1">$L$80-$K$82-$K$83</f>
        <v>1777.5211003584666</v>
      </c>
      <c r="M85" s="355"/>
      <c r="N85" s="3"/>
      <c r="O85" s="354"/>
    </row>
    <row r="86" spans="2:15">
      <c r="B86" s="2"/>
      <c r="C86" s="3"/>
      <c r="D86" s="3"/>
      <c r="E86" s="3"/>
      <c r="F86" s="3"/>
      <c r="G86" s="3"/>
      <c r="H86" s="254"/>
      <c r="I86" s="353"/>
      <c r="J86" s="341"/>
      <c r="K86" s="353"/>
      <c r="L86" s="341"/>
      <c r="M86" s="355"/>
      <c r="N86" s="3"/>
      <c r="O86" s="354"/>
    </row>
    <row r="87" spans="2:15">
      <c r="B87" s="378"/>
      <c r="C87" s="379"/>
      <c r="D87" s="379"/>
      <c r="E87" s="379"/>
      <c r="F87" s="379"/>
      <c r="G87" s="379"/>
      <c r="H87" s="380"/>
      <c r="I87" s="381"/>
      <c r="J87" s="382"/>
      <c r="K87" s="381"/>
      <c r="L87" s="378"/>
      <c r="M87" s="383"/>
      <c r="N87" s="379"/>
      <c r="O87" s="384"/>
    </row>
    <row r="88" spans="2:15">
      <c r="B88" s="1"/>
      <c r="C88" s="233"/>
      <c r="D88" s="233"/>
      <c r="E88" s="233"/>
      <c r="F88" s="233"/>
      <c r="G88" s="233"/>
      <c r="H88" s="233"/>
      <c r="I88" s="385"/>
      <c r="J88" s="233"/>
      <c r="K88" s="385"/>
      <c r="L88" s="518" t="str">
        <f ca="1">CONCATENATE($C$85," : ",ROUND($L$85,2)," euros")</f>
        <v>NET A PAYER : 1777.52 euros</v>
      </c>
      <c r="M88" s="519"/>
      <c r="N88" s="519"/>
      <c r="O88" s="520"/>
    </row>
    <row r="89" spans="2:15">
      <c r="B89" s="2"/>
      <c r="C89" s="3"/>
      <c r="D89" s="3"/>
      <c r="E89" s="3"/>
      <c r="F89" s="3"/>
      <c r="G89" s="3"/>
      <c r="H89" s="3"/>
      <c r="I89" s="216"/>
      <c r="J89" s="3"/>
      <c r="K89" s="216"/>
      <c r="L89" s="521"/>
      <c r="M89" s="522"/>
      <c r="N89" s="522"/>
      <c r="O89" s="523"/>
    </row>
    <row r="90" spans="2:15">
      <c r="B90" s="4"/>
      <c r="C90" s="258"/>
      <c r="D90" s="258"/>
      <c r="E90" s="258"/>
      <c r="F90" s="258"/>
      <c r="G90" s="258"/>
      <c r="H90" s="258"/>
      <c r="I90" s="386"/>
      <c r="J90" s="258"/>
      <c r="K90" s="386"/>
      <c r="L90" s="524" t="s">
        <v>404</v>
      </c>
      <c r="M90" s="525"/>
      <c r="N90" s="525"/>
      <c r="O90" s="526"/>
    </row>
    <row r="91" spans="2:15">
      <c r="B91" s="377" t="s">
        <v>336</v>
      </c>
    </row>
  </sheetData>
  <mergeCells count="4">
    <mergeCell ref="M15:O15"/>
    <mergeCell ref="B15:H15"/>
    <mergeCell ref="L88:O89"/>
    <mergeCell ref="L90:O90"/>
  </mergeCells>
  <conditionalFormatting sqref="I27:O65 L16:O26 I16:J26">
    <cfRule type="cellIs" dxfId="20" priority="2" operator="equal">
      <formula>0</formula>
    </cfRule>
  </conditionalFormatting>
  <conditionalFormatting sqref="M75">
    <cfRule type="cellIs" dxfId="19" priority="1" operator="equal">
      <formula>0</formula>
    </cfRule>
  </conditionalFormatting>
  <pageMargins left="0.7" right="0.7" top="0.75" bottom="0.75" header="0.3" footer="0.3"/>
  <pageSetup paperSize="9" scale="5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BBDC736-E4E9-47CC-8694-9B8909C35D4F}">
          <x14:formula1>
            <xm:f>'Tableau absence'!$O$7:$T$7</xm:f>
          </x14:formula1>
          <xm:sqref>L20</xm:sqref>
        </x14:dataValidation>
        <x14:dataValidation type="list" allowBlank="1" showInputMessage="1" showErrorMessage="1" xr:uid="{C8F7559F-8DE1-4BB4-ABBA-3D719D505C5A}">
          <x14:formula1>
            <xm:f>'Tableau absence'!$O$14:$T$14</xm:f>
          </x14:formula1>
          <xm:sqref>L19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7E6A9C-C6B9-45EB-A4FA-FF94D71C7369}">
  <sheetPr codeName="Feuil5">
    <tabColor theme="9" tint="0.39997558519241921"/>
  </sheetPr>
  <dimension ref="A2:I32"/>
  <sheetViews>
    <sheetView showGridLines="0" tabSelected="1" zoomScale="115" zoomScaleNormal="115" workbookViewId="0">
      <selection activeCell="C14" sqref="C14"/>
    </sheetView>
  </sheetViews>
  <sheetFormatPr baseColWidth="10" defaultRowHeight="15"/>
  <cols>
    <col min="2" max="5" width="23.28515625" customWidth="1"/>
    <col min="6" max="7" width="12.5703125" customWidth="1"/>
    <col min="9" max="9" width="12.42578125" customWidth="1"/>
  </cols>
  <sheetData>
    <row r="2" spans="1:9" ht="27" customHeight="1">
      <c r="A2" s="407">
        <f>IF($E$2="Janvier",1,IF($E$2="Février",2,IF($E$2="Mars",3,IF($E$2="Avril",4,IF($E$2="Mai",5,IF($E$2="Juin",6,IF($E$2="Juillet",7,IF($E$2="Août",8,IF($E$2="Septembre",9,IF($E$2="Octobre",10,IF($E$2="Novembre",11,IF($E$2="Décembre",12,""))))))))))))</f>
        <v>6</v>
      </c>
      <c r="B2" s="529" t="s">
        <v>236</v>
      </c>
      <c r="C2" s="272" t="s">
        <v>381</v>
      </c>
      <c r="D2" s="532" t="s">
        <v>197</v>
      </c>
      <c r="E2" s="483" t="s">
        <v>229</v>
      </c>
      <c r="F2" s="418" t="s">
        <v>352</v>
      </c>
      <c r="G2" s="419">
        <f>DATE($A$3,$A$2,1)</f>
        <v>44713</v>
      </c>
    </row>
    <row r="3" spans="1:9">
      <c r="A3" s="407">
        <f>YEAR(Calendrier!$H$6)</f>
        <v>2022</v>
      </c>
      <c r="B3" s="530"/>
      <c r="C3" s="486" t="str">
        <f>HLOOKUP($C$2,'Base employés'!$B$3:$AF$21,2,FALSE)</f>
        <v>Pascal</v>
      </c>
      <c r="D3" s="532"/>
      <c r="E3" s="483"/>
      <c r="F3" s="420" t="s">
        <v>353</v>
      </c>
      <c r="G3" s="421">
        <f>EOMONTH(DATE($A$3,$A$2,1),0)</f>
        <v>44742</v>
      </c>
    </row>
    <row r="4" spans="1:9">
      <c r="A4" s="407"/>
      <c r="B4" s="531"/>
      <c r="C4" s="487"/>
      <c r="D4" s="532"/>
      <c r="E4" s="483"/>
      <c r="F4" s="624"/>
      <c r="G4" s="624"/>
    </row>
    <row r="6" spans="1:9">
      <c r="C6" s="527" t="str">
        <f>IF($E$7="Oui","&lt;-------- à remplir","")</f>
        <v>&lt;-------- à remplir</v>
      </c>
      <c r="D6" s="325" t="s">
        <v>342</v>
      </c>
      <c r="E6" s="301" t="s">
        <v>308</v>
      </c>
      <c r="F6" t="str">
        <f>IF($E$6="Oui","Du","")</f>
        <v/>
      </c>
      <c r="G6" s="265"/>
      <c r="H6" t="str">
        <f>IF($E$6="Oui","Au","")</f>
        <v/>
      </c>
      <c r="I6" s="265"/>
    </row>
    <row r="7" spans="1:9">
      <c r="C7" s="527"/>
      <c r="D7" s="325" t="s">
        <v>305</v>
      </c>
      <c r="E7" s="301" t="s">
        <v>307</v>
      </c>
    </row>
    <row r="8" spans="1:9">
      <c r="D8" s="325" t="s">
        <v>306</v>
      </c>
      <c r="E8" s="301" t="s">
        <v>308</v>
      </c>
      <c r="F8" t="str">
        <f>IF($E$8="Oui","Au","")</f>
        <v/>
      </c>
    </row>
    <row r="9" spans="1:9">
      <c r="C9" s="527" t="str">
        <f>IF(OR($E$6="Oui",$E$10="Oui"),"&lt;-------- à remplir","")</f>
        <v>&lt;-------- à remplir</v>
      </c>
      <c r="D9" s="325" t="s">
        <v>191</v>
      </c>
      <c r="E9" s="301" t="s">
        <v>308</v>
      </c>
      <c r="F9" t="s">
        <v>365</v>
      </c>
    </row>
    <row r="10" spans="1:9">
      <c r="C10" s="527"/>
      <c r="D10" s="325" t="s">
        <v>309</v>
      </c>
      <c r="E10" s="338" t="str">
        <f>IF(G10&lt;&gt;"","Oui","Non")</f>
        <v>Oui</v>
      </c>
      <c r="F10" t="str">
        <f>IF($E$10="Oui","Du","")</f>
        <v>Du</v>
      </c>
      <c r="G10" s="265">
        <f>IFERROR(IF('Tableau absence'!$C$3='Tableau absence'!$M$17,VLOOKUP('Tableau absence'!$C$2,'Tableau absence'!$L$19:$N$23,2,FALSE),IF('Tableau absence'!$C$3='Tableau absence'!$M$25,VLOOKUP('Tableau absence'!$C$2,'Tableau absence'!$L$27:$N$31,2,FALSE),IF('Tableau absence'!$C$3='Tableau absence'!$M$33,VLOOKUP('Tableau absence'!$C$2,'Tableau absence'!$L$35:$N$39,2,FALSE),""))),"")</f>
        <v>44719</v>
      </c>
      <c r="H10" t="str">
        <f>IF($E$10="Oui","Au","")</f>
        <v>Au</v>
      </c>
      <c r="I10" s="265">
        <f>IFERROR(IF('Tableau absence'!$C$3='Tableau absence'!$M$17,VLOOKUP('Tableau absence'!$C$2,'Tableau absence'!$L$19:$N$23,3,FALSE),IF('Tableau absence'!$C$3='Tableau absence'!$M$25,VLOOKUP('Tableau absence'!$C$2,'Tableau absence'!$L$27:$N$31,3,FALSE),IF('Tableau absence'!$C$3='Tableau absence'!$M$33,VLOOKUP('Tableau absence'!$C$2,'Tableau absence'!$L$35:$N$39,3,FALSE),""))),"")</f>
        <v>44723</v>
      </c>
    </row>
    <row r="11" spans="1:9">
      <c r="E11" s="336" t="s">
        <v>357</v>
      </c>
      <c r="H11" t="s">
        <v>366</v>
      </c>
      <c r="I11" t="s">
        <v>368</v>
      </c>
    </row>
    <row r="12" spans="1:9">
      <c r="C12" s="528" t="str">
        <f>IF(OR($E$10="Oui",$E$8="Oui"),"&lt;-------- à remplir","")</f>
        <v>&lt;-------- à remplir</v>
      </c>
    </row>
    <row r="13" spans="1:9">
      <c r="C13" s="528"/>
      <c r="D13" s="325" t="s">
        <v>347</v>
      </c>
      <c r="E13" s="232" t="s">
        <v>344</v>
      </c>
    </row>
    <row r="15" spans="1:9">
      <c r="C15" s="528" t="str">
        <f>IF($E$9="Oui","&lt;-------- à remplir","")</f>
        <v/>
      </c>
    </row>
    <row r="16" spans="1:9">
      <c r="C16" s="528"/>
    </row>
    <row r="17" spans="3:3">
      <c r="C17" s="441"/>
    </row>
    <row r="18" spans="3:3">
      <c r="C18" s="528"/>
    </row>
    <row r="19" spans="3:3">
      <c r="C19" s="528"/>
    </row>
    <row r="20" spans="3:3">
      <c r="C20" s="441"/>
    </row>
    <row r="21" spans="3:3" s="37" customFormat="1" ht="3" customHeight="1"/>
    <row r="23" spans="3:3">
      <c r="C23" s="528"/>
    </row>
    <row r="24" spans="3:3">
      <c r="C24" s="528"/>
    </row>
    <row r="26" spans="3:3">
      <c r="C26" s="333"/>
    </row>
    <row r="27" spans="3:3" s="37" customFormat="1" ht="3" customHeight="1"/>
    <row r="28" spans="3:3">
      <c r="C28" s="528"/>
    </row>
    <row r="29" spans="3:3">
      <c r="C29" s="528"/>
    </row>
    <row r="31" spans="3:3">
      <c r="C31" s="528"/>
    </row>
    <row r="32" spans="3:3">
      <c r="C32" s="528"/>
    </row>
  </sheetData>
  <mergeCells count="12">
    <mergeCell ref="B2:B4"/>
    <mergeCell ref="D2:D4"/>
    <mergeCell ref="E2:E4"/>
    <mergeCell ref="C3:C4"/>
    <mergeCell ref="C6:C7"/>
    <mergeCell ref="C9:C10"/>
    <mergeCell ref="C12:C13"/>
    <mergeCell ref="C15:C16"/>
    <mergeCell ref="C31:C32"/>
    <mergeCell ref="C28:C29"/>
    <mergeCell ref="C23:C24"/>
    <mergeCell ref="C18:C19"/>
  </mergeCells>
  <conditionalFormatting sqref="G6 I6">
    <cfRule type="expression" dxfId="18" priority="14">
      <formula>$E$6="Oui"</formula>
    </cfRule>
  </conditionalFormatting>
  <conditionalFormatting sqref="G10 I10">
    <cfRule type="expression" dxfId="17" priority="13">
      <formula>$E$10="Oui"</formula>
    </cfRule>
  </conditionalFormatting>
  <conditionalFormatting sqref="F6 H6">
    <cfRule type="expression" dxfId="16" priority="12">
      <formula>$E$6="Oui"</formula>
    </cfRule>
  </conditionalFormatting>
  <conditionalFormatting sqref="F10 H10">
    <cfRule type="expression" dxfId="15" priority="11">
      <formula>$E$10="Oui"</formula>
    </cfRule>
  </conditionalFormatting>
  <conditionalFormatting sqref="F8">
    <cfRule type="expression" dxfId="14" priority="10">
      <formula>$E$8="Oui"</formula>
    </cfRule>
  </conditionalFormatting>
  <conditionalFormatting sqref="G8">
    <cfRule type="expression" dxfId="13" priority="9">
      <formula>$E$8="Oui"</formula>
    </cfRule>
  </conditionalFormatting>
  <conditionalFormatting sqref="F9">
    <cfRule type="expression" dxfId="12" priority="2">
      <formula>$E$9="Non"</formula>
    </cfRule>
    <cfRule type="colorScale" priority="3">
      <colorScale>
        <cfvo type="min"/>
        <cfvo type="max"/>
        <color rgb="FFFF7128"/>
        <color rgb="FFFFEF9C"/>
      </colorScale>
    </cfRule>
    <cfRule type="expression" dxfId="11" priority="8">
      <formula>$E$9="Oui"</formula>
    </cfRule>
  </conditionalFormatting>
  <conditionalFormatting sqref="F11:I11">
    <cfRule type="expression" dxfId="10" priority="7">
      <formula>$E$10="Non"</formula>
    </cfRule>
  </conditionalFormatting>
  <conditionalFormatting sqref="E11">
    <cfRule type="expression" dxfId="9" priority="6">
      <formula>$E$10="Non"</formula>
    </cfRule>
  </conditionalFormatting>
  <conditionalFormatting sqref="G6:I6">
    <cfRule type="expression" dxfId="8" priority="5">
      <formula>$E$6="Non"</formula>
    </cfRule>
  </conditionalFormatting>
  <conditionalFormatting sqref="G10:I10">
    <cfRule type="expression" dxfId="7" priority="4">
      <formula>$E$10="Non"</formula>
    </cfRule>
  </conditionalFormatting>
  <conditionalFormatting sqref="E11 H11">
    <cfRule type="expression" dxfId="6" priority="1">
      <formula>$E$10="Oui"</formula>
    </cfRule>
  </conditionalFormatting>
  <dataValidations count="1">
    <dataValidation allowBlank="1" showDropDown="1" showInputMessage="1" showErrorMessage="1" sqref="E10" xr:uid="{150F3A9F-D19E-4B48-A8C4-1CFB0474DAA6}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E86F2354-7661-452C-8606-64ABAD3BEAF6}">
          <x14:formula1>
            <xm:f>'Informations paye_entreprise'!$A$2:$A$13</xm:f>
          </x14:formula1>
          <xm:sqref>E2</xm:sqref>
        </x14:dataValidation>
        <x14:dataValidation type="list" allowBlank="1" showInputMessage="1" showErrorMessage="1" xr:uid="{DB9B078E-56C9-4163-A3AA-B49EFD36ECC4}">
          <x14:formula1>
            <xm:f>'Informations paye_entreprise'!$C$4:$C$5</xm:f>
          </x14:formula1>
          <xm:sqref>E6:E9</xm:sqref>
        </x14:dataValidation>
        <x14:dataValidation type="list" allowBlank="1" showInputMessage="1" showErrorMessage="1" xr:uid="{8FE57AFA-6DC4-4195-983F-4E549FC24F94}">
          <x14:formula1>
            <xm:f>'Informations paye_entreprise'!$C$7:$C$11</xm:f>
          </x14:formula1>
          <xm:sqref>E13</xm:sqref>
        </x14:dataValidation>
        <x14:dataValidation type="list" allowBlank="1" showInputMessage="1" showErrorMessage="1" xr:uid="{FB276EA8-DABC-442D-B415-4673C12E4056}">
          <x14:formula1>
            <xm:f>'Informations paye_entreprise'!$C$13:$C$14</xm:f>
          </x14:formula1>
          <xm:sqref>E11</xm:sqref>
        </x14:dataValidation>
        <x14:dataValidation type="list" allowBlank="1" showInputMessage="1" showErrorMessage="1" xr:uid="{36D05267-ACEE-4209-898D-D968F6DFAF82}">
          <x14:formula1>
            <xm:f>'Informations paye_entreprise'!$E$16:$E$17</xm:f>
          </x14:formula1>
          <xm:sqref>F9</xm:sqref>
        </x14:dataValidation>
        <x14:dataValidation type="list" allowBlank="1" showInputMessage="1" showErrorMessage="1" xr:uid="{3F0EBAB1-A38B-407A-9F2C-9988A0E08203}">
          <x14:formula1>
            <xm:f>'Informations paye_entreprise'!$E$19:$E$20</xm:f>
          </x14:formula1>
          <xm:sqref>I11</xm:sqref>
        </x14:dataValidation>
        <x14:dataValidation type="list" allowBlank="1" showInputMessage="1" showErrorMessage="1" xr:uid="{AFEC5EF7-A761-4727-B400-6FC27F1A9360}">
          <x14:formula1>
            <xm:f>'Base employés'!$B$3:$BB$3</xm:f>
          </x14:formula1>
          <xm:sqref>C2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262162-60C6-41FD-BC4E-91404384D3B8}">
  <sheetPr codeName="Feuil12">
    <tabColor rgb="FF93C472"/>
  </sheetPr>
  <dimension ref="A1:P65"/>
  <sheetViews>
    <sheetView showGridLines="0" zoomScale="85" zoomScaleNormal="85" workbookViewId="0">
      <selection activeCell="G26" sqref="G26"/>
    </sheetView>
  </sheetViews>
  <sheetFormatPr baseColWidth="10" defaultRowHeight="15" outlineLevelRow="1"/>
  <cols>
    <col min="1" max="1" width="1.28515625" customWidth="1"/>
    <col min="2" max="2" width="8" customWidth="1"/>
    <col min="3" max="3" width="18.28515625" customWidth="1"/>
    <col min="5" max="5" width="12" customWidth="1"/>
    <col min="6" max="6" width="12.42578125" bestFit="1" customWidth="1"/>
  </cols>
  <sheetData>
    <row r="1" spans="1:16">
      <c r="A1" s="327" t="s">
        <v>246</v>
      </c>
      <c r="B1" s="327"/>
    </row>
    <row r="2" spans="1:16">
      <c r="A2" s="327" t="s">
        <v>314</v>
      </c>
      <c r="B2" s="327"/>
      <c r="D2" s="483" t="s">
        <v>236</v>
      </c>
      <c r="E2" s="483"/>
      <c r="F2" s="533" t="str">
        <f>CONCATENATE(Sélection!$C$2," ",Sélection!$C$3)</f>
        <v>B. Pascal</v>
      </c>
      <c r="G2" s="533"/>
    </row>
    <row r="3" spans="1:16" ht="18.75">
      <c r="I3" s="545" t="s">
        <v>195</v>
      </c>
      <c r="J3" s="545"/>
      <c r="K3" s="545"/>
      <c r="M3" s="544" t="s">
        <v>194</v>
      </c>
      <c r="N3" s="544"/>
      <c r="O3" s="544"/>
    </row>
    <row r="4" spans="1:16">
      <c r="I4" s="259" t="s">
        <v>196</v>
      </c>
      <c r="J4" s="259" t="s">
        <v>197</v>
      </c>
      <c r="K4" s="259" t="s">
        <v>198</v>
      </c>
      <c r="M4" s="257"/>
      <c r="N4" s="257"/>
      <c r="O4" s="257"/>
      <c r="P4" s="257"/>
    </row>
    <row r="5" spans="1:16">
      <c r="C5" s="300" t="s">
        <v>310</v>
      </c>
      <c r="D5" s="260" t="s">
        <v>199</v>
      </c>
      <c r="E5" s="322">
        <f>HLOOKUP(Sélection!$C$2,'Base employés'!$B$3:$AF$18,4,FALSE)</f>
        <v>39622</v>
      </c>
      <c r="F5" s="261" t="s">
        <v>200</v>
      </c>
      <c r="G5" s="322">
        <f ca="1">IF(AND($F$13="CDD",$F$15&lt;&gt;""),$F$15,DATE(YEAR(TODAY()),MONTH(TODAY()),DAY(TODAY())))</f>
        <v>44614</v>
      </c>
      <c r="H5" s="262" t="s">
        <v>201</v>
      </c>
      <c r="I5" s="232">
        <f ca="1">DATEDIF(E5,G5,"y")+IF(DATEDIF(E5,G5,"d")=364,1,0)</f>
        <v>13</v>
      </c>
      <c r="J5" s="296">
        <f ca="1">DATEDIF(E5,G5,"m")</f>
        <v>163</v>
      </c>
      <c r="K5" s="396">
        <f ca="1">DATEDIF(E5,G5,"d")+1</f>
        <v>4993</v>
      </c>
      <c r="N5" s="422"/>
      <c r="O5" t="s">
        <v>202</v>
      </c>
      <c r="P5" s="257"/>
    </row>
    <row r="6" spans="1:16" ht="15.75" thickBot="1">
      <c r="I6" s="546" t="str">
        <f ca="1">DATEDIF($E$5,$G$5,"Y")&amp;IF(DATEDIF($E$5,$G$5,"Y")&gt;1," ans, "," an, ")&amp;DATEDIF($E$5,$G$5,"YM")&amp;" mois et "&amp;DATEDIF($E$5,$G$5,"md")+1&amp;IF(DATEDIF($E$5,$G$5,"MD")&gt;1," jours"," jour")</f>
        <v>13 ans, 7 mois et 31 jours</v>
      </c>
      <c r="J6" s="546"/>
      <c r="K6" s="546"/>
    </row>
    <row r="7" spans="1:16" ht="15.75" thickTop="1">
      <c r="C7" s="300" t="s">
        <v>311</v>
      </c>
      <c r="D7" s="261" t="s">
        <v>312</v>
      </c>
      <c r="E7" s="326">
        <f>IF(Sélection!$G$10&gt;0,Sélection!$G$10,"")</f>
        <v>44719</v>
      </c>
      <c r="F7" s="261" t="s">
        <v>313</v>
      </c>
      <c r="G7" s="326">
        <f>IF(Sélection!$I$10&gt;0,Sélection!$I$10,"")</f>
        <v>44723</v>
      </c>
      <c r="I7" s="547" t="str">
        <f>IF(Sélection!$E$11="Jours ouvrés",NETWORKDAYS('Calcul ICCP_ICP'!$E$7,'Calcul ICCP_ICP'!$G$7,Calendrier!$B$3:$B$15)&amp;" jours",IF(Sélection!$E$11="Jours ouvrables",NETWORKDAYS.INTL('Calcul ICCP_ICP'!$E$7,'Calcul ICCP_ICP'!$G$7,11,Calendrier!$B$3:$B$15)&amp;" jours",0))</f>
        <v>5 jours</v>
      </c>
      <c r="J7" s="547"/>
      <c r="K7" s="547"/>
      <c r="N7" t="s">
        <v>339</v>
      </c>
    </row>
    <row r="8" spans="1:16">
      <c r="I8" s="433"/>
      <c r="J8" s="433">
        <f>IF(Sélection!$E$11="Jours ouvrés",NETWORKDAYS('Calcul ICCP_ICP'!$E$7,'Calcul ICCP_ICP'!$G$7,Calendrier!$B$3:$B$15),IF(Sélection!$E$11="Jours ouvrables",NETWORKDAYS.INTL('Calcul ICCP_ICP'!$E$7,'Calcul ICCP_ICP'!$G$7,11,Calendrier!$B$3:$B$15),0))</f>
        <v>5</v>
      </c>
      <c r="K8" s="434"/>
      <c r="N8" t="s">
        <v>340</v>
      </c>
    </row>
    <row r="9" spans="1:16">
      <c r="I9" s="334"/>
      <c r="J9" s="432"/>
    </row>
    <row r="10" spans="1:16">
      <c r="C10" s="356" t="s">
        <v>371</v>
      </c>
      <c r="D10" s="438">
        <f ca="1">IF($F$14&gt;DATE(YEAR(TODAY())-1,6,1),ROUNDUP(DATEDIF($F$14,DATE(YEAR(TODAY()),5,31),"m")*(2.5)+((2.5*(DATEDIF($F$14,EOMONTH($F$14,0),"d")/30))),0),30)</f>
        <v>30</v>
      </c>
      <c r="E10" s="210" t="s">
        <v>311</v>
      </c>
      <c r="F10" s="439">
        <f>$J$8</f>
        <v>5</v>
      </c>
      <c r="G10" s="356" t="s">
        <v>372</v>
      </c>
      <c r="H10" s="428">
        <f ca="1">$D$10-$F$10</f>
        <v>25</v>
      </c>
      <c r="I10" s="334"/>
      <c r="J10" s="334"/>
      <c r="K10" s="334"/>
    </row>
    <row r="11" spans="1:16">
      <c r="C11" s="429" t="str">
        <f>Sélection!$E$11</f>
        <v>Jours ouvrables</v>
      </c>
      <c r="I11" s="334"/>
      <c r="J11" s="334"/>
      <c r="K11" s="334"/>
    </row>
    <row r="12" spans="1:16">
      <c r="C12" s="429"/>
      <c r="I12" s="334"/>
      <c r="J12" s="334"/>
      <c r="K12" s="437"/>
    </row>
    <row r="13" spans="1:16">
      <c r="C13" s="263"/>
      <c r="D13" s="538" t="s">
        <v>203</v>
      </c>
      <c r="E13" s="538"/>
      <c r="F13" s="338" t="str">
        <f>HLOOKUP(Sélection!$C$2,'Base employés'!$B$3:$BF$21,6,FALSE)</f>
        <v>CDI</v>
      </c>
    </row>
    <row r="14" spans="1:16">
      <c r="D14" s="538" t="s">
        <v>204</v>
      </c>
      <c r="E14" s="538"/>
      <c r="F14" s="397">
        <f>$E$5</f>
        <v>39622</v>
      </c>
      <c r="G14" s="264"/>
      <c r="I14" s="265"/>
    </row>
    <row r="15" spans="1:16">
      <c r="D15" s="539" t="str">
        <f>IF(F13="cdd","Date de fin","")</f>
        <v/>
      </c>
      <c r="E15" s="539"/>
      <c r="F15" s="398" t="str">
        <f>IF(HLOOKUP(Sélection!$C$2,'Base employés'!$B$3:$BF$21,5,FALSE)&lt;&gt;"",HLOOKUP(Sélection!$C$2,'Base employés'!$B$3:$BF$21,5,FALSE),"")</f>
        <v/>
      </c>
      <c r="G15" s="264"/>
      <c r="I15" s="265"/>
    </row>
    <row r="16" spans="1:16">
      <c r="D16" s="222"/>
      <c r="E16" s="222"/>
      <c r="F16" s="222"/>
      <c r="G16" s="264"/>
    </row>
    <row r="17" spans="3:13">
      <c r="H17" s="540" t="s">
        <v>338</v>
      </c>
      <c r="I17" s="540"/>
      <c r="J17" s="540"/>
      <c r="M17" s="266"/>
    </row>
    <row r="18" spans="3:13">
      <c r="C18" s="541" t="s">
        <v>205</v>
      </c>
      <c r="D18" s="533" t="s">
        <v>206</v>
      </c>
      <c r="E18" s="533"/>
      <c r="F18" s="533"/>
      <c r="G18" s="447">
        <f>HLOOKUP(Sélection!C3,'Base employés'!B4:E22,11,FALSE)</f>
        <v>2003.8999999999999</v>
      </c>
      <c r="H18" s="440"/>
      <c r="I18" s="324"/>
      <c r="J18" s="324"/>
      <c r="K18" s="264" t="s">
        <v>301</v>
      </c>
    </row>
    <row r="19" spans="3:13">
      <c r="C19" s="541"/>
      <c r="D19" s="542"/>
      <c r="E19" s="543"/>
      <c r="F19" s="267" t="s">
        <v>207</v>
      </c>
      <c r="G19" s="423">
        <v>12</v>
      </c>
      <c r="H19" s="324"/>
      <c r="I19" s="324"/>
      <c r="J19" s="324"/>
      <c r="K19" s="264" t="s">
        <v>208</v>
      </c>
    </row>
    <row r="20" spans="3:13">
      <c r="C20" s="541"/>
      <c r="D20" s="533" t="s">
        <v>209</v>
      </c>
      <c r="E20" s="533"/>
      <c r="F20" s="533"/>
      <c r="G20" s="440">
        <f ca="1">('Heures supplémentaires'!D19*37)+('Heures supplémentaires'!D20*4)</f>
        <v>904.27742137535438</v>
      </c>
      <c r="H20" s="264" t="s">
        <v>210</v>
      </c>
    </row>
    <row r="21" spans="3:13">
      <c r="C21" s="541"/>
      <c r="D21" s="533" t="s">
        <v>211</v>
      </c>
      <c r="E21" s="533"/>
      <c r="F21" s="533"/>
      <c r="G21" s="324">
        <f ca="1">(HLOOKUP(Sélection!C3,'Base employés'!B4:E17,13,FALSE)*12)+HLOOKUP(Sélection!C3,'Base employés'!B4:E17,14,FALSE)</f>
        <v>1721.0140000000001</v>
      </c>
    </row>
    <row r="22" spans="3:13">
      <c r="C22" s="268"/>
      <c r="D22" s="533" t="s">
        <v>212</v>
      </c>
      <c r="E22" s="533"/>
      <c r="F22" s="533"/>
      <c r="G22" s="269">
        <f ca="1">ROUND(IF(AND($F$13="CDD",$G$5=$F$15),(($G$18*$G$19)+($H$18*$H$19)+($I$18*$I$19)+$G$20+$G$21)/10,0),2)</f>
        <v>0</v>
      </c>
      <c r="H22" s="2"/>
    </row>
    <row r="24" spans="3:13">
      <c r="C24" s="534" t="s">
        <v>213</v>
      </c>
      <c r="D24" s="483" t="s">
        <v>214</v>
      </c>
      <c r="E24" s="483"/>
      <c r="F24" s="483"/>
      <c r="G24" s="535">
        <f ca="1">G18+HLOOKUP(Sélection!C3,'Base employés'!B4:E22,13,FALSE)+'Heures supplémentaires'!D19*4</f>
        <v>2190.4337245335264</v>
      </c>
      <c r="H24" s="270"/>
      <c r="I24" s="270"/>
      <c r="J24" s="270"/>
    </row>
    <row r="25" spans="3:13">
      <c r="C25" s="534"/>
      <c r="D25" s="483"/>
      <c r="E25" s="483"/>
      <c r="F25" s="483"/>
      <c r="G25" s="535"/>
      <c r="H25" s="270"/>
      <c r="I25" s="270"/>
      <c r="J25" s="270"/>
    </row>
    <row r="27" spans="3:13" ht="15" customHeight="1">
      <c r="C27" s="537" t="s">
        <v>223</v>
      </c>
      <c r="D27" s="537"/>
    </row>
    <row r="28" spans="3:13" ht="15" customHeight="1">
      <c r="C28" s="537"/>
      <c r="D28" s="537"/>
    </row>
    <row r="29" spans="3:13" ht="15" customHeight="1">
      <c r="C29" s="537"/>
      <c r="D29" s="537"/>
    </row>
    <row r="31" spans="3:13" ht="18.75" hidden="1" outlineLevel="1">
      <c r="D31" s="536" t="s">
        <v>215</v>
      </c>
      <c r="E31" s="536"/>
      <c r="F31" s="536"/>
      <c r="K31" s="536" t="s">
        <v>216</v>
      </c>
      <c r="L31" s="536"/>
      <c r="M31" s="536"/>
    </row>
    <row r="32" spans="3:13" hidden="1" outlineLevel="1"/>
    <row r="33" spans="3:13" hidden="1" outlineLevel="1">
      <c r="D33" s="320" t="s">
        <v>217</v>
      </c>
      <c r="E33" s="320"/>
      <c r="F33" s="448">
        <f>$G$18</f>
        <v>2003.8999999999999</v>
      </c>
      <c r="G33" s="320"/>
      <c r="H33" s="320">
        <f>$I$18</f>
        <v>0</v>
      </c>
      <c r="I33" s="320">
        <f>$J$18</f>
        <v>0</v>
      </c>
      <c r="K33" s="550" t="s">
        <v>218</v>
      </c>
      <c r="L33" s="550"/>
      <c r="M33" s="554">
        <f ca="1">$G$24</f>
        <v>2190.4337245335264</v>
      </c>
    </row>
    <row r="34" spans="3:13" hidden="1" outlineLevel="1">
      <c r="D34" s="542"/>
      <c r="E34" s="551"/>
      <c r="F34" s="424"/>
      <c r="G34" s="424"/>
      <c r="H34" s="424"/>
      <c r="I34" s="425"/>
      <c r="K34" s="550"/>
      <c r="L34" s="550"/>
      <c r="M34" s="483"/>
    </row>
    <row r="35" spans="3:13" hidden="1" outlineLevel="1">
      <c r="D35" s="3"/>
      <c r="E35" s="321" t="s">
        <v>197</v>
      </c>
      <c r="F35" s="321">
        <v>12</v>
      </c>
      <c r="G35" s="321"/>
      <c r="H35" s="321">
        <f>$I$19</f>
        <v>0</v>
      </c>
      <c r="I35" s="321">
        <f>$J$19</f>
        <v>0</v>
      </c>
    </row>
    <row r="36" spans="3:13" ht="18.75" hidden="1" outlineLevel="1">
      <c r="E36" s="426" t="s">
        <v>44</v>
      </c>
      <c r="F36" s="449">
        <f>($F$33*$F$35)+($G$33*$G$35)+($H$33*$H$35)+($I$33*$I$35)</f>
        <v>24046.799999999999</v>
      </c>
      <c r="K36" s="555" t="s">
        <v>219</v>
      </c>
      <c r="L36" s="555"/>
      <c r="M36" s="271">
        <f ca="1">IF($C$11="Jours ouvrables",ROUND(($M$33*$H$10/26),2),IF($C$11="Jours ouvrés",ROUND(($M$33*$H$10/21.67),2),0))</f>
        <v>2106.19</v>
      </c>
    </row>
    <row r="37" spans="3:13" hidden="1" outlineLevel="1">
      <c r="D37" s="232" t="s">
        <v>220</v>
      </c>
      <c r="E37" s="232"/>
      <c r="F37" s="451">
        <f ca="1">$G$20</f>
        <v>904.27742137535438</v>
      </c>
      <c r="K37" s="553"/>
      <c r="L37" s="553"/>
      <c r="M37" s="266"/>
    </row>
    <row r="38" spans="3:13" hidden="1" outlineLevel="1">
      <c r="D38" s="232" t="s">
        <v>221</v>
      </c>
      <c r="E38" s="232"/>
      <c r="F38" s="232">
        <f ca="1">$G$21</f>
        <v>1721.0140000000001</v>
      </c>
    </row>
    <row r="39" spans="3:13" hidden="1" outlineLevel="1">
      <c r="D39" s="232" t="s">
        <v>222</v>
      </c>
      <c r="E39" s="232"/>
      <c r="F39" s="232">
        <f ca="1">IF($G$22&gt;0,$G$22,0)</f>
        <v>0</v>
      </c>
    </row>
    <row r="40" spans="3:13" hidden="1" outlineLevel="1"/>
    <row r="41" spans="3:13" hidden="1" outlineLevel="1">
      <c r="D41" s="556" t="s">
        <v>8</v>
      </c>
      <c r="E41" s="556"/>
      <c r="F41" s="450">
        <f ca="1">$F$36+$F$37+$F$38+$F$39</f>
        <v>26672.091421375353</v>
      </c>
    </row>
    <row r="42" spans="3:13" ht="18.75" hidden="1" outlineLevel="1">
      <c r="D42" s="557" t="s">
        <v>223</v>
      </c>
      <c r="E42" s="557"/>
      <c r="F42" s="427">
        <f ca="1">IF($C$11="Jours ouvrables",ROUND((($F$41*$H$10/30)/10),2),IF($C$11="Jours ouvrés",ROUND((($F$41*$H$10/25)/10),2),0))</f>
        <v>2222.67</v>
      </c>
    </row>
    <row r="43" spans="3:13" hidden="1" outlineLevel="1"/>
    <row r="44" spans="3:13" hidden="1" outlineLevel="1"/>
    <row r="45" spans="3:13" hidden="1" outlineLevel="1">
      <c r="C45" s="537" t="s">
        <v>369</v>
      </c>
      <c r="D45" s="537"/>
    </row>
    <row r="46" spans="3:13" collapsed="1">
      <c r="C46" s="537"/>
      <c r="D46" s="537"/>
    </row>
    <row r="47" spans="3:13" ht="15" customHeight="1">
      <c r="C47" s="537"/>
      <c r="D47" s="537"/>
    </row>
    <row r="48" spans="3:13" ht="15" customHeight="1"/>
    <row r="49" spans="4:13" ht="15" customHeight="1">
      <c r="D49" s="536" t="s">
        <v>215</v>
      </c>
      <c r="E49" s="536"/>
      <c r="F49" s="536"/>
      <c r="K49" s="536" t="s">
        <v>216</v>
      </c>
      <c r="L49" s="536"/>
      <c r="M49" s="536"/>
    </row>
    <row r="51" spans="4:13" outlineLevel="1">
      <c r="D51" s="320" t="s">
        <v>217</v>
      </c>
      <c r="E51" s="320"/>
      <c r="F51" s="448">
        <f>$G$18</f>
        <v>2003.8999999999999</v>
      </c>
      <c r="G51" s="320">
        <f>$H$18</f>
        <v>0</v>
      </c>
      <c r="H51" s="320">
        <f>$I$18</f>
        <v>0</v>
      </c>
      <c r="I51" s="320">
        <f>$J$18</f>
        <v>0</v>
      </c>
      <c r="K51" s="550" t="s">
        <v>218</v>
      </c>
      <c r="L51" s="550"/>
      <c r="M51" s="483">
        <f ca="1">$G$24</f>
        <v>2190.4337245335264</v>
      </c>
    </row>
    <row r="52" spans="4:13" outlineLevel="1">
      <c r="D52" s="542"/>
      <c r="E52" s="551"/>
      <c r="F52" s="424"/>
      <c r="G52" s="424"/>
      <c r="H52" s="424"/>
      <c r="I52" s="425"/>
      <c r="K52" s="550"/>
      <c r="L52" s="550"/>
      <c r="M52" s="483"/>
    </row>
    <row r="53" spans="4:13" outlineLevel="1">
      <c r="D53" s="3"/>
      <c r="E53" s="321" t="s">
        <v>197</v>
      </c>
      <c r="F53" s="321">
        <f>$G$19</f>
        <v>12</v>
      </c>
      <c r="G53" s="321">
        <f>$H$19</f>
        <v>0</v>
      </c>
      <c r="H53" s="321">
        <f>$I$19</f>
        <v>0</v>
      </c>
      <c r="I53" s="321">
        <f>$J$19</f>
        <v>0</v>
      </c>
    </row>
    <row r="54" spans="4:13" ht="18.75" outlineLevel="1">
      <c r="E54" s="426" t="s">
        <v>44</v>
      </c>
      <c r="F54" s="449">
        <f>($F$33*$F$35)+($G$33*$G$35)+($H$33*$H$35)+($I$33*$I$35)</f>
        <v>24046.799999999999</v>
      </c>
      <c r="K54" s="552" t="s">
        <v>370</v>
      </c>
      <c r="L54" s="552"/>
      <c r="M54" s="431">
        <f ca="1">IF($C$11="Jours ouvrables",ROUND(($M$33*$J$8/26),2),IF($C$11="Jours ouvrés",ROUND(($M$33*$J$8/21.67),2),0))</f>
        <v>421.24</v>
      </c>
    </row>
    <row r="55" spans="4:13" outlineLevel="1">
      <c r="D55" s="232" t="s">
        <v>220</v>
      </c>
      <c r="E55" s="232"/>
      <c r="F55" s="451">
        <f ca="1">$G$20</f>
        <v>904.27742137535438</v>
      </c>
      <c r="K55" s="553"/>
      <c r="L55" s="553"/>
      <c r="M55" s="266"/>
    </row>
    <row r="56" spans="4:13" outlineLevel="1">
      <c r="D56" s="232" t="s">
        <v>221</v>
      </c>
      <c r="E56" s="232"/>
      <c r="F56" s="232">
        <f ca="1">$G$21</f>
        <v>1721.0140000000001</v>
      </c>
    </row>
    <row r="57" spans="4:13" outlineLevel="1">
      <c r="D57" s="232" t="s">
        <v>222</v>
      </c>
      <c r="E57" s="232"/>
      <c r="F57" s="232">
        <f ca="1">IF($G$22&gt;0,$G$22,0)</f>
        <v>0</v>
      </c>
    </row>
    <row r="58" spans="4:13" outlineLevel="1"/>
    <row r="59" spans="4:13" outlineLevel="1">
      <c r="D59" s="548" t="s">
        <v>8</v>
      </c>
      <c r="E59" s="548"/>
      <c r="F59" s="452">
        <f ca="1">$F$36+$F$37+$F$38+$F$39</f>
        <v>26672.091421375353</v>
      </c>
    </row>
    <row r="60" spans="4:13" ht="18.75" outlineLevel="1">
      <c r="D60" s="549" t="s">
        <v>369</v>
      </c>
      <c r="E60" s="549"/>
      <c r="F60" s="430">
        <f ca="1">IF($C$11="Jours ouvrables",ROUND((($F$41*$J$8/30)/10),2),IF($C$11="Jours ouvrés",ROUND((($F$41*$J$8/25)/10),2),0))</f>
        <v>444.53</v>
      </c>
    </row>
    <row r="61" spans="4:13" outlineLevel="1"/>
    <row r="62" spans="4:13" outlineLevel="1"/>
    <row r="63" spans="4:13" outlineLevel="1"/>
    <row r="64" spans="4:13" outlineLevel="1"/>
    <row r="65" outlineLevel="1"/>
  </sheetData>
  <mergeCells count="39">
    <mergeCell ref="C45:D47"/>
    <mergeCell ref="K54:L54"/>
    <mergeCell ref="K55:L55"/>
    <mergeCell ref="K31:M31"/>
    <mergeCell ref="K33:L34"/>
    <mergeCell ref="M33:M34"/>
    <mergeCell ref="D34:E34"/>
    <mergeCell ref="K36:L36"/>
    <mergeCell ref="K37:L37"/>
    <mergeCell ref="D41:E41"/>
    <mergeCell ref="D42:E42"/>
    <mergeCell ref="D59:E59"/>
    <mergeCell ref="D60:E60"/>
    <mergeCell ref="D49:F49"/>
    <mergeCell ref="K49:M49"/>
    <mergeCell ref="K51:L52"/>
    <mergeCell ref="M51:M52"/>
    <mergeCell ref="D52:E52"/>
    <mergeCell ref="D13:E13"/>
    <mergeCell ref="D2:E2"/>
    <mergeCell ref="M3:O3"/>
    <mergeCell ref="I3:K3"/>
    <mergeCell ref="I6:K6"/>
    <mergeCell ref="F2:G2"/>
    <mergeCell ref="I7:K7"/>
    <mergeCell ref="D14:E14"/>
    <mergeCell ref="D15:E15"/>
    <mergeCell ref="H17:J17"/>
    <mergeCell ref="C18:C21"/>
    <mergeCell ref="D18:F18"/>
    <mergeCell ref="D19:E19"/>
    <mergeCell ref="D20:F20"/>
    <mergeCell ref="D21:F21"/>
    <mergeCell ref="D22:F22"/>
    <mergeCell ref="C24:C25"/>
    <mergeCell ref="D24:F25"/>
    <mergeCell ref="G24:G25"/>
    <mergeCell ref="D31:F31"/>
    <mergeCell ref="C27:D29"/>
  </mergeCells>
  <conditionalFormatting sqref="F15">
    <cfRule type="expression" dxfId="5" priority="4">
      <formula>IF($F$13="cdd","vrai","faux")</formula>
    </cfRule>
    <cfRule type="cellIs" dxfId="4" priority="5" operator="greaterThan">
      <formula>"si($E$8=""cdd"")"</formula>
    </cfRule>
    <cfRule type="colorScale" priority="6">
      <colorScale>
        <cfvo type="min"/>
        <cfvo type="max"/>
        <color rgb="FFFF0000"/>
        <color rgb="FFFF0000"/>
      </colorScale>
    </cfRule>
  </conditionalFormatting>
  <conditionalFormatting sqref="D15:F15">
    <cfRule type="expression" dxfId="3" priority="1">
      <formula>$F$13="cdd"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BC0DCD28-2F0D-429A-AC0F-1FD56432854C}">
            <xm:f>NOT(ISERROR(SEARCH($F$13,F15)))</xm:f>
            <xm:f>$F$13</xm:f>
            <x14:dxf>
              <fill>
                <patternFill>
                  <fgColor theme="5" tint="-0.24994659260841701"/>
                </patternFill>
              </fill>
            </x14:dxf>
          </x14:cfRule>
          <xm:sqref>F15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8B820-5295-403E-BECD-562815468034}">
  <sheetPr codeName="Feuil9">
    <tabColor theme="9" tint="0.59999389629810485"/>
  </sheetPr>
  <dimension ref="A2:G16"/>
  <sheetViews>
    <sheetView showGridLines="0" zoomScale="145" zoomScaleNormal="145" workbookViewId="0">
      <selection activeCell="G13" sqref="G13"/>
    </sheetView>
  </sheetViews>
  <sheetFormatPr baseColWidth="10" defaultRowHeight="15"/>
  <cols>
    <col min="3" max="3" width="2.85546875" customWidth="1"/>
    <col min="4" max="4" width="12" customWidth="1"/>
    <col min="5" max="5" width="18.5703125" customWidth="1"/>
    <col min="6" max="6" width="23.7109375" customWidth="1"/>
    <col min="7" max="7" width="37.42578125" bestFit="1" customWidth="1"/>
    <col min="8" max="8" width="12.42578125" bestFit="1" customWidth="1"/>
    <col min="9" max="9" width="21" bestFit="1" customWidth="1"/>
  </cols>
  <sheetData>
    <row r="2" spans="1:7">
      <c r="B2" s="483" t="s">
        <v>236</v>
      </c>
      <c r="C2" s="483"/>
      <c r="D2" s="569" t="str">
        <f>CONCATENATE(Sélection!$C$2," ",Sélection!$C$3)</f>
        <v>B. Pascal</v>
      </c>
      <c r="E2" s="488"/>
      <c r="F2" s="570"/>
    </row>
    <row r="3" spans="1:7" ht="15.75" thickBot="1"/>
    <row r="4" spans="1:7" ht="15.75" thickBot="1">
      <c r="B4" s="566" t="s">
        <v>396</v>
      </c>
      <c r="C4" s="567"/>
      <c r="D4" s="567"/>
      <c r="E4" s="568"/>
      <c r="F4" s="460">
        <f ca="1">HLOOKUP(Sélection!C3,'Base employés'!B4:E26,23,FALSE)</f>
        <v>13308.350116634796</v>
      </c>
    </row>
    <row r="5" spans="1:7" ht="15.75" thickBot="1"/>
    <row r="6" spans="1:7">
      <c r="A6" s="239"/>
      <c r="B6" s="561" t="s">
        <v>396</v>
      </c>
      <c r="C6" s="562"/>
      <c r="D6" s="563"/>
      <c r="E6" s="246" t="s">
        <v>395</v>
      </c>
      <c r="F6" s="247" t="s">
        <v>394</v>
      </c>
    </row>
    <row r="7" spans="1:7">
      <c r="A7" s="239"/>
      <c r="B7" s="456">
        <v>0</v>
      </c>
      <c r="C7" s="457" t="s">
        <v>200</v>
      </c>
      <c r="D7" s="455">
        <v>10225</v>
      </c>
      <c r="E7" s="464">
        <v>0</v>
      </c>
      <c r="F7" s="461">
        <f ca="1">IF(AND($F$4&gt;=B7,$F$4&lt;=D7),$F$4*E7,IF(AND($F$4&gt;=B7,$F$4&gt;=D7),D7*E7,""))</f>
        <v>0</v>
      </c>
    </row>
    <row r="8" spans="1:7">
      <c r="A8" s="239"/>
      <c r="B8" s="456">
        <v>10225.01</v>
      </c>
      <c r="C8" s="457" t="s">
        <v>200</v>
      </c>
      <c r="D8" s="455">
        <v>26070</v>
      </c>
      <c r="E8" s="464">
        <v>0.11</v>
      </c>
      <c r="F8" s="461">
        <f ca="1">IF(AND($F$4&gt;=B8,$F$4&lt;=D8),(($F$4-B8)*E8)+F7,IF(AND($F$4&gt;=B8,$F$4&gt;=D8),((D8-B8)*E8)+F7,""))</f>
        <v>339.16741282982753</v>
      </c>
    </row>
    <row r="9" spans="1:7">
      <c r="A9" s="239"/>
      <c r="B9" s="456">
        <v>26070.01</v>
      </c>
      <c r="C9" s="457" t="s">
        <v>200</v>
      </c>
      <c r="D9" s="455">
        <v>74545</v>
      </c>
      <c r="E9" s="464">
        <v>0.3</v>
      </c>
      <c r="F9" s="461" t="str">
        <f ca="1">IF(AND($F$4&gt;=B9,$F$4&lt;=D9),(($F$4-B9)*E9)+F8,IF(AND($F$4&gt;=B9,$F$4&gt;=D9),((D9-B9)*E9)+F8,""))</f>
        <v/>
      </c>
      <c r="G9" s="239"/>
    </row>
    <row r="10" spans="1:7">
      <c r="A10" s="239"/>
      <c r="B10" s="456">
        <v>74545.009999999995</v>
      </c>
      <c r="C10" s="457" t="s">
        <v>200</v>
      </c>
      <c r="D10" s="455">
        <v>160336</v>
      </c>
      <c r="E10" s="464">
        <v>0.41</v>
      </c>
      <c r="F10" s="461" t="str">
        <f ca="1">IF(AND($F$4&gt;=B10,$F$4&lt;=D10),(($F$4-B10)*E10)+F9,IF(AND($F$4&gt;=B10,$F$4&gt;=D10),((D10-B10)*E10)+F9,""))</f>
        <v/>
      </c>
      <c r="G10" s="239"/>
    </row>
    <row r="11" spans="1:7" ht="15.75" thickBot="1">
      <c r="A11" s="244"/>
      <c r="B11" s="564" t="s">
        <v>393</v>
      </c>
      <c r="C11" s="565"/>
      <c r="D11" s="466">
        <v>160336.01</v>
      </c>
      <c r="E11" s="465">
        <v>0.45</v>
      </c>
      <c r="F11" s="462" t="str">
        <f ca="1">IF(F4&gt;=D11,((F4-D11)*E11)+F10,"")</f>
        <v/>
      </c>
      <c r="G11" s="239"/>
    </row>
    <row r="12" spans="1:7" ht="15.75" thickBot="1"/>
    <row r="13" spans="1:7" ht="19.5" thickBot="1">
      <c r="C13" s="558" t="s">
        <v>402</v>
      </c>
      <c r="D13" s="559"/>
      <c r="E13" s="560"/>
      <c r="F13" s="463">
        <f ca="1">IF(F11&lt;&gt;"",F11,IF(F10&lt;&gt;"",F10,IF(F9&lt;&gt;"",F9,IF(F8&lt;&gt;0,F8,""))))</f>
        <v>339.16741282982753</v>
      </c>
    </row>
    <row r="14" spans="1:7">
      <c r="F14" s="432">
        <f ca="1">F13/12</f>
        <v>28.263951069152295</v>
      </c>
    </row>
    <row r="16" spans="1:7">
      <c r="A16" s="213"/>
    </row>
  </sheetData>
  <mergeCells count="6">
    <mergeCell ref="C13:E13"/>
    <mergeCell ref="B2:C2"/>
    <mergeCell ref="B6:D6"/>
    <mergeCell ref="B11:C11"/>
    <mergeCell ref="B4:E4"/>
    <mergeCell ref="D2:F2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6B9E8-CB0E-4933-B9D3-3719CDF28798}">
  <sheetPr codeName="Feuil10">
    <tabColor theme="9" tint="0.39997558519241921"/>
  </sheetPr>
  <dimension ref="B2:T20"/>
  <sheetViews>
    <sheetView showGridLines="0" workbookViewId="0">
      <selection activeCell="D17" sqref="D17"/>
    </sheetView>
  </sheetViews>
  <sheetFormatPr baseColWidth="10" defaultRowHeight="15"/>
  <cols>
    <col min="1" max="1" width="2.7109375" customWidth="1"/>
    <col min="6" max="6" width="2.42578125" customWidth="1"/>
    <col min="7" max="8" width="11.28515625" customWidth="1"/>
    <col min="9" max="9" width="6.7109375" customWidth="1"/>
  </cols>
  <sheetData>
    <row r="2" spans="2:20">
      <c r="C2" s="533" t="str">
        <f>CONCATENATE(Sélection!$C$2," ",Sélection!$C$3)</f>
        <v>B. Pascal</v>
      </c>
      <c r="D2" s="533"/>
      <c r="E2" s="533"/>
      <c r="G2" s="232" t="s">
        <v>197</v>
      </c>
      <c r="H2" s="297" t="str">
        <f>Sélection!$E$2</f>
        <v>Juin</v>
      </c>
    </row>
    <row r="4" spans="2:20">
      <c r="D4" s="286">
        <v>0.25</v>
      </c>
      <c r="E4" s="286">
        <v>0.5</v>
      </c>
      <c r="J4" s="590" t="s">
        <v>253</v>
      </c>
      <c r="K4" s="590"/>
      <c r="L4" s="590"/>
      <c r="M4" s="590"/>
      <c r="N4" s="590"/>
      <c r="O4" s="590"/>
      <c r="P4" s="590"/>
      <c r="Q4" s="590"/>
      <c r="R4" s="590"/>
      <c r="S4" s="590"/>
      <c r="T4" s="239"/>
    </row>
    <row r="5" spans="2:20">
      <c r="B5" s="232" t="s">
        <v>254</v>
      </c>
      <c r="C5" s="287">
        <v>37</v>
      </c>
      <c r="D5" s="232">
        <f>IF(AND($C5&gt;35,$C5&lt;=43),$C5-35,IF($C5&gt;43,8,""))</f>
        <v>2</v>
      </c>
      <c r="E5" s="232" t="str">
        <f>IF($C5&gt;43,$C5-43,"")</f>
        <v/>
      </c>
      <c r="J5" s="590"/>
      <c r="K5" s="590"/>
      <c r="L5" s="590"/>
      <c r="M5" s="590"/>
      <c r="N5" s="590"/>
      <c r="O5" s="590"/>
      <c r="P5" s="590"/>
      <c r="Q5" s="590"/>
      <c r="R5" s="590"/>
      <c r="S5" s="590"/>
      <c r="T5" s="239"/>
    </row>
    <row r="6" spans="2:20">
      <c r="B6" s="232" t="s">
        <v>255</v>
      </c>
      <c r="C6" s="287">
        <v>35</v>
      </c>
      <c r="D6" s="232" t="str">
        <f t="shared" ref="D6:D8" si="0">IF(AND($C6&gt;35,$C6&lt;=43),$C6-35,IF($C6&gt;43,8,""))</f>
        <v/>
      </c>
      <c r="E6" s="232" t="str">
        <f t="shared" ref="E6:E8" si="1">IF($C6&gt;43,$C6-43,"")</f>
        <v/>
      </c>
      <c r="J6" s="590" t="s">
        <v>256</v>
      </c>
      <c r="K6" s="590"/>
      <c r="L6" s="590"/>
      <c r="M6" s="590"/>
      <c r="N6" s="590"/>
      <c r="O6" s="590"/>
      <c r="P6" s="590"/>
      <c r="Q6" s="590"/>
      <c r="R6" s="590"/>
      <c r="S6" s="590"/>
      <c r="T6" s="239"/>
    </row>
    <row r="7" spans="2:20">
      <c r="B7" s="232" t="s">
        <v>257</v>
      </c>
      <c r="C7" s="287">
        <v>37</v>
      </c>
      <c r="D7" s="232">
        <f>IF(AND($C7&gt;35,$C7&lt;=43),$C7-35,IF($C7&gt;43,8,""))</f>
        <v>2</v>
      </c>
      <c r="E7" s="232" t="str">
        <f t="shared" si="1"/>
        <v/>
      </c>
      <c r="J7" s="590"/>
      <c r="K7" s="590"/>
      <c r="L7" s="590"/>
      <c r="M7" s="590"/>
      <c r="N7" s="590"/>
      <c r="O7" s="590"/>
      <c r="P7" s="590"/>
      <c r="Q7" s="590"/>
      <c r="R7" s="590"/>
      <c r="S7" s="590"/>
      <c r="T7" s="239"/>
    </row>
    <row r="8" spans="2:20">
      <c r="B8" s="232" t="s">
        <v>258</v>
      </c>
      <c r="C8" s="287">
        <v>39</v>
      </c>
      <c r="D8" s="232">
        <f t="shared" si="0"/>
        <v>4</v>
      </c>
      <c r="E8" s="232" t="str">
        <f t="shared" si="1"/>
        <v/>
      </c>
      <c r="J8" s="239" t="s">
        <v>259</v>
      </c>
      <c r="K8" s="239"/>
      <c r="L8" s="239"/>
      <c r="M8" s="239"/>
      <c r="N8" s="239"/>
      <c r="O8" s="239"/>
      <c r="P8" s="239"/>
      <c r="Q8" s="239"/>
      <c r="R8" s="239"/>
      <c r="S8" s="239"/>
      <c r="T8" s="239"/>
    </row>
    <row r="9" spans="2:20">
      <c r="B9" s="569" t="s">
        <v>8</v>
      </c>
      <c r="C9" s="570"/>
      <c r="D9" s="232">
        <f>SUM(D5:D8)</f>
        <v>8</v>
      </c>
      <c r="E9" s="232">
        <f>SUM(E5:E8)</f>
        <v>0</v>
      </c>
      <c r="J9" s="288" t="s">
        <v>260</v>
      </c>
    </row>
    <row r="11" spans="2:20" ht="15.75" thickBot="1">
      <c r="B11" s="573" t="s">
        <v>168</v>
      </c>
      <c r="C11" s="574"/>
      <c r="D11" s="347">
        <f>$D$12/151.67</f>
        <v>13.212237093690248</v>
      </c>
      <c r="E11" s="289" t="s">
        <v>386</v>
      </c>
      <c r="F11" s="290"/>
      <c r="G11" s="290"/>
      <c r="H11" s="290"/>
    </row>
    <row r="12" spans="2:20" ht="15.75" thickTop="1">
      <c r="B12" s="580" t="s">
        <v>158</v>
      </c>
      <c r="C12" s="581"/>
      <c r="D12" s="291">
        <f>HLOOKUP(Sélection!$C$2,'Base employés'!$B$3:$AF$18,12,FALSE)</f>
        <v>2003.8999999999999</v>
      </c>
      <c r="E12" s="292"/>
      <c r="J12" s="584" t="s">
        <v>261</v>
      </c>
      <c r="K12" s="585"/>
      <c r="L12" s="586"/>
      <c r="M12" s="293"/>
      <c r="N12" s="584" t="s">
        <v>262</v>
      </c>
      <c r="O12" s="585"/>
      <c r="P12" s="586"/>
    </row>
    <row r="13" spans="2:20" ht="15.75" thickBot="1">
      <c r="B13" s="582" t="s">
        <v>332</v>
      </c>
      <c r="C13" s="583"/>
      <c r="D13" s="436">
        <f>HLOOKUP(Sélection!$C$2,'Base employés'!$B$3:$BF$22,14,FALSE)</f>
        <v>100</v>
      </c>
      <c r="J13" s="587"/>
      <c r="K13" s="588"/>
      <c r="L13" s="589"/>
      <c r="M13" s="293"/>
      <c r="N13" s="587"/>
      <c r="O13" s="588"/>
      <c r="P13" s="589"/>
    </row>
    <row r="14" spans="2:20" ht="15.75" thickBot="1">
      <c r="B14" s="582" t="s">
        <v>332</v>
      </c>
      <c r="C14" s="583"/>
      <c r="D14" s="436">
        <f ca="1">HLOOKUP(Sélection!$C$2,'Base employés'!$B$3:$BF$22,15,FALSE)</f>
        <v>521.01400000000001</v>
      </c>
      <c r="J14" s="575">
        <f ca="1">$D$19*$D$9</f>
        <v>173.06744906705347</v>
      </c>
      <c r="K14" s="576"/>
      <c r="L14" s="577"/>
      <c r="M14" s="293"/>
      <c r="N14" s="575">
        <f ca="1">D20*$E$9</f>
        <v>0</v>
      </c>
      <c r="O14" s="576"/>
      <c r="P14" s="577"/>
    </row>
    <row r="15" spans="2:20" ht="15.75" thickBot="1">
      <c r="B15" s="573" t="s">
        <v>332</v>
      </c>
      <c r="C15" s="574"/>
      <c r="D15" s="436">
        <f>HLOOKUP(Sélection!$C$2,'Base employés'!$B$3:$BF$22,16,FALSE)</f>
        <v>0</v>
      </c>
      <c r="E15" s="289"/>
      <c r="F15" s="290"/>
      <c r="G15" s="290"/>
      <c r="H15" s="290"/>
      <c r="M15" s="293"/>
    </row>
    <row r="16" spans="2:20" ht="15.75" thickTop="1"/>
    <row r="17" spans="2:8" ht="15.75" thickBot="1">
      <c r="B17" s="578" t="s">
        <v>8</v>
      </c>
      <c r="C17" s="579"/>
      <c r="D17" s="294">
        <f ca="1">SUM(D12:D15)</f>
        <v>2624.9139999999998</v>
      </c>
      <c r="E17" s="290"/>
      <c r="F17" s="290"/>
      <c r="G17" s="290"/>
      <c r="H17" s="290"/>
    </row>
    <row r="18" spans="2:8" ht="15.75" thickTop="1">
      <c r="B18" s="580" t="s">
        <v>168</v>
      </c>
      <c r="C18" s="581"/>
      <c r="D18" s="291">
        <f ca="1">$D$17/151.67</f>
        <v>17.306744906705347</v>
      </c>
    </row>
    <row r="19" spans="2:8">
      <c r="B19" s="571" t="s">
        <v>263</v>
      </c>
      <c r="C19" s="572"/>
      <c r="D19" s="295">
        <f ca="1">$D$18*1.25</f>
        <v>21.633431133381684</v>
      </c>
    </row>
    <row r="20" spans="2:8">
      <c r="B20" s="571" t="s">
        <v>264</v>
      </c>
      <c r="C20" s="572"/>
      <c r="D20" s="295">
        <f ca="1">$D$18*1.5</f>
        <v>25.960117360058021</v>
      </c>
    </row>
  </sheetData>
  <mergeCells count="17">
    <mergeCell ref="C2:E2"/>
    <mergeCell ref="B12:C12"/>
    <mergeCell ref="J12:L13"/>
    <mergeCell ref="N12:P13"/>
    <mergeCell ref="B13:C13"/>
    <mergeCell ref="J4:S5"/>
    <mergeCell ref="J6:S7"/>
    <mergeCell ref="B9:C9"/>
    <mergeCell ref="B11:C11"/>
    <mergeCell ref="B20:C20"/>
    <mergeCell ref="B15:C15"/>
    <mergeCell ref="J14:L14"/>
    <mergeCell ref="N14:P14"/>
    <mergeCell ref="B17:C17"/>
    <mergeCell ref="B18:C18"/>
    <mergeCell ref="B19:C19"/>
    <mergeCell ref="B14:C14"/>
  </mergeCell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0199E-5131-4761-A3F5-F0D6AF5EC3CE}">
  <sheetPr codeName="Feuil11">
    <tabColor rgb="FF6BA743"/>
  </sheetPr>
  <dimension ref="B2:T40"/>
  <sheetViews>
    <sheetView showGridLines="0" workbookViewId="0">
      <selection activeCell="D14" sqref="D14"/>
    </sheetView>
  </sheetViews>
  <sheetFormatPr baseColWidth="10" defaultRowHeight="15"/>
  <cols>
    <col min="1" max="1" width="3" customWidth="1"/>
    <col min="2" max="2" width="15.28515625" customWidth="1"/>
    <col min="5" max="5" width="12.28515625" customWidth="1"/>
    <col min="6" max="8" width="18" customWidth="1"/>
    <col min="9" max="9" width="16.85546875" customWidth="1"/>
    <col min="10" max="10" width="17.5703125" customWidth="1"/>
    <col min="11" max="11" width="13" customWidth="1"/>
    <col min="12" max="12" width="2.85546875" customWidth="1"/>
    <col min="13" max="14" width="15.5703125" customWidth="1"/>
    <col min="15" max="15" width="2.28515625" customWidth="1"/>
    <col min="16" max="16" width="16.5703125" customWidth="1"/>
    <col min="17" max="20" width="14.28515625" customWidth="1"/>
  </cols>
  <sheetData>
    <row r="2" spans="2:20">
      <c r="C2" s="603">
        <f>MONTH(DATEVALUE("1"&amp;D2))</f>
        <v>6</v>
      </c>
      <c r="D2" s="5" t="str">
        <f>Sélection!$E$2</f>
        <v>Juin</v>
      </c>
      <c r="E2" s="5" t="s">
        <v>160</v>
      </c>
      <c r="F2" s="274" t="s">
        <v>161</v>
      </c>
      <c r="G2" s="338" t="s">
        <v>350</v>
      </c>
      <c r="H2" s="338" t="s">
        <v>351</v>
      </c>
      <c r="I2" s="274" t="s">
        <v>162</v>
      </c>
      <c r="J2" s="274" t="s">
        <v>163</v>
      </c>
      <c r="K2" s="569" t="s">
        <v>164</v>
      </c>
      <c r="L2" s="570"/>
      <c r="M2" s="338" t="s">
        <v>348</v>
      </c>
      <c r="N2" s="338" t="s">
        <v>349</v>
      </c>
      <c r="P2" s="273" t="s">
        <v>165</v>
      </c>
      <c r="Q2" s="273" t="s">
        <v>166</v>
      </c>
      <c r="R2" s="273" t="s">
        <v>167</v>
      </c>
      <c r="S2" s="338" t="s">
        <v>354</v>
      </c>
      <c r="T2" s="338" t="s">
        <v>355</v>
      </c>
    </row>
    <row r="3" spans="2:20">
      <c r="B3" s="595" t="s">
        <v>309</v>
      </c>
      <c r="C3" s="591" t="str">
        <f>CONCATENATE(Sélection!$C$2," ",Sélection!$C$3)</f>
        <v>B. Pascal</v>
      </c>
      <c r="D3" s="273" t="s">
        <v>254</v>
      </c>
      <c r="E3" s="594">
        <f ca="1">HLOOKUP(Sélection!$C$2,'Base employés'!$B$3:$BF$21,12,FALSE)+BS!$L$23+BS!$L$24</f>
        <v>2103.8999999999996</v>
      </c>
      <c r="F3" s="348"/>
      <c r="G3" s="348"/>
      <c r="H3" s="348"/>
      <c r="I3" s="348">
        <f>$M$3*7</f>
        <v>175</v>
      </c>
      <c r="J3" s="273">
        <f>6*52/12</f>
        <v>26</v>
      </c>
      <c r="K3" s="569">
        <f>ROUND(5*52/12,2)</f>
        <v>21.67</v>
      </c>
      <c r="L3" s="570"/>
      <c r="M3" s="400">
        <f>NETWORKDAYS.INTL(Sélection!$G$2,Sélection!$G$3,11,Calendrier!$B$3:$B$15)</f>
        <v>25</v>
      </c>
      <c r="N3" s="469">
        <f>NETWORKDAYS(Sélection!$G$2,Sélection!$G$3,Calendrier!$B$3:$B$15)</f>
        <v>21</v>
      </c>
      <c r="O3" s="3"/>
      <c r="P3" s="232">
        <f ca="1">IF($I3="",0,ROUND(($E$3/I3)*F3,2))</f>
        <v>0</v>
      </c>
      <c r="Q3" s="232">
        <f ca="1">ROUND(($E$3/$J3)*$G3,2)</f>
        <v>0</v>
      </c>
      <c r="R3" s="232">
        <f ca="1">ROUND(($E$3/$K3)*$H3,2)</f>
        <v>0</v>
      </c>
      <c r="S3" s="232">
        <f ca="1">ROUND(($E$3/$M$3)*$G3,2)</f>
        <v>0</v>
      </c>
      <c r="T3" s="232">
        <f ca="1">ROUND(($E$3/$N$3)*$H3,2)</f>
        <v>0</v>
      </c>
    </row>
    <row r="4" spans="2:20" ht="15.75" customHeight="1">
      <c r="B4" s="595"/>
      <c r="C4" s="592" t="str">
        <f>CONCATENATE(Sélection!$C$2," ",Sélection!$C$3)</f>
        <v>B. Pascal</v>
      </c>
      <c r="D4" s="273" t="s">
        <v>255</v>
      </c>
      <c r="E4" s="486"/>
      <c r="F4" s="348">
        <f>H4*7</f>
        <v>35</v>
      </c>
      <c r="G4" s="348">
        <v>6</v>
      </c>
      <c r="H4" s="348">
        <v>5</v>
      </c>
      <c r="I4" s="273">
        <f>$I$3</f>
        <v>175</v>
      </c>
      <c r="J4" s="273">
        <f t="shared" ref="J4:J6" si="0">6*52/12</f>
        <v>26</v>
      </c>
      <c r="K4" s="569">
        <f t="shared" ref="K4:K6" si="1">ROUND(5*52/12,2)</f>
        <v>21.67</v>
      </c>
      <c r="L4" s="570"/>
      <c r="M4" s="401"/>
      <c r="N4" s="402"/>
      <c r="O4" s="3"/>
      <c r="P4" s="232">
        <f ca="1">IF($I4="",0,ROUND(($E$3/I4)*F4,2))</f>
        <v>420.78</v>
      </c>
      <c r="Q4" s="232">
        <f ca="1">ROUND(($E$3/$J4)*$G4,2)</f>
        <v>485.52</v>
      </c>
      <c r="R4" s="232">
        <f ca="1">ROUND(($E$3/$K4)*$H4,2)</f>
        <v>485.44</v>
      </c>
      <c r="S4" s="232">
        <f t="shared" ref="S4:S6" ca="1" si="2">ROUND(($E$3/$M$3)*$G4,2)</f>
        <v>504.94</v>
      </c>
      <c r="T4" s="232">
        <f t="shared" ref="T4:T6" ca="1" si="3">ROUND(($E$3/$N$3)*$H4,2)</f>
        <v>500.93</v>
      </c>
    </row>
    <row r="5" spans="2:20">
      <c r="B5" s="595"/>
      <c r="C5" s="592" t="str">
        <f>CONCATENATE(Sélection!$C$2," ",Sélection!$C$3)</f>
        <v>B. Pascal</v>
      </c>
      <c r="D5" s="273" t="s">
        <v>257</v>
      </c>
      <c r="E5" s="486"/>
      <c r="F5" s="348"/>
      <c r="G5" s="348"/>
      <c r="H5" s="348"/>
      <c r="I5" s="273">
        <f>$I$3</f>
        <v>175</v>
      </c>
      <c r="J5" s="273">
        <f t="shared" si="0"/>
        <v>26</v>
      </c>
      <c r="K5" s="569">
        <f t="shared" si="1"/>
        <v>21.67</v>
      </c>
      <c r="L5" s="570"/>
      <c r="M5" s="403"/>
      <c r="N5" s="404"/>
      <c r="O5" s="3"/>
      <c r="P5" s="232">
        <f t="shared" ref="P5:P6" ca="1" si="4">IF($I5="",0,ROUND(($E$3/I5)*F5,2))</f>
        <v>0</v>
      </c>
      <c r="Q5" s="232">
        <f t="shared" ref="Q5:Q6" ca="1" si="5">ROUND(($E$3/$J5)*$G5,2)</f>
        <v>0</v>
      </c>
      <c r="R5" s="232">
        <f t="shared" ref="R5:R6" ca="1" si="6">ROUND(($E$3/$K5)*$H5,2)</f>
        <v>0</v>
      </c>
      <c r="S5" s="232">
        <f t="shared" ca="1" si="2"/>
        <v>0</v>
      </c>
      <c r="T5" s="232">
        <f t="shared" ca="1" si="3"/>
        <v>0</v>
      </c>
    </row>
    <row r="6" spans="2:20" ht="15.75" customHeight="1">
      <c r="B6" s="595"/>
      <c r="C6" s="593" t="str">
        <f>CONCATENATE(Sélection!$C$2," ",Sélection!$C$3)</f>
        <v>B. Pascal</v>
      </c>
      <c r="D6" s="273" t="s">
        <v>258</v>
      </c>
      <c r="E6" s="487"/>
      <c r="F6" s="348"/>
      <c r="G6" s="399"/>
      <c r="H6" s="399"/>
      <c r="I6" s="332">
        <f>$I$3</f>
        <v>175</v>
      </c>
      <c r="J6" s="332">
        <f t="shared" si="0"/>
        <v>26</v>
      </c>
      <c r="K6" s="569">
        <f t="shared" si="1"/>
        <v>21.67</v>
      </c>
      <c r="L6" s="570"/>
      <c r="M6" s="405"/>
      <c r="N6" s="406"/>
      <c r="O6" s="3"/>
      <c r="P6" s="232">
        <f t="shared" ca="1" si="4"/>
        <v>0</v>
      </c>
      <c r="Q6" s="232">
        <f t="shared" ca="1" si="5"/>
        <v>0</v>
      </c>
      <c r="R6" s="232">
        <f t="shared" ca="1" si="6"/>
        <v>0</v>
      </c>
      <c r="S6" s="232">
        <f t="shared" ca="1" si="2"/>
        <v>0</v>
      </c>
      <c r="T6" s="232">
        <f t="shared" ca="1" si="3"/>
        <v>0</v>
      </c>
    </row>
    <row r="7" spans="2:20" ht="15.75">
      <c r="B7" s="435">
        <f>IFERROR(IF($C$3=$M$17,VLOOKUP($C$2,$L$19:$N$23,2,FALSE),IF($C$3=$M$25,VLOOKUP($C$2,L27:N31,2,FALSE),IF($C$3=$M$33,VLOOKUP($C$2,$L$35:$N$39,2,FALSE),""))),"")</f>
        <v>44719</v>
      </c>
      <c r="C7" s="435">
        <f>IFERROR(IF($C$3=$M$17,VLOOKUP($C$2,$L$19:$N$23,3,FALSE),IF($C$3=$M$25,VLOOKUP($C$2,$L$27:$N$31,3,FALSE),IF($C$3=$M$33,VLOOKUP($C$2,$L$35:$N$39,3,FALSE),""))),"")</f>
        <v>44723</v>
      </c>
      <c r="E7" s="349" t="s">
        <v>8</v>
      </c>
      <c r="F7" s="350">
        <f>SUM(F3:F6)</f>
        <v>35</v>
      </c>
      <c r="G7" s="350">
        <f t="shared" ref="G7:H7" si="7">SUM(G3:G6)</f>
        <v>6</v>
      </c>
      <c r="H7" s="350">
        <f t="shared" si="7"/>
        <v>5</v>
      </c>
      <c r="I7" s="330"/>
      <c r="J7" s="331"/>
      <c r="K7" s="623"/>
      <c r="L7" s="623"/>
      <c r="M7" s="140"/>
      <c r="N7" s="140"/>
      <c r="P7" s="351">
        <f ca="1">-SUM(P3:P6)</f>
        <v>-420.78</v>
      </c>
      <c r="Q7" s="351">
        <f t="shared" ref="Q7:T7" ca="1" si="8">-SUM(Q3:Q6)</f>
        <v>-485.52</v>
      </c>
      <c r="R7" s="351">
        <f t="shared" ca="1" si="8"/>
        <v>-485.44</v>
      </c>
      <c r="S7" s="351">
        <f t="shared" ca="1" si="8"/>
        <v>-504.94</v>
      </c>
      <c r="T7" s="351">
        <f t="shared" ca="1" si="8"/>
        <v>-500.93</v>
      </c>
    </row>
    <row r="8" spans="2:20">
      <c r="B8">
        <f>1+(WEEKNUM(B7,2))-(WEEKNUM(DATE(YEAR(B7),MONTH(B7),1),2))</f>
        <v>2</v>
      </c>
      <c r="C8">
        <f>1+(WEEKNUM(C7,2))-(WEEKNUM(DATE(YEAR(C7),MONTH(C7),1),2))</f>
        <v>2</v>
      </c>
      <c r="K8" s="622"/>
      <c r="L8" s="622"/>
    </row>
    <row r="9" spans="2:20">
      <c r="C9" s="603">
        <f>MONTH(DATEVALUE("1"&amp;D9))</f>
        <v>6</v>
      </c>
      <c r="D9" s="337" t="str">
        <f>Sélection!$E$2</f>
        <v>Juin</v>
      </c>
      <c r="E9" s="337" t="s">
        <v>160</v>
      </c>
      <c r="F9" s="337" t="s">
        <v>161</v>
      </c>
      <c r="G9" s="338" t="s">
        <v>350</v>
      </c>
      <c r="H9" s="338" t="s">
        <v>351</v>
      </c>
      <c r="I9" s="337" t="s">
        <v>162</v>
      </c>
      <c r="J9" s="337" t="s">
        <v>163</v>
      </c>
      <c r="K9" s="569" t="s">
        <v>164</v>
      </c>
      <c r="L9" s="570"/>
      <c r="M9" s="338" t="s">
        <v>348</v>
      </c>
      <c r="N9" s="338" t="s">
        <v>349</v>
      </c>
      <c r="P9" s="338" t="s">
        <v>165</v>
      </c>
      <c r="Q9" s="338" t="s">
        <v>166</v>
      </c>
      <c r="R9" s="338" t="s">
        <v>167</v>
      </c>
      <c r="S9" s="338" t="s">
        <v>354</v>
      </c>
      <c r="T9" s="338" t="s">
        <v>355</v>
      </c>
    </row>
    <row r="10" spans="2:20">
      <c r="B10" s="596" t="s">
        <v>341</v>
      </c>
      <c r="C10" s="591" t="str">
        <f>CONCATENATE(Sélection!$C$2," ",Sélection!$C$3)</f>
        <v>B. Pascal</v>
      </c>
      <c r="D10" s="338" t="s">
        <v>254</v>
      </c>
      <c r="E10" s="594">
        <f ca="1">HLOOKUP(Sélection!$C$2,'Base employés'!$B$3:$BF$21,12,FALSE)+BS!$L$23+BS!$L$24</f>
        <v>2103.8999999999996</v>
      </c>
      <c r="F10" s="348"/>
      <c r="G10" s="348"/>
      <c r="H10" s="348"/>
      <c r="I10" s="348">
        <f>$M$10*7</f>
        <v>175</v>
      </c>
      <c r="J10" s="338">
        <f>6*52/12</f>
        <v>26</v>
      </c>
      <c r="K10" s="569">
        <f>ROUND(5*52/12,2)</f>
        <v>21.67</v>
      </c>
      <c r="L10" s="570"/>
      <c r="M10" s="400">
        <f>NETWORKDAYS.INTL(Sélection!$G$2,Sélection!$G$3,11,Calendrier!$B$3:$B$15)</f>
        <v>25</v>
      </c>
      <c r="N10" s="400">
        <f>NETWORKDAYS(Sélection!$G$2,Sélection!$G$3,Calendrier!$B$3:$B$15)</f>
        <v>21</v>
      </c>
      <c r="O10" s="3"/>
      <c r="P10" s="232">
        <f ca="1">IF($I$10="",0,ROUND(($E$10/$I10)*$F10,2))</f>
        <v>0</v>
      </c>
      <c r="Q10" s="232">
        <f ca="1">ROUND(($E$10/$J10)*$G10,2)</f>
        <v>0</v>
      </c>
      <c r="R10" s="232">
        <f ca="1">ROUND(($E$10/$K10)*$H10,2)</f>
        <v>0</v>
      </c>
      <c r="S10" s="232">
        <f ca="1">ROUND(($E$10/$M$10)*$G10,2)</f>
        <v>0</v>
      </c>
      <c r="T10" s="232">
        <f ca="1">ROUND(($E$10/$N$10)*$H10,2)</f>
        <v>0</v>
      </c>
    </row>
    <row r="11" spans="2:20">
      <c r="B11" s="596"/>
      <c r="C11" s="592" t="str">
        <f>CONCATENATE(Sélection!$C$2," ",Sélection!$C$3)</f>
        <v>B. Pascal</v>
      </c>
      <c r="D11" s="338" t="s">
        <v>255</v>
      </c>
      <c r="E11" s="486"/>
      <c r="F11" s="348"/>
      <c r="G11" s="348"/>
      <c r="H11" s="348"/>
      <c r="I11" s="338">
        <f>$I$3</f>
        <v>175</v>
      </c>
      <c r="J11" s="338">
        <f t="shared" ref="J11:J13" si="9">6*52/12</f>
        <v>26</v>
      </c>
      <c r="K11" s="569">
        <f t="shared" ref="K11:K13" si="10">ROUND(5*52/12,2)</f>
        <v>21.67</v>
      </c>
      <c r="L11" s="570"/>
      <c r="M11" s="338"/>
      <c r="N11" s="338"/>
      <c r="O11" s="3"/>
      <c r="P11" s="232">
        <f t="shared" ref="P11:P13" ca="1" si="11">IF($I$10="",0,ROUND(($E$10/$I11)*$F11,2))</f>
        <v>0</v>
      </c>
      <c r="Q11" s="232">
        <f t="shared" ref="Q11:Q13" ca="1" si="12">ROUND(($E$10/$J11)*$G11,2)</f>
        <v>0</v>
      </c>
      <c r="R11" s="232">
        <f t="shared" ref="R11:R13" ca="1" si="13">ROUND(($E$10/$K11)*$H11,2)</f>
        <v>0</v>
      </c>
      <c r="S11" s="232">
        <f t="shared" ref="S11:S13" ca="1" si="14">ROUND(($E$10/$M$10)*$G11,2)</f>
        <v>0</v>
      </c>
      <c r="T11" s="232">
        <f t="shared" ref="T11:T13" ca="1" si="15">ROUND(($E$10/$N$10)*$H11,2)</f>
        <v>0</v>
      </c>
    </row>
    <row r="12" spans="2:20">
      <c r="B12" s="596"/>
      <c r="C12" s="592" t="str">
        <f>CONCATENATE(Sélection!$C$2," ",Sélection!$C$3)</f>
        <v>B. Pascal</v>
      </c>
      <c r="D12" s="338" t="s">
        <v>257</v>
      </c>
      <c r="E12" s="486"/>
      <c r="F12" s="348"/>
      <c r="G12" s="348"/>
      <c r="H12" s="348"/>
      <c r="I12" s="338">
        <f>$I$3</f>
        <v>175</v>
      </c>
      <c r="J12" s="338">
        <f t="shared" si="9"/>
        <v>26</v>
      </c>
      <c r="K12" s="569">
        <f t="shared" si="10"/>
        <v>21.67</v>
      </c>
      <c r="L12" s="570"/>
      <c r="M12" s="338"/>
      <c r="N12" s="338"/>
      <c r="O12" s="3"/>
      <c r="P12" s="232">
        <f t="shared" ca="1" si="11"/>
        <v>0</v>
      </c>
      <c r="Q12" s="232">
        <f t="shared" ca="1" si="12"/>
        <v>0</v>
      </c>
      <c r="R12" s="232">
        <f t="shared" ca="1" si="13"/>
        <v>0</v>
      </c>
      <c r="S12" s="232">
        <f t="shared" ca="1" si="14"/>
        <v>0</v>
      </c>
      <c r="T12" s="232">
        <f t="shared" ca="1" si="15"/>
        <v>0</v>
      </c>
    </row>
    <row r="13" spans="2:20">
      <c r="B13" s="596"/>
      <c r="C13" s="593" t="str">
        <f>CONCATENATE(Sélection!$C$2," ",Sélection!$C$3)</f>
        <v>B. Pascal</v>
      </c>
      <c r="D13" s="338" t="s">
        <v>258</v>
      </c>
      <c r="E13" s="487"/>
      <c r="F13" s="348"/>
      <c r="G13" s="399"/>
      <c r="H13" s="399"/>
      <c r="I13" s="337">
        <f>$I$3</f>
        <v>175</v>
      </c>
      <c r="J13" s="337">
        <f t="shared" si="9"/>
        <v>26</v>
      </c>
      <c r="K13" s="569">
        <f t="shared" si="10"/>
        <v>21.67</v>
      </c>
      <c r="L13" s="570"/>
      <c r="M13" s="338"/>
      <c r="N13" s="338"/>
      <c r="O13" s="3"/>
      <c r="P13" s="232">
        <f t="shared" ca="1" si="11"/>
        <v>0</v>
      </c>
      <c r="Q13" s="232">
        <f t="shared" ca="1" si="12"/>
        <v>0</v>
      </c>
      <c r="R13" s="232">
        <f t="shared" ca="1" si="13"/>
        <v>0</v>
      </c>
      <c r="S13" s="232">
        <f t="shared" ca="1" si="14"/>
        <v>0</v>
      </c>
      <c r="T13" s="232">
        <f t="shared" ca="1" si="15"/>
        <v>0</v>
      </c>
    </row>
    <row r="14" spans="2:20" ht="15.75">
      <c r="B14" s="435" t="str">
        <f>IF(Sélection!$G$6=0,"",Sélection!$G$6)</f>
        <v/>
      </c>
      <c r="C14" s="435" t="str">
        <f>IF(Sélection!$I$6=0,"",Sélection!$I$6)</f>
        <v/>
      </c>
      <c r="E14" s="349" t="s">
        <v>8</v>
      </c>
      <c r="F14" s="350">
        <f>SUM(F10:F13)</f>
        <v>0</v>
      </c>
      <c r="G14" s="350">
        <f>SUM(G10:G13)</f>
        <v>0</v>
      </c>
      <c r="H14" s="350">
        <f>SUM(H10:H13)</f>
        <v>0</v>
      </c>
      <c r="I14" s="335"/>
      <c r="J14" s="398"/>
      <c r="K14" s="140"/>
      <c r="L14" s="140"/>
      <c r="M14" s="140"/>
      <c r="N14" s="140"/>
      <c r="P14" s="351">
        <f ca="1">-SUM(P10:P13)</f>
        <v>0</v>
      </c>
      <c r="Q14" s="351">
        <f t="shared" ref="Q14:T14" ca="1" si="16">-SUM(Q10:Q13)</f>
        <v>0</v>
      </c>
      <c r="R14" s="351">
        <f t="shared" ca="1" si="16"/>
        <v>0</v>
      </c>
      <c r="S14" s="351">
        <f t="shared" ca="1" si="16"/>
        <v>0</v>
      </c>
      <c r="T14" s="351">
        <f t="shared" ca="1" si="16"/>
        <v>0</v>
      </c>
    </row>
    <row r="15" spans="2:20">
      <c r="J15" s="620"/>
      <c r="K15" s="621"/>
      <c r="L15" s="621"/>
    </row>
    <row r="16" spans="2:20" ht="15.75" thickBot="1"/>
    <row r="17" spans="12:16" ht="15.75" thickBot="1">
      <c r="M17" s="625" t="s">
        <v>407</v>
      </c>
      <c r="N17" s="626"/>
      <c r="O17" s="626"/>
      <c r="P17" s="627"/>
    </row>
    <row r="18" spans="12:16" ht="15.75" thickTop="1">
      <c r="M18" s="607" t="s">
        <v>312</v>
      </c>
      <c r="N18" s="610" t="s">
        <v>405</v>
      </c>
      <c r="O18" s="616"/>
      <c r="P18" s="613" t="s">
        <v>406</v>
      </c>
    </row>
    <row r="19" spans="12:16">
      <c r="L19">
        <f>ROUND(MONTH(M19),0)</f>
        <v>1</v>
      </c>
      <c r="M19" s="608">
        <v>44571</v>
      </c>
      <c r="N19" s="611">
        <v>44576</v>
      </c>
      <c r="O19" s="617"/>
      <c r="P19" s="614">
        <f>IF(M19&lt;&gt;"",NETWORKDAYS.INTL(M19,N19,11,Calendrier!$B$3:$B$15),"")</f>
        <v>6</v>
      </c>
    </row>
    <row r="20" spans="12:16">
      <c r="L20">
        <f t="shared" ref="L20:L23" si="17">ROUND(MONTH(M20),0)</f>
        <v>2</v>
      </c>
      <c r="M20" s="608">
        <v>44606</v>
      </c>
      <c r="N20" s="611">
        <v>44611</v>
      </c>
      <c r="O20" s="617"/>
      <c r="P20" s="614">
        <f>IF(M20&lt;&gt;"",NETWORKDAYS.INTL(M20,N20,11,Calendrier!$B$3:$B$15),"")</f>
        <v>6</v>
      </c>
    </row>
    <row r="21" spans="12:16">
      <c r="L21">
        <f t="shared" si="17"/>
        <v>5</v>
      </c>
      <c r="M21" s="608">
        <v>44704</v>
      </c>
      <c r="N21" s="611">
        <v>44707</v>
      </c>
      <c r="O21" s="617"/>
      <c r="P21" s="614">
        <f>IF(M21&lt;&gt;"",NETWORKDAYS.INTL(M21,N21,11,Calendrier!$B$3:$B$15),"")</f>
        <v>3</v>
      </c>
    </row>
    <row r="22" spans="12:16">
      <c r="L22">
        <f t="shared" si="17"/>
        <v>8</v>
      </c>
      <c r="M22" s="608">
        <v>44789</v>
      </c>
      <c r="N22" s="611">
        <v>44796</v>
      </c>
      <c r="O22" s="617"/>
      <c r="P22" s="614">
        <f>IF(M22&lt;&gt;"",NETWORKDAYS.INTL(M22,N22,11,Calendrier!$B$3:$B$15),"")</f>
        <v>7</v>
      </c>
    </row>
    <row r="23" spans="12:16" ht="15.75" thickBot="1">
      <c r="L23">
        <f t="shared" si="17"/>
        <v>11</v>
      </c>
      <c r="M23" s="609">
        <v>44869</v>
      </c>
      <c r="N23" s="612">
        <v>44875</v>
      </c>
      <c r="O23" s="618"/>
      <c r="P23" s="615">
        <f>IF(M23&lt;&gt;"",NETWORKDAYS.INTL(M23,N23,11,Calendrier!$B$3:$B$15),"")</f>
        <v>6</v>
      </c>
    </row>
    <row r="24" spans="12:16" ht="15.75" thickBot="1">
      <c r="P24" s="619">
        <f>SUM(P19:P23)</f>
        <v>28</v>
      </c>
    </row>
    <row r="25" spans="12:16" ht="15.75" thickBot="1">
      <c r="M25" s="625" t="s">
        <v>408</v>
      </c>
      <c r="N25" s="626"/>
      <c r="O25" s="626"/>
      <c r="P25" s="627"/>
    </row>
    <row r="26" spans="12:16" ht="15.75" thickTop="1">
      <c r="M26" s="607" t="s">
        <v>312</v>
      </c>
      <c r="N26" s="610" t="s">
        <v>405</v>
      </c>
      <c r="O26" s="616"/>
      <c r="P26" s="613" t="s">
        <v>406</v>
      </c>
    </row>
    <row r="27" spans="12:16">
      <c r="L27">
        <f>ROUND(MONTH(M27),0)</f>
        <v>1</v>
      </c>
      <c r="M27" s="608">
        <v>44564</v>
      </c>
      <c r="N27" s="611">
        <v>44569</v>
      </c>
      <c r="O27" s="617"/>
      <c r="P27" s="614">
        <f>IF(M27&lt;&gt;"",NETWORKDAYS.INTL(M27,N27,11,Calendrier!$B$3:$B$15),"")</f>
        <v>6</v>
      </c>
    </row>
    <row r="28" spans="12:16">
      <c r="L28">
        <f t="shared" ref="L28:L31" si="18">ROUND(MONTH(M28),0)</f>
        <v>2</v>
      </c>
      <c r="M28" s="608">
        <v>44599</v>
      </c>
      <c r="N28" s="611">
        <v>44604</v>
      </c>
      <c r="O28" s="617"/>
      <c r="P28" s="614">
        <f>IF(M28&lt;&gt;"",NETWORKDAYS.INTL(M28,N28,11,Calendrier!$B$3:$B$15),"")</f>
        <v>6</v>
      </c>
    </row>
    <row r="29" spans="12:16">
      <c r="L29">
        <f t="shared" si="18"/>
        <v>6</v>
      </c>
      <c r="M29" s="608">
        <v>44719</v>
      </c>
      <c r="N29" s="611">
        <v>44723</v>
      </c>
      <c r="O29" s="617"/>
      <c r="P29" s="614">
        <f>IF(M29&lt;&gt;"",NETWORKDAYS.INTL(M29,N29,11,Calendrier!$B$3:$B$15),"")</f>
        <v>5</v>
      </c>
    </row>
    <row r="30" spans="12:16">
      <c r="L30">
        <f t="shared" si="18"/>
        <v>12</v>
      </c>
      <c r="M30" s="608">
        <v>44914</v>
      </c>
      <c r="N30" s="611">
        <v>44926</v>
      </c>
      <c r="O30" s="617"/>
      <c r="P30" s="614">
        <f>IF(M30&lt;&gt;"",NETWORKDAYS.INTL(M30,N30,11,Calendrier!$B$3:$B$15),"")</f>
        <v>12</v>
      </c>
    </row>
    <row r="31" spans="12:16" ht="15.75" thickBot="1">
      <c r="L31">
        <f t="shared" si="18"/>
        <v>1</v>
      </c>
      <c r="M31" s="609"/>
      <c r="N31" s="612"/>
      <c r="O31" s="618"/>
      <c r="P31" s="615" t="str">
        <f>IF(M31&lt;&gt;"",NETWORKDAYS.INTL(M31,N31,11,Calendrier!$B$3:$B$15),"")</f>
        <v/>
      </c>
    </row>
    <row r="32" spans="12:16" ht="15.75" thickBot="1">
      <c r="P32" s="619">
        <f>SUM(P27:P31)</f>
        <v>29</v>
      </c>
    </row>
    <row r="33" spans="12:16" ht="15.75" thickBot="1">
      <c r="M33" s="625" t="s">
        <v>409</v>
      </c>
      <c r="N33" s="626"/>
      <c r="O33" s="626"/>
      <c r="P33" s="627"/>
    </row>
    <row r="34" spans="12:16" ht="15.75" thickTop="1">
      <c r="M34" s="607" t="s">
        <v>312</v>
      </c>
      <c r="N34" s="610" t="s">
        <v>405</v>
      </c>
      <c r="O34" s="616"/>
      <c r="P34" s="613" t="s">
        <v>406</v>
      </c>
    </row>
    <row r="35" spans="12:16">
      <c r="L35">
        <f>MONTH(M35)</f>
        <v>3</v>
      </c>
      <c r="M35" s="608">
        <v>44627</v>
      </c>
      <c r="N35" s="611">
        <v>44635</v>
      </c>
      <c r="O35" s="617"/>
      <c r="P35" s="614">
        <f>IF(M35&lt;&gt;"",NETWORKDAYS.INTL(M35,N35,11,Calendrier!$B$3:$B$15),"")</f>
        <v>8</v>
      </c>
    </row>
    <row r="36" spans="12:16">
      <c r="L36">
        <f t="shared" ref="L36:L39" si="19">MONTH(M36)</f>
        <v>5</v>
      </c>
      <c r="M36" s="608">
        <v>44708</v>
      </c>
      <c r="N36" s="611">
        <v>44719</v>
      </c>
      <c r="O36" s="617"/>
      <c r="P36" s="614">
        <f>IF(M36&lt;&gt;"",NETWORKDAYS.INTL(M36,N36,11,Calendrier!$B$3:$B$15),"")</f>
        <v>9</v>
      </c>
    </row>
    <row r="37" spans="12:16">
      <c r="L37">
        <f t="shared" si="19"/>
        <v>8</v>
      </c>
      <c r="M37" s="608">
        <v>44789</v>
      </c>
      <c r="N37" s="611">
        <v>44790</v>
      </c>
      <c r="O37" s="617"/>
      <c r="P37" s="614">
        <f>IF(M37&lt;&gt;"",NETWORKDAYS.INTL(M37,N37,11,Calendrier!$B$3:$B$15),"")</f>
        <v>2</v>
      </c>
    </row>
    <row r="38" spans="12:16">
      <c r="L38">
        <f t="shared" si="19"/>
        <v>12</v>
      </c>
      <c r="M38" s="608">
        <v>44914</v>
      </c>
      <c r="N38" s="611">
        <v>44919</v>
      </c>
      <c r="O38" s="617"/>
      <c r="P38" s="614">
        <f>IF(M38&lt;&gt;"",NETWORKDAYS.INTL(M38,N38,11,Calendrier!$B$3:$B$15),"")</f>
        <v>6</v>
      </c>
    </row>
    <row r="39" spans="12:16" ht="15.75" thickBot="1">
      <c r="L39">
        <f t="shared" si="19"/>
        <v>1</v>
      </c>
      <c r="M39" s="609"/>
      <c r="N39" s="612"/>
      <c r="O39" s="618"/>
      <c r="P39" s="615" t="str">
        <f>IF(M39&lt;&gt;"",NETWORKDAYS.INTL(M39,N39,11,Calendrier!$B$3:$B$15),"")</f>
        <v/>
      </c>
    </row>
    <row r="40" spans="12:16">
      <c r="P40" s="619">
        <f>SUM(P35:P39)</f>
        <v>25</v>
      </c>
    </row>
  </sheetData>
  <mergeCells count="21">
    <mergeCell ref="K6:L6"/>
    <mergeCell ref="K5:L5"/>
    <mergeCell ref="K4:L4"/>
    <mergeCell ref="K3:L3"/>
    <mergeCell ref="K2:L2"/>
    <mergeCell ref="K11:L11"/>
    <mergeCell ref="K10:L10"/>
    <mergeCell ref="K9:L9"/>
    <mergeCell ref="K8:L8"/>
    <mergeCell ref="K7:L7"/>
    <mergeCell ref="M17:P17"/>
    <mergeCell ref="M25:P25"/>
    <mergeCell ref="M33:P33"/>
    <mergeCell ref="K13:L13"/>
    <mergeCell ref="K12:L12"/>
    <mergeCell ref="C3:C6"/>
    <mergeCell ref="E3:E6"/>
    <mergeCell ref="C10:C13"/>
    <mergeCell ref="E10:E13"/>
    <mergeCell ref="B3:B6"/>
    <mergeCell ref="B10:B13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5D79C-76A3-43FF-8939-40C2C896ED32}">
  <sheetPr codeName="Feuil13">
    <tabColor theme="9" tint="-0.249977111117893"/>
  </sheetPr>
  <dimension ref="A1:L23"/>
  <sheetViews>
    <sheetView showGridLines="0" topLeftCell="B1" workbookViewId="0">
      <selection activeCell="F6" sqref="F6"/>
    </sheetView>
  </sheetViews>
  <sheetFormatPr baseColWidth="10" defaultColWidth="11.42578125" defaultRowHeight="15" outlineLevelCol="1"/>
  <cols>
    <col min="1" max="1" width="11.42578125" hidden="1" customWidth="1" outlineLevel="1"/>
    <col min="2" max="2" width="6.7109375" customWidth="1" collapsed="1"/>
    <col min="3" max="3" width="37.42578125" customWidth="1"/>
    <col min="4" max="4" width="32.42578125" customWidth="1"/>
    <col min="5" max="5" width="33.85546875" customWidth="1"/>
    <col min="6" max="6" width="21.85546875" customWidth="1"/>
    <col min="11" max="11" width="0" hidden="1" customWidth="1" outlineLevel="1"/>
    <col min="12" max="12" width="11.42578125" collapsed="1"/>
  </cols>
  <sheetData>
    <row r="1" spans="1:11" ht="15.75" thickBot="1"/>
    <row r="2" spans="1:11">
      <c r="C2" s="597" t="str">
        <f>CONCATENATE("SAISIE SUR SALAIRE ",Sélection!$C$2," ",Sélection!$C$3)</f>
        <v>SAISIE SUR SALAIRE B. Pascal</v>
      </c>
      <c r="D2" s="598"/>
      <c r="E2" s="598"/>
      <c r="F2" s="599"/>
    </row>
    <row r="3" spans="1:11" ht="15.75" thickBot="1">
      <c r="C3" s="600"/>
      <c r="D3" s="601"/>
      <c r="E3" s="601"/>
      <c r="F3" s="602"/>
    </row>
    <row r="4" spans="1:11" ht="15.75" thickBot="1"/>
    <row r="5" spans="1:11" s="239" customFormat="1" ht="35.25" customHeight="1" thickBot="1">
      <c r="A5" s="239">
        <v>124.17</v>
      </c>
      <c r="C5" s="240" t="s">
        <v>169</v>
      </c>
      <c r="D5" s="459" t="str">
        <f>IF(Sélection!E9="non","",HLOOKUP(Sélection!C3,'Base employés'!$B$4:E26,21,FALSE))</f>
        <v/>
      </c>
      <c r="E5" s="241" t="s">
        <v>170</v>
      </c>
      <c r="F5" s="362" t="str">
        <f>IF(Sélection!E9="non","",BS!$L$80)</f>
        <v/>
      </c>
    </row>
    <row r="6" spans="1:11" s="239" customFormat="1" ht="35.25" customHeight="1" thickBot="1">
      <c r="C6" s="243" t="s">
        <v>171</v>
      </c>
      <c r="D6" s="468" t="str">
        <f>IF(Sélection!E9="non","",IF($E$17=0,"",ROUNDUP($F$6/$E$17,0)&amp;" mois"&amp;CONCATENATE(" dont dernier mois inférieur pour solde")))</f>
        <v/>
      </c>
      <c r="E6" s="243" t="s">
        <v>172</v>
      </c>
      <c r="F6" s="242">
        <v>650</v>
      </c>
      <c r="J6" s="244"/>
    </row>
    <row r="7" spans="1:11" ht="15.75" thickBot="1"/>
    <row r="8" spans="1:11" s="239" customFormat="1" ht="20.25" customHeight="1">
      <c r="C8" s="245" t="s">
        <v>173</v>
      </c>
      <c r="D8" s="246" t="s">
        <v>174</v>
      </c>
      <c r="E8" s="247" t="s">
        <v>175</v>
      </c>
    </row>
    <row r="9" spans="1:11" s="239" customFormat="1" ht="20.25" customHeight="1">
      <c r="A9" s="239" t="e">
        <f>IF(AND($D$5=0,$F$5&gt;0,$F$5&lt;322.5),$F$5,IF(AND($D$5&gt;0,$F$5&gt;0+($D$5*$A$5),$F$5&lt;322.5+($D$5*$A$5)),$F$5-0,IF(AND($D$5=0,$F$5&gt;0,$F$5&gt;322.5),322.5,IF(AND($D$5&gt;0,$F$5&gt;0+($D$5*$A$5),$F$5&gt;322.5+($D$5*$A$5)),322.5+($D$5*$A$5),""))))</f>
        <v>#VALUE!</v>
      </c>
      <c r="C9" s="454" t="str">
        <f>IF(Sélection!E9="non","De 0 à 322.50 €",CONCATENATE("0 € à ")&amp;IF($D$5&gt;0,322.5+($A$5*$D$5)&amp;" €","322,50 €"))</f>
        <v>De 0 à 322.50 €</v>
      </c>
      <c r="D9" s="248">
        <f>1/20</f>
        <v>0.05</v>
      </c>
      <c r="E9" s="249" t="str">
        <f>IF(Sélection!E9="non","",IF(A9&lt;&gt;"",A9*D9,0))</f>
        <v/>
      </c>
    </row>
    <row r="10" spans="1:11" s="239" customFormat="1" ht="20.25" customHeight="1">
      <c r="A10" s="239" t="e">
        <f>IF(AND($D$5=0,$F$5&gt;322.51,$F$5&lt;629.17),$F$5-322.51,IF(AND($D$5&gt;0,$F$5&gt;322.51+($D$5*$A$5),$F$5&lt;629.17+($D$5*$A$5)),$F$5-((322.51+($D$5*$A$5))),IF(AND($D$5=0,$F$5&gt;322.51,$F$5&gt;629.17),306.66,IF(AND($D$5&gt;0,$F$5&gt;322.51+($D$5*$A$5),$F$5&gt;629.17+($D$5*$A$5)),306.66,""))))</f>
        <v>#VALUE!</v>
      </c>
      <c r="C10" s="454" t="str">
        <f>IF(Sélection!E9="non","322.51 € à 629.17 €",IF($D$5=0,CONCATENATE("322,51 € à ")&amp;IF($D$5&gt;0,629.17+($A$5*$D$5)&amp;" €","629,17 €"),IF($D$5&gt;0,322.51+($A$5*$D$5)&amp;" € à "&amp;629.17+($A$5*$D$5)&amp;" €","")))</f>
        <v>322.51 € à 629.17 €</v>
      </c>
      <c r="D10" s="248">
        <f>1/10</f>
        <v>0.1</v>
      </c>
      <c r="E10" s="249" t="str">
        <f>IF(Sélection!E9="non","",IF(A10&lt;&gt;"",(A10*D10)+E9,""))</f>
        <v/>
      </c>
      <c r="K10" s="239">
        <v>306.65999999999997</v>
      </c>
    </row>
    <row r="11" spans="1:11" s="239" customFormat="1" ht="20.25" customHeight="1">
      <c r="A11" s="239" t="e">
        <f>IF(AND($D$5=0,$F$5&gt;629.18,$F$5&lt;937.5),$F$5-629.18,IF(AND($D$5&gt;0,$F$5&gt;629.18+($D$5*$A$5),$F$5&lt;937.5+($D$5*$A$5)),$F$5-((629.18+($D$5*$A$5))),IF(AND($D$5=0,$F$5&gt;629.18,$F$5&gt;937.5),308.32,IF(AND($D$5&gt;0,$F$5&gt;629.18+($D$5*$A$5),$F$5&gt;937.5+($D$5*$A$5)),308.32,""))))</f>
        <v>#VALUE!</v>
      </c>
      <c r="C11" s="454" t="str">
        <f>IF(Sélection!E9="non","629.18 € à 937.50 €",IF($D$5=0,CONCATENATE("629,18 € à ")&amp;IF($D$5&gt;0,629.18+($A$5*$D$5)&amp;" €","937,50 €"),IF($D$5&gt;0,629.18+($A$5*$D$5)&amp;" € à "&amp;937.5+($A$5*$D$5)&amp;" €","")))</f>
        <v>629.18 € à 937.50 €</v>
      </c>
      <c r="D11" s="248">
        <f>1/5</f>
        <v>0.2</v>
      </c>
      <c r="E11" s="249" t="str">
        <f>IF(Sélection!E9="non","",IF(A11&lt;&gt;"",(A11*D11)+E10,""))</f>
        <v/>
      </c>
      <c r="K11" s="239">
        <v>308.32000000000005</v>
      </c>
    </row>
    <row r="12" spans="1:11" s="239" customFormat="1" ht="20.25" customHeight="1">
      <c r="A12" s="239" t="e">
        <f>IF(AND($D$5=0,$F$5&gt;937.51,$F$5&lt;1244.17),$F$5-937.51,IF(AND($D$5&gt;0,$F$5&gt;937.51+($D$5*$A$5),$F$5&lt;1244.17+($D$5*$A$5)),$F$5-((937.51+($D$5*$A$5))),IF(AND($D$5=0,$F$5&gt;937.51,$F$5&gt;1244.17),306.66,IF(AND($D$5&gt;0,$F$5&gt;937.51+($D$5*$A$5),$F$5&gt;1244.17+($D$5*$A$5)),306.66,""))))</f>
        <v>#VALUE!</v>
      </c>
      <c r="C12" s="454" t="str">
        <f>IF(Sélection!E9="non","937.51 € à 1 244.17 €",IF($D$5=0,CONCATENATE("937,51 € à ")&amp;IF($D$5&gt;0,1244.17+($A$5*$D$5)&amp;" €","1244,17 €"),IF($D$5&gt;0,937.51+($A$5*$D$5)&amp;" € à "&amp;1244.17+($A$5*$D$5)&amp;" €","")))</f>
        <v>937.51 € à 1 244.17 €</v>
      </c>
      <c r="D12" s="248">
        <f>1/4</f>
        <v>0.25</v>
      </c>
      <c r="E12" s="249" t="str">
        <f>IF(Sélection!E9="non","",IF(A12&lt;&gt;"",(A12*D12)+E11,""))</f>
        <v/>
      </c>
      <c r="K12" s="239">
        <v>306.66000000000008</v>
      </c>
    </row>
    <row r="13" spans="1:11" s="239" customFormat="1" ht="20.25" customHeight="1">
      <c r="A13" s="244" t="e">
        <f>IF(AND($D$5=0,$F$5&gt;1244.18,$F$5&lt;1550.83),$F$5-1244.18,IF(AND($D$5&gt;0,$F$5&gt;1244.18+($D$5*$A$5),$F$5&lt;1550.83+($D$5*$A$5)),$F$5-((1244.18+($D$5*$A$5))),IF(AND($D$5=0,$F$5&gt;1244.18,$F$5&gt;1550.83),306.65,IF(AND($D$5&gt;0,$F$5&gt;1244.18+($D$5*$A$5),$F$5&gt;1550.83+($D$5*$A$5)),306.65,""))))</f>
        <v>#VALUE!</v>
      </c>
      <c r="B13" s="244"/>
      <c r="C13" s="454" t="str">
        <f>IF(Sélection!E9="non","1 244.18 € à 1 550.83 €",IF($D$5=0,CONCATENATE("1244,18 € à ")&amp;IF($D$5&gt;0,1150.83+($A$5*$D$5)&amp;" €","1550,83 €"),IF($D$5&gt;0,1244.18+($A$5*$D$5)&amp;" € à "&amp;1550.83+($A$5*$D$5)&amp;" €","")))</f>
        <v>1 244.18 € à 1 550.83 €</v>
      </c>
      <c r="D13" s="248">
        <f>1/3</f>
        <v>0.33333333333333331</v>
      </c>
      <c r="E13" s="249" t="str">
        <f>IF(Sélection!E9="non","",IF(A13&lt;&gt;"",(A13*D13)+E12,""))</f>
        <v/>
      </c>
      <c r="K13" s="239">
        <v>306.64999999999986</v>
      </c>
    </row>
    <row r="14" spans="1:11" s="239" customFormat="1" ht="20.25" customHeight="1">
      <c r="A14" s="239" t="e">
        <f>IF(AND($D$5=0,$F$5&gt;1550.84,$F$5&lt;1863.33),$F$5-1550.84,IF(AND($D$5&gt;0,$F$5&gt;1550.84+($D$5*$A$5),$F$5&lt;1863.33+($D$5*$A$5)),$F$5-((1550.84+($D$5*$A$5))),IF(AND($D$5=0,$F$5&gt;1550.84,$F$5&gt;1863.33),312.49,IF(AND($D$5&gt;0,$F$5&gt;1550.84+($D$5*$A$5),$F$5&gt;1863.33+($D$5*$A$5)),312.49,""))))</f>
        <v>#VALUE!</v>
      </c>
      <c r="C14" s="454" t="str">
        <f>IF(Sélection!E9="non","1 550.84 € à 1 863.33 €",IF($D$5=0,CONCATENATE("1550,84 € à ")&amp;IF($D$5&gt;0,1863.33+($A$5*$D$5)&amp;" €","1863,33 €"),IF($D$5&gt;0,1550.84+($A$5*$D$5)&amp;" € à "&amp;1863.33+($A$5*$D$5)&amp;" €","")))</f>
        <v>1 550.84 € à 1 863.33 €</v>
      </c>
      <c r="D14" s="248">
        <f>2/3</f>
        <v>0.66666666666666663</v>
      </c>
      <c r="E14" s="249" t="str">
        <f>IF(Sélection!E9="non","",IF(A14&lt;&gt;"",(A14*D14)+E13,""))</f>
        <v/>
      </c>
      <c r="K14" s="239">
        <v>312.49</v>
      </c>
    </row>
    <row r="15" spans="1:11" s="239" customFormat="1" ht="20.25" customHeight="1" thickBot="1">
      <c r="A15" s="239" t="e">
        <f>IF(AND($D$5=0,$F$5&gt;1863.33),$F$5-1863.33,IF(AND($D$5&gt;0,$F$5&gt;1863.33+($D$5*$A$5)),$F$5-((1863.33+($D$5*$A$5))),""))</f>
        <v>#VALUE!</v>
      </c>
      <c r="C15" s="467" t="str">
        <f>IF(Sélection!E9="non","Plus de 1863.33 €",IF($D$5=0,CONCATENATE("plus de 1863,33 €"),IF($D$5&gt;0,CONCATENATE("plus de ")&amp;1863.33+($A$5*$D$5)&amp;" €","")))</f>
        <v>Plus de 1863.33 €</v>
      </c>
      <c r="D15" s="250">
        <v>1</v>
      </c>
      <c r="E15" s="251" t="str">
        <f>IF(Sélection!E9="non","",IF(A15&lt;&gt;"",(A15*D15)+E14,""))</f>
        <v/>
      </c>
    </row>
    <row r="16" spans="1:11" ht="15.75" thickBot="1"/>
    <row r="17" spans="3:5" ht="19.5" thickBot="1">
      <c r="D17" s="417" t="s">
        <v>176</v>
      </c>
      <c r="E17" s="252" t="str">
        <f>IF(E15&lt;&gt;"",E15,IF(E14&lt;&gt;"",E14,IF(E13&lt;&gt;"",E13,IF(E12&lt;&gt;"",E12,IF(E11&lt;&gt;"",E11,IF(E10&lt;&gt;"",E10,IF(E9&lt;&gt;"",E9,"")))))))</f>
        <v/>
      </c>
    </row>
    <row r="18" spans="3:5" ht="19.5" thickBot="1">
      <c r="D18" s="416" t="str">
        <f>IF(Sélection!E9="non","Saisie sur # mois","Saisie sur "&amp;ROUNDUP($F$6/$E$17,0)&amp;" mois")</f>
        <v>Saisie sur # mois</v>
      </c>
      <c r="E18" s="252">
        <f>IF(Sélection!E9="non",0,IF(ROUNDUP($F$6/$E$17,0)&gt;1,$E$17,$F$6))</f>
        <v>0</v>
      </c>
    </row>
    <row r="19" spans="3:5" ht="19.5" thickBot="1">
      <c r="D19" s="414" t="s">
        <v>364</v>
      </c>
      <c r="E19" s="415" t="str">
        <f>IF(Sélection!E9="non","",IF(ROUNDUP($F$6/$E$17,0)&gt;1,$F$6-(ROUNDUP($F$6/$E$17,0)-1)*$E$17,0))</f>
        <v/>
      </c>
    </row>
    <row r="20" spans="3:5" ht="18.75">
      <c r="D20" s="412"/>
      <c r="E20" s="413"/>
    </row>
    <row r="21" spans="3:5" ht="18.75">
      <c r="D21" s="412"/>
      <c r="E21" s="413"/>
    </row>
    <row r="22" spans="3:5">
      <c r="C22" t="s">
        <v>265</v>
      </c>
    </row>
    <row r="23" spans="3:5">
      <c r="C23" t="s">
        <v>266</v>
      </c>
    </row>
  </sheetData>
  <mergeCells count="1">
    <mergeCell ref="C2:F3"/>
  </mergeCells>
  <conditionalFormatting sqref="D19:E19">
    <cfRule type="expression" dxfId="1" priority="2">
      <formula>ROUNDUP($F$6/$E$17,0)&lt;=1</formula>
    </cfRule>
  </conditionalFormatting>
  <conditionalFormatting sqref="E18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9CA44119C8E2B459C9351CB1DE674FA" ma:contentTypeVersion="0" ma:contentTypeDescription="Crée un document." ma:contentTypeScope="" ma:versionID="4bf780c3d3d1279770eb392c97e49ecb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7043723848d0f805fbc3fbd7bf262d2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0B0E5DA-37A8-4BDB-9FCE-6447442F35B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40310A2-8EC2-4D64-83EE-8D7733117A47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74B04169-DD90-4483-AF5E-EFE5C26D982D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0572F105-09B1-46A5-BA90-139838F4CE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Base cotisations</vt:lpstr>
      <vt:lpstr>Informations paye_entreprise</vt:lpstr>
      <vt:lpstr>Calendrier</vt:lpstr>
      <vt:lpstr>Base employés</vt:lpstr>
      <vt:lpstr>Formulaire</vt:lpstr>
      <vt:lpstr>Salariale</vt:lpstr>
      <vt:lpstr>Patronale</vt:lpstr>
      <vt:lpstr>Décompte cotisation</vt:lpstr>
      <vt:lpstr>BS</vt:lpstr>
      <vt:lpstr>Sélection</vt:lpstr>
      <vt:lpstr>Calcul ICCP_ICP</vt:lpstr>
      <vt:lpstr>PAS</vt:lpstr>
      <vt:lpstr>Heures supplémentaires</vt:lpstr>
      <vt:lpstr>Tableau absence</vt:lpstr>
      <vt:lpstr>Saisie sur salaire</vt:lpstr>
      <vt:lpstr>'Tableau absence'!Absences</vt:lpstr>
      <vt:lpstr>BS!Zone_d_impression</vt:lpstr>
    </vt:vector>
  </TitlesOfParts>
  <Company>AFPA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79010-27-08</dc:creator>
  <cp:lastModifiedBy>PAUL Axelle</cp:lastModifiedBy>
  <cp:lastPrinted>2022-02-21T14:36:02Z</cp:lastPrinted>
  <dcterms:created xsi:type="dcterms:W3CDTF">2018-12-05T08:45:20Z</dcterms:created>
  <dcterms:modified xsi:type="dcterms:W3CDTF">2022-02-22T08:45:18Z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0x01010059CA44119C8E2B459C9351CB1DE674FA</vt:lpwstr>
  </property>
</Properties>
</file>