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rnaud.fleith\Downloads\"/>
    </mc:Choice>
  </mc:AlternateContent>
  <xr:revisionPtr revIDLastSave="0" documentId="8_{668FA0CB-F88D-435E-9A66-B5B77280693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stock total système" sheetId="1" r:id="rId1"/>
    <sheet name="commande" sheetId="8" r:id="rId2"/>
  </sheets>
  <externalReferences>
    <externalReference r:id="rId3"/>
    <externalReference r:id="rId4"/>
  </externalReferences>
  <definedNames>
    <definedName name="autrepieces">[1]Listes!$R$2:$R$6</definedName>
    <definedName name="listecom">#REF!</definedName>
    <definedName name="listedate">#REF!</definedName>
    <definedName name="listeheure">#REF!</definedName>
    <definedName name="listemouvement">#REF!</definedName>
    <definedName name="listen°systeme">#REF!</definedName>
    <definedName name="listeouinon">#REF!</definedName>
    <definedName name="listesuivis">#REF!</definedName>
    <definedName name="listesysteme">#REF!</definedName>
    <definedName name="listetech">#REF!</definedName>
    <definedName name="listetype">#REF!</definedName>
    <definedName name="piecesadoucisseur">'[1]stock total systeme'!$C$10</definedName>
    <definedName name="piecesautoclave">'[1]stock total systeme'!$C$11:$C$32</definedName>
    <definedName name="piecesbakon">'[2]stock total systeme'!$C$35:$C$69</definedName>
    <definedName name="piecesbcc">'[2]stock total systeme'!$C$70:$C$116</definedName>
    <definedName name="piecescdl">'[1]stock total systeme'!$C$119:$C$126</definedName>
    <definedName name="piecescl">'[1]stock total systeme'!$C$166:$C$172</definedName>
    <definedName name="piecesclippeuse">'[1]stock total systeme'!$C$143:$C$160</definedName>
    <definedName name="piecescta">'[1]stock total systeme'!$C$214:$C$221</definedName>
    <definedName name="piecesegoutoire">'[1]stock total systeme'!$C$235:$C$236</definedName>
    <definedName name="piecesmw">'[1]stock total systeme'!$C$161:$C$165</definedName>
    <definedName name="piecespedi">'[1]stock total systeme'!$C$511:$C$515</definedName>
    <definedName name="piecesrs">'[1]total stock autres'!$C$6:$C$80</definedName>
    <definedName name="tech">#REF!</definedName>
    <definedName name="toutstock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543" i="8" l="1"/>
  <c r="K543" i="8"/>
  <c r="I543" i="8"/>
  <c r="K539" i="8"/>
  <c r="I539" i="8"/>
  <c r="F539" i="8"/>
  <c r="F538" i="8"/>
  <c r="K538" i="8" s="1"/>
  <c r="F537" i="8"/>
  <c r="K537" i="8" s="1"/>
  <c r="F536" i="8"/>
  <c r="K536" i="8" s="1"/>
  <c r="F535" i="8"/>
  <c r="K535" i="8" s="1"/>
  <c r="F533" i="8"/>
  <c r="K533" i="8" s="1"/>
  <c r="F531" i="8"/>
  <c r="K531" i="8" s="1"/>
  <c r="F527" i="8"/>
  <c r="K527" i="8" s="1"/>
  <c r="F526" i="8"/>
  <c r="K526" i="8" s="1"/>
  <c r="F525" i="8"/>
  <c r="K525" i="8" s="1"/>
  <c r="F524" i="8"/>
  <c r="K524" i="8" s="1"/>
  <c r="K523" i="8"/>
  <c r="I523" i="8"/>
  <c r="F523" i="8"/>
  <c r="F521" i="8"/>
  <c r="K521" i="8" s="1"/>
  <c r="F519" i="8"/>
  <c r="K519" i="8" s="1"/>
  <c r="F515" i="8"/>
  <c r="K515" i="8" s="1"/>
  <c r="F514" i="8"/>
  <c r="K514" i="8" s="1"/>
  <c r="M513" i="8"/>
  <c r="F513" i="8"/>
  <c r="K513" i="8" s="1"/>
  <c r="F512" i="8"/>
  <c r="K512" i="8" s="1"/>
  <c r="F511" i="8"/>
  <c r="K511" i="8" s="1"/>
  <c r="F509" i="8"/>
  <c r="K509" i="8" s="1"/>
  <c r="M507" i="8"/>
  <c r="F507" i="8"/>
  <c r="I507" i="8" s="1"/>
  <c r="F503" i="8"/>
  <c r="K503" i="8" s="1"/>
  <c r="M502" i="8"/>
  <c r="F502" i="8"/>
  <c r="I502" i="8" s="1"/>
  <c r="F501" i="8"/>
  <c r="I501" i="8" s="1"/>
  <c r="I500" i="8"/>
  <c r="F500" i="8"/>
  <c r="K498" i="8"/>
  <c r="F498" i="8"/>
  <c r="I498" i="8" s="1"/>
  <c r="F496" i="8"/>
  <c r="K496" i="8" s="1"/>
  <c r="K492" i="8"/>
  <c r="F492" i="8"/>
  <c r="I492" i="8" s="1"/>
  <c r="F491" i="8"/>
  <c r="K491" i="8" s="1"/>
  <c r="F490" i="8"/>
  <c r="K490" i="8" s="1"/>
  <c r="K489" i="8"/>
  <c r="F489" i="8"/>
  <c r="I489" i="8" s="1"/>
  <c r="F488" i="8"/>
  <c r="K488" i="8" s="1"/>
  <c r="F486" i="8"/>
  <c r="K486" i="8" s="1"/>
  <c r="K484" i="8"/>
  <c r="F484" i="8"/>
  <c r="I484" i="8" s="1"/>
  <c r="F480" i="8"/>
  <c r="K480" i="8" s="1"/>
  <c r="F479" i="8"/>
  <c r="K479" i="8" s="1"/>
  <c r="K478" i="8"/>
  <c r="F478" i="8"/>
  <c r="I478" i="8" s="1"/>
  <c r="F477" i="8"/>
  <c r="K477" i="8" s="1"/>
  <c r="F476" i="8"/>
  <c r="K476" i="8" s="1"/>
  <c r="K474" i="8"/>
  <c r="F474" i="8"/>
  <c r="I474" i="8" s="1"/>
  <c r="F472" i="8"/>
  <c r="K472" i="8" s="1"/>
  <c r="K468" i="8"/>
  <c r="F468" i="8"/>
  <c r="I468" i="8" s="1"/>
  <c r="M467" i="8"/>
  <c r="F467" i="8"/>
  <c r="I467" i="8" s="1"/>
  <c r="I466" i="8"/>
  <c r="F466" i="8"/>
  <c r="F465" i="8"/>
  <c r="I465" i="8" s="1"/>
  <c r="I464" i="8"/>
  <c r="F464" i="8"/>
  <c r="F462" i="8"/>
  <c r="I462" i="8" s="1"/>
  <c r="F460" i="8"/>
  <c r="I460" i="8" s="1"/>
  <c r="F456" i="8"/>
  <c r="I456" i="8" s="1"/>
  <c r="F455" i="8"/>
  <c r="K455" i="8" s="1"/>
  <c r="F454" i="8"/>
  <c r="K454" i="8" s="1"/>
  <c r="K453" i="8"/>
  <c r="F453" i="8"/>
  <c r="I453" i="8" s="1"/>
  <c r="F452" i="8"/>
  <c r="K452" i="8" s="1"/>
  <c r="F450" i="8"/>
  <c r="K450" i="8" s="1"/>
  <c r="F448" i="8"/>
  <c r="K448" i="8" s="1"/>
  <c r="I444" i="8"/>
  <c r="F444" i="8"/>
  <c r="K444" i="8" s="1"/>
  <c r="K443" i="8"/>
  <c r="F443" i="8"/>
  <c r="I443" i="8" s="1"/>
  <c r="K442" i="8"/>
  <c r="F442" i="8"/>
  <c r="I442" i="8" s="1"/>
  <c r="K441" i="8"/>
  <c r="F441" i="8"/>
  <c r="I441" i="8" s="1"/>
  <c r="F439" i="8"/>
  <c r="K439" i="8" s="1"/>
  <c r="F437" i="8"/>
  <c r="K437" i="8" s="1"/>
  <c r="F433" i="8"/>
  <c r="K433" i="8" s="1"/>
  <c r="F432" i="8"/>
  <c r="K432" i="8" s="1"/>
  <c r="F431" i="8"/>
  <c r="K431" i="8" s="1"/>
  <c r="F430" i="8"/>
  <c r="K430" i="8" s="1"/>
  <c r="F429" i="8"/>
  <c r="K429" i="8" s="1"/>
  <c r="F427" i="8"/>
  <c r="K427" i="8" s="1"/>
  <c r="F425" i="8"/>
  <c r="K425" i="8" s="1"/>
  <c r="F421" i="8"/>
  <c r="K421" i="8" s="1"/>
  <c r="K420" i="8"/>
  <c r="F420" i="8"/>
  <c r="I420" i="8" s="1"/>
  <c r="F419" i="8"/>
  <c r="K419" i="8" s="1"/>
  <c r="F418" i="8"/>
  <c r="K418" i="8" s="1"/>
  <c r="F417" i="8"/>
  <c r="I417" i="8" s="1"/>
  <c r="F415" i="8"/>
  <c r="I415" i="8" s="1"/>
  <c r="F413" i="8"/>
  <c r="K413" i="8" s="1"/>
  <c r="F409" i="8"/>
  <c r="K409" i="8" s="1"/>
  <c r="K408" i="8"/>
  <c r="F408" i="8"/>
  <c r="I408" i="8" s="1"/>
  <c r="K407" i="8"/>
  <c r="F407" i="8"/>
  <c r="I407" i="8" s="1"/>
  <c r="K406" i="8"/>
  <c r="F406" i="8"/>
  <c r="I406" i="8" s="1"/>
  <c r="K405" i="8"/>
  <c r="F405" i="8"/>
  <c r="I405" i="8" s="1"/>
  <c r="K403" i="8"/>
  <c r="F403" i="8"/>
  <c r="I403" i="8" s="1"/>
  <c r="F401" i="8"/>
  <c r="K401" i="8" s="1"/>
  <c r="F397" i="8"/>
  <c r="K397" i="8" s="1"/>
  <c r="F396" i="8"/>
  <c r="K396" i="8" s="1"/>
  <c r="F395" i="8"/>
  <c r="K395" i="8" s="1"/>
  <c r="I394" i="8"/>
  <c r="F394" i="8"/>
  <c r="K394" i="8" s="1"/>
  <c r="K393" i="8"/>
  <c r="F393" i="8"/>
  <c r="I393" i="8" s="1"/>
  <c r="F391" i="8"/>
  <c r="K391" i="8" s="1"/>
  <c r="F389" i="8"/>
  <c r="K389" i="8" s="1"/>
  <c r="F382" i="8"/>
  <c r="K382" i="8" s="1"/>
  <c r="F381" i="8"/>
  <c r="K381" i="8" s="1"/>
  <c r="K380" i="8"/>
  <c r="F380" i="8"/>
  <c r="I380" i="8" s="1"/>
  <c r="F379" i="8"/>
  <c r="K379" i="8" s="1"/>
  <c r="K378" i="8"/>
  <c r="F378" i="8"/>
  <c r="I378" i="8" s="1"/>
  <c r="K376" i="8"/>
  <c r="F376" i="8"/>
  <c r="I376" i="8" s="1"/>
  <c r="M374" i="8"/>
  <c r="F374" i="8"/>
  <c r="K374" i="8" s="1"/>
  <c r="F370" i="8"/>
  <c r="K370" i="8" s="1"/>
  <c r="M369" i="8"/>
  <c r="F369" i="8"/>
  <c r="K369" i="8" s="1"/>
  <c r="F368" i="8"/>
  <c r="K368" i="8" s="1"/>
  <c r="M367" i="8"/>
  <c r="F367" i="8"/>
  <c r="K367" i="8" s="1"/>
  <c r="F366" i="8"/>
  <c r="K366" i="8" s="1"/>
  <c r="K364" i="8"/>
  <c r="F364" i="8"/>
  <c r="I364" i="8" s="1"/>
  <c r="F362" i="8"/>
  <c r="K362" i="8" s="1"/>
  <c r="K358" i="8"/>
  <c r="F358" i="8"/>
  <c r="I358" i="8" s="1"/>
  <c r="F357" i="8"/>
  <c r="K357" i="8" s="1"/>
  <c r="F356" i="8"/>
  <c r="K356" i="8" s="1"/>
  <c r="K355" i="8"/>
  <c r="F355" i="8"/>
  <c r="I355" i="8" s="1"/>
  <c r="F354" i="8"/>
  <c r="K354" i="8" s="1"/>
  <c r="F352" i="8"/>
  <c r="K352" i="8" s="1"/>
  <c r="F350" i="8"/>
  <c r="K350" i="8" s="1"/>
  <c r="F346" i="8"/>
  <c r="I346" i="8" s="1"/>
  <c r="K345" i="8"/>
  <c r="F345" i="8"/>
  <c r="I345" i="8" s="1"/>
  <c r="K344" i="8"/>
  <c r="F344" i="8"/>
  <c r="I344" i="8" s="1"/>
  <c r="K343" i="8"/>
  <c r="F343" i="8"/>
  <c r="I343" i="8" s="1"/>
  <c r="K342" i="8"/>
  <c r="F342" i="8"/>
  <c r="I342" i="8" s="1"/>
  <c r="K340" i="8"/>
  <c r="F340" i="8"/>
  <c r="I340" i="8" s="1"/>
  <c r="F338" i="8"/>
  <c r="K338" i="8" s="1"/>
  <c r="F334" i="8"/>
  <c r="K334" i="8" s="1"/>
  <c r="F333" i="8"/>
  <c r="K333" i="8" s="1"/>
  <c r="F332" i="8"/>
  <c r="K332" i="8" s="1"/>
  <c r="F331" i="8"/>
  <c r="K331" i="8" s="1"/>
  <c r="F330" i="8"/>
  <c r="K330" i="8" s="1"/>
  <c r="F328" i="8"/>
  <c r="K328" i="8" s="1"/>
  <c r="F326" i="8"/>
  <c r="K326" i="8" s="1"/>
  <c r="M322" i="8"/>
  <c r="F322" i="8"/>
  <c r="K322" i="8" s="1"/>
  <c r="F321" i="8"/>
  <c r="K321" i="8" s="1"/>
  <c r="F320" i="8"/>
  <c r="I320" i="8" s="1"/>
  <c r="F319" i="8"/>
  <c r="K319" i="8" s="1"/>
  <c r="F318" i="8"/>
  <c r="K318" i="8" s="1"/>
  <c r="F316" i="8"/>
  <c r="K316" i="8" s="1"/>
  <c r="K314" i="8"/>
  <c r="F314" i="8"/>
  <c r="I314" i="8" s="1"/>
  <c r="F310" i="8"/>
  <c r="K310" i="8" s="1"/>
  <c r="F309" i="8"/>
  <c r="K309" i="8" s="1"/>
  <c r="K308" i="8"/>
  <c r="F308" i="8"/>
  <c r="I308" i="8" s="1"/>
  <c r="K307" i="8"/>
  <c r="F307" i="8"/>
  <c r="I307" i="8" s="1"/>
  <c r="K306" i="8"/>
  <c r="F306" i="8"/>
  <c r="I306" i="8" s="1"/>
  <c r="K304" i="8"/>
  <c r="F304" i="8"/>
  <c r="I304" i="8" s="1"/>
  <c r="F302" i="8"/>
  <c r="K302" i="8" s="1"/>
  <c r="K298" i="8"/>
  <c r="F298" i="8"/>
  <c r="I298" i="8" s="1"/>
  <c r="F297" i="8"/>
  <c r="K297" i="8" s="1"/>
  <c r="F296" i="8"/>
  <c r="K296" i="8" s="1"/>
  <c r="F295" i="8"/>
  <c r="K295" i="8" s="1"/>
  <c r="K294" i="8"/>
  <c r="F294" i="8"/>
  <c r="I294" i="8" s="1"/>
  <c r="F292" i="8"/>
  <c r="K292" i="8" s="1"/>
  <c r="F290" i="8"/>
  <c r="K290" i="8" s="1"/>
  <c r="I286" i="8"/>
  <c r="F286" i="8"/>
  <c r="K286" i="8" s="1"/>
  <c r="F285" i="8"/>
  <c r="K285" i="8" s="1"/>
  <c r="F284" i="8"/>
  <c r="K284" i="8" s="1"/>
  <c r="F283" i="8"/>
  <c r="K283" i="8" s="1"/>
  <c r="I282" i="8"/>
  <c r="F282" i="8"/>
  <c r="K282" i="8" s="1"/>
  <c r="F280" i="8"/>
  <c r="K280" i="8" s="1"/>
  <c r="K278" i="8"/>
  <c r="F278" i="8"/>
  <c r="I278" i="8" s="1"/>
  <c r="I274" i="8"/>
  <c r="F274" i="8"/>
  <c r="K274" i="8" s="1"/>
  <c r="F273" i="8"/>
  <c r="K273" i="8" s="1"/>
  <c r="K272" i="8"/>
  <c r="F272" i="8"/>
  <c r="I272" i="8" s="1"/>
  <c r="F271" i="8"/>
  <c r="K271" i="8" s="1"/>
  <c r="F270" i="8"/>
  <c r="K270" i="8" s="1"/>
  <c r="F268" i="8"/>
  <c r="K268" i="8" s="1"/>
  <c r="F266" i="8"/>
  <c r="I266" i="8" s="1"/>
  <c r="F262" i="8"/>
  <c r="K262" i="8" s="1"/>
  <c r="M261" i="8"/>
  <c r="I261" i="8"/>
  <c r="F261" i="8"/>
  <c r="K261" i="8" s="1"/>
  <c r="K260" i="8"/>
  <c r="F260" i="8"/>
  <c r="I260" i="8" s="1"/>
  <c r="F259" i="8"/>
  <c r="K259" i="8" s="1"/>
  <c r="F258" i="8"/>
  <c r="K258" i="8" s="1"/>
  <c r="F256" i="8"/>
  <c r="K256" i="8" s="1"/>
  <c r="F254" i="8"/>
  <c r="K254" i="8" s="1"/>
  <c r="F250" i="8"/>
  <c r="K250" i="8" s="1"/>
  <c r="M249" i="8"/>
  <c r="I249" i="8"/>
  <c r="F249" i="8"/>
  <c r="K249" i="8" s="1"/>
  <c r="K248" i="8"/>
  <c r="I248" i="8"/>
  <c r="F248" i="8"/>
  <c r="K247" i="8"/>
  <c r="F247" i="8"/>
  <c r="I247" i="8" s="1"/>
  <c r="I246" i="8"/>
  <c r="F246" i="8"/>
  <c r="K246" i="8" s="1"/>
  <c r="F244" i="8"/>
  <c r="K244" i="8" s="1"/>
  <c r="F242" i="8"/>
  <c r="K242" i="8" s="1"/>
  <c r="I238" i="8"/>
  <c r="F238" i="8"/>
  <c r="K238" i="8" s="1"/>
  <c r="I237" i="8"/>
  <c r="F237" i="8"/>
  <c r="K237" i="8" s="1"/>
  <c r="K236" i="8"/>
  <c r="F236" i="8"/>
  <c r="I236" i="8" s="1"/>
  <c r="K235" i="8"/>
  <c r="F235" i="8"/>
  <c r="I235" i="8" s="1"/>
  <c r="K234" i="8"/>
  <c r="I234" i="8"/>
  <c r="F234" i="8"/>
  <c r="F232" i="8"/>
  <c r="K232" i="8" s="1"/>
  <c r="F230" i="8"/>
  <c r="K230" i="8" s="1"/>
  <c r="M226" i="8"/>
  <c r="F226" i="8"/>
  <c r="I226" i="8" s="1"/>
  <c r="F225" i="8"/>
  <c r="K225" i="8" s="1"/>
  <c r="F224" i="8"/>
  <c r="K224" i="8" s="1"/>
  <c r="F223" i="8"/>
  <c r="K223" i="8" s="1"/>
  <c r="F222" i="8"/>
  <c r="K222" i="8" s="1"/>
  <c r="K220" i="8"/>
  <c r="F220" i="8"/>
  <c r="I220" i="8" s="1"/>
  <c r="K218" i="8"/>
  <c r="F218" i="8"/>
  <c r="I218" i="8" s="1"/>
  <c r="F214" i="8"/>
  <c r="K214" i="8" s="1"/>
  <c r="M213" i="8"/>
  <c r="F213" i="8"/>
  <c r="K213" i="8" s="1"/>
  <c r="K212" i="8"/>
  <c r="F212" i="8"/>
  <c r="I212" i="8" s="1"/>
  <c r="F211" i="8"/>
  <c r="K211" i="8" s="1"/>
  <c r="F210" i="8"/>
  <c r="K210" i="8" s="1"/>
  <c r="I208" i="8"/>
  <c r="F208" i="8"/>
  <c r="K208" i="8" s="1"/>
  <c r="F206" i="8"/>
  <c r="I206" i="8" s="1"/>
  <c r="F202" i="8"/>
  <c r="K202" i="8" s="1"/>
  <c r="K201" i="8"/>
  <c r="F201" i="8"/>
  <c r="I201" i="8" s="1"/>
  <c r="F200" i="8"/>
  <c r="K200" i="8" s="1"/>
  <c r="I199" i="8"/>
  <c r="F199" i="8"/>
  <c r="K199" i="8" s="1"/>
  <c r="F198" i="8"/>
  <c r="K198" i="8" s="1"/>
  <c r="K196" i="8"/>
  <c r="F196" i="8"/>
  <c r="I196" i="8" s="1"/>
  <c r="F194" i="8"/>
  <c r="K194" i="8" s="1"/>
  <c r="F190" i="8"/>
  <c r="K190" i="8" s="1"/>
  <c r="F189" i="8"/>
  <c r="K189" i="8" s="1"/>
  <c r="F188" i="8"/>
  <c r="K188" i="8" s="1"/>
  <c r="F187" i="8"/>
  <c r="K187" i="8" s="1"/>
  <c r="I186" i="8"/>
  <c r="F186" i="8"/>
  <c r="K186" i="8" s="1"/>
  <c r="F184" i="8"/>
  <c r="K184" i="8" s="1"/>
  <c r="K182" i="8"/>
  <c r="F182" i="8"/>
  <c r="I182" i="8" s="1"/>
  <c r="F178" i="8"/>
  <c r="K178" i="8" s="1"/>
  <c r="F177" i="8"/>
  <c r="K177" i="8" s="1"/>
  <c r="F176" i="8"/>
  <c r="K176" i="8" s="1"/>
  <c r="F175" i="8"/>
  <c r="K175" i="8" s="1"/>
  <c r="F174" i="8"/>
  <c r="K174" i="8" s="1"/>
  <c r="K172" i="8"/>
  <c r="F172" i="8"/>
  <c r="I172" i="8" s="1"/>
  <c r="F170" i="8"/>
  <c r="K170" i="8" s="1"/>
  <c r="F166" i="8"/>
  <c r="K166" i="8" s="1"/>
  <c r="F165" i="8"/>
  <c r="K165" i="8" s="1"/>
  <c r="M164" i="8"/>
  <c r="F164" i="8"/>
  <c r="K164" i="8" s="1"/>
  <c r="F163" i="8"/>
  <c r="K163" i="8" s="1"/>
  <c r="K162" i="8"/>
  <c r="F162" i="8"/>
  <c r="I162" i="8" s="1"/>
  <c r="F160" i="8"/>
  <c r="K160" i="8" s="1"/>
  <c r="F158" i="8"/>
  <c r="K158" i="8" s="1"/>
  <c r="F154" i="8"/>
  <c r="K154" i="8" s="1"/>
  <c r="F153" i="8"/>
  <c r="K153" i="8" s="1"/>
  <c r="M152" i="8"/>
  <c r="F152" i="8"/>
  <c r="K152" i="8" s="1"/>
  <c r="K151" i="8"/>
  <c r="F151" i="8"/>
  <c r="I151" i="8" s="1"/>
  <c r="F150" i="8"/>
  <c r="K150" i="8" s="1"/>
  <c r="F148" i="8"/>
  <c r="K148" i="8" s="1"/>
  <c r="F146" i="8"/>
  <c r="K146" i="8" s="1"/>
  <c r="K142" i="8"/>
  <c r="F142" i="8"/>
  <c r="I142" i="8" s="1"/>
  <c r="F141" i="8"/>
  <c r="K141" i="8" s="1"/>
  <c r="F140" i="8"/>
  <c r="K140" i="8" s="1"/>
  <c r="F139" i="8"/>
  <c r="K139" i="8" s="1"/>
  <c r="I138" i="8"/>
  <c r="F138" i="8"/>
  <c r="K138" i="8" s="1"/>
  <c r="F136" i="8"/>
  <c r="K136" i="8" s="1"/>
  <c r="M134" i="8"/>
  <c r="F134" i="8"/>
  <c r="I134" i="8" s="1"/>
  <c r="F130" i="8"/>
  <c r="K130" i="8" s="1"/>
  <c r="K129" i="8"/>
  <c r="F129" i="8"/>
  <c r="I129" i="8" s="1"/>
  <c r="F128" i="8"/>
  <c r="K128" i="8" s="1"/>
  <c r="F127" i="8"/>
  <c r="K127" i="8" s="1"/>
  <c r="F126" i="8"/>
  <c r="K126" i="8" s="1"/>
  <c r="F124" i="8"/>
  <c r="K124" i="8" s="1"/>
  <c r="F122" i="8"/>
  <c r="K122" i="8" s="1"/>
  <c r="M118" i="8"/>
  <c r="F118" i="8"/>
  <c r="K118" i="8" s="1"/>
  <c r="F117" i="8"/>
  <c r="K117" i="8" s="1"/>
  <c r="F116" i="8"/>
  <c r="K116" i="8" s="1"/>
  <c r="F115" i="8"/>
  <c r="K115" i="8" s="1"/>
  <c r="K114" i="8"/>
  <c r="F114" i="8"/>
  <c r="I114" i="8" s="1"/>
  <c r="K112" i="8"/>
  <c r="I112" i="8"/>
  <c r="F112" i="8"/>
  <c r="F110" i="8"/>
  <c r="K110" i="8" s="1"/>
  <c r="M110" i="8" s="1"/>
  <c r="F106" i="8"/>
  <c r="K106" i="8" s="1"/>
  <c r="F105" i="8"/>
  <c r="K105" i="8" s="1"/>
  <c r="F104" i="8"/>
  <c r="K104" i="8" s="1"/>
  <c r="F103" i="8"/>
  <c r="K103" i="8" s="1"/>
  <c r="F102" i="8"/>
  <c r="K102" i="8" s="1"/>
  <c r="F100" i="8"/>
  <c r="K100" i="8" s="1"/>
  <c r="F98" i="8"/>
  <c r="K98" i="8" s="1"/>
  <c r="K94" i="8"/>
  <c r="F94" i="8"/>
  <c r="I94" i="8" s="1"/>
  <c r="I93" i="8"/>
  <c r="F93" i="8"/>
  <c r="K93" i="8" s="1"/>
  <c r="F92" i="8"/>
  <c r="K92" i="8" s="1"/>
  <c r="F91" i="8"/>
  <c r="K91" i="8" s="1"/>
  <c r="F90" i="8"/>
  <c r="K90" i="8" s="1"/>
  <c r="F88" i="8"/>
  <c r="K88" i="8" s="1"/>
  <c r="F86" i="8"/>
  <c r="K86" i="8" s="1"/>
  <c r="I82" i="8"/>
  <c r="F82" i="8"/>
  <c r="K82" i="8" s="1"/>
  <c r="K81" i="8"/>
  <c r="F81" i="8"/>
  <c r="I81" i="8" s="1"/>
  <c r="K80" i="8"/>
  <c r="F80" i="8"/>
  <c r="I80" i="8" s="1"/>
  <c r="K79" i="8"/>
  <c r="F79" i="8"/>
  <c r="I79" i="8" s="1"/>
  <c r="K78" i="8"/>
  <c r="F78" i="8"/>
  <c r="I78" i="8" s="1"/>
  <c r="F76" i="8"/>
  <c r="K76" i="8" s="1"/>
  <c r="I74" i="8"/>
  <c r="F74" i="8"/>
  <c r="K74" i="8" s="1"/>
  <c r="F70" i="8"/>
  <c r="K70" i="8" s="1"/>
  <c r="K69" i="8"/>
  <c r="F69" i="8"/>
  <c r="I69" i="8" s="1"/>
  <c r="F68" i="8"/>
  <c r="K68" i="8" s="1"/>
  <c r="F67" i="8"/>
  <c r="K67" i="8" s="1"/>
  <c r="F66" i="8"/>
  <c r="K66" i="8" s="1"/>
  <c r="I64" i="8"/>
  <c r="F64" i="8"/>
  <c r="K64" i="8" s="1"/>
  <c r="F62" i="8"/>
  <c r="K62" i="8" s="1"/>
  <c r="F58" i="8"/>
  <c r="K58" i="8" s="1"/>
  <c r="K57" i="8"/>
  <c r="F57" i="8"/>
  <c r="I57" i="8" s="1"/>
  <c r="K56" i="8"/>
  <c r="F56" i="8"/>
  <c r="I56" i="8" s="1"/>
  <c r="K55" i="8"/>
  <c r="F55" i="8"/>
  <c r="I55" i="8" s="1"/>
  <c r="F54" i="8"/>
  <c r="K54" i="8" s="1"/>
  <c r="F52" i="8"/>
  <c r="K52" i="8" s="1"/>
  <c r="F50" i="8"/>
  <c r="K50" i="8" s="1"/>
  <c r="F46" i="8"/>
  <c r="K46" i="8" s="1"/>
  <c r="K45" i="8"/>
  <c r="F45" i="8"/>
  <c r="I45" i="8" s="1"/>
  <c r="F44" i="8"/>
  <c r="K44" i="8" s="1"/>
  <c r="K43" i="8"/>
  <c r="F43" i="8"/>
  <c r="I43" i="8" s="1"/>
  <c r="F42" i="8"/>
  <c r="K42" i="8" s="1"/>
  <c r="K40" i="8"/>
  <c r="F40" i="8"/>
  <c r="I40" i="8" s="1"/>
  <c r="F38" i="8"/>
  <c r="K38" i="8" s="1"/>
  <c r="K34" i="8"/>
  <c r="F34" i="8"/>
  <c r="I34" i="8" s="1"/>
  <c r="F33" i="8"/>
  <c r="K33" i="8" s="1"/>
  <c r="F32" i="8"/>
  <c r="K32" i="8" s="1"/>
  <c r="F31" i="8"/>
  <c r="K31" i="8" s="1"/>
  <c r="K30" i="8"/>
  <c r="F30" i="8"/>
  <c r="I30" i="8" s="1"/>
  <c r="F28" i="8"/>
  <c r="I28" i="8" s="1"/>
  <c r="F26" i="8"/>
  <c r="K26" i="8" s="1"/>
  <c r="M26" i="8" s="1"/>
  <c r="F22" i="8"/>
  <c r="K22" i="8" s="1"/>
  <c r="F21" i="8"/>
  <c r="K21" i="8" s="1"/>
  <c r="I20" i="8"/>
  <c r="F20" i="8"/>
  <c r="K20" i="8" s="1"/>
  <c r="F19" i="8"/>
  <c r="K19" i="8" s="1"/>
  <c r="F18" i="8"/>
  <c r="K18" i="8" s="1"/>
  <c r="I16" i="8"/>
  <c r="F16" i="8"/>
  <c r="K16" i="8" s="1"/>
  <c r="F14" i="8"/>
  <c r="K14" i="8" s="1"/>
  <c r="K10" i="8"/>
  <c r="F10" i="8"/>
  <c r="I10" i="8" s="1"/>
  <c r="F9" i="8"/>
  <c r="K9" i="8" s="1"/>
  <c r="F8" i="8"/>
  <c r="K8" i="8" s="1"/>
  <c r="F7" i="8"/>
  <c r="K7" i="8" s="1"/>
  <c r="K6" i="8"/>
  <c r="F6" i="8"/>
  <c r="I6" i="8" s="1"/>
  <c r="F4" i="8"/>
  <c r="K4" i="8" s="1"/>
  <c r="F3" i="8"/>
  <c r="K3" i="8" s="1"/>
  <c r="M2" i="8"/>
  <c r="F2" i="8"/>
  <c r="K2" i="8" s="1"/>
  <c r="I538" i="8" l="1"/>
  <c r="I537" i="8"/>
  <c r="I536" i="8"/>
  <c r="I535" i="8"/>
  <c r="I533" i="8"/>
  <c r="I531" i="8"/>
  <c r="I527" i="8"/>
  <c r="I526" i="8"/>
  <c r="I525" i="8"/>
  <c r="I524" i="8"/>
  <c r="I521" i="8"/>
  <c r="I519" i="8"/>
  <c r="I515" i="8"/>
  <c r="I514" i="8"/>
  <c r="I513" i="8"/>
  <c r="I512" i="8"/>
  <c r="I511" i="8"/>
  <c r="I509" i="8"/>
  <c r="I503" i="8"/>
  <c r="I496" i="8"/>
  <c r="I491" i="8"/>
  <c r="I490" i="8"/>
  <c r="I488" i="8"/>
  <c r="I486" i="8"/>
  <c r="I480" i="8"/>
  <c r="I479" i="8"/>
  <c r="I477" i="8"/>
  <c r="I476" i="8"/>
  <c r="I472" i="8"/>
  <c r="I455" i="8"/>
  <c r="I454" i="8"/>
  <c r="I452" i="8"/>
  <c r="I450" i="8"/>
  <c r="I448" i="8"/>
  <c r="I439" i="8"/>
  <c r="I437" i="8"/>
  <c r="I433" i="8"/>
  <c r="I432" i="8"/>
  <c r="I431" i="8"/>
  <c r="I430" i="8"/>
  <c r="I429" i="8"/>
  <c r="I427" i="8"/>
  <c r="I425" i="8"/>
  <c r="I421" i="8"/>
  <c r="I419" i="8"/>
  <c r="I418" i="8"/>
  <c r="K415" i="8"/>
  <c r="I413" i="8"/>
  <c r="I409" i="8"/>
  <c r="I401" i="8"/>
  <c r="I397" i="8"/>
  <c r="I396" i="8"/>
  <c r="I395" i="8"/>
  <c r="I391" i="8"/>
  <c r="I389" i="8"/>
  <c r="I382" i="8"/>
  <c r="I381" i="8"/>
  <c r="I379" i="8"/>
  <c r="I374" i="8"/>
  <c r="I370" i="8"/>
  <c r="I369" i="8"/>
  <c r="I368" i="8"/>
  <c r="I367" i="8"/>
  <c r="I366" i="8"/>
  <c r="I362" i="8"/>
  <c r="I357" i="8"/>
  <c r="I356" i="8"/>
  <c r="I354" i="8"/>
  <c r="I352" i="8"/>
  <c r="I350" i="8"/>
  <c r="K346" i="8"/>
  <c r="I338" i="8"/>
  <c r="I334" i="8"/>
  <c r="I333" i="8"/>
  <c r="I332" i="8"/>
  <c r="I331" i="8"/>
  <c r="I330" i="8"/>
  <c r="I328" i="8"/>
  <c r="I326" i="8"/>
  <c r="I322" i="8"/>
  <c r="I321" i="8"/>
  <c r="K320" i="8"/>
  <c r="I319" i="8"/>
  <c r="I318" i="8"/>
  <c r="I316" i="8"/>
  <c r="I310" i="8"/>
  <c r="I309" i="8"/>
  <c r="I302" i="8"/>
  <c r="I297" i="8"/>
  <c r="I296" i="8"/>
  <c r="I295" i="8"/>
  <c r="I292" i="8"/>
  <c r="I290" i="8"/>
  <c r="I285" i="8"/>
  <c r="I284" i="8"/>
  <c r="I283" i="8"/>
  <c r="I280" i="8"/>
  <c r="I273" i="8"/>
  <c r="I271" i="8"/>
  <c r="I270" i="8"/>
  <c r="I268" i="8"/>
  <c r="K266" i="8"/>
  <c r="I262" i="8"/>
  <c r="I259" i="8"/>
  <c r="I258" i="8"/>
  <c r="I256" i="8"/>
  <c r="I254" i="8"/>
  <c r="I250" i="8"/>
  <c r="I244" i="8"/>
  <c r="I242" i="8"/>
  <c r="I232" i="8"/>
  <c r="I230" i="8"/>
  <c r="I225" i="8"/>
  <c r="I224" i="8"/>
  <c r="I223" i="8"/>
  <c r="I222" i="8"/>
  <c r="I214" i="8"/>
  <c r="I213" i="8"/>
  <c r="I211" i="8"/>
  <c r="I210" i="8"/>
  <c r="K206" i="8"/>
  <c r="I202" i="8"/>
  <c r="I200" i="8"/>
  <c r="I198" i="8"/>
  <c r="I194" i="8"/>
  <c r="I190" i="8"/>
  <c r="I189" i="8"/>
  <c r="I188" i="8"/>
  <c r="I187" i="8"/>
  <c r="I184" i="8"/>
  <c r="I178" i="8"/>
  <c r="I177" i="8"/>
  <c r="I176" i="8"/>
  <c r="I175" i="8"/>
  <c r="I174" i="8"/>
  <c r="I170" i="8"/>
  <c r="I166" i="8"/>
  <c r="I165" i="8"/>
  <c r="I164" i="8"/>
  <c r="I163" i="8"/>
  <c r="I160" i="8"/>
  <c r="I158" i="8"/>
  <c r="I154" i="8"/>
  <c r="I153" i="8"/>
  <c r="I152" i="8"/>
  <c r="I150" i="8"/>
  <c r="I148" i="8"/>
  <c r="I146" i="8"/>
  <c r="I141" i="8"/>
  <c r="I140" i="8"/>
  <c r="I139" i="8"/>
  <c r="I136" i="8"/>
  <c r="K134" i="8"/>
  <c r="I130" i="8"/>
  <c r="I128" i="8"/>
  <c r="I127" i="8"/>
  <c r="I126" i="8"/>
  <c r="I124" i="8"/>
  <c r="I122" i="8"/>
  <c r="I118" i="8"/>
  <c r="I117" i="8"/>
  <c r="I116" i="8"/>
  <c r="I115" i="8"/>
  <c r="I110" i="8"/>
  <c r="I106" i="8"/>
  <c r="I105" i="8"/>
  <c r="I104" i="8"/>
  <c r="I103" i="8"/>
  <c r="I102" i="8"/>
  <c r="I100" i="8"/>
  <c r="I98" i="8"/>
  <c r="I92" i="8"/>
  <c r="I91" i="8"/>
  <c r="I90" i="8"/>
  <c r="I88" i="8"/>
  <c r="I86" i="8"/>
  <c r="I76" i="8"/>
  <c r="I70" i="8"/>
  <c r="I68" i="8"/>
  <c r="I67" i="8"/>
  <c r="I66" i="8"/>
  <c r="I62" i="8"/>
  <c r="I58" i="8"/>
  <c r="I54" i="8"/>
  <c r="I52" i="8"/>
  <c r="I50" i="8"/>
  <c r="I46" i="8"/>
  <c r="I44" i="8"/>
  <c r="I42" i="8"/>
  <c r="I38" i="8"/>
  <c r="I33" i="8"/>
  <c r="I32" i="8"/>
  <c r="I31" i="8"/>
  <c r="K28" i="8"/>
  <c r="I26" i="8"/>
  <c r="I22" i="8"/>
  <c r="I21" i="8"/>
  <c r="I19" i="8"/>
  <c r="I18" i="8"/>
  <c r="I14" i="8"/>
  <c r="I9" i="8"/>
  <c r="I8" i="8"/>
  <c r="I7" i="8"/>
  <c r="I4" i="8"/>
  <c r="I3" i="8"/>
  <c r="I2" i="8"/>
  <c r="K544" i="1" l="1"/>
  <c r="I544" i="1"/>
  <c r="K543" i="1"/>
  <c r="I543" i="1"/>
  <c r="F542" i="1"/>
  <c r="F541" i="1"/>
  <c r="K541" i="1" s="1"/>
  <c r="F540" i="1"/>
  <c r="K540" i="1" s="1"/>
  <c r="F539" i="1"/>
  <c r="F538" i="1"/>
  <c r="K538" i="1" s="1"/>
  <c r="F537" i="1"/>
  <c r="K537" i="1" s="1"/>
  <c r="F536" i="1"/>
  <c r="F535" i="1"/>
  <c r="K535" i="1" s="1"/>
  <c r="F534" i="1"/>
  <c r="K534" i="1" s="1"/>
  <c r="F533" i="1"/>
  <c r="F532" i="1"/>
  <c r="K532" i="1" s="1"/>
  <c r="F531" i="1"/>
  <c r="K531" i="1" s="1"/>
  <c r="F530" i="1"/>
  <c r="F529" i="1"/>
  <c r="K529" i="1" s="1"/>
  <c r="F528" i="1"/>
  <c r="K528" i="1" s="1"/>
  <c r="F527" i="1"/>
  <c r="F526" i="1"/>
  <c r="K526" i="1" s="1"/>
  <c r="F525" i="1"/>
  <c r="K525" i="1" s="1"/>
  <c r="F524" i="1"/>
  <c r="F523" i="1"/>
  <c r="K523" i="1" s="1"/>
  <c r="F522" i="1"/>
  <c r="K522" i="1" s="1"/>
  <c r="F521" i="1"/>
  <c r="F520" i="1"/>
  <c r="K520" i="1" s="1"/>
  <c r="F519" i="1"/>
  <c r="K519" i="1" s="1"/>
  <c r="F518" i="1"/>
  <c r="F517" i="1"/>
  <c r="K517" i="1" s="1"/>
  <c r="F516" i="1"/>
  <c r="K516" i="1" s="1"/>
  <c r="F515" i="1"/>
  <c r="F514" i="1"/>
  <c r="K514" i="1" s="1"/>
  <c r="F513" i="1"/>
  <c r="F512" i="1"/>
  <c r="I512" i="1" s="1"/>
  <c r="F511" i="1"/>
  <c r="K511" i="1" s="1"/>
  <c r="F510" i="1"/>
  <c r="K510" i="1" s="1"/>
  <c r="F509" i="1"/>
  <c r="K509" i="1" s="1"/>
  <c r="F508" i="1"/>
  <c r="K508" i="1" s="1"/>
  <c r="F507" i="1"/>
  <c r="I507" i="1" s="1"/>
  <c r="F506" i="1"/>
  <c r="K506" i="1" s="1"/>
  <c r="F505" i="1"/>
  <c r="K505" i="1" s="1"/>
  <c r="F504" i="1"/>
  <c r="K504" i="1" s="1"/>
  <c r="F503" i="1"/>
  <c r="K503" i="1" s="1"/>
  <c r="M507" i="1" s="1"/>
  <c r="F502" i="1"/>
  <c r="I502" i="1" s="1"/>
  <c r="F501" i="1"/>
  <c r="I501" i="1" s="1"/>
  <c r="F500" i="1"/>
  <c r="I500" i="1" s="1"/>
  <c r="F499" i="1"/>
  <c r="F498" i="1"/>
  <c r="I498" i="1" s="1"/>
  <c r="F497" i="1"/>
  <c r="F496" i="1"/>
  <c r="I496" i="1" s="1"/>
  <c r="F495" i="1"/>
  <c r="F494" i="1"/>
  <c r="I494" i="1" s="1"/>
  <c r="F493" i="1"/>
  <c r="I493" i="1" s="1"/>
  <c r="F492" i="1"/>
  <c r="I492" i="1" s="1"/>
  <c r="F491" i="1"/>
  <c r="F490" i="1"/>
  <c r="I490" i="1" s="1"/>
  <c r="F489" i="1"/>
  <c r="F488" i="1"/>
  <c r="K488" i="1" s="1"/>
  <c r="F487" i="1"/>
  <c r="I487" i="1" s="1"/>
  <c r="F486" i="1"/>
  <c r="K486" i="1" s="1"/>
  <c r="F485" i="1"/>
  <c r="K485" i="1" s="1"/>
  <c r="F484" i="1"/>
  <c r="I484" i="1" s="1"/>
  <c r="F483" i="1"/>
  <c r="K483" i="1" s="1"/>
  <c r="F482" i="1"/>
  <c r="K482" i="1" s="1"/>
  <c r="F481" i="1"/>
  <c r="I481" i="1" s="1"/>
  <c r="F480" i="1"/>
  <c r="K480" i="1" s="1"/>
  <c r="F479" i="1"/>
  <c r="K479" i="1" s="1"/>
  <c r="F478" i="1"/>
  <c r="I478" i="1" s="1"/>
  <c r="F477" i="1"/>
  <c r="K477" i="1" s="1"/>
  <c r="F476" i="1"/>
  <c r="K476" i="1" s="1"/>
  <c r="F475" i="1"/>
  <c r="I475" i="1" s="1"/>
  <c r="F474" i="1"/>
  <c r="K474" i="1" s="1"/>
  <c r="F473" i="1"/>
  <c r="K473" i="1" s="1"/>
  <c r="F472" i="1"/>
  <c r="I472" i="1" s="1"/>
  <c r="F471" i="1"/>
  <c r="K471" i="1" s="1"/>
  <c r="F470" i="1"/>
  <c r="K470" i="1" s="1"/>
  <c r="F469" i="1"/>
  <c r="I469" i="1" s="1"/>
  <c r="F468" i="1"/>
  <c r="K468" i="1" s="1"/>
  <c r="F467" i="1"/>
  <c r="I467" i="1" s="1"/>
  <c r="F466" i="1"/>
  <c r="I466" i="1" s="1"/>
  <c r="F465" i="1"/>
  <c r="I465" i="1" s="1"/>
  <c r="F464" i="1"/>
  <c r="I464" i="1" s="1"/>
  <c r="F463" i="1"/>
  <c r="I463" i="1" s="1"/>
  <c r="F462" i="1"/>
  <c r="I462" i="1" s="1"/>
  <c r="F461" i="1"/>
  <c r="I461" i="1" s="1"/>
  <c r="F460" i="1"/>
  <c r="I460" i="1" s="1"/>
  <c r="F459" i="1"/>
  <c r="I459" i="1" s="1"/>
  <c r="F458" i="1"/>
  <c r="I458" i="1" s="1"/>
  <c r="F457" i="1"/>
  <c r="I457" i="1" s="1"/>
  <c r="F456" i="1"/>
  <c r="I456" i="1" s="1"/>
  <c r="F455" i="1"/>
  <c r="K455" i="1" s="1"/>
  <c r="F454" i="1"/>
  <c r="F453" i="1"/>
  <c r="K453" i="1" s="1"/>
  <c r="F452" i="1"/>
  <c r="K452" i="1" s="1"/>
  <c r="F451" i="1"/>
  <c r="F450" i="1"/>
  <c r="K450" i="1" s="1"/>
  <c r="F449" i="1"/>
  <c r="K449" i="1" s="1"/>
  <c r="F448" i="1"/>
  <c r="F447" i="1"/>
  <c r="F446" i="1"/>
  <c r="K446" i="1" s="1"/>
  <c r="F445" i="1"/>
  <c r="F444" i="1"/>
  <c r="K444" i="1" s="1"/>
  <c r="F443" i="1"/>
  <c r="K443" i="1" s="1"/>
  <c r="F442" i="1"/>
  <c r="F441" i="1"/>
  <c r="K441" i="1" s="1"/>
  <c r="F440" i="1"/>
  <c r="K440" i="1" s="1"/>
  <c r="F439" i="1"/>
  <c r="F438" i="1"/>
  <c r="K438" i="1" s="1"/>
  <c r="F437" i="1"/>
  <c r="K437" i="1" s="1"/>
  <c r="F436" i="1"/>
  <c r="F435" i="1"/>
  <c r="K435" i="1" s="1"/>
  <c r="F434" i="1"/>
  <c r="K434" i="1" s="1"/>
  <c r="F433" i="1"/>
  <c r="I432" i="1"/>
  <c r="F432" i="1"/>
  <c r="K432" i="1" s="1"/>
  <c r="F431" i="1"/>
  <c r="F430" i="1"/>
  <c r="I429" i="1"/>
  <c r="F429" i="1"/>
  <c r="K429" i="1" s="1"/>
  <c r="F428" i="1"/>
  <c r="K428" i="1" s="1"/>
  <c r="F427" i="1"/>
  <c r="F426" i="1"/>
  <c r="K426" i="1" s="1"/>
  <c r="F425" i="1"/>
  <c r="K425" i="1" s="1"/>
  <c r="F424" i="1"/>
  <c r="F423" i="1"/>
  <c r="K423" i="1" s="1"/>
  <c r="F422" i="1"/>
  <c r="F421" i="1"/>
  <c r="F420" i="1"/>
  <c r="K420" i="1" s="1"/>
  <c r="F419" i="1"/>
  <c r="K419" i="1" s="1"/>
  <c r="F418" i="1"/>
  <c r="F417" i="1"/>
  <c r="I417" i="1" s="1"/>
  <c r="F416" i="1"/>
  <c r="F415" i="1"/>
  <c r="I415" i="1" s="1"/>
  <c r="F414" i="1"/>
  <c r="F413" i="1"/>
  <c r="F412" i="1"/>
  <c r="F411" i="1"/>
  <c r="F410" i="1"/>
  <c r="F409" i="1"/>
  <c r="F408" i="1"/>
  <c r="F407" i="1"/>
  <c r="F406" i="1"/>
  <c r="F405" i="1"/>
  <c r="F404" i="1"/>
  <c r="F403" i="1"/>
  <c r="F402" i="1"/>
  <c r="F401" i="1"/>
  <c r="F400" i="1"/>
  <c r="F399" i="1"/>
  <c r="F398" i="1"/>
  <c r="F397" i="1"/>
  <c r="F396" i="1"/>
  <c r="F395" i="1"/>
  <c r="F394" i="1"/>
  <c r="F393" i="1"/>
  <c r="F392" i="1"/>
  <c r="F391" i="1"/>
  <c r="F390" i="1"/>
  <c r="F389" i="1"/>
  <c r="F388" i="1"/>
  <c r="F387" i="1"/>
  <c r="F386" i="1"/>
  <c r="F385" i="1"/>
  <c r="F384" i="1"/>
  <c r="F383" i="1"/>
  <c r="F382" i="1"/>
  <c r="F381" i="1"/>
  <c r="F380" i="1"/>
  <c r="F379" i="1"/>
  <c r="F378" i="1"/>
  <c r="F377" i="1"/>
  <c r="F376" i="1"/>
  <c r="F375" i="1"/>
  <c r="F374" i="1"/>
  <c r="K374" i="1" s="1"/>
  <c r="F373" i="1"/>
  <c r="F372" i="1"/>
  <c r="K372" i="1" s="1"/>
  <c r="F371" i="1"/>
  <c r="K371" i="1" s="1"/>
  <c r="F370" i="1"/>
  <c r="K370" i="1" s="1"/>
  <c r="F369" i="1"/>
  <c r="F368" i="1"/>
  <c r="K368" i="1" s="1"/>
  <c r="F367" i="1"/>
  <c r="K367" i="1" s="1"/>
  <c r="K366" i="1"/>
  <c r="F366" i="1"/>
  <c r="I366" i="1" s="1"/>
  <c r="F365" i="1"/>
  <c r="F364" i="1"/>
  <c r="F363" i="1"/>
  <c r="F362" i="1"/>
  <c r="I362" i="1" s="1"/>
  <c r="K361" i="1"/>
  <c r="F361" i="1"/>
  <c r="I361" i="1" s="1"/>
  <c r="F360" i="1"/>
  <c r="I360" i="1" s="1"/>
  <c r="F359" i="1"/>
  <c r="I359" i="1" s="1"/>
  <c r="F358" i="1"/>
  <c r="K358" i="1" s="1"/>
  <c r="I357" i="1"/>
  <c r="F357" i="1"/>
  <c r="K357" i="1" s="1"/>
  <c r="F356" i="1"/>
  <c r="I356" i="1" s="1"/>
  <c r="K355" i="1"/>
  <c r="F355" i="1"/>
  <c r="I355" i="1" s="1"/>
  <c r="K354" i="1"/>
  <c r="I354" i="1"/>
  <c r="F354" i="1"/>
  <c r="F353" i="1"/>
  <c r="I353" i="1" s="1"/>
  <c r="K352" i="1"/>
  <c r="F352" i="1"/>
  <c r="I352" i="1" s="1"/>
  <c r="K351" i="1"/>
  <c r="I351" i="1"/>
  <c r="F351" i="1"/>
  <c r="F350" i="1"/>
  <c r="F349" i="1"/>
  <c r="I349" i="1" s="1"/>
  <c r="F348" i="1"/>
  <c r="K348" i="1" s="1"/>
  <c r="F347" i="1"/>
  <c r="F346" i="1"/>
  <c r="K346" i="1" s="1"/>
  <c r="F345" i="1"/>
  <c r="F344" i="1"/>
  <c r="I344" i="1" s="1"/>
  <c r="F343" i="1"/>
  <c r="K343" i="1" s="1"/>
  <c r="F342" i="1"/>
  <c r="K342" i="1" s="1"/>
  <c r="F341" i="1"/>
  <c r="K341" i="1" s="1"/>
  <c r="F340" i="1"/>
  <c r="K340" i="1" s="1"/>
  <c r="F339" i="1"/>
  <c r="K338" i="1"/>
  <c r="I338" i="1"/>
  <c r="F338" i="1"/>
  <c r="F337" i="1"/>
  <c r="I337" i="1" s="1"/>
  <c r="F336" i="1"/>
  <c r="I335" i="1"/>
  <c r="F335" i="1"/>
  <c r="K335" i="1" s="1"/>
  <c r="F334" i="1"/>
  <c r="F333" i="1"/>
  <c r="K333" i="1" s="1"/>
  <c r="F332" i="1"/>
  <c r="I332" i="1" s="1"/>
  <c r="F331" i="1"/>
  <c r="K331" i="1" s="1"/>
  <c r="F330" i="1"/>
  <c r="I330" i="1" s="1"/>
  <c r="F329" i="1"/>
  <c r="I329" i="1" s="1"/>
  <c r="F328" i="1"/>
  <c r="K328" i="1" s="1"/>
  <c r="F327" i="1"/>
  <c r="I327" i="1" s="1"/>
  <c r="F326" i="1"/>
  <c r="F325" i="1"/>
  <c r="F324" i="1"/>
  <c r="K323" i="1"/>
  <c r="I323" i="1"/>
  <c r="F323" i="1"/>
  <c r="F322" i="1"/>
  <c r="F321" i="1"/>
  <c r="I321" i="1" s="1"/>
  <c r="I320" i="1"/>
  <c r="F320" i="1"/>
  <c r="K320" i="1" s="1"/>
  <c r="F319" i="1"/>
  <c r="K319" i="1" s="1"/>
  <c r="F318" i="1"/>
  <c r="I318" i="1" s="1"/>
  <c r="F317" i="1"/>
  <c r="K317" i="1" s="1"/>
  <c r="F316" i="1"/>
  <c r="K316" i="1" s="1"/>
  <c r="F315" i="1"/>
  <c r="I315" i="1" s="1"/>
  <c r="F314" i="1"/>
  <c r="K314" i="1" s="1"/>
  <c r="F313" i="1"/>
  <c r="F312" i="1"/>
  <c r="I312" i="1" s="1"/>
  <c r="F311" i="1"/>
  <c r="K311" i="1" s="1"/>
  <c r="F310" i="1"/>
  <c r="K310" i="1" s="1"/>
  <c r="F309" i="1"/>
  <c r="I309" i="1" s="1"/>
  <c r="K308" i="1"/>
  <c r="F308" i="1"/>
  <c r="I308" i="1" s="1"/>
  <c r="F307" i="1"/>
  <c r="K307" i="1" s="1"/>
  <c r="K306" i="1"/>
  <c r="F306" i="1"/>
  <c r="I306" i="1" s="1"/>
  <c r="F305" i="1"/>
  <c r="K305" i="1" s="1"/>
  <c r="F304" i="1"/>
  <c r="K304" i="1" s="1"/>
  <c r="F303" i="1"/>
  <c r="K303" i="1" s="1"/>
  <c r="F302" i="1"/>
  <c r="K301" i="1"/>
  <c r="I301" i="1"/>
  <c r="F301" i="1"/>
  <c r="F300" i="1"/>
  <c r="K300" i="1" s="1"/>
  <c r="F299" i="1"/>
  <c r="I298" i="1"/>
  <c r="F298" i="1"/>
  <c r="K298" i="1" s="1"/>
  <c r="F297" i="1"/>
  <c r="F296" i="1"/>
  <c r="K296" i="1" s="1"/>
  <c r="F295" i="1"/>
  <c r="I295" i="1" s="1"/>
  <c r="F294" i="1"/>
  <c r="F293" i="1"/>
  <c r="K293" i="1" s="1"/>
  <c r="F292" i="1"/>
  <c r="F291" i="1"/>
  <c r="F290" i="1"/>
  <c r="I290" i="1" s="1"/>
  <c r="F289" i="1"/>
  <c r="I289" i="1" s="1"/>
  <c r="F288" i="1"/>
  <c r="K288" i="1" s="1"/>
  <c r="F287" i="1"/>
  <c r="K287" i="1" s="1"/>
  <c r="F286" i="1"/>
  <c r="F285" i="1"/>
  <c r="F284" i="1"/>
  <c r="I284" i="1" s="1"/>
  <c r="F283" i="1"/>
  <c r="F282" i="1"/>
  <c r="K282" i="1" s="1"/>
  <c r="F281" i="1"/>
  <c r="F280" i="1"/>
  <c r="K280" i="1" s="1"/>
  <c r="F279" i="1"/>
  <c r="F278" i="1"/>
  <c r="F277" i="1"/>
  <c r="I277" i="1" s="1"/>
  <c r="F276" i="1"/>
  <c r="F275" i="1"/>
  <c r="K275" i="1" s="1"/>
  <c r="F274" i="1"/>
  <c r="K274" i="1" s="1"/>
  <c r="F273" i="1"/>
  <c r="F272" i="1"/>
  <c r="F271" i="1"/>
  <c r="I271" i="1" s="1"/>
  <c r="F270" i="1"/>
  <c r="K270" i="1" s="1"/>
  <c r="I269" i="1"/>
  <c r="F269" i="1"/>
  <c r="K269" i="1" s="1"/>
  <c r="F268" i="1"/>
  <c r="F267" i="1"/>
  <c r="K267" i="1" s="1"/>
  <c r="F266" i="1"/>
  <c r="I266" i="1" s="1"/>
  <c r="F265" i="1"/>
  <c r="I265" i="1" s="1"/>
  <c r="F264" i="1"/>
  <c r="I264" i="1" s="1"/>
  <c r="F263" i="1"/>
  <c r="I263" i="1" s="1"/>
  <c r="F262" i="1"/>
  <c r="F261" i="1"/>
  <c r="F260" i="1"/>
  <c r="F259" i="1"/>
  <c r="F258" i="1"/>
  <c r="F257" i="1"/>
  <c r="F256" i="1"/>
  <c r="I256" i="1" s="1"/>
  <c r="F255" i="1"/>
  <c r="F254" i="1"/>
  <c r="K254" i="1" s="1"/>
  <c r="K253" i="1"/>
  <c r="F253" i="1"/>
  <c r="I253" i="1" s="1"/>
  <c r="F252" i="1"/>
  <c r="F251" i="1"/>
  <c r="K251" i="1" s="1"/>
  <c r="F250" i="1"/>
  <c r="F249" i="1"/>
  <c r="K249" i="1" s="1"/>
  <c r="F248" i="1"/>
  <c r="I248" i="1" s="1"/>
  <c r="F247" i="1"/>
  <c r="I247" i="1" s="1"/>
  <c r="F246" i="1"/>
  <c r="K246" i="1" s="1"/>
  <c r="F245" i="1"/>
  <c r="I245" i="1" s="1"/>
  <c r="F244" i="1"/>
  <c r="I244" i="1" s="1"/>
  <c r="F243" i="1"/>
  <c r="K243" i="1" s="1"/>
  <c r="F242" i="1"/>
  <c r="I242" i="1" s="1"/>
  <c r="F241" i="1"/>
  <c r="I241" i="1" s="1"/>
  <c r="F240" i="1"/>
  <c r="K240" i="1" s="1"/>
  <c r="F239" i="1"/>
  <c r="I239" i="1" s="1"/>
  <c r="F238" i="1"/>
  <c r="I238" i="1" s="1"/>
  <c r="F237" i="1"/>
  <c r="K237" i="1" s="1"/>
  <c r="F236" i="1"/>
  <c r="I236" i="1" s="1"/>
  <c r="F235" i="1"/>
  <c r="I235" i="1" s="1"/>
  <c r="F234" i="1"/>
  <c r="K234" i="1" s="1"/>
  <c r="F233" i="1"/>
  <c r="I233" i="1" s="1"/>
  <c r="F232" i="1"/>
  <c r="I232" i="1" s="1"/>
  <c r="F231" i="1"/>
  <c r="K231" i="1" s="1"/>
  <c r="F230" i="1"/>
  <c r="I230" i="1" s="1"/>
  <c r="F229" i="1"/>
  <c r="I229" i="1" s="1"/>
  <c r="F228" i="1"/>
  <c r="I228" i="1" s="1"/>
  <c r="F227" i="1"/>
  <c r="K227" i="1" s="1"/>
  <c r="M228" i="1" s="1"/>
  <c r="I226" i="1"/>
  <c r="F226" i="1"/>
  <c r="F225" i="1"/>
  <c r="K225" i="1" s="1"/>
  <c r="F224" i="1"/>
  <c r="I223" i="1"/>
  <c r="F223" i="1"/>
  <c r="K223" i="1" s="1"/>
  <c r="F222" i="1"/>
  <c r="K222" i="1" s="1"/>
  <c r="F221" i="1"/>
  <c r="I221" i="1" s="1"/>
  <c r="F220" i="1"/>
  <c r="I220" i="1" s="1"/>
  <c r="F219" i="1"/>
  <c r="F218" i="1"/>
  <c r="F217" i="1"/>
  <c r="F216" i="1"/>
  <c r="K216" i="1" s="1"/>
  <c r="K215" i="1"/>
  <c r="F215" i="1"/>
  <c r="I215" i="1" s="1"/>
  <c r="F214" i="1"/>
  <c r="F213" i="1"/>
  <c r="K213" i="1" s="1"/>
  <c r="F212" i="1"/>
  <c r="I212" i="1" s="1"/>
  <c r="F211" i="1"/>
  <c r="K211" i="1" s="1"/>
  <c r="F210" i="1"/>
  <c r="K210" i="1" s="1"/>
  <c r="F209" i="1"/>
  <c r="I209" i="1" s="1"/>
  <c r="F208" i="1"/>
  <c r="K208" i="1" s="1"/>
  <c r="F207" i="1"/>
  <c r="F206" i="1"/>
  <c r="I206" i="1" s="1"/>
  <c r="F205" i="1"/>
  <c r="I205" i="1" s="1"/>
  <c r="F204" i="1"/>
  <c r="I204" i="1" s="1"/>
  <c r="F203" i="1"/>
  <c r="K203" i="1" s="1"/>
  <c r="F202" i="1"/>
  <c r="F201" i="1"/>
  <c r="K201" i="1" s="1"/>
  <c r="K200" i="1"/>
  <c r="I200" i="1"/>
  <c r="F200" i="1"/>
  <c r="F199" i="1"/>
  <c r="F198" i="1"/>
  <c r="K198" i="1" s="1"/>
  <c r="I197" i="1"/>
  <c r="F197" i="1"/>
  <c r="K197" i="1" s="1"/>
  <c r="F196" i="1"/>
  <c r="F195" i="1"/>
  <c r="K195" i="1" s="1"/>
  <c r="F194" i="1"/>
  <c r="K194" i="1" s="1"/>
  <c r="F193" i="1"/>
  <c r="F192" i="1"/>
  <c r="F191" i="1"/>
  <c r="K191" i="1" s="1"/>
  <c r="F190" i="1"/>
  <c r="F189" i="1"/>
  <c r="K189" i="1" s="1"/>
  <c r="F188" i="1"/>
  <c r="K188" i="1" s="1"/>
  <c r="F187" i="1"/>
  <c r="F186" i="1"/>
  <c r="K186" i="1" s="1"/>
  <c r="F185" i="1"/>
  <c r="K185" i="1" s="1"/>
  <c r="F184" i="1"/>
  <c r="F183" i="1"/>
  <c r="K183" i="1" s="1"/>
  <c r="F182" i="1"/>
  <c r="K182" i="1" s="1"/>
  <c r="F181" i="1"/>
  <c r="F180" i="1"/>
  <c r="K180" i="1" s="1"/>
  <c r="F179" i="1"/>
  <c r="K179" i="1" s="1"/>
  <c r="F178" i="1"/>
  <c r="F177" i="1"/>
  <c r="K177" i="1" s="1"/>
  <c r="F176" i="1"/>
  <c r="K176" i="1" s="1"/>
  <c r="F175" i="1"/>
  <c r="F174" i="1"/>
  <c r="K174" i="1" s="1"/>
  <c r="F173" i="1"/>
  <c r="K173" i="1" s="1"/>
  <c r="F172" i="1"/>
  <c r="F171" i="1"/>
  <c r="K171" i="1" s="1"/>
  <c r="F170" i="1"/>
  <c r="K170" i="1" s="1"/>
  <c r="F169" i="1"/>
  <c r="F168" i="1"/>
  <c r="K168" i="1" s="1"/>
  <c r="F167" i="1"/>
  <c r="K167" i="1" s="1"/>
  <c r="F166" i="1"/>
  <c r="F165" i="1"/>
  <c r="K165" i="1" s="1"/>
  <c r="F164" i="1"/>
  <c r="K164" i="1" s="1"/>
  <c r="F163" i="1"/>
  <c r="K163" i="1" s="1"/>
  <c r="K162" i="1"/>
  <c r="I162" i="1"/>
  <c r="F162" i="1"/>
  <c r="F161" i="1"/>
  <c r="F160" i="1"/>
  <c r="K160" i="1" s="1"/>
  <c r="F159" i="1"/>
  <c r="K159" i="1" s="1"/>
  <c r="F158" i="1"/>
  <c r="K158" i="1" s="1"/>
  <c r="K157" i="1"/>
  <c r="I157" i="1"/>
  <c r="F157" i="1"/>
  <c r="F156" i="1"/>
  <c r="K156" i="1" s="1"/>
  <c r="F155" i="1"/>
  <c r="K155" i="1" s="1"/>
  <c r="F154" i="1"/>
  <c r="K154" i="1" s="1"/>
  <c r="F153" i="1"/>
  <c r="F152" i="1"/>
  <c r="I152" i="1" s="1"/>
  <c r="K151" i="1"/>
  <c r="F151" i="1"/>
  <c r="I151" i="1" s="1"/>
  <c r="F150" i="1"/>
  <c r="K150" i="1" s="1"/>
  <c r="F149" i="1"/>
  <c r="I149" i="1" s="1"/>
  <c r="F148" i="1"/>
  <c r="I148" i="1" s="1"/>
  <c r="F147" i="1"/>
  <c r="I147" i="1" s="1"/>
  <c r="F146" i="1"/>
  <c r="I146" i="1" s="1"/>
  <c r="F145" i="1"/>
  <c r="I145" i="1" s="1"/>
  <c r="F144" i="1"/>
  <c r="I144" i="1" s="1"/>
  <c r="F143" i="1"/>
  <c r="I143" i="1" s="1"/>
  <c r="F142" i="1"/>
  <c r="I142" i="1" s="1"/>
  <c r="F141" i="1"/>
  <c r="K141" i="1" s="1"/>
  <c r="K140" i="1"/>
  <c r="F140" i="1"/>
  <c r="I140" i="1" s="1"/>
  <c r="F139" i="1"/>
  <c r="I139" i="1" s="1"/>
  <c r="F138" i="1"/>
  <c r="K138" i="1" s="1"/>
  <c r="F137" i="1"/>
  <c r="I137" i="1" s="1"/>
  <c r="F136" i="1"/>
  <c r="I136" i="1" s="1"/>
  <c r="F135" i="1"/>
  <c r="I135" i="1" s="1"/>
  <c r="F134" i="1"/>
  <c r="K134" i="1" s="1"/>
  <c r="I133" i="1"/>
  <c r="F133" i="1"/>
  <c r="K133" i="1" s="1"/>
  <c r="F132" i="1"/>
  <c r="I132" i="1" s="1"/>
  <c r="F131" i="1"/>
  <c r="K131" i="1" s="1"/>
  <c r="F130" i="1"/>
  <c r="K130" i="1" s="1"/>
  <c r="F129" i="1"/>
  <c r="F128" i="1"/>
  <c r="K128" i="1" s="1"/>
  <c r="F127" i="1"/>
  <c r="K127" i="1" s="1"/>
  <c r="F126" i="1"/>
  <c r="K126" i="1" s="1"/>
  <c r="F125" i="1"/>
  <c r="K125" i="1" s="1"/>
  <c r="F124" i="1"/>
  <c r="K124" i="1" s="1"/>
  <c r="F123" i="1"/>
  <c r="K123" i="1" s="1"/>
  <c r="F122" i="1"/>
  <c r="K122" i="1" s="1"/>
  <c r="F121" i="1"/>
  <c r="K121" i="1" s="1"/>
  <c r="F120" i="1"/>
  <c r="F119" i="1"/>
  <c r="K119" i="1" s="1"/>
  <c r="F118" i="1"/>
  <c r="K118" i="1" s="1"/>
  <c r="F117" i="1"/>
  <c r="K117" i="1" s="1"/>
  <c r="F116" i="1"/>
  <c r="K116" i="1" s="1"/>
  <c r="F115" i="1"/>
  <c r="I115" i="1" s="1"/>
  <c r="F114" i="1"/>
  <c r="F113" i="1"/>
  <c r="K113" i="1" s="1"/>
  <c r="F112" i="1"/>
  <c r="K112" i="1" s="1"/>
  <c r="F111" i="1"/>
  <c r="K111" i="1" s="1"/>
  <c r="F110" i="1"/>
  <c r="K110" i="1" s="1"/>
  <c r="K109" i="1"/>
  <c r="M110" i="1" s="1"/>
  <c r="F109" i="1"/>
  <c r="I109" i="1" s="1"/>
  <c r="F108" i="1"/>
  <c r="I108" i="1" s="1"/>
  <c r="F107" i="1"/>
  <c r="F106" i="1"/>
  <c r="K106" i="1" s="1"/>
  <c r="F105" i="1"/>
  <c r="I105" i="1" s="1"/>
  <c r="F104" i="1"/>
  <c r="I104" i="1" s="1"/>
  <c r="F103" i="1"/>
  <c r="K103" i="1" s="1"/>
  <c r="F102" i="1"/>
  <c r="I102" i="1" s="1"/>
  <c r="F101" i="1"/>
  <c r="K100" i="1"/>
  <c r="F100" i="1"/>
  <c r="I100" i="1" s="1"/>
  <c r="F99" i="1"/>
  <c r="I99" i="1" s="1"/>
  <c r="F98" i="1"/>
  <c r="K97" i="1"/>
  <c r="F97" i="1"/>
  <c r="I97" i="1" s="1"/>
  <c r="F96" i="1"/>
  <c r="I96" i="1" s="1"/>
  <c r="K95" i="1"/>
  <c r="F95" i="1"/>
  <c r="I95" i="1" s="1"/>
  <c r="F94" i="1"/>
  <c r="K94" i="1" s="1"/>
  <c r="K93" i="1"/>
  <c r="F93" i="1"/>
  <c r="I93" i="1" s="1"/>
  <c r="F92" i="1"/>
  <c r="K92" i="1" s="1"/>
  <c r="F91" i="1"/>
  <c r="K91" i="1" s="1"/>
  <c r="F90" i="1"/>
  <c r="I90" i="1" s="1"/>
  <c r="F89" i="1"/>
  <c r="K89" i="1" s="1"/>
  <c r="F88" i="1"/>
  <c r="I88" i="1" s="1"/>
  <c r="F87" i="1"/>
  <c r="I87" i="1" s="1"/>
  <c r="I86" i="1"/>
  <c r="F86" i="1"/>
  <c r="K86" i="1" s="1"/>
  <c r="F85" i="1"/>
  <c r="I85" i="1" s="1"/>
  <c r="F84" i="1"/>
  <c r="I84" i="1" s="1"/>
  <c r="F83" i="1"/>
  <c r="K83" i="1" s="1"/>
  <c r="F82" i="1"/>
  <c r="I82" i="1" s="1"/>
  <c r="F81" i="1"/>
  <c r="I81" i="1" s="1"/>
  <c r="F80" i="1"/>
  <c r="I80" i="1" s="1"/>
  <c r="F79" i="1"/>
  <c r="K79" i="1" s="1"/>
  <c r="F78" i="1"/>
  <c r="I78" i="1" s="1"/>
  <c r="F77" i="1"/>
  <c r="I77" i="1" s="1"/>
  <c r="F76" i="1"/>
  <c r="K76" i="1" s="1"/>
  <c r="F75" i="1"/>
  <c r="I75" i="1" s="1"/>
  <c r="F74" i="1"/>
  <c r="I74" i="1" s="1"/>
  <c r="F73" i="1"/>
  <c r="K73" i="1" s="1"/>
  <c r="F72" i="1"/>
  <c r="I72" i="1" s="1"/>
  <c r="F71" i="1"/>
  <c r="I71" i="1" s="1"/>
  <c r="F70" i="1"/>
  <c r="K70" i="1" s="1"/>
  <c r="F69" i="1"/>
  <c r="I69" i="1" s="1"/>
  <c r="F68" i="1"/>
  <c r="I68" i="1" s="1"/>
  <c r="F67" i="1"/>
  <c r="K67" i="1" s="1"/>
  <c r="F66" i="1"/>
  <c r="I66" i="1" s="1"/>
  <c r="F65" i="1"/>
  <c r="I65" i="1" s="1"/>
  <c r="F64" i="1"/>
  <c r="K64" i="1" s="1"/>
  <c r="F63" i="1"/>
  <c r="I63" i="1" s="1"/>
  <c r="F62" i="1"/>
  <c r="I62" i="1" s="1"/>
  <c r="F61" i="1"/>
  <c r="K61" i="1" s="1"/>
  <c r="F60" i="1"/>
  <c r="K60" i="1" s="1"/>
  <c r="K59" i="1"/>
  <c r="F59" i="1"/>
  <c r="I59" i="1" s="1"/>
  <c r="F58" i="1"/>
  <c r="K58" i="1" s="1"/>
  <c r="F57" i="1"/>
  <c r="K57" i="1" s="1"/>
  <c r="I56" i="1"/>
  <c r="F56" i="1"/>
  <c r="K56" i="1" s="1"/>
  <c r="F55" i="1"/>
  <c r="K55" i="1" s="1"/>
  <c r="F54" i="1"/>
  <c r="K54" i="1" s="1"/>
  <c r="F53" i="1"/>
  <c r="K53" i="1" s="1"/>
  <c r="F52" i="1"/>
  <c r="K52" i="1" s="1"/>
  <c r="F51" i="1"/>
  <c r="K51" i="1" s="1"/>
  <c r="F50" i="1"/>
  <c r="K50" i="1" s="1"/>
  <c r="F49" i="1"/>
  <c r="K49" i="1" s="1"/>
  <c r="F48" i="1"/>
  <c r="K48" i="1" s="1"/>
  <c r="F47" i="1"/>
  <c r="K47" i="1" s="1"/>
  <c r="F46" i="1"/>
  <c r="K46" i="1" s="1"/>
  <c r="F45" i="1"/>
  <c r="K45" i="1" s="1"/>
  <c r="F44" i="1"/>
  <c r="K44" i="1" s="1"/>
  <c r="F43" i="1"/>
  <c r="K43" i="1" s="1"/>
  <c r="F42" i="1"/>
  <c r="K42" i="1" s="1"/>
  <c r="F41" i="1"/>
  <c r="K41" i="1" s="1"/>
  <c r="F40" i="1"/>
  <c r="K40" i="1" s="1"/>
  <c r="F39" i="1"/>
  <c r="K39" i="1" s="1"/>
  <c r="F38" i="1"/>
  <c r="K38" i="1" s="1"/>
  <c r="F37" i="1"/>
  <c r="K37" i="1" s="1"/>
  <c r="F36" i="1"/>
  <c r="K36" i="1" s="1"/>
  <c r="F35" i="1"/>
  <c r="K35" i="1" s="1"/>
  <c r="F34" i="1"/>
  <c r="K34" i="1" s="1"/>
  <c r="F33" i="1"/>
  <c r="K33" i="1" s="1"/>
  <c r="F32" i="1"/>
  <c r="K32" i="1" s="1"/>
  <c r="F31" i="1"/>
  <c r="K31" i="1" s="1"/>
  <c r="F30" i="1"/>
  <c r="K30" i="1" s="1"/>
  <c r="F29" i="1"/>
  <c r="K29" i="1" s="1"/>
  <c r="F28" i="1"/>
  <c r="K28" i="1" s="1"/>
  <c r="F27" i="1"/>
  <c r="K27" i="1" s="1"/>
  <c r="F26" i="1"/>
  <c r="K26" i="1" s="1"/>
  <c r="K25" i="1"/>
  <c r="M26" i="1" s="1"/>
  <c r="F25" i="1"/>
  <c r="I25" i="1" s="1"/>
  <c r="F24" i="1"/>
  <c r="K24" i="1" s="1"/>
  <c r="F23" i="1"/>
  <c r="K23" i="1" s="1"/>
  <c r="K22" i="1"/>
  <c r="F22" i="1"/>
  <c r="I22" i="1" s="1"/>
  <c r="K21" i="1"/>
  <c r="I21" i="1"/>
  <c r="F21" i="1"/>
  <c r="F20" i="1"/>
  <c r="K20" i="1" s="1"/>
  <c r="F19" i="1"/>
  <c r="I19" i="1" s="1"/>
  <c r="F18" i="1"/>
  <c r="I18" i="1" s="1"/>
  <c r="F17" i="1"/>
  <c r="K17" i="1" s="1"/>
  <c r="F16" i="1"/>
  <c r="K16" i="1" s="1"/>
  <c r="F15" i="1"/>
  <c r="K15" i="1" s="1"/>
  <c r="F14" i="1"/>
  <c r="K14" i="1" s="1"/>
  <c r="F13" i="1"/>
  <c r="K13" i="1" s="1"/>
  <c r="F12" i="1"/>
  <c r="K12" i="1" s="1"/>
  <c r="F11" i="1"/>
  <c r="K11" i="1" s="1"/>
  <c r="F10" i="1"/>
  <c r="K10" i="1" s="1"/>
  <c r="F9" i="1"/>
  <c r="K9" i="1" s="1"/>
  <c r="F8" i="1"/>
  <c r="K8" i="1" s="1"/>
  <c r="F7" i="1"/>
  <c r="K7" i="1" s="1"/>
  <c r="F6" i="1"/>
  <c r="K6" i="1" s="1"/>
  <c r="F5" i="1"/>
  <c r="K5" i="1" s="1"/>
  <c r="F4" i="1"/>
  <c r="K4" i="1" s="1"/>
  <c r="F3" i="1"/>
  <c r="K3" i="1" s="1"/>
  <c r="F2" i="1"/>
  <c r="K2" i="1" s="1"/>
  <c r="M2" i="1" s="1"/>
  <c r="I20" i="1" l="1"/>
  <c r="I24" i="1"/>
  <c r="I29" i="1"/>
  <c r="I156" i="1"/>
  <c r="I195" i="1"/>
  <c r="K244" i="1"/>
  <c r="K318" i="1"/>
  <c r="K330" i="1"/>
  <c r="I333" i="1"/>
  <c r="I368" i="1"/>
  <c r="I423" i="1"/>
  <c r="I443" i="1"/>
  <c r="I44" i="1"/>
  <c r="K80" i="1"/>
  <c r="K85" i="1"/>
  <c r="I126" i="1"/>
  <c r="K144" i="1"/>
  <c r="K152" i="1"/>
  <c r="I155" i="1"/>
  <c r="I183" i="1"/>
  <c r="I186" i="1"/>
  <c r="I216" i="1"/>
  <c r="I222" i="1"/>
  <c r="I227" i="1"/>
  <c r="K228" i="1"/>
  <c r="K238" i="1"/>
  <c r="I254" i="1"/>
  <c r="K256" i="1"/>
  <c r="K277" i="1"/>
  <c r="K309" i="1"/>
  <c r="I342" i="1"/>
  <c r="K344" i="1"/>
  <c r="K353" i="1"/>
  <c r="K356" i="1"/>
  <c r="K362" i="1"/>
  <c r="I367" i="1"/>
  <c r="I371" i="1"/>
  <c r="I374" i="1"/>
  <c r="K492" i="1"/>
  <c r="I50" i="1"/>
  <c r="K82" i="1"/>
  <c r="I103" i="1"/>
  <c r="I127" i="1"/>
  <c r="K146" i="1"/>
  <c r="K149" i="1"/>
  <c r="I160" i="1"/>
  <c r="I287" i="1"/>
  <c r="K289" i="1"/>
  <c r="I304" i="1"/>
  <c r="I311" i="1"/>
  <c r="K349" i="1"/>
  <c r="I420" i="1"/>
  <c r="I450" i="1"/>
  <c r="K494" i="1"/>
  <c r="K18" i="1"/>
  <c r="I23" i="1"/>
  <c r="I38" i="1"/>
  <c r="K102" i="1"/>
  <c r="I163" i="1"/>
  <c r="I174" i="1"/>
  <c r="I177" i="1"/>
  <c r="I194" i="1"/>
  <c r="K212" i="1"/>
  <c r="K220" i="1"/>
  <c r="K232" i="1"/>
  <c r="I275" i="1"/>
  <c r="I288" i="1"/>
  <c r="K290" i="1"/>
  <c r="I348" i="1"/>
  <c r="K359" i="1"/>
  <c r="I438" i="1"/>
  <c r="K498" i="1"/>
  <c r="I509" i="1"/>
  <c r="K512" i="1"/>
  <c r="I114" i="1"/>
  <c r="K114" i="1"/>
  <c r="K218" i="1"/>
  <c r="I218" i="1"/>
  <c r="K281" i="1"/>
  <c r="I281" i="1"/>
  <c r="K292" i="1"/>
  <c r="I292" i="1"/>
  <c r="K336" i="1"/>
  <c r="I336" i="1"/>
  <c r="I32" i="1"/>
  <c r="I48" i="1"/>
  <c r="I61" i="1"/>
  <c r="I112" i="1"/>
  <c r="I124" i="1"/>
  <c r="K192" i="1"/>
  <c r="I192" i="1"/>
  <c r="I302" i="1"/>
  <c r="K302" i="1"/>
  <c r="K324" i="1"/>
  <c r="I324" i="1"/>
  <c r="I341" i="1"/>
  <c r="K364" i="1"/>
  <c r="I364" i="1"/>
  <c r="K369" i="1"/>
  <c r="M369" i="1" s="1"/>
  <c r="I369" i="1"/>
  <c r="K431" i="1"/>
  <c r="I431" i="1"/>
  <c r="I35" i="1"/>
  <c r="I41" i="1"/>
  <c r="I53" i="1"/>
  <c r="K81" i="1"/>
  <c r="K87" i="1"/>
  <c r="I101" i="1"/>
  <c r="K101" i="1"/>
  <c r="I110" i="1"/>
  <c r="I119" i="1"/>
  <c r="K129" i="1"/>
  <c r="I129" i="1"/>
  <c r="K132" i="1"/>
  <c r="K219" i="1"/>
  <c r="I219" i="1"/>
  <c r="I251" i="1"/>
  <c r="K264" i="1"/>
  <c r="K268" i="1"/>
  <c r="I268" i="1"/>
  <c r="I274" i="1"/>
  <c r="K276" i="1"/>
  <c r="I276" i="1"/>
  <c r="I282" i="1"/>
  <c r="K286" i="1"/>
  <c r="I286" i="1"/>
  <c r="K294" i="1"/>
  <c r="I294" i="1"/>
  <c r="I317" i="1"/>
  <c r="K337" i="1"/>
  <c r="K339" i="1"/>
  <c r="I339" i="1"/>
  <c r="K347" i="1"/>
  <c r="I347" i="1"/>
  <c r="I358" i="1"/>
  <c r="K422" i="1"/>
  <c r="I422" i="1"/>
  <c r="I491" i="1"/>
  <c r="K491" i="1"/>
  <c r="I499" i="1"/>
  <c r="K499" i="1"/>
  <c r="I505" i="1"/>
  <c r="K513" i="1"/>
  <c r="I513" i="1"/>
  <c r="I98" i="1"/>
  <c r="K98" i="1"/>
  <c r="I107" i="1"/>
  <c r="K107" i="1"/>
  <c r="K161" i="1"/>
  <c r="I161" i="1"/>
  <c r="K250" i="1"/>
  <c r="I250" i="1"/>
  <c r="K345" i="1"/>
  <c r="I345" i="1"/>
  <c r="K447" i="1"/>
  <c r="I447" i="1"/>
  <c r="I495" i="1"/>
  <c r="K495" i="1"/>
  <c r="I36" i="1"/>
  <c r="I42" i="1"/>
  <c r="I54" i="1"/>
  <c r="I58" i="1"/>
  <c r="K104" i="1"/>
  <c r="I121" i="1"/>
  <c r="I154" i="1"/>
  <c r="I165" i="1"/>
  <c r="I168" i="1"/>
  <c r="K207" i="1"/>
  <c r="I207" i="1"/>
  <c r="I225" i="1"/>
  <c r="K257" i="1"/>
  <c r="I257" i="1"/>
  <c r="K260" i="1"/>
  <c r="I260" i="1"/>
  <c r="I278" i="1"/>
  <c r="K278" i="1"/>
  <c r="I334" i="1"/>
  <c r="K334" i="1"/>
  <c r="K19" i="1"/>
  <c r="I26" i="1"/>
  <c r="I47" i="1"/>
  <c r="I39" i="1"/>
  <c r="I45" i="1"/>
  <c r="I51" i="1"/>
  <c r="I57" i="1"/>
  <c r="I60" i="1"/>
  <c r="K62" i="1"/>
  <c r="K65" i="1"/>
  <c r="K68" i="1"/>
  <c r="K71" i="1"/>
  <c r="K74" i="1"/>
  <c r="K77" i="1"/>
  <c r="I91" i="1"/>
  <c r="I113" i="1"/>
  <c r="K120" i="1"/>
  <c r="M134" i="1" s="1"/>
  <c r="I120" i="1"/>
  <c r="K135" i="1"/>
  <c r="K143" i="1"/>
  <c r="K153" i="1"/>
  <c r="M157" i="1" s="1"/>
  <c r="I153" i="1"/>
  <c r="I164" i="1"/>
  <c r="I203" i="1"/>
  <c r="K224" i="1"/>
  <c r="I224" i="1"/>
  <c r="K259" i="1"/>
  <c r="I259" i="1"/>
  <c r="I262" i="1"/>
  <c r="K262" i="1"/>
  <c r="I272" i="1"/>
  <c r="K272" i="1"/>
  <c r="K312" i="1"/>
  <c r="K315" i="1"/>
  <c r="K326" i="1"/>
  <c r="I326" i="1"/>
  <c r="I350" i="1"/>
  <c r="K350" i="1"/>
  <c r="K363" i="1"/>
  <c r="I363" i="1"/>
  <c r="I365" i="1"/>
  <c r="K365" i="1"/>
  <c r="I370" i="1"/>
  <c r="K373" i="1"/>
  <c r="I373" i="1"/>
  <c r="I449" i="1"/>
  <c r="I489" i="1"/>
  <c r="K489" i="1"/>
  <c r="I497" i="1"/>
  <c r="K497" i="1"/>
  <c r="I503" i="1"/>
  <c r="I511" i="1"/>
  <c r="M367" i="1"/>
  <c r="I504" i="1"/>
  <c r="I506" i="1"/>
  <c r="I508" i="1"/>
  <c r="I510" i="1"/>
  <c r="M164" i="1"/>
  <c r="M61" i="1"/>
  <c r="M24" i="1"/>
  <c r="I4" i="1"/>
  <c r="I7" i="1"/>
  <c r="I10" i="1"/>
  <c r="I13" i="1"/>
  <c r="I16" i="1"/>
  <c r="K63" i="1"/>
  <c r="K66" i="1"/>
  <c r="K69" i="1"/>
  <c r="K72" i="1"/>
  <c r="K75" i="1"/>
  <c r="K88" i="1"/>
  <c r="K115" i="1"/>
  <c r="M118" i="1" s="1"/>
  <c r="K147" i="1"/>
  <c r="K166" i="1"/>
  <c r="I166" i="1"/>
  <c r="K175" i="1"/>
  <c r="M205" i="1" s="1"/>
  <c r="I175" i="1"/>
  <c r="K184" i="1"/>
  <c r="I184" i="1"/>
  <c r="K193" i="1"/>
  <c r="I193" i="1"/>
  <c r="K206" i="1"/>
  <c r="I211" i="1"/>
  <c r="K202" i="1"/>
  <c r="I202" i="1"/>
  <c r="K283" i="1"/>
  <c r="I283" i="1"/>
  <c r="I28" i="1"/>
  <c r="I31" i="1"/>
  <c r="I34" i="1"/>
  <c r="I37" i="1"/>
  <c r="I40" i="1"/>
  <c r="I43" i="1"/>
  <c r="I46" i="1"/>
  <c r="I49" i="1"/>
  <c r="I52" i="1"/>
  <c r="I55" i="1"/>
  <c r="I79" i="1"/>
  <c r="I92" i="1"/>
  <c r="I106" i="1"/>
  <c r="I116" i="1"/>
  <c r="I123" i="1"/>
  <c r="I130" i="1"/>
  <c r="K137" i="1"/>
  <c r="I158" i="1"/>
  <c r="I171" i="1"/>
  <c r="I180" i="1"/>
  <c r="I189" i="1"/>
  <c r="I198" i="1"/>
  <c r="K258" i="1"/>
  <c r="I258" i="1"/>
  <c r="K273" i="1"/>
  <c r="I273" i="1"/>
  <c r="I64" i="1"/>
  <c r="I67" i="1"/>
  <c r="I70" i="1"/>
  <c r="I73" i="1"/>
  <c r="I76" i="1"/>
  <c r="I89" i="1"/>
  <c r="K99" i="1"/>
  <c r="I134" i="1"/>
  <c r="I141" i="1"/>
  <c r="K148" i="1"/>
  <c r="I167" i="1"/>
  <c r="I176" i="1"/>
  <c r="I185" i="1"/>
  <c r="K233" i="1"/>
  <c r="K239" i="1"/>
  <c r="K245" i="1"/>
  <c r="K279" i="1"/>
  <c r="I279" i="1"/>
  <c r="K284" i="1"/>
  <c r="K313" i="1"/>
  <c r="M322" i="1" s="1"/>
  <c r="I313" i="1"/>
  <c r="I325" i="1"/>
  <c r="K325" i="1"/>
  <c r="I2" i="1"/>
  <c r="I5" i="1"/>
  <c r="I8" i="1"/>
  <c r="I11" i="1"/>
  <c r="I14" i="1"/>
  <c r="I17" i="1"/>
  <c r="K172" i="1"/>
  <c r="I172" i="1"/>
  <c r="K181" i="1"/>
  <c r="I181" i="1"/>
  <c r="K190" i="1"/>
  <c r="I190" i="1"/>
  <c r="K199" i="1"/>
  <c r="I199" i="1"/>
  <c r="I213" i="1"/>
  <c r="K217" i="1"/>
  <c r="I217" i="1"/>
  <c r="K263" i="1"/>
  <c r="M305" i="1" s="1"/>
  <c r="K285" i="1"/>
  <c r="I285" i="1"/>
  <c r="K295" i="1"/>
  <c r="I83" i="1"/>
  <c r="K96" i="1"/>
  <c r="I117" i="1"/>
  <c r="I131" i="1"/>
  <c r="I138" i="1"/>
  <c r="K145" i="1"/>
  <c r="I159" i="1"/>
  <c r="I208" i="1"/>
  <c r="K221" i="1"/>
  <c r="M221" i="1" s="1"/>
  <c r="I234" i="1"/>
  <c r="I240" i="1"/>
  <c r="I246" i="1"/>
  <c r="K255" i="1"/>
  <c r="I255" i="1"/>
  <c r="K291" i="1"/>
  <c r="I291" i="1"/>
  <c r="K297" i="1"/>
  <c r="I297" i="1"/>
  <c r="K90" i="1"/>
  <c r="I128" i="1"/>
  <c r="K142" i="1"/>
  <c r="I173" i="1"/>
  <c r="I182" i="1"/>
  <c r="I191" i="1"/>
  <c r="K209" i="1"/>
  <c r="K214" i="1"/>
  <c r="M219" i="1" s="1"/>
  <c r="I214" i="1"/>
  <c r="K229" i="1"/>
  <c r="K235" i="1"/>
  <c r="K241" i="1"/>
  <c r="K247" i="1"/>
  <c r="I3" i="1"/>
  <c r="I6" i="1"/>
  <c r="I9" i="1"/>
  <c r="I12" i="1"/>
  <c r="I15" i="1"/>
  <c r="K169" i="1"/>
  <c r="I169" i="1"/>
  <c r="K178" i="1"/>
  <c r="I178" i="1"/>
  <c r="K187" i="1"/>
  <c r="I187" i="1"/>
  <c r="K196" i="1"/>
  <c r="I196" i="1"/>
  <c r="K252" i="1"/>
  <c r="I252" i="1"/>
  <c r="K322" i="1"/>
  <c r="I322" i="1"/>
  <c r="K84" i="1"/>
  <c r="I94" i="1"/>
  <c r="K108" i="1"/>
  <c r="I111" i="1"/>
  <c r="I118" i="1"/>
  <c r="I125" i="1"/>
  <c r="K139" i="1"/>
  <c r="I150" i="1"/>
  <c r="I210" i="1"/>
  <c r="M226" i="1"/>
  <c r="K230" i="1"/>
  <c r="K236" i="1"/>
  <c r="K242" i="1"/>
  <c r="K248" i="1"/>
  <c r="K265" i="1"/>
  <c r="I27" i="1"/>
  <c r="I30" i="1"/>
  <c r="I33" i="1"/>
  <c r="K299" i="1"/>
  <c r="I299" i="1"/>
  <c r="K78" i="1"/>
  <c r="K105" i="1"/>
  <c r="I122" i="1"/>
  <c r="K136" i="1"/>
  <c r="I170" i="1"/>
  <c r="I179" i="1"/>
  <c r="I188" i="1"/>
  <c r="I201" i="1"/>
  <c r="I231" i="1"/>
  <c r="I237" i="1"/>
  <c r="I243" i="1"/>
  <c r="I249" i="1"/>
  <c r="K261" i="1"/>
  <c r="I261" i="1"/>
  <c r="K266" i="1"/>
  <c r="K271" i="1"/>
  <c r="I296" i="1"/>
  <c r="I303" i="1"/>
  <c r="I310" i="1"/>
  <c r="I340" i="1"/>
  <c r="K442" i="1"/>
  <c r="I442" i="1"/>
  <c r="K524" i="1"/>
  <c r="I524" i="1"/>
  <c r="K536" i="1"/>
  <c r="I536" i="1"/>
  <c r="I270" i="1"/>
  <c r="I280" i="1"/>
  <c r="I293" i="1"/>
  <c r="I314" i="1"/>
  <c r="K321" i="1"/>
  <c r="I328" i="1"/>
  <c r="K332" i="1"/>
  <c r="I372" i="1"/>
  <c r="K378" i="1"/>
  <c r="I378" i="1"/>
  <c r="K384" i="1"/>
  <c r="I384" i="1"/>
  <c r="K390" i="1"/>
  <c r="I390" i="1"/>
  <c r="K396" i="1"/>
  <c r="I396" i="1"/>
  <c r="K402" i="1"/>
  <c r="I402" i="1"/>
  <c r="K408" i="1"/>
  <c r="I408" i="1"/>
  <c r="K414" i="1"/>
  <c r="I414" i="1"/>
  <c r="K421" i="1"/>
  <c r="I421" i="1"/>
  <c r="I428" i="1"/>
  <c r="I435" i="1"/>
  <c r="M513" i="1"/>
  <c r="I267" i="1"/>
  <c r="I300" i="1"/>
  <c r="I307" i="1"/>
  <c r="K436" i="1"/>
  <c r="I436" i="1"/>
  <c r="I379" i="1"/>
  <c r="K379" i="1"/>
  <c r="I385" i="1"/>
  <c r="K385" i="1"/>
  <c r="I391" i="1"/>
  <c r="K391" i="1"/>
  <c r="I397" i="1"/>
  <c r="K397" i="1"/>
  <c r="I403" i="1"/>
  <c r="K403" i="1"/>
  <c r="I409" i="1"/>
  <c r="K409" i="1"/>
  <c r="K451" i="1"/>
  <c r="I451" i="1"/>
  <c r="K515" i="1"/>
  <c r="I515" i="1"/>
  <c r="K527" i="1"/>
  <c r="I527" i="1"/>
  <c r="K539" i="1"/>
  <c r="I539" i="1"/>
  <c r="K329" i="1"/>
  <c r="K430" i="1"/>
  <c r="I430" i="1"/>
  <c r="I437" i="1"/>
  <c r="I444" i="1"/>
  <c r="K380" i="1"/>
  <c r="I380" i="1"/>
  <c r="K386" i="1"/>
  <c r="I386" i="1"/>
  <c r="K392" i="1"/>
  <c r="I392" i="1"/>
  <c r="K398" i="1"/>
  <c r="I398" i="1"/>
  <c r="K404" i="1"/>
  <c r="I404" i="1"/>
  <c r="K410" i="1"/>
  <c r="I410" i="1"/>
  <c r="K416" i="1"/>
  <c r="I416" i="1"/>
  <c r="K445" i="1"/>
  <c r="I445" i="1"/>
  <c r="I452" i="1"/>
  <c r="I305" i="1"/>
  <c r="I319" i="1"/>
  <c r="K424" i="1"/>
  <c r="I424" i="1"/>
  <c r="K518" i="1"/>
  <c r="M543" i="1" s="1"/>
  <c r="I518" i="1"/>
  <c r="K530" i="1"/>
  <c r="I530" i="1"/>
  <c r="K542" i="1"/>
  <c r="I542" i="1"/>
  <c r="K375" i="1"/>
  <c r="I375" i="1"/>
  <c r="K381" i="1"/>
  <c r="I381" i="1"/>
  <c r="K387" i="1"/>
  <c r="I387" i="1"/>
  <c r="K393" i="1"/>
  <c r="I393" i="1"/>
  <c r="K399" i="1"/>
  <c r="I399" i="1"/>
  <c r="K405" i="1"/>
  <c r="I405" i="1"/>
  <c r="K411" i="1"/>
  <c r="I411" i="1"/>
  <c r="K439" i="1"/>
  <c r="I439" i="1"/>
  <c r="I446" i="1"/>
  <c r="I453" i="1"/>
  <c r="I316" i="1"/>
  <c r="I346" i="1"/>
  <c r="M374" i="1"/>
  <c r="K418" i="1"/>
  <c r="I418" i="1"/>
  <c r="I425" i="1"/>
  <c r="K454" i="1"/>
  <c r="I454" i="1"/>
  <c r="I376" i="1"/>
  <c r="K376" i="1"/>
  <c r="I382" i="1"/>
  <c r="K382" i="1"/>
  <c r="I388" i="1"/>
  <c r="K388" i="1"/>
  <c r="I394" i="1"/>
  <c r="K394" i="1"/>
  <c r="I400" i="1"/>
  <c r="K400" i="1"/>
  <c r="I406" i="1"/>
  <c r="K406" i="1"/>
  <c r="I412" i="1"/>
  <c r="K412" i="1"/>
  <c r="K433" i="1"/>
  <c r="I433" i="1"/>
  <c r="I440" i="1"/>
  <c r="K521" i="1"/>
  <c r="I521" i="1"/>
  <c r="K533" i="1"/>
  <c r="I533" i="1"/>
  <c r="K327" i="1"/>
  <c r="M360" i="1" s="1"/>
  <c r="I331" i="1"/>
  <c r="I343" i="1"/>
  <c r="I419" i="1"/>
  <c r="I426" i="1"/>
  <c r="K448" i="1"/>
  <c r="I448" i="1"/>
  <c r="I455" i="1"/>
  <c r="K377" i="1"/>
  <c r="I377" i="1"/>
  <c r="K383" i="1"/>
  <c r="I383" i="1"/>
  <c r="K389" i="1"/>
  <c r="I389" i="1"/>
  <c r="K395" i="1"/>
  <c r="I395" i="1"/>
  <c r="K401" i="1"/>
  <c r="I401" i="1"/>
  <c r="K407" i="1"/>
  <c r="I407" i="1"/>
  <c r="K413" i="1"/>
  <c r="I413" i="1"/>
  <c r="K427" i="1"/>
  <c r="I427" i="1"/>
  <c r="I434" i="1"/>
  <c r="I441" i="1"/>
  <c r="K415" i="1"/>
  <c r="K469" i="1"/>
  <c r="M502" i="1" s="1"/>
  <c r="K472" i="1"/>
  <c r="K475" i="1"/>
  <c r="K478" i="1"/>
  <c r="K481" i="1"/>
  <c r="K484" i="1"/>
  <c r="K487" i="1"/>
  <c r="K490" i="1"/>
  <c r="K493" i="1"/>
  <c r="K496" i="1"/>
  <c r="I470" i="1"/>
  <c r="I473" i="1"/>
  <c r="I476" i="1"/>
  <c r="I479" i="1"/>
  <c r="I482" i="1"/>
  <c r="I485" i="1"/>
  <c r="I488" i="1"/>
  <c r="I516" i="1"/>
  <c r="I519" i="1"/>
  <c r="I522" i="1"/>
  <c r="I525" i="1"/>
  <c r="I528" i="1"/>
  <c r="I531" i="1"/>
  <c r="I534" i="1"/>
  <c r="I537" i="1"/>
  <c r="I540" i="1"/>
  <c r="I468" i="1"/>
  <c r="I471" i="1"/>
  <c r="I474" i="1"/>
  <c r="I477" i="1"/>
  <c r="I480" i="1"/>
  <c r="I483" i="1"/>
  <c r="I486" i="1"/>
  <c r="I514" i="1"/>
  <c r="I517" i="1"/>
  <c r="I520" i="1"/>
  <c r="I523" i="1"/>
  <c r="I526" i="1"/>
  <c r="I529" i="1"/>
  <c r="I532" i="1"/>
  <c r="I535" i="1"/>
  <c r="I538" i="1"/>
  <c r="I541" i="1"/>
  <c r="M152" i="1" l="1"/>
  <c r="M108" i="1"/>
  <c r="M261" i="1"/>
  <c r="M467" i="1"/>
  <c r="M213" i="1"/>
  <c r="M249" i="1"/>
</calcChain>
</file>

<file path=xl/sharedStrings.xml><?xml version="1.0" encoding="utf-8"?>
<sst xmlns="http://schemas.openxmlformats.org/spreadsheetml/2006/main" count="3132" uniqueCount="916">
  <si>
    <t>désignation</t>
  </si>
  <si>
    <t>référence</t>
  </si>
  <si>
    <t>fournisseur</t>
  </si>
  <si>
    <t>afficheur rotation fouet WEST 6100+</t>
  </si>
  <si>
    <t xml:space="preserve">Insert Han E male 16 Contacts sur 2 Rangées,500 V 16A </t>
  </si>
  <si>
    <t>Fin de course Cablé (levée cuve)</t>
  </si>
  <si>
    <t xml:space="preserve">Insert Han E Femelle 16 Contacts sur 2 Rangées,500 V 16A </t>
  </si>
  <si>
    <t xml:space="preserve">LEVIER EASY-LOCK PRISE HARTING </t>
  </si>
  <si>
    <t>Tête + roulette Capteur de fin de course Telemecanique ZCKD21</t>
  </si>
  <si>
    <t>Thermostat de sécurité</t>
  </si>
  <si>
    <t>Chariot Alu support des roulettes pour cuve 150 L</t>
  </si>
  <si>
    <t>embase connecteur 16pts</t>
  </si>
  <si>
    <t>système</t>
  </si>
  <si>
    <t xml:space="preserve">stock </t>
  </si>
  <si>
    <t>stock ini</t>
  </si>
  <si>
    <t xml:space="preserve">seuil </t>
  </si>
  <si>
    <t>alerte stock</t>
  </si>
  <si>
    <t>prix HT unité</t>
  </si>
  <si>
    <t>prix tot</t>
  </si>
  <si>
    <t>adoucisseur</t>
  </si>
  <si>
    <t>Kit joint venturi pour adoucisseur ECOWATER modèle R46 5.1</t>
  </si>
  <si>
    <t>ESM 7290957</t>
  </si>
  <si>
    <t>-</t>
  </si>
  <si>
    <t>autoclave</t>
  </si>
  <si>
    <t>capteur de proximité</t>
  </si>
  <si>
    <t>e2a-m12kn08-wp-32</t>
  </si>
  <si>
    <t>RS</t>
  </si>
  <si>
    <t>capteur magnétique</t>
  </si>
  <si>
    <t>440n-z2nrs1a série A</t>
  </si>
  <si>
    <t>corps d'electrovanne sécurité gaz</t>
  </si>
  <si>
    <t>010.0183.001 (2113.07 )</t>
  </si>
  <si>
    <t>AMEN (installateur)</t>
  </si>
  <si>
    <t>disjoncteur 0,5 A</t>
  </si>
  <si>
    <t>cb2cb05</t>
  </si>
  <si>
    <t>filtres 100 microns cintropur</t>
  </si>
  <si>
    <t>culligan</t>
  </si>
  <si>
    <t>garniture type BAQE pour pompe 11Kw</t>
  </si>
  <si>
    <t>Le dauphin/ TGF</t>
  </si>
  <si>
    <t>NB joint de corps pompe 11Kw</t>
  </si>
  <si>
    <t>MABEO</t>
  </si>
  <si>
    <t>I.H.M autoclave</t>
  </si>
  <si>
    <t>PANEL VIEW PLUS 700</t>
  </si>
  <si>
    <t>SURDRY</t>
  </si>
  <si>
    <t>interrupteur de sécurité</t>
  </si>
  <si>
    <t>440N-G02123 / Allen Bradley</t>
  </si>
  <si>
    <t>joint de porte 1300 mm</t>
  </si>
  <si>
    <t>2102322  ref surdry</t>
  </si>
  <si>
    <t>lampe 24v(ampoules)</t>
  </si>
  <si>
    <t>RS 2940281 / Schneider</t>
  </si>
  <si>
    <t>alerte</t>
  </si>
  <si>
    <t>manomètre 0-6 bar G1/2 100mm</t>
  </si>
  <si>
    <t>RS 258-2368 / WIKA</t>
  </si>
  <si>
    <t>module d'ouverture progressif</t>
  </si>
  <si>
    <t>227411/ burket</t>
  </si>
  <si>
    <t xml:space="preserve">Pile chlorure de thionyle 3,6V 2400mAh </t>
  </si>
  <si>
    <t>RS 7020799</t>
  </si>
  <si>
    <t>vanne de proces dn 32 pn 25</t>
  </si>
  <si>
    <t>146322/ burket</t>
  </si>
  <si>
    <t>vanne de process dn 100 pn 25</t>
  </si>
  <si>
    <t>152815/ burket</t>
  </si>
  <si>
    <t>vanne de process dn 20 pn 25</t>
  </si>
  <si>
    <t>146283/ burket</t>
  </si>
  <si>
    <t>vanne de process dn 40</t>
  </si>
  <si>
    <t>00146327/ burket</t>
  </si>
  <si>
    <t>vanne de process dn 40 pn 25 316L</t>
  </si>
  <si>
    <t>181785/ burket</t>
  </si>
  <si>
    <t>vanne de process dn 50 pn 25</t>
  </si>
  <si>
    <t>146345/ burket</t>
  </si>
  <si>
    <t>ventillateur 24v 42mA5( pour le pc)</t>
  </si>
  <si>
    <t>RS 3373064</t>
  </si>
  <si>
    <t>Capteur proximité 440NGO2123</t>
  </si>
  <si>
    <t>autolaveuse</t>
  </si>
  <si>
    <t>COURROIE DENTEE AUTOLAVEUSE BR40</t>
  </si>
  <si>
    <t>HTD-474-3M-15 CXPIII</t>
  </si>
  <si>
    <t>ABRAM</t>
  </si>
  <si>
    <t>Courroie dentee</t>
  </si>
  <si>
    <t>HTD-390-3M-15</t>
  </si>
  <si>
    <t>bakon</t>
  </si>
  <si>
    <t>joint torique dim 55 x  5 mm, emplacement sous trémie bleu</t>
  </si>
  <si>
    <t>Joint Oring 55x5 sillicone 70 FDA</t>
  </si>
  <si>
    <t>joint de type quad ring diam 28,17 x 3,53 mm (cylindre de dosage à piston)</t>
  </si>
  <si>
    <t>Joint quadrilob 29,75x3,53 sillicone 70 FDA</t>
  </si>
  <si>
    <t>joint torique dim 62 x 3 mm (tubes de dosage)</t>
  </si>
  <si>
    <t>Joint Oring 62x3 sillicone 70 FDA</t>
  </si>
  <si>
    <t>joint torique Dim 49,5 x 3 mm (bloc de dosage à piston)</t>
  </si>
  <si>
    <t>Joint Oring 50x3 sillicone 70 FDA</t>
  </si>
  <si>
    <t>joint torique Dim 35 x 2,5 mm (tubes de distribution sauce)</t>
  </si>
  <si>
    <t>Joint Oring 37,5x2,58 sillicone 70 FDA</t>
  </si>
  <si>
    <t>joint torique Dim 18 x 2,5 mm (vérin pneumatique tête de dressage)</t>
  </si>
  <si>
    <t>roulement axe trémie</t>
  </si>
  <si>
    <t>S6905 RS</t>
  </si>
  <si>
    <t>Roulement support Trémie</t>
  </si>
  <si>
    <t>joint spi (roulement axe melangeur trémie)</t>
  </si>
  <si>
    <t>R 30-52-7</t>
  </si>
  <si>
    <t>vérin iso double effet (tête de dosage)</t>
  </si>
  <si>
    <t>DSNU-25-30-P-A (inox)</t>
  </si>
  <si>
    <t xml:space="preserve">PSI </t>
  </si>
  <si>
    <t>DSNU-25-30-P-A (standard)</t>
  </si>
  <si>
    <t>capot harting 16 poles</t>
  </si>
  <si>
    <t>(rexel) IL1 CHC16L</t>
  </si>
  <si>
    <t>pince solidarisant les connecteurs</t>
  </si>
  <si>
    <t>Pince prise harting</t>
  </si>
  <si>
    <t>connecteurs 9 broches prise harting f</t>
  </si>
  <si>
    <t>D-sub Femelle réf 09140093101</t>
  </si>
  <si>
    <t>connecteurs 9 broches prise harting m</t>
  </si>
  <si>
    <t>D-sub Male réf 09140093001</t>
  </si>
  <si>
    <t>connecteur F HARTING HAN8 16A</t>
  </si>
  <si>
    <t xml:space="preserve"> ref 09140082733</t>
  </si>
  <si>
    <t>REXEL</t>
  </si>
  <si>
    <t xml:space="preserve">connecteur M HARTING HAN8 16A </t>
  </si>
  <si>
    <t>ref 09140082633</t>
  </si>
  <si>
    <t xml:space="preserve">connecteur F HARTING HAN8 10A </t>
  </si>
  <si>
    <t>ref 09140122732</t>
  </si>
  <si>
    <t xml:space="preserve"> 'za&lt;W</t>
  </si>
  <si>
    <t>ref 09140122632</t>
  </si>
  <si>
    <t>équerre mal 1/8 T6</t>
  </si>
  <si>
    <t>47150610 (airfit  PSI)</t>
  </si>
  <si>
    <t>Vérin N25</t>
  </si>
  <si>
    <t>SMC CD85 N25-50C-B</t>
  </si>
  <si>
    <t>Vérin N20</t>
  </si>
  <si>
    <t>SMC CD85 N20-25-B</t>
  </si>
  <si>
    <t>joint 30*52*7 RVS</t>
  </si>
  <si>
    <t>30/52/7 RVS304</t>
  </si>
  <si>
    <t>vérin compact</t>
  </si>
  <si>
    <t>SMC CD55 B80-60</t>
  </si>
  <si>
    <t>Valve rotative</t>
  </si>
  <si>
    <t>capteur ILS</t>
  </si>
  <si>
    <t>210-250 (D-M9P5APC)</t>
  </si>
  <si>
    <t>Joint 1</t>
  </si>
  <si>
    <t>28,17 x 3,53</t>
  </si>
  <si>
    <t>Joint 2</t>
  </si>
  <si>
    <t>35 x 2,5</t>
  </si>
  <si>
    <t>joint 3</t>
  </si>
  <si>
    <t>49,5 x 3</t>
  </si>
  <si>
    <t>Joint 4</t>
  </si>
  <si>
    <t>41 x 2</t>
  </si>
  <si>
    <t>Distributeur 5/3</t>
  </si>
  <si>
    <t>SMC SY9320-5WAOU-03F-Q</t>
  </si>
  <si>
    <t>Distributeur 5/2</t>
  </si>
  <si>
    <t>SMC SY9120-5WAOU-03F-Q</t>
  </si>
  <si>
    <t>coupleur (Ø6mm) style staublî</t>
  </si>
  <si>
    <t>31080506 (aitfit PSI)</t>
  </si>
  <si>
    <t>Molette filetée plastique</t>
  </si>
  <si>
    <t>RS:016-1206</t>
  </si>
  <si>
    <t>LEVIER EASY-LOCK PRISE HARTING</t>
  </si>
  <si>
    <t>RS: 512-5441</t>
  </si>
  <si>
    <t>batteur et cuves chauffantes</t>
  </si>
  <si>
    <t>RS 454-2211
 (rexel WSTP6100-2100-002 (119,47))</t>
  </si>
  <si>
    <t>Axe acier pour verin</t>
  </si>
  <si>
    <t>B013166</t>
  </si>
  <si>
    <t>Bague retenue 150L</t>
  </si>
  <si>
    <t>B022677</t>
  </si>
  <si>
    <t>bande de raclage 150 L</t>
  </si>
  <si>
    <t>B04365115</t>
  </si>
  <si>
    <t>VMI</t>
  </si>
  <si>
    <t xml:space="preserve">bande de raclage 80 L </t>
  </si>
  <si>
    <t>B04365106</t>
  </si>
  <si>
    <t xml:space="preserve">Butée Arriere Batteur </t>
  </si>
  <si>
    <t>VMI: B02222804</t>
  </si>
  <si>
    <t>Butée FDC presence cuve</t>
  </si>
  <si>
    <t>B04398901</t>
  </si>
  <si>
    <t>Capot Prise Harting sortie coudée</t>
  </si>
  <si>
    <t>REXEL ILME MMO 06 L25</t>
  </si>
  <si>
    <t>Capteur de fin de course Telemecanique, NO/NF, 10 A, 240V, IP66</t>
  </si>
  <si>
    <t>XCKM121H29 RS: 235997</t>
  </si>
  <si>
    <t>chariot alu + sous postes cuves 150L</t>
  </si>
  <si>
    <t>BO22925E</t>
  </si>
  <si>
    <t>B02292504</t>
  </si>
  <si>
    <t>cicrclip Axe verin</t>
  </si>
  <si>
    <t>110BCE17</t>
  </si>
  <si>
    <t>Clapet anti-retour HR012 pompe hydraulique</t>
  </si>
  <si>
    <t>Atos HR-012 50</t>
  </si>
  <si>
    <t>Connecteur d'alimentation, Han A Series</t>
  </si>
  <si>
    <t xml:space="preserve"> RS 363-7914</t>
  </si>
  <si>
    <t>Connecteur d'alimentation, Han B Series Entrée latérale,</t>
  </si>
  <si>
    <t>RS 114-7756</t>
  </si>
  <si>
    <t>Courroie d'entrainement</t>
  </si>
  <si>
    <t>Electrodistributeur Hydraulique pour verins leve cuve</t>
  </si>
  <si>
    <t>BCH056</t>
  </si>
  <si>
    <t>B03342901</t>
  </si>
  <si>
    <t>fond de boitier en fonte d'aluminium</t>
  </si>
  <si>
    <t>fouet pour cuve 150 l</t>
  </si>
  <si>
    <t>B022896E3-A1</t>
  </si>
  <si>
    <t>Mr Pomarède 02,51,45,35,76</t>
  </si>
  <si>
    <t>fouet pour cuve 80 L</t>
  </si>
  <si>
    <t>B022881E5</t>
  </si>
  <si>
    <t>Glissiere de support (Queue d'arronde)</t>
  </si>
  <si>
    <t>B03376101</t>
  </si>
  <si>
    <t>Grille tournante</t>
  </si>
  <si>
    <t>B02263302</t>
  </si>
  <si>
    <t>huile fluide caloporteur</t>
  </si>
  <si>
    <t>igol Thermal ST1</t>
  </si>
  <si>
    <t>Huile Hydraulique Alimentaire Verins Batteurs</t>
  </si>
  <si>
    <t>igol Hydral HM32</t>
  </si>
  <si>
    <t>RS 114-8276</t>
  </si>
  <si>
    <t>RS 114-8298</t>
  </si>
  <si>
    <t>Joint spi bras satelitte DIM: 50x80x10</t>
  </si>
  <si>
    <t>joint suiffé (tresse 100% PTFE 12x12)</t>
  </si>
  <si>
    <t>MODULE SECURITE ACOTOM COM3C 24V batteur 2</t>
  </si>
  <si>
    <t>BELECO71W</t>
  </si>
  <si>
    <t>Potentiometre vitesse rotation BAT3</t>
  </si>
  <si>
    <t>RS: 620-6096</t>
  </si>
  <si>
    <t>poussoir de FDC presence cuve</t>
  </si>
  <si>
    <t>B046707</t>
  </si>
  <si>
    <t>protection thermoplongeur modele 2077-99 (plastique/verre)</t>
  </si>
  <si>
    <t xml:space="preserve">06 11ARNO590871 </t>
  </si>
  <si>
    <t>VULCANIC</t>
  </si>
  <si>
    <t>protection thermoplongeur modele 9622-01 (alu)</t>
  </si>
  <si>
    <t>AR122175A</t>
  </si>
  <si>
    <r>
      <t>RELAIS STATIQUE chauffage de cuves</t>
    </r>
    <r>
      <rPr>
        <b/>
        <sz val="9"/>
        <rFont val="Arabic Transparent"/>
        <charset val="178"/>
      </rPr>
      <t xml:space="preserve"> batteur 1</t>
    </r>
  </si>
  <si>
    <t>GNR25DCZ (RS 5361899)</t>
  </si>
  <si>
    <t>Roulement à billes SKF 6207-2RS1, Rainure profonde, 35mmx72mm</t>
  </si>
  <si>
    <t>6207-2RS1</t>
  </si>
  <si>
    <t>Roulement à billes SKF 6208-2RS1, Rainure profonde, 40mmx80mm</t>
  </si>
  <si>
    <t>6208-2RS1</t>
  </si>
  <si>
    <t>Roulement capot grille</t>
  </si>
  <si>
    <t>Roulettes pour cuves 80/100/150L</t>
  </si>
  <si>
    <t>BROU0362</t>
  </si>
  <si>
    <t>soupapes, 2882/d10c/s-ptfe</t>
  </si>
  <si>
    <t xml:space="preserve"> RS 360-8663</t>
  </si>
  <si>
    <t>tête de fouet</t>
  </si>
  <si>
    <t>B02280814E</t>
  </si>
  <si>
    <t>Verin hydraulique montée cuve L=735</t>
  </si>
  <si>
    <t>BVH33764</t>
  </si>
  <si>
    <t>protection facade pour afficheur rotation fouet WEST 6100+</t>
  </si>
  <si>
    <t>188-4635</t>
  </si>
  <si>
    <t>rs</t>
  </si>
  <si>
    <t>BSAV30225</t>
  </si>
  <si>
    <t>bcc</t>
  </si>
  <si>
    <t>BELEC106L</t>
  </si>
  <si>
    <t>casier a chaussure</t>
  </si>
  <si>
    <t>lampe uv</t>
  </si>
  <si>
    <t>ozn0046</t>
  </si>
  <si>
    <t>casier ch.</t>
  </si>
  <si>
    <t>moteur tangentiel</t>
  </si>
  <si>
    <t>D 10 372</t>
  </si>
  <si>
    <t>centrale de lavage</t>
  </si>
  <si>
    <t>clapet anti-retour</t>
  </si>
  <si>
    <t>Kit enrouleur double pour dévidoir inox</t>
  </si>
  <si>
    <t>LB10.POCH026</t>
  </si>
  <si>
    <t>Pistolet corps plastique marque prevost</t>
  </si>
  <si>
    <t>001 PM JETI (G1/2 BSPP)</t>
  </si>
  <si>
    <t>Pistolet eau corps acier/inox</t>
  </si>
  <si>
    <t>AKMN001-B</t>
  </si>
  <si>
    <t>Ressort cliquet centrale de lavage</t>
  </si>
  <si>
    <t>tuyau 12x20 /10 ML</t>
  </si>
  <si>
    <t>tuyaux 12x20/ 15 ML</t>
  </si>
  <si>
    <t>CDL</t>
  </si>
  <si>
    <t xml:space="preserve">venturi centrale de lavage </t>
  </si>
  <si>
    <t>chaudiere vapeur</t>
  </si>
  <si>
    <t>amortisseur valve pompe A</t>
  </si>
  <si>
    <t>UH17616</t>
  </si>
  <si>
    <t>CLAYTON</t>
  </si>
  <si>
    <t>amortisseur valve pompe B</t>
  </si>
  <si>
    <t>UH 60077</t>
  </si>
  <si>
    <t>cellule uvz 780 blue brûleur</t>
  </si>
  <si>
    <t>clapet valve de contrôle(sièges inox)</t>
  </si>
  <si>
    <t>UH62860</t>
  </si>
  <si>
    <t>diaphragme de pompe</t>
  </si>
  <si>
    <t>UH15055</t>
  </si>
  <si>
    <t>disque de diaphragme</t>
  </si>
  <si>
    <t>UH 12801</t>
  </si>
  <si>
    <t>disques clapet valve de contrôle</t>
  </si>
  <si>
    <t>UH25196</t>
  </si>
  <si>
    <t>joint, rondelles cuivre clapet</t>
  </si>
  <si>
    <t>PT100 6 connexions t° serpentin</t>
  </si>
  <si>
    <t xml:space="preserve">Sonde PT 100 </t>
  </si>
  <si>
    <t>purgeur Gestra pn 40</t>
  </si>
  <si>
    <t>MRCT</t>
  </si>
  <si>
    <t xml:space="preserve">régulateur purgeur Gestra </t>
  </si>
  <si>
    <t>P375234</t>
  </si>
  <si>
    <t>ressort clapet pompe aspiration</t>
  </si>
  <si>
    <t>UH18286</t>
  </si>
  <si>
    <t>ressort clapet pompe refoulement</t>
  </si>
  <si>
    <t>UH18285</t>
  </si>
  <si>
    <t>ressort de pression diaphragme</t>
  </si>
  <si>
    <t>UH12803</t>
  </si>
  <si>
    <t>transfo d'allumage, marque BRAHMA type T13/M</t>
  </si>
  <si>
    <t>type T13/M</t>
  </si>
  <si>
    <t>CV</t>
  </si>
  <si>
    <t>tuyau raccord pompe/bache</t>
  </si>
  <si>
    <t>M200251</t>
  </si>
  <si>
    <t>clippeuse</t>
  </si>
  <si>
    <t>arbre</t>
  </si>
  <si>
    <t>Polyclip / aïtech</t>
  </si>
  <si>
    <t>CAPTEUR secu fca 3442</t>
  </si>
  <si>
    <t>chaîne intermédiaire</t>
  </si>
  <si>
    <t>CHAINES AVANCES AGRAFEE</t>
  </si>
  <si>
    <t>COURROIE ref: STD 800 S8M CXA marque Continental</t>
  </si>
  <si>
    <t>COUTEAU fca 3442</t>
  </si>
  <si>
    <t>Embout caoutchouc frein dévidoir</t>
  </si>
  <si>
    <t>galet d=26</t>
  </si>
  <si>
    <t>galet d=35</t>
  </si>
  <si>
    <t>guide agrafe 30 mm cpl</t>
  </si>
  <si>
    <t>RESSORT couteaux boyaux</t>
  </si>
  <si>
    <t>rotule de droite</t>
  </si>
  <si>
    <t>rotule de gauche</t>
  </si>
  <si>
    <t>rotule droit</t>
  </si>
  <si>
    <t>roulement 6301/2 RS</t>
  </si>
  <si>
    <t>roulement à aiguille (04)</t>
  </si>
  <si>
    <t>roulement à aiguille (52)</t>
  </si>
  <si>
    <t>Cable VEMAG R500</t>
  </si>
  <si>
    <t>contre etiqueteuse MECAWEST</t>
  </si>
  <si>
    <t>Capteur photoélectrique, Cylindrique, Lumière rouge, LED, 0,05 → 7 m, NPN, 100 mA, Câble, IP67</t>
  </si>
  <si>
    <t>RS 729-5110</t>
  </si>
  <si>
    <t>CAMFIL</t>
  </si>
  <si>
    <t>courroie d'entrainement enrouleur glassine</t>
  </si>
  <si>
    <t>ADN 105</t>
  </si>
  <si>
    <t>fourche de détection capteur d'étiquettes (cellule BALLUFF)</t>
  </si>
  <si>
    <t>BGL 003 Y (BALLUFF)</t>
  </si>
  <si>
    <t>rouleau finition collage</t>
  </si>
  <si>
    <t>ZROUL MOUSB</t>
  </si>
  <si>
    <t>mecawest</t>
  </si>
  <si>
    <t>Cable connecteur</t>
  </si>
  <si>
    <t>4 pin M8</t>
  </si>
  <si>
    <t>coupe légume</t>
  </si>
  <si>
    <t>Pilon</t>
  </si>
  <si>
    <t>0KJ761</t>
  </si>
  <si>
    <t>KGR distribution</t>
  </si>
  <si>
    <t>Bouton Noir</t>
  </si>
  <si>
    <t>OU476</t>
  </si>
  <si>
    <t>Verrou</t>
  </si>
  <si>
    <t>0D022</t>
  </si>
  <si>
    <t>Goupilles</t>
  </si>
  <si>
    <t>OU502 (paquet de 5)</t>
  </si>
  <si>
    <t>Butées plastique</t>
  </si>
  <si>
    <t>0KQ699 (paquet de 5)</t>
  </si>
  <si>
    <t>Bague Articulée</t>
  </si>
  <si>
    <t>0KJ599</t>
  </si>
  <si>
    <t>coupe leg.</t>
  </si>
  <si>
    <t>Bagues</t>
  </si>
  <si>
    <t>0D3386</t>
  </si>
  <si>
    <t>crepiere</t>
  </si>
  <si>
    <t>JOINT TORIQUE SEPHAT (59)</t>
  </si>
  <si>
    <t>1000659 Marque Sephat</t>
  </si>
  <si>
    <t>Abram</t>
  </si>
  <si>
    <t>JOINT TORIQUE SEPHAT (19)</t>
  </si>
  <si>
    <t>1003319 Marque Sephat</t>
  </si>
  <si>
    <t>VERIN METAL WORK</t>
  </si>
  <si>
    <t>1213630100XN</t>
  </si>
  <si>
    <t>Sirven</t>
  </si>
  <si>
    <t>COUROIE TEXROPE 13x1700 LI170 PP (A67/13 01730/)</t>
  </si>
  <si>
    <t>MCO-52B</t>
  </si>
  <si>
    <t>Balpes</t>
  </si>
  <si>
    <t>CONTACTEUR DE CHAUFFE SIEMMENS</t>
  </si>
  <si>
    <t>3ZX1012-0RT04-1AA1</t>
  </si>
  <si>
    <t>Rexel</t>
  </si>
  <si>
    <t>arret d'urgence</t>
  </si>
  <si>
    <t>425-8449/fab:xb4bs8445</t>
  </si>
  <si>
    <t>DISTRIBUTEUR JOUCOMATIC 5/2</t>
  </si>
  <si>
    <t>52100005/ RS: 302-6459</t>
  </si>
  <si>
    <t>I.H.M siemens doseuse à crêpes, API - Extension d'écran Siemens TP 177micro 6AV6640-0CA11-0AX1 320 x 240 pix 1 pc(s)</t>
  </si>
  <si>
    <t>6AV6 640-0CA11-0AX1</t>
  </si>
  <si>
    <t>corps de clapet dosage</t>
  </si>
  <si>
    <t>70/0030</t>
  </si>
  <si>
    <t>Axe clapet de dosage</t>
  </si>
  <si>
    <t>70/0031</t>
  </si>
  <si>
    <t>galets</t>
  </si>
  <si>
    <t>70/0054</t>
  </si>
  <si>
    <t>Pince d'accrochage</t>
  </si>
  <si>
    <t>70/0090</t>
  </si>
  <si>
    <t>bagues hd levier clapet</t>
  </si>
  <si>
    <t>70/0121</t>
  </si>
  <si>
    <t>Tête de dosage</t>
  </si>
  <si>
    <t>70/0180</t>
  </si>
  <si>
    <t>Rondelles dessus piston</t>
  </si>
  <si>
    <t>70/0289</t>
  </si>
  <si>
    <t>Pistons dosage</t>
  </si>
  <si>
    <t>70/0287</t>
  </si>
  <si>
    <t>DEMI-TENDEUR</t>
  </si>
  <si>
    <t>85/0010</t>
  </si>
  <si>
    <t>filtre SMC</t>
  </si>
  <si>
    <t>amc520-04</t>
  </si>
  <si>
    <t>VERIN SMC 20-250-B</t>
  </si>
  <si>
    <t>CD85N20-250-B/ RS6240226</t>
  </si>
  <si>
    <t>VERIN SMC 20-25-B</t>
  </si>
  <si>
    <t xml:space="preserve">CD85N20-25-B  </t>
  </si>
  <si>
    <t>VERIN SMC 25-50C-B</t>
  </si>
  <si>
    <t>CD85N25-50C-B/rs 7006014</t>
  </si>
  <si>
    <t>CAPTEUR ILS SMC</t>
  </si>
  <si>
    <t>DZ63/ rs350-0755</t>
  </si>
  <si>
    <t>coton graissage</t>
  </si>
  <si>
    <t>M  ME-1</t>
  </si>
  <si>
    <t>bague en bronze</t>
  </si>
  <si>
    <t>MBA-32</t>
  </si>
  <si>
    <t>joints de pistons</t>
  </si>
  <si>
    <t>MJO-50</t>
  </si>
  <si>
    <t>Joint</t>
  </si>
  <si>
    <t>MJO-31C</t>
  </si>
  <si>
    <t>roue vis sans fin Delrin</t>
  </si>
  <si>
    <t>MRO-53C</t>
  </si>
  <si>
    <t>tuyau doseuse(tubelait)</t>
  </si>
  <si>
    <t>MTU-18</t>
  </si>
  <si>
    <t>vis sans fin delrin</t>
  </si>
  <si>
    <t>MVI-3</t>
  </si>
  <si>
    <t>VERIN PARKER (MINI)</t>
  </si>
  <si>
    <t>P1SS010DS-0025</t>
  </si>
  <si>
    <t>carte elec pompe graisseur</t>
  </si>
  <si>
    <t>Rs: 510-1209</t>
  </si>
  <si>
    <t>Mano 0-10bars R 1/8</t>
  </si>
  <si>
    <t>RS:233 0820</t>
  </si>
  <si>
    <t>TUYAU D'HUILE POMPE</t>
  </si>
  <si>
    <t>RS:667-8441</t>
  </si>
  <si>
    <t>TUYAU POMPE graisseurs</t>
  </si>
  <si>
    <t xml:space="preserve"> FAB:MTU-17D
RS:419-0012</t>
  </si>
  <si>
    <t>chaine spocket</t>
  </si>
  <si>
    <t>palier lisse</t>
  </si>
  <si>
    <t>motoreducteur à vis sans fin</t>
  </si>
  <si>
    <t>EMO-13E</t>
  </si>
  <si>
    <t>poulie a moyeu amovible</t>
  </si>
  <si>
    <t>MPO-2A80</t>
  </si>
  <si>
    <t>moyeu amovible</t>
  </si>
  <si>
    <t>MMO-4C</t>
  </si>
  <si>
    <t>pompe a gallet</t>
  </si>
  <si>
    <t>FRL asco numatics</t>
  </si>
  <si>
    <t>G652APJP4GA00HN</t>
  </si>
  <si>
    <t>asco numatics</t>
  </si>
  <si>
    <t>CTA</t>
  </si>
  <si>
    <t>filtres F7 287x592x48 CTA</t>
  </si>
  <si>
    <t>filtres F7 598X498X48 CTA</t>
  </si>
  <si>
    <t>filres G4 287x592x48 CTA</t>
  </si>
  <si>
    <t>filtres G4 598x498x48 CTA</t>
  </si>
  <si>
    <t>filtres G4 592x592x48 WOLF/ROOFTOP</t>
  </si>
  <si>
    <t>filtres F7 592x592x48 WOLF/ROOFTOP</t>
  </si>
  <si>
    <t>gaine textile spirale</t>
  </si>
  <si>
    <t>HAS</t>
  </si>
  <si>
    <t>gaine textile salle jaune</t>
  </si>
  <si>
    <t>DDM</t>
  </si>
  <si>
    <t>cellule barrière détection métaux</t>
  </si>
  <si>
    <t>cellule barrière balance pondérale</t>
  </si>
  <si>
    <t>Courroie crantée (10T5 / 185DIN 7721 KEV)</t>
  </si>
  <si>
    <t>electrovanne 5/2 24VDC</t>
  </si>
  <si>
    <t>Vérin 25/200 dw ISO 6432</t>
  </si>
  <si>
    <t>DSNU-25-200-PPV-Q (festo)</t>
  </si>
  <si>
    <t>Alimentation 150w 24vCC</t>
  </si>
  <si>
    <t>RS 1065852</t>
  </si>
  <si>
    <t>desinsectiseur</t>
  </si>
  <si>
    <t>Néon anti insectes</t>
  </si>
  <si>
    <t>789-9857</t>
  </si>
  <si>
    <t>Starter 151 pour néons anti insectes</t>
  </si>
  <si>
    <t>106537</t>
  </si>
  <si>
    <t>doseur d'eau</t>
  </si>
  <si>
    <t>façade sorema</t>
  </si>
  <si>
    <t>ACCFAC0021</t>
  </si>
  <si>
    <t>sorema</t>
  </si>
  <si>
    <t>pastilles double face facade carte</t>
  </si>
  <si>
    <t>REGCOM0161-SE</t>
  </si>
  <si>
    <t>réducteur de pression</t>
  </si>
  <si>
    <t>hydred4501</t>
  </si>
  <si>
    <t>manette régulateur de t°</t>
  </si>
  <si>
    <t>reg mit 0004</t>
  </si>
  <si>
    <t>electrovanne 230v</t>
  </si>
  <si>
    <t>égoutoire</t>
  </si>
  <si>
    <t>Amortisseur/verin pneumatique inox</t>
  </si>
  <si>
    <t>762072 / Citec</t>
  </si>
  <si>
    <t>Roue polyamide diam 60mm/épais21mm/perçage à l'axe 10mm</t>
  </si>
  <si>
    <t>elevateur VMI</t>
  </si>
  <si>
    <t xml:space="preserve">Capteur inductif de proximité Barillet M30 x 1,5, portée 15mm </t>
  </si>
  <si>
    <t>RS 444-3366</t>
  </si>
  <si>
    <t>galets cylindriques 5/2 polyamide blanc</t>
  </si>
  <si>
    <t>RS: 858742</t>
  </si>
  <si>
    <t>galets de rechange 82mm marron (roue avant)</t>
  </si>
  <si>
    <t>RS: 400 172</t>
  </si>
  <si>
    <t>ressort elevateur</t>
  </si>
  <si>
    <t>BO 35770</t>
  </si>
  <si>
    <t>roue arriere élevateur</t>
  </si>
  <si>
    <t xml:space="preserve">rs 787-1565 </t>
  </si>
  <si>
    <t>axe de pivotement</t>
  </si>
  <si>
    <t>BO 44306</t>
  </si>
  <si>
    <t>palier de déversement</t>
  </si>
  <si>
    <t>BO 18646</t>
  </si>
  <si>
    <t>Kit fdc rotation cuve</t>
  </si>
  <si>
    <t>BELEC1300</t>
  </si>
  <si>
    <t>Platine Axe de rotation</t>
  </si>
  <si>
    <t>B037744</t>
  </si>
  <si>
    <t>Bague bronze</t>
  </si>
  <si>
    <t>BBP025</t>
  </si>
  <si>
    <t>Palier ECLB acier</t>
  </si>
  <si>
    <t>B018646</t>
  </si>
  <si>
    <t>Clavette forme A</t>
  </si>
  <si>
    <t>BCL060635</t>
  </si>
  <si>
    <t>Came pivotement ECLB acier</t>
  </si>
  <si>
    <t>B044307</t>
  </si>
  <si>
    <t>M14 borgne</t>
  </si>
  <si>
    <t>BEHB14L</t>
  </si>
  <si>
    <t>bouchon mécanindus diam 72 type E</t>
  </si>
  <si>
    <t>BBOMED72</t>
  </si>
  <si>
    <t>axe diam 20 l=107</t>
  </si>
  <si>
    <t>B034330</t>
  </si>
  <si>
    <t>Circlips int 80</t>
  </si>
  <si>
    <t>BCI80</t>
  </si>
  <si>
    <t>Circlips int 72</t>
  </si>
  <si>
    <t>BCI72</t>
  </si>
  <si>
    <t>Circlips ext 35</t>
  </si>
  <si>
    <t>BCI35</t>
  </si>
  <si>
    <t>Entretoise D44,2/56 EP54</t>
  </si>
  <si>
    <t>B022672</t>
  </si>
  <si>
    <t>Joint à lèvre 55-90-10</t>
  </si>
  <si>
    <t>BJ09005510</t>
  </si>
  <si>
    <t>espera</t>
  </si>
  <si>
    <t>CELLULE A ULTRASON</t>
  </si>
  <si>
    <t>cellule de détection sick</t>
  </si>
  <si>
    <t>WLG4-3E1382</t>
  </si>
  <si>
    <t>COURROIE 1</t>
  </si>
  <si>
    <t>0610002 140XLU-12,7MM</t>
  </si>
  <si>
    <t xml:space="preserve">sav@espera.fr </t>
  </si>
  <si>
    <t>COURROIE 2</t>
  </si>
  <si>
    <t>0610003 160XLU-12,7MM</t>
  </si>
  <si>
    <t>courroie etiquetteuse ESPERA 140XL</t>
  </si>
  <si>
    <t>ref RS 4749490</t>
  </si>
  <si>
    <t>courroie etiquetteuse ESPERA 160XL 037</t>
  </si>
  <si>
    <t>ref RS 4749513</t>
  </si>
  <si>
    <t>FEUTRE ROND ENTRAINEMENT</t>
  </si>
  <si>
    <t>0610028     215U15AA</t>
  </si>
  <si>
    <t>moréducteur entrainement bande convoyage</t>
  </si>
  <si>
    <t>0610042     1LA7063-4AB-12/ GBRVF30P007Q</t>
  </si>
  <si>
    <t>moteur entrainement étiquette</t>
  </si>
  <si>
    <t>0610054      VRDM3913-50L-WC-IP65</t>
  </si>
  <si>
    <t>PATINS,(WOOD PAD ) EN FEUTRE</t>
  </si>
  <si>
    <t>0610004     620E50RE</t>
  </si>
  <si>
    <t>rouleau caoutchouc entrainement d'étiquettes</t>
  </si>
  <si>
    <t>0610107  (210E25GE)</t>
  </si>
  <si>
    <t>Roulement 2202RS</t>
  </si>
  <si>
    <t>2202EEG15</t>
  </si>
  <si>
    <t>MR240</t>
  </si>
  <si>
    <t>(levier) patins de blocage du papier</t>
  </si>
  <si>
    <t>Multivac</t>
  </si>
  <si>
    <t>bague d'etanchéité</t>
  </si>
  <si>
    <t>arète ou bord de distribution</t>
  </si>
  <si>
    <t>cable (nape) connection pour tête impression 53mm</t>
  </si>
  <si>
    <t>videojet:215983</t>
  </si>
  <si>
    <t>capteur d'etiquettes</t>
  </si>
  <si>
    <t>200156169/ OPT96NS-P700</t>
  </si>
  <si>
    <t>capteur d'etiquettes capacitif</t>
  </si>
  <si>
    <t>coffret mural L1=74 B1=24(embase prise harting)</t>
  </si>
  <si>
    <t>10.629.2370</t>
  </si>
  <si>
    <t>couroie b1:15/l1:425 htd 5m</t>
  </si>
  <si>
    <t>couroie crant b1=9,53  l1=254 XL</t>
  </si>
  <si>
    <t xml:space="preserve">courroie b1:25 / l1:1150 </t>
  </si>
  <si>
    <t>courroie B1=15L1=425htd5m</t>
  </si>
  <si>
    <t>courroie crant T2,5-330</t>
  </si>
  <si>
    <t>160XL037</t>
  </si>
  <si>
    <t>courroie crant entrainement enrouleur glassine</t>
  </si>
  <si>
    <t>6T2.5/620 RS 474-5202</t>
  </si>
  <si>
    <t>courroie plate</t>
  </si>
  <si>
    <t>disque embrayage enrouleur de glassine</t>
  </si>
  <si>
    <t>distributeur etiqueuse 3/2, festo CPE14-M1BH-30L-1/8</t>
  </si>
  <si>
    <t>105450138/ festo 196931</t>
  </si>
  <si>
    <t>distributeur etiqueuse 3/2, festo CPE14-M1BH-3GL-1/8</t>
  </si>
  <si>
    <t>105450138/ festo 196929</t>
  </si>
  <si>
    <t>Pile lithium 3V 1/2AA</t>
  </si>
  <si>
    <t>RS: 2409471</t>
  </si>
  <si>
    <t>PLAQUE DE CONTRE PRESSION</t>
  </si>
  <si>
    <t>ressort de torsion 25/0.7L</t>
  </si>
  <si>
    <t>rouleau de tension l1=150 li n.re</t>
  </si>
  <si>
    <t>roulement a bille gorge profonde, S698 RS + 1698 RS</t>
  </si>
  <si>
    <t xml:space="preserve">support H1=20 B1=14 L1=60 Al MgSi-T66 </t>
  </si>
  <si>
    <t>tête d'impression</t>
  </si>
  <si>
    <t>215980 provetic</t>
  </si>
  <si>
    <t>Provetic</t>
  </si>
  <si>
    <t xml:space="preserve">verin ISO6432, DSNU-25-100-PPV-A </t>
  </si>
  <si>
    <t>200154518/ festo 19248</t>
  </si>
  <si>
    <t>Michaud Chailly</t>
  </si>
  <si>
    <t>Roulement à billes NMB, Radiale, Métal, 8mm x 19mm x 6mm</t>
  </si>
  <si>
    <t>RS: 6125903</t>
  </si>
  <si>
    <t>poulie à rebord D1=380</t>
  </si>
  <si>
    <t>disque demarrage</t>
  </si>
  <si>
    <t>rondelle 1</t>
  </si>
  <si>
    <t>piece de compensation</t>
  </si>
  <si>
    <t xml:space="preserve">ressort de torsion </t>
  </si>
  <si>
    <t>COURROIE crantée</t>
  </si>
  <si>
    <t>Disque de synchronisation 1</t>
  </si>
  <si>
    <t>Disque de synchronisation 2</t>
  </si>
  <si>
    <t>Jeu de serrage</t>
  </si>
  <si>
    <t>Tourillon</t>
  </si>
  <si>
    <t>Entretoise</t>
  </si>
  <si>
    <t>couvercle 1</t>
  </si>
  <si>
    <t>couvercle 2</t>
  </si>
  <si>
    <t>courroie</t>
  </si>
  <si>
    <t>Disque de synchronisation 3</t>
  </si>
  <si>
    <t>rondelle 2</t>
  </si>
  <si>
    <t>tole de protection</t>
  </si>
  <si>
    <t>couvercle 3</t>
  </si>
  <si>
    <t>etuyeuse</t>
  </si>
  <si>
    <t xml:space="preserve"> verrin métal work dépileur étuits</t>
  </si>
  <si>
    <t>121A500200CP</t>
  </si>
  <si>
    <t>BOBINES 21V 2W</t>
  </si>
  <si>
    <t>W0215000101</t>
  </si>
  <si>
    <t>Capteur ILS métalwork</t>
  </si>
  <si>
    <t>CR22M</t>
  </si>
  <si>
    <t>Controleur de t°</t>
  </si>
  <si>
    <t>Omron E5C5V</t>
  </si>
  <si>
    <t>DISTRI. ISV 55 SOS 00 ISO1</t>
  </si>
  <si>
    <t>Métalwork 7051021100</t>
  </si>
  <si>
    <t xml:space="preserve">distrib 3:2 </t>
  </si>
  <si>
    <t>P2LBZ312ESNDCN</t>
  </si>
  <si>
    <t>ELECTRODISTRIBUTEURS SERIE 70, 5/2 monostable 1/8gaz dn25</t>
  </si>
  <si>
    <t>7010021100 métalwork</t>
  </si>
  <si>
    <t>motoréducteur bande sortie étuyeuse</t>
  </si>
  <si>
    <t>pompe à vide pneumatique</t>
  </si>
  <si>
    <t>X20A6-CN</t>
  </si>
  <si>
    <t>Generateur de vide  SMC</t>
  </si>
  <si>
    <t>RS:700-8767</t>
  </si>
  <si>
    <t>ressort 53 mm</t>
  </si>
  <si>
    <t>sonde temp. Bac a colle</t>
  </si>
  <si>
    <t>thm600fe</t>
  </si>
  <si>
    <t>vérin double effet rabateur du haut</t>
  </si>
  <si>
    <t>DNSU-20-50-PPV-A</t>
  </si>
  <si>
    <t>verrin double effet Festo (encolleurs)</t>
  </si>
  <si>
    <t>DSNU-25-100-PPV-A</t>
  </si>
  <si>
    <t>ventouse = PR25CN-08-B6</t>
  </si>
  <si>
    <t>725-377</t>
  </si>
  <si>
    <t>ventouse = PR50CN-08-B8</t>
  </si>
  <si>
    <t>725-383</t>
  </si>
  <si>
    <t>ventouse = PR32BS</t>
  </si>
  <si>
    <t>227-3957</t>
  </si>
  <si>
    <t>four</t>
  </si>
  <si>
    <t>CABLE TRESSE ht</t>
  </si>
  <si>
    <t>SAVO3689 OU 3002689</t>
  </si>
  <si>
    <t>buzzer 220 V AC/DC</t>
  </si>
  <si>
    <t>RS ; 457043</t>
  </si>
  <si>
    <t>DETECTEUR A GALET porte four 8.62</t>
  </si>
  <si>
    <t>RS 539208</t>
  </si>
  <si>
    <t>sillicon HT°</t>
  </si>
  <si>
    <t>join de porte 800x1815</t>
  </si>
  <si>
    <t>Système de levage P/D inox</t>
  </si>
  <si>
    <t>95x53x751</t>
  </si>
  <si>
    <t>Tout Technique</t>
  </si>
  <si>
    <t>Rampe d'accès 8.63-62-61</t>
  </si>
  <si>
    <t>Guidage rampe 83x18x770</t>
  </si>
  <si>
    <t>ensemble rotule 8,63 120x32 male</t>
  </si>
  <si>
    <t>ensemble rotule 8,63 120x32 fem</t>
  </si>
  <si>
    <t>Mini moteur de volets</t>
  </si>
  <si>
    <t>RS ; 5041258</t>
  </si>
  <si>
    <t>transformateur HT brûleur riello</t>
  </si>
  <si>
    <t>TRS830P</t>
  </si>
  <si>
    <t>sonde allumage brûleur rielllo</t>
  </si>
  <si>
    <t>FS 20</t>
  </si>
  <si>
    <t>sonde de ionisation brûleur rielllo</t>
  </si>
  <si>
    <t>FS 10</t>
  </si>
  <si>
    <t>moto réducteur chariot</t>
  </si>
  <si>
    <t>MRVFL63/FC</t>
  </si>
  <si>
    <t>fin de course XCKN2118P20</t>
  </si>
  <si>
    <t>Rexel (schneider XCKN2118PN)</t>
  </si>
  <si>
    <t>roulement à bille moteur soufflerie SKF</t>
  </si>
  <si>
    <t>RS: 7192086</t>
  </si>
  <si>
    <t>opticom</t>
  </si>
  <si>
    <t>ElectroVanne Gaz 1pouce 230v</t>
  </si>
  <si>
    <t>EV6-GAZ NF 1" 230 vca 6bars
092504M</t>
  </si>
  <si>
    <t xml:space="preserve">transfo 12v 105VA </t>
  </si>
  <si>
    <t>Rexel (POL7430)</t>
  </si>
  <si>
    <t>Bornier (domino) Ht T° 2 poles</t>
  </si>
  <si>
    <t>Rexel (LEG034332)</t>
  </si>
  <si>
    <t>sonde PT 100</t>
  </si>
  <si>
    <t>PT 100 5M opticom four</t>
  </si>
  <si>
    <t>joints spi motoréducteur plateau tournant</t>
  </si>
  <si>
    <t>RS: 722-9195,95</t>
  </si>
  <si>
    <t>cable electrique haute température</t>
  </si>
  <si>
    <t xml:space="preserve">Embase ampoules </t>
  </si>
  <si>
    <t>axe entrainement</t>
  </si>
  <si>
    <t>préssiostat</t>
  </si>
  <si>
    <t>support motoreducteur</t>
  </si>
  <si>
    <t>bague bronze</t>
  </si>
  <si>
    <t>bague lattygraph</t>
  </si>
  <si>
    <t>palier</t>
  </si>
  <si>
    <t>Moteur soufflage 8,62</t>
  </si>
  <si>
    <t>LS100HT 1000/1500</t>
  </si>
  <si>
    <t>tout technique</t>
  </si>
  <si>
    <t>Relais sécu gaz bruleur</t>
  </si>
  <si>
    <t>LGB22-230B27</t>
  </si>
  <si>
    <t>thermostat sécu 1</t>
  </si>
  <si>
    <t>JUMO EM-50 602021/0050</t>
  </si>
  <si>
    <t>thermostat sécu 2</t>
  </si>
  <si>
    <t>JUMO 602031</t>
  </si>
  <si>
    <t>plaque rotation palier</t>
  </si>
  <si>
    <t>tringlerie porte</t>
  </si>
  <si>
    <t>poignée secu interieur</t>
  </si>
  <si>
    <t>toshiba imprimante</t>
  </si>
  <si>
    <t>courroie crantée 124 L 075</t>
  </si>
  <si>
    <t>7FM00175000</t>
  </si>
  <si>
    <t>provetig</t>
  </si>
  <si>
    <t>rouleau d'entrainement inférieur face avant</t>
  </si>
  <si>
    <t>7FM00163000</t>
  </si>
  <si>
    <t>rouleau d'entrainement inférieur face arrière</t>
  </si>
  <si>
    <t>7FM00164000</t>
  </si>
  <si>
    <t>Tête thermique B-SA4T toshiba 200 DPI (ASYB-HEAD-SA4T FRU) imprimante bureau</t>
  </si>
  <si>
    <t>7FM00973000 F</t>
  </si>
  <si>
    <t>Tête thermique B-SX4 toshiba (ASYB-HEAD2-SX-R FRU)</t>
  </si>
  <si>
    <t>7FM01641000</t>
  </si>
  <si>
    <t>RS 474-9793</t>
  </si>
  <si>
    <t>détecteur photoélectrique</t>
  </si>
  <si>
    <t>RS 752-5143</t>
  </si>
  <si>
    <t>LINDE Gaz</t>
  </si>
  <si>
    <t>Réchauffeur 500w type c</t>
  </si>
  <si>
    <t>Linx</t>
  </si>
  <si>
    <t>Buze de tete</t>
  </si>
  <si>
    <t>FA74070/3103</t>
  </si>
  <si>
    <t>lynx</t>
  </si>
  <si>
    <t>cellule de détection</t>
  </si>
  <si>
    <t>FA61105</t>
  </si>
  <si>
    <t>tete support</t>
  </si>
  <si>
    <t>FA62050</t>
  </si>
  <si>
    <t>Kit d'entretien 7900</t>
  </si>
  <si>
    <t>FA74330</t>
  </si>
  <si>
    <t>Kit de maintenance 5900/7300</t>
  </si>
  <si>
    <t>FA65027</t>
  </si>
  <si>
    <t>tube damper drain</t>
  </si>
  <si>
    <t>fa74005</t>
  </si>
  <si>
    <t>multivac 240/230</t>
  </si>
  <si>
    <t>clapet antiretour Gaz R230</t>
  </si>
  <si>
    <t>Plaque de chauffe inférieur 240</t>
  </si>
  <si>
    <t>Plaque de soudure 240</t>
  </si>
  <si>
    <t>Zone froide R240/230</t>
  </si>
  <si>
    <t>Joint de soudure 2 voies 2 rangées R240</t>
  </si>
  <si>
    <t>Plaque de chauffe 230</t>
  </si>
  <si>
    <t>Joint de soudure 2 voies 1 rangée R230</t>
  </si>
  <si>
    <t>Plaque de soudure R230</t>
  </si>
  <si>
    <t>capteur d'étiquettes optisch L1=50</t>
  </si>
  <si>
    <t>buse de reinjection Gaz</t>
  </si>
  <si>
    <t>douilles</t>
  </si>
  <si>
    <t>bouchon</t>
  </si>
  <si>
    <t>Cale de hauteur 0,2 carré</t>
  </si>
  <si>
    <t>poignée enrouleur de lizière</t>
  </si>
  <si>
    <t>R230, Rondelle téflons D1-100 D2-36 L1-5 L2-0,5 PA6E</t>
  </si>
  <si>
    <t>Douille rouleau entrée film</t>
  </si>
  <si>
    <t>douilles (guide film sur rouleaux soudure)</t>
  </si>
  <si>
    <r>
      <t xml:space="preserve">fin de course enrouleur de lizières </t>
    </r>
    <r>
      <rPr>
        <b/>
        <sz val="9"/>
        <rFont val="Arial"/>
        <family val="2"/>
      </rPr>
      <t>SIEMENS 3se5232-oce12-1cao</t>
    </r>
  </si>
  <si>
    <t>Membrane de soudure 100X435 R240</t>
  </si>
  <si>
    <t>Membrane de soudure 120X315 R230</t>
  </si>
  <si>
    <t>pochette uv5 joint</t>
  </si>
  <si>
    <t>Pochette UV10</t>
  </si>
  <si>
    <t>Joint (d'étanchéité) de soupape gros</t>
  </si>
  <si>
    <t>Résistance blindées</t>
  </si>
  <si>
    <t>Ressort de soudure ou de pression</t>
  </si>
  <si>
    <t>Ressort UV10</t>
  </si>
  <si>
    <t>ressort de traction D1=18 ( enrouleur)</t>
  </si>
  <si>
    <t>R240 Ressort rappel bras rouleau sup. film de soudure</t>
  </si>
  <si>
    <t>circlip diam12</t>
  </si>
  <si>
    <t>Circlips diam 25</t>
  </si>
  <si>
    <t>bague d'étanchéité 14x10x4 NBN</t>
  </si>
  <si>
    <t>joints levresd1:24 /d2:14/ b1:8</t>
  </si>
  <si>
    <t>joint levre de vide</t>
  </si>
  <si>
    <t>courroie b1:16 l1:375at5 endlos</t>
  </si>
  <si>
    <t>couroie cranté b1:16 l1:450</t>
  </si>
  <si>
    <t>joint levre en k</t>
  </si>
  <si>
    <t xml:space="preserve">distrib 3/2  frein de film </t>
  </si>
  <si>
    <t>distributeur 3/2 pneum. NW-13 1 -10 bar 1+(0,1*Betriebsd.) G1/2Z 80255211301, Vanne de soudure</t>
  </si>
  <si>
    <t>Electrovanne Gaz</t>
  </si>
  <si>
    <t>distributeur 3/2 elektr</t>
  </si>
  <si>
    <t>distributeur 5/4 elektr(electrovanne double)</t>
  </si>
  <si>
    <t>distributeur 5/2(electrovanne simple)</t>
  </si>
  <si>
    <t>plaque entrée bloc distrib air</t>
  </si>
  <si>
    <t>plaque intermédiaire bloc distrib air</t>
  </si>
  <si>
    <t>groupe FRL complet</t>
  </si>
  <si>
    <t>filtre pierre groupe frl (élément filtrant)</t>
  </si>
  <si>
    <t xml:space="preserve">filtre </t>
  </si>
  <si>
    <t>manomètre</t>
  </si>
  <si>
    <t>detendeur normal 0/6 bars entrée gaz</t>
  </si>
  <si>
    <t>régulateur de pression gaz</t>
  </si>
  <si>
    <t>Débitmètre eau</t>
  </si>
  <si>
    <t>bague d'étanchéité nylon vérin R230</t>
  </si>
  <si>
    <t>flexible haute pression</t>
  </si>
  <si>
    <t>joint torique 3,2 (étanchéité bloc formage et soudure)</t>
  </si>
  <si>
    <t>capuchon plastique prot.</t>
  </si>
  <si>
    <t>aimants ronds 7,5x7,5</t>
  </si>
  <si>
    <t>sécurité magnétique verte 6 ML</t>
  </si>
  <si>
    <t>Bloc auxiliaire</t>
  </si>
  <si>
    <t>contacteur à courant alternatif 230 V 5,5 kW</t>
  </si>
  <si>
    <t>contacteur 230 V 7,5 KW</t>
  </si>
  <si>
    <t>contacteur 11kw/ contacteur de chauffe</t>
  </si>
  <si>
    <t>moteur lisière</t>
  </si>
  <si>
    <t>Filtre contacteur de chauffe</t>
  </si>
  <si>
    <t>Filtre contacteur 7,5 KW (filtres RC)</t>
  </si>
  <si>
    <t>huile blanche</t>
  </si>
  <si>
    <t>spray anti corosion</t>
  </si>
  <si>
    <t>vanne principale d'air 3/2 R230</t>
  </si>
  <si>
    <t>80,260,2240,22</t>
  </si>
  <si>
    <t>Capteur pression R230</t>
  </si>
  <si>
    <t>Filtre pneumatique  avant formage</t>
  </si>
  <si>
    <t>K030AA RS:210-8544</t>
  </si>
  <si>
    <t xml:space="preserve">atache rapide chaine d'entrainement </t>
  </si>
  <si>
    <t>nc</t>
  </si>
  <si>
    <t>Module Logique OU capteur de vide</t>
  </si>
  <si>
    <t>Rs 722-542</t>
  </si>
  <si>
    <t>filtre G1/2 filtration air comprimé formage</t>
  </si>
  <si>
    <t>RS; 2108544</t>
  </si>
  <si>
    <t>Bloc cont. Aux. 2NO-2NF</t>
  </si>
  <si>
    <t>SIE3RH2911-1HA22</t>
  </si>
  <si>
    <t>Contacteur 4kw 1NO AC 230V</t>
  </si>
  <si>
    <t>SIE3RT2016-1AP01</t>
  </si>
  <si>
    <t>Contacteur 5,5KW 1NO  AC230V</t>
  </si>
  <si>
    <t>SIE3RT2017-1AP01</t>
  </si>
  <si>
    <t>Contacteur 7,5KW AC 230V</t>
  </si>
  <si>
    <t>SIE3RT2018-1AP01</t>
  </si>
  <si>
    <t>Contacteur 11Kw 1NO+1NF AC230V</t>
  </si>
  <si>
    <t>SIE3RT2026-1AP00</t>
  </si>
  <si>
    <t>VARISTANCE 127 a 240VAC</t>
  </si>
  <si>
    <t>SIE3RT2916-1BD00</t>
  </si>
  <si>
    <t>Varistance pour Contacteurs 11Kw</t>
  </si>
  <si>
    <t>SIE3RT2926-1BD00</t>
  </si>
  <si>
    <t>Relais thermique 0,7-1A</t>
  </si>
  <si>
    <t>SIE3RU2116-0JB0</t>
  </si>
  <si>
    <t>Relais thermique 4,5-6,3A</t>
  </si>
  <si>
    <t>SIE3RU2116-1GB0</t>
  </si>
  <si>
    <t>Jeu de ressorts de rappel</t>
  </si>
  <si>
    <t>douille d'aiguille</t>
  </si>
  <si>
    <t>ressort de traction D1=12,7</t>
  </si>
  <si>
    <t>cache latéral rouleau film bas</t>
  </si>
  <si>
    <t>circlips 45*2,5</t>
  </si>
  <si>
    <t>clamping jaw 120*22,5</t>
  </si>
  <si>
    <t>verouillage capots barriere soudure/formage</t>
  </si>
  <si>
    <t>ressort de pression D1=9</t>
  </si>
  <si>
    <t>joint spi D1=68 D2=40</t>
  </si>
  <si>
    <t>VIS SW10 L1=31 L2=29</t>
  </si>
  <si>
    <t>VIS SW17 L1=64 L2=31</t>
  </si>
  <si>
    <t>joint d'étanchité</t>
  </si>
  <si>
    <t>multivac decoupe</t>
  </si>
  <si>
    <t>Contre découpe (enclume) R240</t>
  </si>
  <si>
    <t>Couteau perforation rond</t>
  </si>
  <si>
    <t>Couteau (poinçon) perforation ovale</t>
  </si>
  <si>
    <t>Entretoise découpe stone cut 240</t>
  </si>
  <si>
    <t>Bord extérieur à visser couteaux R240</t>
  </si>
  <si>
    <t>Contre découpe (enclume) R230</t>
  </si>
  <si>
    <t>Lame de coupe R230 ( vendu au 1m )</t>
  </si>
  <si>
    <t>Lame de coupe R240 (stone cut)</t>
  </si>
  <si>
    <t>Lame R240 HSS</t>
  </si>
  <si>
    <t>LDRMH</t>
  </si>
  <si>
    <t>couteaux circulaires R240</t>
  </si>
  <si>
    <t>couteaux circulaires R230</t>
  </si>
  <si>
    <t>Couteaux Demi-as de carreau R240</t>
  </si>
  <si>
    <t>Demi As Acier Ht performance</t>
  </si>
  <si>
    <t>2SP201MF021H</t>
  </si>
  <si>
    <t>Couteaux As de carreau R240</t>
  </si>
  <si>
    <t>As de carreau Acier Ht performance</t>
  </si>
  <si>
    <t>2SP201MF020H</t>
  </si>
  <si>
    <t>joint etanchéité UV10 (decoupe longitudinale)</t>
  </si>
  <si>
    <t>Joint d'arbre (decoupe longitudinale)</t>
  </si>
  <si>
    <t>roulement gorge profonde  (decoupe longitudinale)</t>
  </si>
  <si>
    <t>Bague intérieur D1=50  D2=45 (decoupe longitudinale)</t>
  </si>
  <si>
    <t>Bague d'étanchéité d'arbre  (decoupe longitudinale)</t>
  </si>
  <si>
    <t>cicrclips  (decoupe longitudinale)</t>
  </si>
  <si>
    <t>contre lame circulaire  (decoupe longitudinale)</t>
  </si>
  <si>
    <t>Lame circulaire</t>
  </si>
  <si>
    <t>Rondelles d'ajustage 0,1mm (contre couteaux longitudinale)</t>
  </si>
  <si>
    <t>Rondelles d'ajustage 0,2mm (contre couteaux longitudinale)</t>
  </si>
  <si>
    <t>Rondelles d'ajustage 0,5mm (contre couteaux longitudinale)</t>
  </si>
  <si>
    <t>R230 tourillon (coupe longitud.)</t>
  </si>
  <si>
    <t>R230 plaque roulement (coupe lonitud.)</t>
  </si>
  <si>
    <t>support moteur couteaux circulaire R230</t>
  </si>
  <si>
    <t>R230 roulement (3200 rs) (découpe circulaire)</t>
  </si>
  <si>
    <t>pièce d'accouplement entrainement couteaux circulaire R230</t>
  </si>
  <si>
    <t>accouplement verin de découpe R230</t>
  </si>
  <si>
    <t>roulement billes gorge profonde</t>
  </si>
  <si>
    <t>couteau en forme d'étoile</t>
  </si>
  <si>
    <t>cap nut (cache vis noir)</t>
  </si>
  <si>
    <t>pédiluve</t>
  </si>
  <si>
    <t>brosses</t>
  </si>
  <si>
    <t>sc01255</t>
  </si>
  <si>
    <t>motoreducteur</t>
  </si>
  <si>
    <t>sc00847</t>
  </si>
  <si>
    <t>kit doseur venturi</t>
  </si>
  <si>
    <t>SCM-DIA 3,5</t>
  </si>
  <si>
    <t xml:space="preserve">clapet anti-retour </t>
  </si>
  <si>
    <t>SC03671</t>
  </si>
  <si>
    <t>electrovanne 7200 24V 50/60Hz</t>
  </si>
  <si>
    <t>m&amp;m D886DVU</t>
  </si>
  <si>
    <t>PAV</t>
  </si>
  <si>
    <t>kit de réparation RA0250/302 D</t>
  </si>
  <si>
    <t>993.516.590</t>
  </si>
  <si>
    <t>kit de réparation 0250 C</t>
  </si>
  <si>
    <t>993.506.360</t>
  </si>
  <si>
    <t>goujons cylindrique 160/305 C/D</t>
  </si>
  <si>
    <t>437.534.364</t>
  </si>
  <si>
    <t>jeu de joint Viton RA 0250 C/D</t>
  </si>
  <si>
    <t>990.516.591</t>
  </si>
  <si>
    <t>clips ventilateur</t>
  </si>
  <si>
    <t>432.510.792</t>
  </si>
  <si>
    <t>kit entretien R250 C/D</t>
  </si>
  <si>
    <t>991.001.007</t>
  </si>
  <si>
    <t>SOCCO</t>
  </si>
  <si>
    <t>protege couteau 50mm</t>
  </si>
  <si>
    <t>Mandrin complet derouleur 50</t>
  </si>
  <si>
    <t>bague applicateur derouleur</t>
  </si>
  <si>
    <t>butée de dérouleur 1</t>
  </si>
  <si>
    <t>butée de dérouleur 2</t>
  </si>
  <si>
    <t>butée de dérouleur 8x20-9</t>
  </si>
  <si>
    <t>support couteau 70/50</t>
  </si>
  <si>
    <t>bague support couteaux</t>
  </si>
  <si>
    <t>ecrou support couteau</t>
  </si>
  <si>
    <t>applicateur 70/50 droit complet</t>
  </si>
  <si>
    <t>applicateur 70/50 gauche complet</t>
  </si>
  <si>
    <t>rouleau anti retour . 50</t>
  </si>
  <si>
    <t>ressort por applicateur</t>
  </si>
  <si>
    <t>axe rouleau cyl. 50 (M5 L=56)</t>
  </si>
  <si>
    <t>axe rouleau bombé .50 (M5diam 10 L=63)</t>
  </si>
  <si>
    <t>rouleau cyl. 50</t>
  </si>
  <si>
    <t>ressort central 1,1</t>
  </si>
  <si>
    <t>ressort 1:1</t>
  </si>
  <si>
    <t>entretoise à collerette</t>
  </si>
  <si>
    <t>support butée</t>
  </si>
  <si>
    <t>rouleau bombé DER . 50</t>
  </si>
  <si>
    <t>rouleau anti retour noir .50</t>
  </si>
  <si>
    <t>couteau de dérouleur .50</t>
  </si>
  <si>
    <t>vis M4X8 Din 7991</t>
  </si>
  <si>
    <t>Bande entrainement T100 (980x50)</t>
  </si>
  <si>
    <t>4173001870S</t>
  </si>
  <si>
    <t>Bande entrainement vielle scotcheuse (980x80)</t>
  </si>
  <si>
    <t>4173101870S</t>
  </si>
  <si>
    <t>cable acier</t>
  </si>
  <si>
    <t>Console a rouleaux  (pour boucher la scotcheuse du bas)</t>
  </si>
  <si>
    <t>Arrêt d'urgence</t>
  </si>
  <si>
    <t>RS: 305-2133</t>
  </si>
  <si>
    <t>Cales épaisseurs</t>
  </si>
  <si>
    <t>$</t>
  </si>
  <si>
    <t>°</t>
  </si>
  <si>
    <t>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</si>
</sst>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#,##0.00\ &quot;€&quot;"/>
    <numFmt numFmtId="166" formatCode="&quot;€&quot;#,##0.00_);[Red]\(&quot;€&quot;#,##0.00\)"/>
  </numFmts>
  <fonts count="3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name val="Arabic Transparent"/>
      <charset val="178"/>
    </font>
    <font>
      <sz val="9"/>
      <color indexed="8"/>
      <name val="Arabic Transparent"/>
      <charset val="178"/>
    </font>
    <font>
      <sz val="10"/>
      <color indexed="8"/>
      <name val="Arabic Transparent"/>
      <charset val="178"/>
    </font>
    <font>
      <sz val="10"/>
      <name val="Arabic Transparent"/>
      <charset val="178"/>
    </font>
    <font>
      <b/>
      <sz val="9"/>
      <name val="Arabic Transparent"/>
      <charset val="178"/>
    </font>
    <font>
      <sz val="8"/>
      <color indexed="8"/>
      <name val="Arabic Transparent"/>
      <charset val="178"/>
    </font>
    <font>
      <sz val="9"/>
      <color theme="1"/>
      <name val="Arabic Transparent"/>
      <charset val="178"/>
    </font>
    <font>
      <u/>
      <sz val="11"/>
      <color theme="10"/>
      <name val="Calibri"/>
      <family val="2"/>
      <scheme val="minor"/>
    </font>
    <font>
      <sz val="8"/>
      <name val="Arabic Transparent"/>
      <charset val="178"/>
    </font>
    <font>
      <sz val="11"/>
      <color theme="10"/>
      <name val="Calibri"/>
      <family val="2"/>
      <scheme val="minor"/>
    </font>
    <font>
      <sz val="12"/>
      <name val="Arabic Transparent"/>
      <charset val="178"/>
    </font>
    <font>
      <sz val="9"/>
      <color theme="3"/>
      <name val="Arabic Transparent"/>
      <charset val="178"/>
    </font>
    <font>
      <sz val="9"/>
      <name val="Arabic Transparent"/>
    </font>
    <font>
      <sz val="9"/>
      <color indexed="8"/>
      <name val="Arabic Transparent"/>
    </font>
    <font>
      <b/>
      <sz val="9"/>
      <name val="Arabic Transparent"/>
    </font>
    <font>
      <sz val="8"/>
      <color theme="3"/>
      <name val="Arabic Transparent"/>
      <charset val="178"/>
    </font>
    <font>
      <b/>
      <sz val="9"/>
      <color theme="1"/>
      <name val="Arabic Transparent"/>
      <charset val="178"/>
    </font>
    <font>
      <sz val="9"/>
      <name val="Arial"/>
      <family val="2"/>
    </font>
    <font>
      <b/>
      <sz val="8"/>
      <name val="Arial"/>
      <family val="2"/>
    </font>
    <font>
      <sz val="9"/>
      <color indexed="8"/>
      <name val="Arial"/>
      <family val="2"/>
    </font>
    <font>
      <b/>
      <sz val="9"/>
      <name val="Arial"/>
      <family val="2"/>
    </font>
    <font>
      <sz val="9"/>
      <color rgb="FFFF0000"/>
      <name val="Arial"/>
      <family val="2"/>
    </font>
    <font>
      <sz val="11"/>
      <color theme="1"/>
      <name val="Arial"/>
      <family val="2"/>
    </font>
    <font>
      <b/>
      <sz val="8"/>
      <name val="Arabic Transparent"/>
      <charset val="178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6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theme="6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/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212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165" fontId="4" fillId="0" borderId="4" xfId="0" applyNumberFormat="1" applyFont="1" applyBorder="1" applyAlignment="1">
      <alignment horizontal="center" vertical="center"/>
    </xf>
    <xf numFmtId="165" fontId="8" fillId="0" borderId="4" xfId="0" applyNumberFormat="1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 wrapText="1"/>
    </xf>
    <xf numFmtId="165" fontId="10" fillId="0" borderId="4" xfId="0" applyNumberFormat="1" applyFont="1" applyBorder="1" applyAlignment="1">
      <alignment horizontal="center" vertical="center"/>
    </xf>
    <xf numFmtId="165" fontId="8" fillId="0" borderId="4" xfId="0" applyNumberFormat="1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165" fontId="5" fillId="0" borderId="4" xfId="0" applyNumberFormat="1" applyFont="1" applyBorder="1" applyAlignment="1">
      <alignment horizontal="center" vertical="center" wrapText="1"/>
    </xf>
    <xf numFmtId="0" fontId="10" fillId="0" borderId="6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10" fillId="3" borderId="4" xfId="0" applyFont="1" applyFill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0" fillId="0" borderId="0" xfId="0" applyBorder="1"/>
    <xf numFmtId="0" fontId="0" fillId="0" borderId="9" xfId="0" applyBorder="1"/>
    <xf numFmtId="0" fontId="0" fillId="0" borderId="4" xfId="0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4" borderId="10" xfId="0" applyFont="1" applyFill="1" applyBorder="1" applyAlignment="1">
      <alignment horizontal="center" vertical="center" wrapText="1"/>
    </xf>
    <xf numFmtId="0" fontId="2" fillId="4" borderId="10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12" fillId="0" borderId="4" xfId="1" applyFont="1" applyBorder="1" applyAlignment="1" applyProtection="1">
      <alignment horizontal="center" vertical="center" wrapText="1"/>
    </xf>
    <xf numFmtId="165" fontId="0" fillId="0" borderId="4" xfId="0" applyNumberFormat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 wrapText="1"/>
    </xf>
    <xf numFmtId="0" fontId="7" fillId="3" borderId="11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3" fillId="7" borderId="8" xfId="0" applyFont="1" applyFill="1" applyBorder="1" applyAlignment="1">
      <alignment horizontal="center" vertical="center"/>
    </xf>
    <xf numFmtId="0" fontId="4" fillId="7" borderId="6" xfId="0" applyFont="1" applyFill="1" applyBorder="1" applyAlignment="1">
      <alignment horizontal="center" vertical="center"/>
    </xf>
    <xf numFmtId="0" fontId="4" fillId="7" borderId="7" xfId="0" applyFont="1" applyFill="1" applyBorder="1" applyAlignment="1">
      <alignment horizontal="center" vertical="center"/>
    </xf>
    <xf numFmtId="0" fontId="13" fillId="7" borderId="4" xfId="1" applyFont="1" applyFill="1" applyBorder="1" applyAlignment="1" applyProtection="1">
      <alignment horizontal="center" vertical="center"/>
    </xf>
    <xf numFmtId="0" fontId="5" fillId="7" borderId="4" xfId="0" applyFont="1" applyFill="1" applyBorder="1" applyAlignment="1">
      <alignment horizontal="center" vertical="center" wrapText="1"/>
    </xf>
    <xf numFmtId="0" fontId="4" fillId="7" borderId="4" xfId="0" applyFont="1" applyFill="1" applyBorder="1" applyAlignment="1">
      <alignment horizontal="center" vertical="center"/>
    </xf>
    <xf numFmtId="0" fontId="4" fillId="7" borderId="6" xfId="0" applyFont="1" applyFill="1" applyBorder="1" applyAlignment="1">
      <alignment horizontal="center" vertical="center" wrapText="1"/>
    </xf>
    <xf numFmtId="0" fontId="10" fillId="7" borderId="4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5" fillId="6" borderId="4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 wrapText="1"/>
    </xf>
    <xf numFmtId="0" fontId="3" fillId="8" borderId="8" xfId="0" applyFont="1" applyFill="1" applyBorder="1" applyAlignment="1">
      <alignment horizontal="center" vertical="center"/>
    </xf>
    <xf numFmtId="0" fontId="4" fillId="8" borderId="6" xfId="0" applyFont="1" applyFill="1" applyBorder="1" applyAlignment="1">
      <alignment horizontal="center" vertical="center"/>
    </xf>
    <xf numFmtId="0" fontId="4" fillId="8" borderId="7" xfId="0" applyFont="1" applyFill="1" applyBorder="1" applyAlignment="1">
      <alignment horizontal="center" vertical="center"/>
    </xf>
    <xf numFmtId="0" fontId="4" fillId="8" borderId="4" xfId="0" applyFont="1" applyFill="1" applyBorder="1" applyAlignment="1">
      <alignment horizontal="center" vertical="center"/>
    </xf>
    <xf numFmtId="0" fontId="5" fillId="8" borderId="4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5" fillId="5" borderId="4" xfId="0" applyFont="1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/>
    </xf>
    <xf numFmtId="165" fontId="4" fillId="3" borderId="4" xfId="0" applyNumberFormat="1" applyFont="1" applyFill="1" applyBorder="1" applyAlignment="1">
      <alignment horizontal="center" vertical="center" wrapText="1"/>
    </xf>
    <xf numFmtId="165" fontId="8" fillId="5" borderId="4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5" fontId="4" fillId="0" borderId="4" xfId="0" applyNumberFormat="1" applyFont="1" applyBorder="1" applyAlignment="1">
      <alignment horizontal="center" vertical="center" wrapText="1"/>
    </xf>
    <xf numFmtId="0" fontId="4" fillId="5" borderId="6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  <xf numFmtId="165" fontId="4" fillId="5" borderId="4" xfId="0" applyNumberFormat="1" applyFont="1" applyFill="1" applyBorder="1" applyAlignment="1">
      <alignment horizontal="center" vertical="center" wrapText="1"/>
    </xf>
    <xf numFmtId="0" fontId="4" fillId="9" borderId="6" xfId="0" applyFont="1" applyFill="1" applyBorder="1" applyAlignment="1">
      <alignment horizontal="center" vertical="center" wrapText="1"/>
    </xf>
    <xf numFmtId="0" fontId="4" fillId="9" borderId="4" xfId="0" applyFont="1" applyFill="1" applyBorder="1" applyAlignment="1">
      <alignment horizontal="center" vertical="center" wrapText="1"/>
    </xf>
    <xf numFmtId="0" fontId="4" fillId="5" borderId="12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14" fillId="3" borderId="4" xfId="0" applyFont="1" applyFill="1" applyBorder="1" applyAlignment="1">
      <alignment horizontal="center" vertical="center"/>
    </xf>
    <xf numFmtId="0" fontId="4" fillId="0" borderId="14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0" fontId="0" fillId="0" borderId="15" xfId="0" applyBorder="1" applyAlignment="1">
      <alignment horizontal="center" vertical="center"/>
    </xf>
    <xf numFmtId="165" fontId="4" fillId="0" borderId="13" xfId="0" applyNumberFormat="1" applyFont="1" applyBorder="1" applyAlignment="1">
      <alignment horizontal="center" vertical="center" wrapText="1"/>
    </xf>
    <xf numFmtId="165" fontId="8" fillId="0" borderId="13" xfId="0" applyNumberFormat="1" applyFont="1" applyBorder="1" applyAlignment="1">
      <alignment horizontal="center" vertical="center"/>
    </xf>
    <xf numFmtId="0" fontId="4" fillId="5" borderId="14" xfId="0" applyFont="1" applyFill="1" applyBorder="1" applyAlignment="1">
      <alignment horizontal="center" vertical="center" wrapText="1"/>
    </xf>
    <xf numFmtId="0" fontId="4" fillId="5" borderId="13" xfId="0" applyFont="1" applyFill="1" applyBorder="1" applyAlignment="1">
      <alignment horizontal="center" vertical="center" wrapText="1"/>
    </xf>
    <xf numFmtId="0" fontId="5" fillId="5" borderId="13" xfId="0" applyFont="1" applyFill="1" applyBorder="1" applyAlignment="1">
      <alignment horizontal="center" vertical="center" wrapText="1"/>
    </xf>
    <xf numFmtId="0" fontId="0" fillId="5" borderId="15" xfId="0" applyFill="1" applyBorder="1" applyAlignment="1">
      <alignment horizontal="center" vertical="center"/>
    </xf>
    <xf numFmtId="165" fontId="4" fillId="5" borderId="13" xfId="0" applyNumberFormat="1" applyFont="1" applyFill="1" applyBorder="1" applyAlignment="1">
      <alignment horizontal="center" vertical="center" wrapText="1"/>
    </xf>
    <xf numFmtId="165" fontId="8" fillId="5" borderId="13" xfId="0" applyNumberFormat="1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  <xf numFmtId="0" fontId="10" fillId="5" borderId="4" xfId="0" applyFont="1" applyFill="1" applyBorder="1" applyAlignment="1">
      <alignment horizontal="center" vertical="center"/>
    </xf>
    <xf numFmtId="165" fontId="4" fillId="5" borderId="4" xfId="0" applyNumberFormat="1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165" fontId="10" fillId="5" borderId="4" xfId="0" applyNumberFormat="1" applyFont="1" applyFill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 wrapText="1"/>
    </xf>
    <xf numFmtId="0" fontId="4" fillId="3" borderId="1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4" fillId="4" borderId="16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165" fontId="8" fillId="3" borderId="4" xfId="0" applyNumberFormat="1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 wrapText="1"/>
    </xf>
    <xf numFmtId="166" fontId="4" fillId="3" borderId="4" xfId="0" applyNumberFormat="1" applyFont="1" applyFill="1" applyBorder="1" applyAlignment="1">
      <alignment horizontal="center" vertical="center"/>
    </xf>
    <xf numFmtId="0" fontId="3" fillId="10" borderId="8" xfId="0" applyFont="1" applyFill="1" applyBorder="1" applyAlignment="1">
      <alignment horizontal="center" vertical="center"/>
    </xf>
    <xf numFmtId="0" fontId="4" fillId="10" borderId="6" xfId="0" applyFont="1" applyFill="1" applyBorder="1" applyAlignment="1">
      <alignment horizontal="center" vertical="center"/>
    </xf>
    <xf numFmtId="0" fontId="4" fillId="10" borderId="4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49" fontId="4" fillId="0" borderId="7" xfId="0" applyNumberFormat="1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165" fontId="5" fillId="0" borderId="4" xfId="0" applyNumberFormat="1" applyFont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5" fillId="0" borderId="16" xfId="0" applyFont="1" applyBorder="1" applyAlignment="1">
      <alignment horizontal="center" vertical="center" wrapText="1"/>
    </xf>
    <xf numFmtId="0" fontId="4" fillId="3" borderId="17" xfId="0" applyFont="1" applyFill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11" fillId="0" borderId="4" xfId="1" applyBorder="1" applyAlignment="1" applyProtection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 wrapText="1"/>
    </xf>
    <xf numFmtId="0" fontId="5" fillId="4" borderId="4" xfId="0" applyFont="1" applyFill="1" applyBorder="1" applyAlignment="1">
      <alignment horizontal="center" vertical="center" wrapText="1"/>
    </xf>
    <xf numFmtId="0" fontId="15" fillId="0" borderId="4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7" borderId="17" xfId="0" applyFont="1" applyFill="1" applyBorder="1" applyAlignment="1">
      <alignment horizontal="center" vertical="center"/>
    </xf>
    <xf numFmtId="0" fontId="4" fillId="7" borderId="4" xfId="0" applyFont="1" applyFill="1" applyBorder="1" applyAlignment="1">
      <alignment horizontal="center" vertical="center" wrapText="1"/>
    </xf>
    <xf numFmtId="0" fontId="16" fillId="7" borderId="6" xfId="0" applyFont="1" applyFill="1" applyBorder="1" applyAlignment="1">
      <alignment horizontal="center" vertical="center"/>
    </xf>
    <xf numFmtId="0" fontId="16" fillId="7" borderId="7" xfId="0" applyFont="1" applyFill="1" applyBorder="1" applyAlignment="1">
      <alignment horizontal="center" vertical="center"/>
    </xf>
    <xf numFmtId="0" fontId="16" fillId="7" borderId="4" xfId="0" applyFont="1" applyFill="1" applyBorder="1" applyAlignment="1">
      <alignment horizontal="center" vertical="center"/>
    </xf>
    <xf numFmtId="165" fontId="17" fillId="3" borderId="4" xfId="0" applyNumberFormat="1" applyFont="1" applyFill="1" applyBorder="1" applyAlignment="1">
      <alignment horizontal="center" vertical="center"/>
    </xf>
    <xf numFmtId="165" fontId="18" fillId="0" borderId="4" xfId="0" applyNumberFormat="1" applyFont="1" applyBorder="1" applyAlignment="1">
      <alignment horizontal="center" vertical="center" wrapText="1"/>
    </xf>
    <xf numFmtId="0" fontId="3" fillId="11" borderId="8" xfId="0" applyFont="1" applyFill="1" applyBorder="1" applyAlignment="1">
      <alignment horizontal="center" vertical="center"/>
    </xf>
    <xf numFmtId="0" fontId="4" fillId="11" borderId="6" xfId="0" applyFont="1" applyFill="1" applyBorder="1" applyAlignment="1">
      <alignment horizontal="center" vertical="center"/>
    </xf>
    <xf numFmtId="0" fontId="4" fillId="11" borderId="7" xfId="0" applyFont="1" applyFill="1" applyBorder="1" applyAlignment="1">
      <alignment horizontal="center" vertical="center"/>
    </xf>
    <xf numFmtId="0" fontId="4" fillId="11" borderId="4" xfId="0" applyFont="1" applyFill="1" applyBorder="1" applyAlignment="1">
      <alignment horizontal="center" vertical="center"/>
    </xf>
    <xf numFmtId="0" fontId="5" fillId="11" borderId="4" xfId="0" applyFont="1" applyFill="1" applyBorder="1" applyAlignment="1">
      <alignment horizontal="center" vertical="center" wrapText="1"/>
    </xf>
    <xf numFmtId="0" fontId="4" fillId="11" borderId="4" xfId="0" applyFont="1" applyFill="1" applyBorder="1" applyAlignment="1">
      <alignment horizontal="center" vertical="center" wrapText="1"/>
    </xf>
    <xf numFmtId="0" fontId="19" fillId="7" borderId="4" xfId="0" applyFont="1" applyFill="1" applyBorder="1" applyAlignment="1">
      <alignment horizontal="center" vertical="center" wrapText="1"/>
    </xf>
    <xf numFmtId="0" fontId="4" fillId="7" borderId="7" xfId="0" applyFont="1" applyFill="1" applyBorder="1" applyAlignment="1">
      <alignment horizontal="center" vertical="center" wrapText="1"/>
    </xf>
    <xf numFmtId="0" fontId="10" fillId="7" borderId="6" xfId="0" applyFont="1" applyFill="1" applyBorder="1" applyAlignment="1">
      <alignment horizontal="center" vertical="center"/>
    </xf>
    <xf numFmtId="0" fontId="10" fillId="7" borderId="7" xfId="0" applyFont="1" applyFill="1" applyBorder="1" applyAlignment="1">
      <alignment horizontal="center" vertical="center"/>
    </xf>
    <xf numFmtId="0" fontId="10" fillId="7" borderId="4" xfId="0" applyFont="1" applyFill="1" applyBorder="1" applyAlignment="1">
      <alignment horizontal="center" vertical="center" wrapText="1"/>
    </xf>
    <xf numFmtId="165" fontId="20" fillId="0" borderId="4" xfId="0" applyNumberFormat="1" applyFont="1" applyBorder="1" applyAlignment="1">
      <alignment horizontal="center" vertical="center" wrapText="1"/>
    </xf>
    <xf numFmtId="0" fontId="0" fillId="7" borderId="6" xfId="0" applyFill="1" applyBorder="1" applyAlignment="1">
      <alignment horizontal="center" vertical="center" wrapText="1"/>
    </xf>
    <xf numFmtId="0" fontId="0" fillId="7" borderId="4" xfId="0" applyFill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165" fontId="8" fillId="0" borderId="8" xfId="0" applyNumberFormat="1" applyFont="1" applyBorder="1" applyAlignment="1">
      <alignment horizontal="center" vertical="center" wrapText="1"/>
    </xf>
    <xf numFmtId="0" fontId="21" fillId="0" borderId="16" xfId="0" applyFont="1" applyBorder="1" applyAlignment="1">
      <alignment horizontal="center" vertical="center" wrapText="1"/>
    </xf>
    <xf numFmtId="0" fontId="21" fillId="0" borderId="1" xfId="0" applyFont="1" applyBorder="1" applyAlignment="1">
      <alignment horizontal="center" vertical="center"/>
    </xf>
    <xf numFmtId="0" fontId="22" fillId="0" borderId="1" xfId="0" applyFont="1" applyBorder="1" applyAlignment="1">
      <alignment horizontal="center" vertical="center" wrapText="1"/>
    </xf>
    <xf numFmtId="0" fontId="23" fillId="0" borderId="4" xfId="0" applyFont="1" applyBorder="1" applyAlignment="1">
      <alignment horizontal="center" vertical="center" wrapText="1"/>
    </xf>
    <xf numFmtId="0" fontId="21" fillId="0" borderId="4" xfId="0" applyFont="1" applyBorder="1" applyAlignment="1">
      <alignment horizontal="center" vertical="center" wrapText="1"/>
    </xf>
    <xf numFmtId="165" fontId="21" fillId="0" borderId="4" xfId="0" applyNumberFormat="1" applyFont="1" applyBorder="1" applyAlignment="1">
      <alignment horizontal="center" vertical="center" wrapText="1"/>
    </xf>
    <xf numFmtId="165" fontId="24" fillId="0" borderId="4" xfId="0" applyNumberFormat="1" applyFont="1" applyBorder="1" applyAlignment="1">
      <alignment horizontal="center" vertical="center" wrapText="1"/>
    </xf>
    <xf numFmtId="0" fontId="21" fillId="0" borderId="6" xfId="0" applyFont="1" applyBorder="1" applyAlignment="1">
      <alignment horizontal="center" vertical="center"/>
    </xf>
    <xf numFmtId="0" fontId="21" fillId="0" borderId="4" xfId="0" applyFont="1" applyBorder="1" applyAlignment="1">
      <alignment horizontal="center" vertical="center"/>
    </xf>
    <xf numFmtId="165" fontId="21" fillId="0" borderId="4" xfId="0" applyNumberFormat="1" applyFont="1" applyBorder="1" applyAlignment="1">
      <alignment horizontal="center" vertical="center"/>
    </xf>
    <xf numFmtId="0" fontId="21" fillId="11" borderId="6" xfId="0" applyFont="1" applyFill="1" applyBorder="1" applyAlignment="1">
      <alignment horizontal="center" vertical="center"/>
    </xf>
    <xf numFmtId="0" fontId="21" fillId="0" borderId="6" xfId="0" applyFont="1" applyBorder="1" applyAlignment="1">
      <alignment horizontal="center" vertical="center" wrapText="1"/>
    </xf>
    <xf numFmtId="0" fontId="25" fillId="0" borderId="6" xfId="0" applyFont="1" applyBorder="1" applyAlignment="1">
      <alignment horizontal="center" vertical="center" wrapText="1"/>
    </xf>
    <xf numFmtId="0" fontId="25" fillId="0" borderId="4" xfId="0" applyFont="1" applyBorder="1" applyAlignment="1">
      <alignment horizontal="center" vertical="center"/>
    </xf>
    <xf numFmtId="0" fontId="21" fillId="0" borderId="1" xfId="0" applyFont="1" applyBorder="1" applyAlignment="1">
      <alignment horizontal="center" vertical="center" wrapText="1"/>
    </xf>
    <xf numFmtId="165" fontId="21" fillId="0" borderId="1" xfId="0" applyNumberFormat="1" applyFont="1" applyBorder="1" applyAlignment="1">
      <alignment horizontal="center" vertical="center" wrapText="1"/>
    </xf>
    <xf numFmtId="0" fontId="25" fillId="0" borderId="6" xfId="0" applyFont="1" applyBorder="1" applyAlignment="1">
      <alignment horizontal="center" vertical="center"/>
    </xf>
    <xf numFmtId="0" fontId="26" fillId="0" borderId="6" xfId="0" applyFont="1" applyBorder="1" applyAlignment="1">
      <alignment horizontal="center" vertical="center" wrapText="1"/>
    </xf>
    <xf numFmtId="0" fontId="26" fillId="0" borderId="4" xfId="0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27" fillId="0" borderId="4" xfId="0" applyFont="1" applyBorder="1" applyAlignment="1">
      <alignment horizontal="center" vertical="center" wrapText="1"/>
    </xf>
    <xf numFmtId="165" fontId="8" fillId="0" borderId="7" xfId="0" applyNumberFormat="1" applyFont="1" applyBorder="1" applyAlignment="1">
      <alignment horizontal="center" vertical="center" wrapText="1"/>
    </xf>
    <xf numFmtId="165" fontId="4" fillId="3" borderId="4" xfId="0" applyNumberFormat="1" applyFont="1" applyFill="1" applyBorder="1" applyAlignment="1">
      <alignment horizontal="center" vertical="center"/>
    </xf>
    <xf numFmtId="0" fontId="4" fillId="12" borderId="6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12" fillId="2" borderId="6" xfId="0" applyFont="1" applyFill="1" applyBorder="1" applyAlignment="1">
      <alignment horizontal="center" vertical="center" wrapText="1"/>
    </xf>
    <xf numFmtId="0" fontId="12" fillId="3" borderId="4" xfId="0" applyFont="1" applyFill="1" applyBorder="1" applyAlignment="1">
      <alignment horizontal="center" vertical="center"/>
    </xf>
    <xf numFmtId="0" fontId="12" fillId="3" borderId="4" xfId="0" applyFont="1" applyFill="1" applyBorder="1" applyAlignment="1">
      <alignment horizontal="center" vertical="center" wrapText="1"/>
    </xf>
    <xf numFmtId="165" fontId="12" fillId="3" borderId="4" xfId="0" applyNumberFormat="1" applyFont="1" applyFill="1" applyBorder="1" applyAlignment="1">
      <alignment horizontal="center" vertical="center" wrapText="1"/>
    </xf>
    <xf numFmtId="0" fontId="12" fillId="12" borderId="6" xfId="0" applyFont="1" applyFill="1" applyBorder="1" applyAlignment="1">
      <alignment horizontal="center" vertical="center" wrapText="1"/>
    </xf>
    <xf numFmtId="0" fontId="12" fillId="3" borderId="6" xfId="0" applyFont="1" applyFill="1" applyBorder="1" applyAlignment="1">
      <alignment horizontal="center" vertical="center" wrapText="1"/>
    </xf>
    <xf numFmtId="0" fontId="27" fillId="0" borderId="1" xfId="0" applyFont="1" applyBorder="1" applyAlignment="1">
      <alignment horizontal="center" vertical="center" wrapText="1"/>
    </xf>
    <xf numFmtId="0" fontId="28" fillId="0" borderId="6" xfId="0" applyFont="1" applyBorder="1" applyAlignment="1">
      <alignment horizontal="center" vertical="center" wrapText="1"/>
    </xf>
    <xf numFmtId="0" fontId="29" fillId="0" borderId="4" xfId="0" applyFont="1" applyBorder="1" applyAlignment="1">
      <alignment horizontal="center" vertical="center" wrapText="1"/>
    </xf>
    <xf numFmtId="0" fontId="7" fillId="3" borderId="0" xfId="0" applyFont="1" applyFill="1" applyAlignment="1">
      <alignment horizontal="center" vertical="center"/>
    </xf>
    <xf numFmtId="165" fontId="6" fillId="3" borderId="4" xfId="0" applyNumberFormat="1" applyFont="1" applyFill="1" applyBorder="1" applyAlignment="1">
      <alignment horizontal="center" vertical="center" wrapText="1"/>
    </xf>
    <xf numFmtId="0" fontId="7" fillId="3" borderId="7" xfId="0" applyFont="1" applyFill="1" applyBorder="1" applyAlignment="1">
      <alignment horizontal="center" vertical="center"/>
    </xf>
    <xf numFmtId="165" fontId="10" fillId="3" borderId="4" xfId="0" applyNumberFormat="1" applyFont="1" applyFill="1" applyBorder="1" applyAlignment="1">
      <alignment horizontal="center" vertical="center"/>
    </xf>
    <xf numFmtId="0" fontId="19" fillId="0" borderId="4" xfId="0" applyFont="1" applyBorder="1" applyAlignment="1">
      <alignment horizontal="center" vertical="center" wrapText="1"/>
    </xf>
    <xf numFmtId="0" fontId="10" fillId="3" borderId="6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165" fontId="5" fillId="3" borderId="8" xfId="0" applyNumberFormat="1" applyFont="1" applyFill="1" applyBorder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165" fontId="5" fillId="3" borderId="4" xfId="0" applyNumberFormat="1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0" fontId="16" fillId="3" borderId="18" xfId="0" applyFont="1" applyFill="1" applyBorder="1" applyAlignment="1">
      <alignment horizontal="center" vertical="center"/>
    </xf>
    <xf numFmtId="0" fontId="16" fillId="3" borderId="19" xfId="0" applyFont="1" applyFill="1" applyBorder="1" applyAlignment="1">
      <alignment horizontal="center" vertical="center"/>
    </xf>
    <xf numFmtId="0" fontId="16" fillId="0" borderId="8" xfId="0" applyFont="1" applyBorder="1" applyAlignment="1">
      <alignment horizontal="center" vertical="center"/>
    </xf>
    <xf numFmtId="0" fontId="17" fillId="0" borderId="8" xfId="0" applyFont="1" applyBorder="1" applyAlignment="1">
      <alignment horizontal="center" vertical="center" wrapText="1"/>
    </xf>
    <xf numFmtId="0" fontId="16" fillId="3" borderId="8" xfId="0" applyFont="1" applyFill="1" applyBorder="1" applyAlignment="1">
      <alignment horizontal="center" vertical="center"/>
    </xf>
    <xf numFmtId="165" fontId="17" fillId="3" borderId="8" xfId="0" applyNumberFormat="1" applyFont="1" applyFill="1" applyBorder="1" applyAlignment="1">
      <alignment horizontal="center" vertical="center"/>
    </xf>
    <xf numFmtId="165" fontId="18" fillId="0" borderId="8" xfId="0" applyNumberFormat="1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153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abic Transparent"/>
        <scheme val="none"/>
      </font>
      <numFmt numFmtId="165" formatCode="#,##0.00\ &quot;€&quot;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abic Transparent"/>
        <scheme val="none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abic Transparent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abic Transparent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abic Transparent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abic Transparent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abic Transparent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abic Transparent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4f2a2cfc17e5f8bf/Bureau/VV/Gestion%20MA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ivia/OneDrive/Bureau/VV/Gestion%20MA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menu principale"/>
      <sheetName val="Menu Prod"/>
      <sheetName val="menu demande prod"/>
      <sheetName val="création demande"/>
      <sheetName val="menu MAT"/>
      <sheetName val="menu EPN"/>
      <sheetName val="conditionnement"/>
      <sheetName val="generale"/>
      <sheetName val="salle de pre-cuisson"/>
      <sheetName val="salle de cuisson"/>
      <sheetName val="gestion astreinte"/>
      <sheetName val="liste demande"/>
      <sheetName val="demande prod KM"/>
      <sheetName val="DP CB"/>
      <sheetName val="DP TM"/>
      <sheetName val="control CDL"/>
      <sheetName val="menu mouvement stock"/>
      <sheetName val="stock total systeme"/>
      <sheetName val="total stock autres"/>
      <sheetName val="stock"/>
      <sheetName val="systeme"/>
      <sheetName val="commande"/>
      <sheetName val="menu main courante"/>
      <sheetName val="main courante"/>
      <sheetName val="menu commande"/>
      <sheetName val="récurence"/>
      <sheetName val="préventif"/>
      <sheetName val="notes pour reunions"/>
      <sheetName val="total stock"/>
      <sheetName val="mouvement es"/>
      <sheetName val="stock HGA"/>
      <sheetName val="mouvement HGA"/>
      <sheetName val="mouvement bâtiment"/>
      <sheetName val="roulements"/>
      <sheetName val="mouvement CV"/>
      <sheetName val="mouvement batteurs cuves"/>
      <sheetName val="mouvement CDL"/>
      <sheetName val="mouvement autoclave"/>
      <sheetName val="mouvement clippeuse"/>
      <sheetName val="mouvement convoyeur"/>
      <sheetName val="mouvement coupe légume"/>
      <sheetName val="mouvement crepiere"/>
      <sheetName val="mouvement CTA"/>
      <sheetName val="mouvement CEM"/>
      <sheetName val="mouvement DDM"/>
      <sheetName val="mouvement doseur d'eau"/>
      <sheetName val="mouvement bakon"/>
      <sheetName val="mouvement élévateur VMI"/>
      <sheetName val="mouvement espera"/>
      <sheetName val="mouvement etuyeuse"/>
      <sheetName val="mouvement fours"/>
      <sheetName val="mouvement toshiba"/>
      <sheetName val="mouvement LINDE"/>
      <sheetName val="mouvement lynx"/>
      <sheetName val="mouvement PAV"/>
      <sheetName val="mouvement pediluve"/>
      <sheetName val="mouvement scotcheuse"/>
      <sheetName val="mouvement adoucisseurs"/>
      <sheetName val="mouvement autolaveuse"/>
      <sheetName val="mouvement casier chaussure"/>
      <sheetName val="mouvement desinsectiseur"/>
      <sheetName val="mouvement égoutoir autoclave"/>
      <sheetName val="mouvement éléctrique"/>
      <sheetName val="mouvement MRR240"/>
      <sheetName val="mouv MULTIVAC R230 et R240"/>
      <sheetName val="mouv MULTIVAC DECOUPE"/>
      <sheetName val="mouv REF RS"/>
      <sheetName val="implantation salle verte"/>
      <sheetName val="Feuil2"/>
      <sheetName val="implantation salle jaune"/>
      <sheetName val="Feuil4"/>
      <sheetName val="nouveau systeme"/>
      <sheetName val="mouvement nouveau systeme"/>
      <sheetName val="Feuil3"/>
      <sheetName val="liste pieces"/>
      <sheetName val="pieces a classer"/>
      <sheetName val="menu test periodique"/>
      <sheetName val="TEST froid"/>
      <sheetName val="TEST eclairage secu"/>
      <sheetName val="Feuil8"/>
    </sheetNames>
    <sheetDataSet>
      <sheetData sheetId="0" refreshError="1">
        <row r="2">
          <cell r="R2" t="str">
            <v>encres et solvant</v>
          </cell>
        </row>
        <row r="3">
          <cell r="R3" t="str">
            <v>convoyeur</v>
          </cell>
        </row>
        <row r="4">
          <cell r="R4" t="str">
            <v>batiment</v>
          </cell>
        </row>
        <row r="5">
          <cell r="R5" t="str">
            <v>référence RS</v>
          </cell>
        </row>
        <row r="6">
          <cell r="R6" t="str">
            <v>electrique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>
        <row r="10">
          <cell r="C10" t="str">
            <v>Kit joint venturi pour adoucisseur ECOWATER modèle R46 5.1</v>
          </cell>
        </row>
        <row r="11">
          <cell r="C11" t="str">
            <v>capteur de proximité</v>
          </cell>
        </row>
        <row r="12">
          <cell r="C12" t="str">
            <v>capteur magnétique</v>
          </cell>
        </row>
        <row r="13">
          <cell r="C13" t="str">
            <v>corps d'electrovanne sécurité gaz</v>
          </cell>
        </row>
        <row r="14">
          <cell r="C14" t="str">
            <v>disjoncteur 0,5 A</v>
          </cell>
        </row>
        <row r="15">
          <cell r="C15" t="str">
            <v>filtres 100 microns cintropur</v>
          </cell>
        </row>
        <row r="16">
          <cell r="C16" t="str">
            <v>garniture type BAQE pour pompe 11Kw</v>
          </cell>
        </row>
        <row r="17">
          <cell r="C17" t="str">
            <v>NB joint de corps pompe 11Kw</v>
          </cell>
        </row>
        <row r="18">
          <cell r="C18" t="str">
            <v>I.H.M autoclave</v>
          </cell>
        </row>
        <row r="19">
          <cell r="C19" t="str">
            <v>interrupteur de sécurité</v>
          </cell>
        </row>
        <row r="20">
          <cell r="C20" t="str">
            <v>joint de porte 1300 mm</v>
          </cell>
        </row>
        <row r="21">
          <cell r="C21" t="str">
            <v>lampe 24v(ampoules)</v>
          </cell>
        </row>
        <row r="22">
          <cell r="C22" t="str">
            <v>manomètre 0-6 bar G1/2 100mm</v>
          </cell>
        </row>
        <row r="23">
          <cell r="C23" t="str">
            <v>module d'ouverture progressif</v>
          </cell>
        </row>
        <row r="24">
          <cell r="C24" t="str">
            <v xml:space="preserve">Pile chlorure de thionyle 3,6V 2400mAh </v>
          </cell>
        </row>
        <row r="25">
          <cell r="C25" t="str">
            <v>vanne de proces dn 32 pn 25</v>
          </cell>
        </row>
        <row r="26">
          <cell r="C26" t="str">
            <v>vanne de process dn 100 pn 25</v>
          </cell>
        </row>
        <row r="27">
          <cell r="C27" t="str">
            <v>vanne de process dn 20 pn 25</v>
          </cell>
        </row>
        <row r="28">
          <cell r="C28" t="str">
            <v>vanne de process dn 40</v>
          </cell>
        </row>
        <row r="29">
          <cell r="C29" t="str">
            <v>vanne de process dn 40 pn 25 316L</v>
          </cell>
        </row>
        <row r="30">
          <cell r="C30" t="str">
            <v>vanne de process dn 50 pn 25</v>
          </cell>
        </row>
        <row r="31">
          <cell r="C31" t="str">
            <v>ventillateur 24v 42mA5( pour le pc)</v>
          </cell>
        </row>
        <row r="32">
          <cell r="C32" t="str">
            <v>Capteur proximité 440NGO2123</v>
          </cell>
        </row>
        <row r="119">
          <cell r="C119" t="str">
            <v>clapet anti-retour</v>
          </cell>
        </row>
        <row r="120">
          <cell r="C120" t="str">
            <v>Kit enrouleur double pour dévidoir inox</v>
          </cell>
        </row>
        <row r="121">
          <cell r="C121" t="str">
            <v>Pistolet corps plastique marque prevost</v>
          </cell>
        </row>
        <row r="122">
          <cell r="C122" t="str">
            <v>Pistolet eau corps acier/inox</v>
          </cell>
        </row>
        <row r="123">
          <cell r="C123" t="str">
            <v>Ressort cliquet centrale de lavage</v>
          </cell>
        </row>
        <row r="124">
          <cell r="C124" t="str">
            <v>tuyau 12x20 /10 ML</v>
          </cell>
        </row>
        <row r="125">
          <cell r="C125" t="str">
            <v>tuyaux 12x20/ 15 ML</v>
          </cell>
        </row>
        <row r="126">
          <cell r="C126" t="str">
            <v xml:space="preserve">venturi centrale de lavage </v>
          </cell>
        </row>
        <row r="143">
          <cell r="C143" t="str">
            <v>arbre</v>
          </cell>
        </row>
        <row r="144">
          <cell r="C144" t="str">
            <v>CAPTEUR secu fca 3442</v>
          </cell>
        </row>
        <row r="145">
          <cell r="C145" t="str">
            <v>chaîne intermédiaire</v>
          </cell>
        </row>
        <row r="146">
          <cell r="C146" t="str">
            <v>CHAINES AVANCES AGRAFEE</v>
          </cell>
        </row>
        <row r="147">
          <cell r="C147" t="str">
            <v>COURROIE ref: STD 800 S8M CXA marque Continental</v>
          </cell>
        </row>
        <row r="148">
          <cell r="C148" t="str">
            <v>COUTEAU fca 3442</v>
          </cell>
        </row>
        <row r="149">
          <cell r="C149" t="str">
            <v>Embout caoutchouc frein dévidoir</v>
          </cell>
        </row>
        <row r="150">
          <cell r="C150" t="str">
            <v>galet d=26</v>
          </cell>
        </row>
        <row r="151">
          <cell r="C151" t="str">
            <v>galet d=35</v>
          </cell>
        </row>
        <row r="152">
          <cell r="C152" t="str">
            <v>guide agrafe 30 mm cpl</v>
          </cell>
        </row>
        <row r="153">
          <cell r="C153" t="str">
            <v>RESSORT couteaux boyaux</v>
          </cell>
        </row>
        <row r="154">
          <cell r="C154" t="str">
            <v>rotule de droite</v>
          </cell>
        </row>
        <row r="155">
          <cell r="C155" t="str">
            <v>rotule de gauche</v>
          </cell>
        </row>
        <row r="156">
          <cell r="C156" t="str">
            <v>rotule droit</v>
          </cell>
        </row>
        <row r="157">
          <cell r="C157" t="str">
            <v>roulement 6301/2 RS</v>
          </cell>
        </row>
        <row r="158">
          <cell r="C158" t="str">
            <v>roulement à aiguille (04)</v>
          </cell>
        </row>
        <row r="159">
          <cell r="C159" t="str">
            <v>roulement à aiguille (52)</v>
          </cell>
        </row>
        <row r="160">
          <cell r="C160" t="str">
            <v>Cable VEMAG R500</v>
          </cell>
        </row>
        <row r="161">
          <cell r="C161" t="str">
            <v>Capteur photoélectrique, Cylindrique, Lumière rouge, LED, 0,05 → 7 m, NPN, 100 mA, Câble, IP67</v>
          </cell>
        </row>
        <row r="162">
          <cell r="C162" t="str">
            <v>courroie d'entrainement enrouleur glassine</v>
          </cell>
        </row>
        <row r="163">
          <cell r="C163" t="str">
            <v>fourche de détection capteur d'étiquettes (cellule BALLUFF)</v>
          </cell>
        </row>
        <row r="164">
          <cell r="C164" t="str">
            <v>rouleau finition collage</v>
          </cell>
        </row>
        <row r="165">
          <cell r="C165" t="str">
            <v>Cable connecteur</v>
          </cell>
        </row>
        <row r="166">
          <cell r="C166" t="str">
            <v>Pilon</v>
          </cell>
        </row>
        <row r="167">
          <cell r="C167" t="str">
            <v>Bouton Noir</v>
          </cell>
        </row>
        <row r="168">
          <cell r="C168" t="str">
            <v>Verrou</v>
          </cell>
        </row>
        <row r="169">
          <cell r="C169" t="str">
            <v>Goupilles</v>
          </cell>
        </row>
        <row r="170">
          <cell r="C170" t="str">
            <v>Butées plastique</v>
          </cell>
        </row>
        <row r="171">
          <cell r="C171" t="str">
            <v>Bague Articulée</v>
          </cell>
        </row>
        <row r="172">
          <cell r="C172" t="str">
            <v>Bagues</v>
          </cell>
        </row>
        <row r="214">
          <cell r="C214" t="str">
            <v>filtres F7 287x592x48 CTA</v>
          </cell>
        </row>
        <row r="215">
          <cell r="C215" t="str">
            <v>filtres F7 598X498X48 CTA</v>
          </cell>
        </row>
        <row r="216">
          <cell r="C216" t="str">
            <v>filres G4 287x592x48 CTA</v>
          </cell>
        </row>
        <row r="217">
          <cell r="C217" t="str">
            <v>filtres G4 598x498x48 CTA</v>
          </cell>
        </row>
        <row r="218">
          <cell r="C218" t="str">
            <v>filtres G4 592x592x48 WOLF/ROOFTOP</v>
          </cell>
        </row>
        <row r="219">
          <cell r="C219" t="str">
            <v>filtres F7 592x592x48 WOLF/ROOFTOP</v>
          </cell>
        </row>
        <row r="220">
          <cell r="C220" t="str">
            <v>gaine textile spirale</v>
          </cell>
        </row>
        <row r="221">
          <cell r="C221" t="str">
            <v>gaine textile salle jaune</v>
          </cell>
        </row>
        <row r="235">
          <cell r="C235" t="str">
            <v>Amortisseur/verin pneumatique inox</v>
          </cell>
        </row>
        <row r="236">
          <cell r="C236" t="str">
            <v>Roue polyamide diam 60mm/épais21mm/perçage à l'axe 10mm</v>
          </cell>
        </row>
        <row r="511">
          <cell r="C511" t="str">
            <v>brosses</v>
          </cell>
        </row>
        <row r="512">
          <cell r="C512" t="str">
            <v>motoreducteur</v>
          </cell>
        </row>
        <row r="513">
          <cell r="C513" t="str">
            <v>kit doseur venturi</v>
          </cell>
        </row>
        <row r="514">
          <cell r="C514" t="str">
            <v xml:space="preserve">clapet anti-retour </v>
          </cell>
        </row>
        <row r="515">
          <cell r="C515" t="str">
            <v>electrovanne 7200 24V 50/60Hz</v>
          </cell>
        </row>
      </sheetData>
      <sheetData sheetId="19" refreshError="1">
        <row r="6">
          <cell r="C6" t="str">
            <v>prise hypra 3pnt 16A femelle</v>
          </cell>
        </row>
        <row r="7">
          <cell r="C7" t="str">
            <v>prise hypra 3pnt 16A male</v>
          </cell>
        </row>
        <row r="8">
          <cell r="C8" t="str">
            <v>detecteur de mouvement mural</v>
          </cell>
        </row>
        <row r="9">
          <cell r="C9" t="str">
            <v>mousse pvc noire 25x10</v>
          </cell>
        </row>
        <row r="10">
          <cell r="C10" t="str">
            <v>tube fluo de 1200</v>
          </cell>
        </row>
        <row r="11">
          <cell r="C11" t="str">
            <v>tube fluo de 1500</v>
          </cell>
        </row>
        <row r="12">
          <cell r="C12" t="str">
            <v>courroie150 xl 037</v>
          </cell>
        </row>
        <row r="13">
          <cell r="C13" t="str">
            <v>VOYANT XB2</v>
          </cell>
        </row>
        <row r="14">
          <cell r="C14" t="str">
            <v>TORCHE RECHARGABLE</v>
          </cell>
        </row>
        <row r="15">
          <cell r="C15" t="str">
            <v xml:space="preserve"> Sensor, Polarised M18 </v>
          </cell>
        </row>
        <row r="16">
          <cell r="C16" t="str">
            <v>capteur pt100</v>
          </cell>
        </row>
        <row r="17">
          <cell r="C17" t="str">
            <v>capteur pt100 sonde</v>
          </cell>
        </row>
        <row r="18">
          <cell r="C18" t="str">
            <v>arret d'urgence champignons (crepière)</v>
          </cell>
        </row>
        <row r="19">
          <cell r="C19" t="str">
            <v xml:space="preserve">starter universel </v>
          </cell>
        </row>
        <row r="20">
          <cell r="C20" t="str">
            <v>relais 10a</v>
          </cell>
        </row>
        <row r="21">
          <cell r="C21" t="str">
            <v>bouton arret d'urgence</v>
          </cell>
        </row>
        <row r="22">
          <cell r="C22" t="str">
            <v xml:space="preserve">PIQUAGE MALE </v>
          </cell>
        </row>
        <row r="23">
          <cell r="C23" t="str">
            <v xml:space="preserve">COURROIE CRANTEE </v>
          </cell>
        </row>
        <row r="24">
          <cell r="C24" t="str">
            <v>LAMPE 24V</v>
          </cell>
        </row>
        <row r="25">
          <cell r="C25" t="str">
            <v xml:space="preserve"> ENSEMBLE F.R.L 1/2 </v>
          </cell>
        </row>
        <row r="26">
          <cell r="C26" t="str">
            <v>Interrupteur à bascule DP</v>
          </cell>
        </row>
        <row r="27">
          <cell r="C27" t="str">
            <v xml:space="preserve"> Couvercle étanche interrupteur </v>
          </cell>
        </row>
        <row r="28">
          <cell r="C28" t="str">
            <v xml:space="preserve"> ARRET D'URGENCE </v>
          </cell>
        </row>
        <row r="29">
          <cell r="C29" t="str">
            <v xml:space="preserve"> REGLEUR DE DEBIT </v>
          </cell>
        </row>
        <row r="30">
          <cell r="C30" t="str">
            <v xml:space="preserve"> FICHE 3P+T 20A 400V </v>
          </cell>
        </row>
        <row r="31">
          <cell r="C31" t="str">
            <v xml:space="preserve">POUSSOIR JAUNE </v>
          </cell>
        </row>
        <row r="32">
          <cell r="C32" t="str">
            <v xml:space="preserve">Bouchon obturateur lot de 10 </v>
          </cell>
        </row>
        <row r="33">
          <cell r="C33" t="str">
            <v xml:space="preserve">Roue thermocaoutchouc </v>
          </cell>
        </row>
        <row r="34">
          <cell r="C34" t="str">
            <v>KIT 3 DE FERRULES</v>
          </cell>
        </row>
        <row r="35">
          <cell r="C35" t="str">
            <v>joint d'etancheité</v>
          </cell>
        </row>
        <row r="36">
          <cell r="C36" t="str">
            <v xml:space="preserve">VOYANT LUMINEUX </v>
          </cell>
        </row>
        <row r="37">
          <cell r="C37" t="str">
            <v xml:space="preserve">COURROIE TRAPEZOIDALE </v>
          </cell>
        </row>
        <row r="38">
          <cell r="C38" t="str">
            <v xml:space="preserve">CABOCHON DE VOYANT </v>
          </cell>
        </row>
        <row r="39">
          <cell r="C39" t="str">
            <v xml:space="preserve">CAPOT FORMAT DIN </v>
          </cell>
        </row>
        <row r="40">
          <cell r="C40" t="str">
            <v xml:space="preserve">GAINE PVC NOIR 28MM </v>
          </cell>
        </row>
        <row r="41">
          <cell r="C41" t="str">
            <v xml:space="preserve">RACCORD DROIT M32 </v>
          </cell>
        </row>
        <row r="42">
          <cell r="C42" t="str">
            <v>Prise mobile 400V 3p+t+n femelle</v>
          </cell>
        </row>
        <row r="43">
          <cell r="C43" t="str">
            <v>fiche hypra 3p+n+t 400v Mâle</v>
          </cell>
        </row>
        <row r="44">
          <cell r="C44" t="str">
            <v xml:space="preserve"> FICH.DROIT.3P</v>
          </cell>
        </row>
        <row r="45">
          <cell r="C45" t="str">
            <v xml:space="preserve">COURROIE SYNCHROFLEX </v>
          </cell>
        </row>
        <row r="46">
          <cell r="C46" t="str">
            <v>Motor protection switch</v>
          </cell>
        </row>
        <row r="47">
          <cell r="C47" t="str">
            <v>IP55enclosure for motor</v>
          </cell>
        </row>
        <row r="48">
          <cell r="C48" t="str">
            <v xml:space="preserve">Transformateur montage </v>
          </cell>
        </row>
        <row r="49">
          <cell r="C49" t="str">
            <v>Transformateur montage</v>
          </cell>
        </row>
        <row r="50">
          <cell r="C50" t="str">
            <v xml:space="preserve"> Kit de verrouillage Martindale </v>
          </cell>
        </row>
        <row r="51">
          <cell r="C51" t="str">
            <v>Lunettes revêtement Hardium</v>
          </cell>
        </row>
        <row r="52">
          <cell r="C52" t="str">
            <v xml:space="preserve">BOUCHONS DE TUBES 30 </v>
          </cell>
        </row>
        <row r="53">
          <cell r="C53" t="str">
            <v>BOUCHONS DE TUBES 40</v>
          </cell>
        </row>
        <row r="54">
          <cell r="C54" t="str">
            <v>BOUCHONS DE TUBES 18</v>
          </cell>
        </row>
        <row r="55">
          <cell r="C55" t="str">
            <v xml:space="preserve">COURROIE SYNCHRONE </v>
          </cell>
        </row>
        <row r="56">
          <cell r="C56" t="str">
            <v>filtre ventillo</v>
          </cell>
        </row>
        <row r="57">
          <cell r="C57" t="str">
            <v xml:space="preserve">PRISE DE COURANT 2P+T 16A 250V </v>
          </cell>
        </row>
        <row r="58">
          <cell r="C58" t="str">
            <v>COFFRET ENCASTRE IP55</v>
          </cell>
        </row>
        <row r="59">
          <cell r="C59" t="str">
            <v xml:space="preserve">FICHE 3P+T 20A 400V </v>
          </cell>
        </row>
        <row r="60">
          <cell r="C60" t="str">
            <v>Ventilateur 614NGL</v>
          </cell>
        </row>
        <row r="61">
          <cell r="C61" t="str">
            <v>couvercle</v>
          </cell>
        </row>
        <row r="62">
          <cell r="C62" t="str">
            <v xml:space="preserve"> INT.SECT.RAL 32A NON UL</v>
          </cell>
        </row>
        <row r="63">
          <cell r="C63" t="str">
            <v>poussoir lumineux vert</v>
          </cell>
        </row>
        <row r="64">
          <cell r="C64" t="str">
            <v xml:space="preserve">TETE VOYANT LUMINEUX </v>
          </cell>
        </row>
        <row r="65">
          <cell r="C65" t="str">
            <v>TETE VOYANT LUMINEUX</v>
          </cell>
        </row>
        <row r="66">
          <cell r="C66" t="str">
            <v>electrovanne</v>
          </cell>
        </row>
        <row r="67">
          <cell r="C67" t="str">
            <v xml:space="preserve">BLOC LUMINEUX A LED BLANC </v>
          </cell>
        </row>
        <row r="68">
          <cell r="C68" t="str">
            <v>capteur a galet kissling</v>
          </cell>
        </row>
        <row r="69">
          <cell r="C69" t="str">
            <v xml:space="preserve">Gaine transparente IP67 </v>
          </cell>
        </row>
        <row r="70">
          <cell r="C70" t="str">
            <v xml:space="preserve">Bloc de contact 1 N/O </v>
          </cell>
        </row>
        <row r="71">
          <cell r="C71" t="str">
            <v>Bloc de contact 1 N/F zbe 102</v>
          </cell>
        </row>
        <row r="72">
          <cell r="C72" t="str">
            <v xml:space="preserve">Plaque obtur vierge </v>
          </cell>
        </row>
        <row r="73">
          <cell r="C73" t="str">
            <v xml:space="preserve">RACCORD DROIT M32 </v>
          </cell>
        </row>
        <row r="74">
          <cell r="C74" t="str">
            <v>reflecteur cellule</v>
          </cell>
        </row>
        <row r="75">
          <cell r="C75" t="str">
            <v>relais 24 vca</v>
          </cell>
        </row>
        <row r="76">
          <cell r="C76" t="str">
            <v>courroie multivac</v>
          </cell>
        </row>
        <row r="77">
          <cell r="C77" t="str">
            <v>Capteur photoélectrique, Cylindrique, Led IR, 0,6 m, PNP, 100 mA, Connecteur à 4 broches M12, IP65, IP67</v>
          </cell>
        </row>
        <row r="78">
          <cell r="C78" t="str">
            <v xml:space="preserve"> BoutonArret d'urgence</v>
          </cell>
        </row>
        <row r="79">
          <cell r="C79" t="str">
            <v>Loctite 5939 sillicone Ht Temperature</v>
          </cell>
        </row>
        <row r="80">
          <cell r="C80" t="str">
            <v>silencieux G1/4</v>
          </cell>
        </row>
      </sheetData>
      <sheetData sheetId="20" refreshError="1"/>
      <sheetData sheetId="21" refreshError="1"/>
      <sheetData sheetId="22" refreshError="1">
        <row r="5">
          <cell r="E5" t="str">
            <v xml:space="preserve">désignation </v>
          </cell>
          <cell r="G5" t="str">
            <v>qté</v>
          </cell>
          <cell r="I5" t="str">
            <v>reçus</v>
          </cell>
        </row>
        <row r="7">
          <cell r="E7" t="str">
            <v>COURROIE ref: STD 800 S8M CXA marque Continental</v>
          </cell>
          <cell r="G7">
            <v>5</v>
          </cell>
          <cell r="I7" t="str">
            <v>non</v>
          </cell>
        </row>
        <row r="8">
          <cell r="E8" t="str">
            <v>filtres G4 592x592x48 WOLF/ROOFTOP</v>
          </cell>
          <cell r="G8">
            <v>5</v>
          </cell>
          <cell r="I8" t="str">
            <v>non</v>
          </cell>
        </row>
        <row r="9">
          <cell r="E9" t="str">
            <v>courroie150 xl 037</v>
          </cell>
          <cell r="G9">
            <v>2</v>
          </cell>
          <cell r="I9" t="str">
            <v>non</v>
          </cell>
        </row>
        <row r="10">
          <cell r="E10" t="str">
            <v>capteur magnétique</v>
          </cell>
          <cell r="G10">
            <v>17</v>
          </cell>
          <cell r="I10" t="str">
            <v>oui</v>
          </cell>
        </row>
        <row r="11">
          <cell r="E11" t="str">
            <v>capteur magnétique</v>
          </cell>
          <cell r="G11">
            <v>5</v>
          </cell>
          <cell r="I11" t="str">
            <v>oui</v>
          </cell>
        </row>
        <row r="12">
          <cell r="E12" t="str">
            <v>capteur magnétique</v>
          </cell>
          <cell r="I12" t="str">
            <v>non</v>
          </cell>
        </row>
        <row r="13">
          <cell r="E13" t="str">
            <v>fourche de détection capteur d'étiquettes (cellule BALLUFF)</v>
          </cell>
          <cell r="I13" t="str">
            <v>non</v>
          </cell>
        </row>
        <row r="14">
          <cell r="E14" t="str">
            <v>Verrou</v>
          </cell>
          <cell r="I14" t="str">
            <v>non</v>
          </cell>
        </row>
        <row r="15">
          <cell r="E15" t="str">
            <v>NB joint de corps pompe 11Kw</v>
          </cell>
          <cell r="I15" t="str">
            <v>non</v>
          </cell>
        </row>
        <row r="16">
          <cell r="E16" t="str">
            <v>capteur magnétique</v>
          </cell>
          <cell r="G16">
            <v>5</v>
          </cell>
          <cell r="I16" t="str">
            <v>oui</v>
          </cell>
        </row>
        <row r="17">
          <cell r="E17" t="str">
            <v>Amortisseur/verin pneumatique inox</v>
          </cell>
          <cell r="G17">
            <v>3</v>
          </cell>
          <cell r="I17" t="str">
            <v>oui</v>
          </cell>
        </row>
        <row r="18">
          <cell r="I18" t="str">
            <v>non</v>
          </cell>
        </row>
        <row r="19">
          <cell r="E19" t="str">
            <v>Kit joint venturi pour adoucisseur ECOWATER modèle R46 5.1</v>
          </cell>
          <cell r="G19">
            <v>2</v>
          </cell>
          <cell r="I19" t="str">
            <v>non</v>
          </cell>
        </row>
        <row r="20">
          <cell r="E20" t="str">
            <v xml:space="preserve">Butée Arriere Batteur </v>
          </cell>
          <cell r="G20">
            <v>5</v>
          </cell>
          <cell r="I20" t="str">
            <v>non</v>
          </cell>
        </row>
        <row r="21">
          <cell r="E21" t="str">
            <v>electrovanne 7200 24V 50/60Hz</v>
          </cell>
          <cell r="G21">
            <v>1</v>
          </cell>
          <cell r="I21" t="str">
            <v>non</v>
          </cell>
        </row>
        <row r="22">
          <cell r="E22" t="str">
            <v>Pistolet eau corps acier/inox</v>
          </cell>
          <cell r="G22">
            <v>5</v>
          </cell>
          <cell r="I22" t="str">
            <v>non</v>
          </cell>
        </row>
        <row r="23">
          <cell r="E23" t="str">
            <v>embout tuyau (coupé)</v>
          </cell>
          <cell r="G23">
            <v>5</v>
          </cell>
          <cell r="I23" t="str">
            <v>oui</v>
          </cell>
        </row>
        <row r="24">
          <cell r="G24">
            <v>5</v>
          </cell>
          <cell r="I24" t="str">
            <v>non</v>
          </cell>
        </row>
        <row r="25">
          <cell r="E25" t="str">
            <v>porte fusible pour la cuve de cuisson riz, salle de cuisson 2</v>
          </cell>
          <cell r="G25">
            <v>1</v>
          </cell>
          <cell r="I25" t="str">
            <v>non</v>
          </cell>
        </row>
        <row r="26">
          <cell r="E26" t="str">
            <v>wago par 2 et par 3</v>
          </cell>
          <cell r="I26" t="str">
            <v>oui</v>
          </cell>
        </row>
        <row r="27">
          <cell r="E27" t="str">
            <v>Loctite</v>
          </cell>
          <cell r="G27">
            <v>2</v>
          </cell>
          <cell r="I27" t="str">
            <v>oui</v>
          </cell>
        </row>
        <row r="28">
          <cell r="E28" t="str">
            <v>disque decoupe disqueuse</v>
          </cell>
          <cell r="I28" t="str">
            <v>oui</v>
          </cell>
        </row>
        <row r="29">
          <cell r="E29" t="str">
            <v>fin de course XCKN2118P20</v>
          </cell>
          <cell r="G29">
            <v>1</v>
          </cell>
          <cell r="I29" t="str">
            <v>oui</v>
          </cell>
        </row>
        <row r="30">
          <cell r="E30" t="str">
            <v>boites plexo doubles</v>
          </cell>
          <cell r="G30">
            <v>5</v>
          </cell>
          <cell r="I30" t="str">
            <v>oui</v>
          </cell>
        </row>
        <row r="31">
          <cell r="E31" t="str">
            <v>Roulement support Trémie</v>
          </cell>
          <cell r="G31">
            <v>4</v>
          </cell>
          <cell r="I31" t="str">
            <v>non</v>
          </cell>
        </row>
        <row r="32">
          <cell r="E32" t="str">
            <v>ressort apuis tete depose scotch</v>
          </cell>
          <cell r="G32">
            <v>2</v>
          </cell>
          <cell r="I32" t="str">
            <v>non</v>
          </cell>
        </row>
        <row r="33">
          <cell r="E33" t="str">
            <v>Courroie d'entrainement</v>
          </cell>
          <cell r="G33">
            <v>1</v>
          </cell>
          <cell r="I33" t="str">
            <v>non</v>
          </cell>
        </row>
        <row r="34">
          <cell r="E34" t="str">
            <v>Feuilles PTFE auto-adhésive 50cm de large ou plus</v>
          </cell>
          <cell r="I34" t="str">
            <v>non</v>
          </cell>
        </row>
        <row r="35">
          <cell r="E35" t="str">
            <v>colonne lumineuse contre-étiqueteuse</v>
          </cell>
          <cell r="G35">
            <v>1</v>
          </cell>
          <cell r="I35" t="str">
            <v>non</v>
          </cell>
        </row>
        <row r="36">
          <cell r="E36" t="str">
            <v>buzzer au choix pour la contre-étiqueteuse</v>
          </cell>
          <cell r="G36">
            <v>1</v>
          </cell>
          <cell r="I36" t="str">
            <v>oui</v>
          </cell>
        </row>
        <row r="37">
          <cell r="E37" t="str">
            <v>raccord rapide pour vérin crêpière</v>
          </cell>
          <cell r="G37">
            <v>8</v>
          </cell>
          <cell r="I37" t="str">
            <v>oui</v>
          </cell>
        </row>
        <row r="38">
          <cell r="E38" t="str">
            <v>raccord pneumatique divers pour remettre en stock</v>
          </cell>
          <cell r="G38">
            <v>1</v>
          </cell>
          <cell r="I38" t="str">
            <v>oui</v>
          </cell>
        </row>
        <row r="39">
          <cell r="E39" t="str">
            <v>Distributeur 5/3</v>
          </cell>
          <cell r="G39">
            <v>1</v>
          </cell>
          <cell r="I39" t="str">
            <v>non</v>
          </cell>
        </row>
        <row r="40">
          <cell r="E40" t="str">
            <v>rouleaux de teflon</v>
          </cell>
          <cell r="G40">
            <v>5</v>
          </cell>
          <cell r="I40" t="str">
            <v>oui</v>
          </cell>
        </row>
        <row r="41">
          <cell r="E41" t="str">
            <v>huile thermal ST1</v>
          </cell>
          <cell r="G41">
            <v>4</v>
          </cell>
          <cell r="I41" t="str">
            <v>non</v>
          </cell>
        </row>
        <row r="42">
          <cell r="E42" t="str">
            <v>système venturi pour la ventouse</v>
          </cell>
          <cell r="G42">
            <v>1</v>
          </cell>
          <cell r="I42" t="str">
            <v>non</v>
          </cell>
        </row>
        <row r="43">
          <cell r="E43" t="str">
            <v>buzzer pour la contre-étiqueteuse (à voir sinon buzzer standard)</v>
          </cell>
          <cell r="G43">
            <v>1</v>
          </cell>
          <cell r="I43" t="str">
            <v>oui</v>
          </cell>
        </row>
        <row r="44">
          <cell r="E44" t="str">
            <v>racccord pneumatique</v>
          </cell>
          <cell r="G44">
            <v>4</v>
          </cell>
          <cell r="I44" t="str">
            <v>oui</v>
          </cell>
        </row>
        <row r="45">
          <cell r="E45" t="str">
            <v>outillage</v>
          </cell>
          <cell r="G45">
            <v>2</v>
          </cell>
          <cell r="I45" t="str">
            <v>oui</v>
          </cell>
        </row>
        <row r="46">
          <cell r="E46" t="str">
            <v xml:space="preserve">sillicone blanc </v>
          </cell>
          <cell r="G46">
            <v>6</v>
          </cell>
          <cell r="I46" t="str">
            <v>oui</v>
          </cell>
        </row>
        <row r="47">
          <cell r="E47" t="str">
            <v>bouton 3 position avec retour</v>
          </cell>
          <cell r="G47">
            <v>3</v>
          </cell>
          <cell r="I47" t="str">
            <v>non</v>
          </cell>
        </row>
        <row r="48">
          <cell r="E48" t="str">
            <v>VERIN PARKER (MINI)</v>
          </cell>
          <cell r="G48">
            <v>8</v>
          </cell>
          <cell r="I48" t="str">
            <v>oui</v>
          </cell>
        </row>
        <row r="49">
          <cell r="E49" t="str">
            <v>Joint de soudure 2 voies 1 rangée R230</v>
          </cell>
          <cell r="G49">
            <v>3</v>
          </cell>
          <cell r="I49" t="str">
            <v>oui</v>
          </cell>
        </row>
        <row r="50">
          <cell r="E50" t="str">
            <v>Joint de soudure 2 voies 2 rangées R240</v>
          </cell>
          <cell r="G50">
            <v>3</v>
          </cell>
          <cell r="I50" t="str">
            <v>oui</v>
          </cell>
        </row>
        <row r="51">
          <cell r="E51" t="str">
            <v>afficheur rotation fouet WEST 6100+</v>
          </cell>
          <cell r="G51">
            <v>1</v>
          </cell>
          <cell r="I51" t="str">
            <v>oui</v>
          </cell>
        </row>
        <row r="52">
          <cell r="E52" t="str">
            <v>Couvercle prise harting à 2 pivots gabarit 77.27</v>
          </cell>
          <cell r="G52">
            <v>10</v>
          </cell>
          <cell r="I52" t="str">
            <v>non</v>
          </cell>
        </row>
        <row r="53">
          <cell r="E53" t="str">
            <v>Inter mural va et vient plexo</v>
          </cell>
          <cell r="G53">
            <v>10</v>
          </cell>
          <cell r="I53" t="str">
            <v>oui</v>
          </cell>
        </row>
        <row r="54">
          <cell r="E54" t="str">
            <v>Pistolet eau corps acier/inox</v>
          </cell>
          <cell r="G54">
            <v>4</v>
          </cell>
          <cell r="I54" t="str">
            <v>oui</v>
          </cell>
        </row>
        <row r="55">
          <cell r="E55" t="str">
            <v>Capot fiche harting étiquetteuse MR R240</v>
          </cell>
          <cell r="G55">
            <v>1</v>
          </cell>
          <cell r="I55" t="str">
            <v>oui</v>
          </cell>
        </row>
        <row r="56">
          <cell r="E56" t="str">
            <v>Chariot Alu support des roulettes pour cuve 150 L</v>
          </cell>
          <cell r="G56">
            <v>1</v>
          </cell>
          <cell r="I56" t="str">
            <v>oui</v>
          </cell>
        </row>
        <row r="57">
          <cell r="E57" t="str">
            <v>roulettes avec frein, platine fixation 110x110, hauteur totale environ 172 mm</v>
          </cell>
          <cell r="G57">
            <v>2</v>
          </cell>
          <cell r="I57" t="str">
            <v>non</v>
          </cell>
        </row>
        <row r="58">
          <cell r="E58" t="str">
            <v>obturateur pour plastron armoir ( rapport elec)</v>
          </cell>
          <cell r="G58">
            <v>5</v>
          </cell>
          <cell r="I58" t="str">
            <v>oui</v>
          </cell>
        </row>
        <row r="59">
          <cell r="E59" t="str">
            <v>roulement support tremie bakon</v>
          </cell>
          <cell r="G59">
            <v>4</v>
          </cell>
          <cell r="I59" t="str">
            <v>oui</v>
          </cell>
        </row>
        <row r="60">
          <cell r="E60" t="str">
            <v>support pour detecteurs quai</v>
          </cell>
          <cell r="G60">
            <v>4</v>
          </cell>
          <cell r="I60" t="str">
            <v>oui</v>
          </cell>
        </row>
        <row r="61">
          <cell r="E61" t="str">
            <v xml:space="preserve">detecteur presence pour quai : theLuxa S180 WH </v>
          </cell>
          <cell r="G61">
            <v>4</v>
          </cell>
          <cell r="I61" t="str">
            <v>oui</v>
          </cell>
        </row>
        <row r="62">
          <cell r="E62" t="str">
            <v>M4,5,6,8,10,12</v>
          </cell>
          <cell r="I62" t="str">
            <v>oui</v>
          </cell>
        </row>
        <row r="63">
          <cell r="E63" t="str">
            <v>ecrou M4,5,6,8,10,12</v>
          </cell>
          <cell r="I63" t="str">
            <v>oui</v>
          </cell>
        </row>
        <row r="64">
          <cell r="E64" t="str">
            <v>ecrou frein en M4,5,6,8,10,12</v>
          </cell>
          <cell r="I64" t="str">
            <v>oui</v>
          </cell>
        </row>
        <row r="65">
          <cell r="E65" t="str">
            <v>vis tete hexa 8*16</v>
          </cell>
          <cell r="I65" t="str">
            <v>oui</v>
          </cell>
        </row>
        <row r="66">
          <cell r="E66" t="str">
            <v>pastilles double face facade carte</v>
          </cell>
          <cell r="G66">
            <v>4</v>
          </cell>
          <cell r="I66" t="str">
            <v>oui</v>
          </cell>
        </row>
        <row r="67">
          <cell r="E67" t="str">
            <v>façade sorema</v>
          </cell>
          <cell r="G67">
            <v>1</v>
          </cell>
          <cell r="I67" t="str">
            <v>oui</v>
          </cell>
        </row>
        <row r="68">
          <cell r="E68" t="str">
            <v>colliers de serrage inox</v>
          </cell>
          <cell r="G68" t="str">
            <v>2 paquets</v>
          </cell>
          <cell r="I68" t="str">
            <v>oui</v>
          </cell>
        </row>
        <row r="69">
          <cell r="E69" t="str">
            <v>Roulement 2202RS</v>
          </cell>
          <cell r="G69">
            <v>2</v>
          </cell>
          <cell r="I69" t="str">
            <v>oui</v>
          </cell>
        </row>
        <row r="70">
          <cell r="E70" t="str">
            <v>Vérin de capot</v>
          </cell>
          <cell r="G70" t="str">
            <v>4 ou +</v>
          </cell>
          <cell r="I70" t="str">
            <v>non</v>
          </cell>
        </row>
        <row r="71">
          <cell r="E71" t="str">
            <v>scotch rubalise + anti-dérapant</v>
          </cell>
          <cell r="G71">
            <v>1</v>
          </cell>
          <cell r="I71" t="str">
            <v>oui</v>
          </cell>
        </row>
        <row r="72">
          <cell r="E72" t="str">
            <v>couteaux circulaire R230</v>
          </cell>
          <cell r="G72">
            <v>6</v>
          </cell>
          <cell r="I72" t="str">
            <v>oui</v>
          </cell>
        </row>
        <row r="73">
          <cell r="E73" t="str">
            <v>cellule fin de course girafe</v>
          </cell>
          <cell r="G73">
            <v>4</v>
          </cell>
          <cell r="I73" t="str">
            <v>non</v>
          </cell>
        </row>
        <row r="74">
          <cell r="E74" t="str">
            <v xml:space="preserve">joint blanc cuve cuisson </v>
          </cell>
          <cell r="I74" t="str">
            <v>oui</v>
          </cell>
        </row>
        <row r="75">
          <cell r="E75" t="str">
            <v>Joint de soudure 2 voies 1 rangée R230</v>
          </cell>
          <cell r="G75">
            <v>2</v>
          </cell>
          <cell r="I75" t="str">
            <v>oui</v>
          </cell>
        </row>
        <row r="76">
          <cell r="E76" t="str">
            <v>petit embout graisseur (palier blanc)</v>
          </cell>
          <cell r="G76">
            <v>10</v>
          </cell>
          <cell r="I76" t="str">
            <v>non</v>
          </cell>
        </row>
        <row r="77">
          <cell r="E77" t="str">
            <v xml:space="preserve">filtre circuit PAV </v>
          </cell>
          <cell r="G77">
            <v>5</v>
          </cell>
          <cell r="I77" t="str">
            <v>oui</v>
          </cell>
        </row>
        <row r="78">
          <cell r="E78" t="str">
            <v>filtre SMC</v>
          </cell>
          <cell r="G78">
            <v>1</v>
          </cell>
          <cell r="I78" t="str">
            <v>oui</v>
          </cell>
        </row>
        <row r="79">
          <cell r="E79" t="str">
            <v>join de porte 800x1815</v>
          </cell>
          <cell r="G79">
            <v>4</v>
          </cell>
          <cell r="I79" t="str">
            <v>oui</v>
          </cell>
        </row>
        <row r="80">
          <cell r="E80" t="str">
            <v xml:space="preserve">sectionneur Tesys 63 A Batteur 3 </v>
          </cell>
          <cell r="G80">
            <v>1</v>
          </cell>
          <cell r="I80" t="str">
            <v>oui</v>
          </cell>
        </row>
        <row r="81">
          <cell r="E81" t="str">
            <v>minuteur batteur</v>
          </cell>
          <cell r="G81">
            <v>3</v>
          </cell>
          <cell r="I81" t="str">
            <v>oui</v>
          </cell>
        </row>
        <row r="82">
          <cell r="E82" t="str">
            <v>Joint</v>
          </cell>
          <cell r="G82">
            <v>20</v>
          </cell>
          <cell r="I82" t="str">
            <v>oui</v>
          </cell>
        </row>
        <row r="83">
          <cell r="E83" t="str">
            <v>joints de pistons</v>
          </cell>
          <cell r="G83">
            <v>20</v>
          </cell>
          <cell r="I83" t="str">
            <v>oui</v>
          </cell>
        </row>
        <row r="84">
          <cell r="E84" t="str">
            <v>Mini moteur de volets</v>
          </cell>
          <cell r="G84">
            <v>2</v>
          </cell>
          <cell r="I84" t="str">
            <v>oui</v>
          </cell>
        </row>
        <row r="85">
          <cell r="E85" t="str">
            <v>Capot Prise Harting sortie coudée</v>
          </cell>
          <cell r="G85">
            <v>3</v>
          </cell>
          <cell r="I85" t="str">
            <v>non</v>
          </cell>
        </row>
        <row r="86">
          <cell r="E86" t="str">
            <v>embase connecteur 16pts</v>
          </cell>
          <cell r="G86">
            <v>4</v>
          </cell>
          <cell r="I86" t="str">
            <v>non</v>
          </cell>
        </row>
        <row r="87">
          <cell r="E87" t="str">
            <v xml:space="preserve">LEVIER EASY-LOCK PRISE HARTING </v>
          </cell>
          <cell r="G87">
            <v>4</v>
          </cell>
          <cell r="I87" t="str">
            <v>oui</v>
          </cell>
        </row>
        <row r="88">
          <cell r="E88" t="str">
            <v>toile emri en grain 240</v>
          </cell>
          <cell r="I88" t="str">
            <v>oui</v>
          </cell>
        </row>
        <row r="89">
          <cell r="E89" t="str">
            <v>cablette la plus fine possible</v>
          </cell>
          <cell r="I89" t="str">
            <v>oui</v>
          </cell>
        </row>
        <row r="90">
          <cell r="E90" t="str">
            <v>disque flap + decoupe</v>
          </cell>
          <cell r="G90" t="str">
            <v>x</v>
          </cell>
          <cell r="I90" t="str">
            <v>oui</v>
          </cell>
        </row>
        <row r="91">
          <cell r="E91" t="str">
            <v>DEMI-TENDEUR</v>
          </cell>
          <cell r="G91">
            <v>3</v>
          </cell>
          <cell r="I91" t="str">
            <v>oui</v>
          </cell>
        </row>
        <row r="92">
          <cell r="E92" t="str">
            <v>tranformateur balance</v>
          </cell>
          <cell r="G92">
            <v>2</v>
          </cell>
          <cell r="I92" t="str">
            <v>oui</v>
          </cell>
        </row>
        <row r="93">
          <cell r="E93" t="str">
            <v>Coupleur droit Nito Mâle Droit, Laiton</v>
          </cell>
          <cell r="G93">
            <v>3</v>
          </cell>
          <cell r="I93" t="str">
            <v>oui</v>
          </cell>
        </row>
        <row r="94">
          <cell r="E94" t="str">
            <v>CABLE TRESSE ht</v>
          </cell>
          <cell r="G94">
            <v>3</v>
          </cell>
          <cell r="I94" t="str">
            <v>oui</v>
          </cell>
        </row>
        <row r="95">
          <cell r="E95" t="str">
            <v>fôrets inox</v>
          </cell>
          <cell r="G95" t="str">
            <v>4 de chaque</v>
          </cell>
          <cell r="I95" t="str">
            <v>oui</v>
          </cell>
        </row>
        <row r="96">
          <cell r="E96" t="str">
            <v>Eau déminéralisé</v>
          </cell>
          <cell r="G96" t="str">
            <v>20 L</v>
          </cell>
          <cell r="I96" t="str">
            <v>oui</v>
          </cell>
        </row>
        <row r="97">
          <cell r="E97" t="str">
            <v>piles 1,5 V AAA LR03 (lampe frontale)</v>
          </cell>
          <cell r="G97">
            <v>10</v>
          </cell>
          <cell r="I97" t="str">
            <v>oui</v>
          </cell>
        </row>
        <row r="98">
          <cell r="E98" t="str">
            <v>gants</v>
          </cell>
          <cell r="G98" t="str">
            <v>xx</v>
          </cell>
          <cell r="I98" t="str">
            <v>oui</v>
          </cell>
        </row>
        <row r="99">
          <cell r="E99" t="str">
            <v>thermostat de sécurité cuves chauffantes</v>
          </cell>
          <cell r="G99">
            <v>3</v>
          </cell>
          <cell r="I99" t="str">
            <v>oui</v>
          </cell>
        </row>
        <row r="100">
          <cell r="E100" t="str">
            <v>carte electronique mixer</v>
          </cell>
          <cell r="G100">
            <v>1</v>
          </cell>
          <cell r="I100" t="str">
            <v>non</v>
          </cell>
        </row>
        <row r="101">
          <cell r="E101" t="str">
            <v xml:space="preserve">sectionneur Tesys 63 A Batteur 3 </v>
          </cell>
          <cell r="G101">
            <v>1</v>
          </cell>
          <cell r="I101" t="str">
            <v>oui</v>
          </cell>
        </row>
        <row r="102">
          <cell r="E102" t="str">
            <v>Raccords Nito 1/2 complet</v>
          </cell>
          <cell r="G102">
            <v>10</v>
          </cell>
          <cell r="I102" t="str">
            <v>oui</v>
          </cell>
        </row>
        <row r="103">
          <cell r="E103" t="str">
            <v>coton graissage</v>
          </cell>
          <cell r="G103">
            <v>84</v>
          </cell>
          <cell r="I103" t="str">
            <v>oui</v>
          </cell>
        </row>
        <row r="104">
          <cell r="E104" t="str">
            <v>disque flap</v>
          </cell>
          <cell r="G104">
            <v>10</v>
          </cell>
          <cell r="I104" t="str">
            <v>oui</v>
          </cell>
        </row>
        <row r="105">
          <cell r="E105" t="str">
            <v>disque decoupe</v>
          </cell>
          <cell r="G105">
            <v>20</v>
          </cell>
          <cell r="I105" t="str">
            <v>oui</v>
          </cell>
        </row>
        <row r="106">
          <cell r="E106" t="str">
            <v>néons</v>
          </cell>
          <cell r="G106" t="str">
            <v>10 de chaque</v>
          </cell>
          <cell r="I106" t="str">
            <v>oui</v>
          </cell>
        </row>
        <row r="108">
          <cell r="E108" t="str">
            <v>frein filet BLEU</v>
          </cell>
          <cell r="G108">
            <v>1</v>
          </cell>
          <cell r="I108" t="str">
            <v>oui</v>
          </cell>
        </row>
        <row r="109">
          <cell r="E109" t="str">
            <v>manomètre 0/10 Bar  raccord arrière 1/8</v>
          </cell>
          <cell r="G109">
            <v>2</v>
          </cell>
          <cell r="I109" t="str">
            <v>oui</v>
          </cell>
        </row>
        <row r="110">
          <cell r="E110" t="str">
            <v>sabres conv. Descente complet</v>
          </cell>
          <cell r="G110">
            <v>2</v>
          </cell>
          <cell r="I110" t="str">
            <v>oui</v>
          </cell>
        </row>
        <row r="111">
          <cell r="E111" t="str">
            <v>boitiers plexo à l'unité</v>
          </cell>
          <cell r="G111">
            <v>10</v>
          </cell>
          <cell r="I111" t="str">
            <v>oui</v>
          </cell>
        </row>
        <row r="112">
          <cell r="E112" t="str">
            <v>Bouchon long</v>
          </cell>
          <cell r="G112">
            <v>2</v>
          </cell>
          <cell r="I112" t="str">
            <v>oui</v>
          </cell>
        </row>
        <row r="113">
          <cell r="E113" t="str">
            <v>Filtres</v>
          </cell>
          <cell r="G113">
            <v>1</v>
          </cell>
          <cell r="I113" t="str">
            <v>oui</v>
          </cell>
        </row>
        <row r="114">
          <cell r="E114" t="str">
            <v>fourche de détection capteur d'étiquettes (cellule BALLUFF)</v>
          </cell>
          <cell r="G114">
            <v>1</v>
          </cell>
          <cell r="I114" t="str">
            <v>oui</v>
          </cell>
        </row>
        <row r="115">
          <cell r="E115" t="str">
            <v xml:space="preserve">venturi centrale de lavage </v>
          </cell>
          <cell r="G115">
            <v>2</v>
          </cell>
          <cell r="I115" t="str">
            <v>oui</v>
          </cell>
        </row>
        <row r="116">
          <cell r="E116" t="str">
            <v>joint blanc marmite</v>
          </cell>
          <cell r="G116">
            <v>5</v>
          </cell>
          <cell r="I116" t="str">
            <v>oui</v>
          </cell>
        </row>
        <row r="117">
          <cell r="E117" t="str">
            <v>connecteur graisse M6</v>
          </cell>
          <cell r="G117">
            <v>3</v>
          </cell>
          <cell r="I117" t="str">
            <v>non</v>
          </cell>
        </row>
        <row r="118">
          <cell r="E118" t="str">
            <v>roulement 6202</v>
          </cell>
          <cell r="G118">
            <v>20</v>
          </cell>
          <cell r="I118" t="str">
            <v>oui</v>
          </cell>
        </row>
        <row r="119">
          <cell r="E119" t="str">
            <v>kit carte variateur pompe bakon</v>
          </cell>
          <cell r="G119">
            <v>1</v>
          </cell>
          <cell r="I119" t="str">
            <v>oui</v>
          </cell>
        </row>
        <row r="120">
          <cell r="E120" t="str">
            <v>verrin decoupe R240</v>
          </cell>
          <cell r="G120">
            <v>1</v>
          </cell>
          <cell r="I120" t="str">
            <v>oui</v>
          </cell>
        </row>
        <row r="121">
          <cell r="E121" t="str">
            <v>transformateur HT brûleur riello</v>
          </cell>
          <cell r="G121">
            <v>1</v>
          </cell>
          <cell r="I121" t="str">
            <v>oui</v>
          </cell>
        </row>
        <row r="122">
          <cell r="E122" t="str">
            <v>enrouleur complet</v>
          </cell>
          <cell r="G122">
            <v>1</v>
          </cell>
          <cell r="I122" t="str">
            <v>oui</v>
          </cell>
        </row>
        <row r="123">
          <cell r="E123" t="str">
            <v>Joint de soudure 2 voies 2 rangées R240</v>
          </cell>
          <cell r="G123">
            <v>3</v>
          </cell>
          <cell r="I123" t="str">
            <v>oui</v>
          </cell>
        </row>
        <row r="124">
          <cell r="E124" t="str">
            <v>raccord verrin bakon G1/8 en 6</v>
          </cell>
          <cell r="G124">
            <v>20</v>
          </cell>
          <cell r="I124" t="str">
            <v>oui</v>
          </cell>
        </row>
        <row r="125">
          <cell r="E125" t="str">
            <v>graisse enderole pour chariot</v>
          </cell>
          <cell r="G125">
            <v>20</v>
          </cell>
          <cell r="I125" t="str">
            <v>oui</v>
          </cell>
        </row>
        <row r="126">
          <cell r="E126" t="str">
            <v>fer a souder</v>
          </cell>
          <cell r="G126">
            <v>1</v>
          </cell>
          <cell r="I126" t="str">
            <v>oui</v>
          </cell>
        </row>
        <row r="127">
          <cell r="E127" t="str">
            <v>Roulettes pour cuves 80/100/150L</v>
          </cell>
          <cell r="G127">
            <v>8</v>
          </cell>
          <cell r="I127" t="str">
            <v>oui</v>
          </cell>
        </row>
        <row r="128">
          <cell r="E128" t="str">
            <v>rouleau d'absorbant bleu</v>
          </cell>
          <cell r="G128">
            <v>2</v>
          </cell>
          <cell r="I128" t="str">
            <v>oui</v>
          </cell>
        </row>
        <row r="129">
          <cell r="E129" t="str">
            <v>rouleau de tension l1=150 li n.re</v>
          </cell>
          <cell r="G129">
            <v>1</v>
          </cell>
          <cell r="I129" t="str">
            <v>oui</v>
          </cell>
        </row>
        <row r="130">
          <cell r="E130" t="str">
            <v>courroie crant entrainement enrouleur glassine</v>
          </cell>
          <cell r="G130">
            <v>2</v>
          </cell>
          <cell r="I130" t="str">
            <v>oui</v>
          </cell>
        </row>
        <row r="131">
          <cell r="E131" t="str">
            <v>Raccord d'eau complet (accouplement sortie circulateur/bloc moteur) Karcher fixe</v>
          </cell>
          <cell r="G131" t="str">
            <v>1 de chaque</v>
          </cell>
          <cell r="I131" t="str">
            <v>non</v>
          </cell>
        </row>
        <row r="132">
          <cell r="E132" t="str">
            <v>Filefix III VIRAX</v>
          </cell>
          <cell r="G132">
            <v>1</v>
          </cell>
          <cell r="I132" t="str">
            <v>oui</v>
          </cell>
        </row>
        <row r="133">
          <cell r="E133" t="str">
            <v>liste exhaustive d'outils à remettre en stock</v>
          </cell>
          <cell r="I133" t="str">
            <v>oui</v>
          </cell>
        </row>
        <row r="134">
          <cell r="E134" t="str">
            <v>ensemble montage minuterie, joint, façade et adaptateur montage encastré</v>
          </cell>
          <cell r="G134">
            <v>2</v>
          </cell>
          <cell r="I134" t="str">
            <v>en cours</v>
          </cell>
        </row>
        <row r="135">
          <cell r="E135" t="str">
            <v>Inter sectionneur 63A</v>
          </cell>
          <cell r="I135" t="str">
            <v>oui</v>
          </cell>
        </row>
        <row r="136">
          <cell r="E136" t="str">
            <v>Boitier orange avec les boutons marche complet car fendu à plusieurs endroit</v>
          </cell>
          <cell r="G136">
            <v>1</v>
          </cell>
          <cell r="I136" t="str">
            <v>non</v>
          </cell>
        </row>
        <row r="137">
          <cell r="E137" t="str">
            <v>Bouton poussoir pour pupitre TTI 6,5 de ERELIA</v>
          </cell>
          <cell r="G137">
            <v>2</v>
          </cell>
          <cell r="I137" t="str">
            <v>oui</v>
          </cell>
        </row>
        <row r="138">
          <cell r="E138" t="str">
            <v>clapet anti-retour</v>
          </cell>
          <cell r="G138">
            <v>10</v>
          </cell>
          <cell r="I138" t="str">
            <v>oui</v>
          </cell>
        </row>
        <row r="139">
          <cell r="E139" t="str">
            <v>buzzer 220 V AC/DC</v>
          </cell>
          <cell r="G139">
            <v>5</v>
          </cell>
          <cell r="I139" t="str">
            <v>oui</v>
          </cell>
        </row>
        <row r="140">
          <cell r="E140" t="str">
            <v>Bouton de modif vitesse du variateur de la pompe péristatique</v>
          </cell>
          <cell r="G140">
            <v>1</v>
          </cell>
          <cell r="I140" t="str">
            <v>oui</v>
          </cell>
        </row>
        <row r="141">
          <cell r="E141" t="str">
            <v>emporte pièce pour perçage coffret électrique</v>
          </cell>
          <cell r="G141">
            <v>1</v>
          </cell>
          <cell r="I141" t="str">
            <v>oui</v>
          </cell>
        </row>
        <row r="142">
          <cell r="E142" t="str">
            <v>carte alim moteur pompe graisseur crepe</v>
          </cell>
          <cell r="G142" t="str">
            <v>2 (interieur fatigue aussi)</v>
          </cell>
          <cell r="I142" t="str">
            <v>oui</v>
          </cell>
        </row>
        <row r="143">
          <cell r="E143" t="str">
            <v>tige filleté M5/6/8/10 INOX</v>
          </cell>
          <cell r="I143" t="str">
            <v>oui</v>
          </cell>
        </row>
        <row r="144">
          <cell r="E144" t="str">
            <v>tuyo alimmentaire pompe bakon</v>
          </cell>
          <cell r="G144" t="str">
            <v>mini 4 metre</v>
          </cell>
          <cell r="I144" t="str">
            <v>oui</v>
          </cell>
        </row>
        <row r="145">
          <cell r="E145" t="str">
            <v>rislant, petit et gros</v>
          </cell>
          <cell r="G145" t="str">
            <v>x</v>
          </cell>
          <cell r="I145" t="str">
            <v>oui</v>
          </cell>
        </row>
        <row r="146">
          <cell r="E146" t="str">
            <v>joint soudure 240</v>
          </cell>
          <cell r="G146">
            <v>3</v>
          </cell>
          <cell r="I146" t="str">
            <v>oui</v>
          </cell>
        </row>
        <row r="147">
          <cell r="E147" t="str">
            <v>Vis autoforantes inox 5x65</v>
          </cell>
          <cell r="G147" t="str">
            <v>1 boite</v>
          </cell>
          <cell r="I147" t="str">
            <v>oui</v>
          </cell>
        </row>
        <row r="148">
          <cell r="E148" t="str">
            <v>Cable tresse haute tension, allumage du brûleur four Bongard</v>
          </cell>
          <cell r="G148">
            <v>4</v>
          </cell>
          <cell r="I148" t="str">
            <v>oui</v>
          </cell>
        </row>
        <row r="149">
          <cell r="E149" t="str">
            <v>Roulette avec ou sans embase</v>
          </cell>
          <cell r="G149">
            <v>4</v>
          </cell>
          <cell r="I149" t="str">
            <v>oui</v>
          </cell>
        </row>
        <row r="150">
          <cell r="E150" t="str">
            <v>Fourreaux filetés à emboiter, pour remplacement des roulettes sur la table de retournement entrée spirale</v>
          </cell>
          <cell r="G150">
            <v>4</v>
          </cell>
          <cell r="I150" t="str">
            <v>oui</v>
          </cell>
        </row>
        <row r="151">
          <cell r="E151" t="str">
            <v>distributeur 4/5 R230</v>
          </cell>
          <cell r="G151">
            <v>1</v>
          </cell>
          <cell r="I151" t="str">
            <v>oui</v>
          </cell>
        </row>
        <row r="152">
          <cell r="E152" t="str">
            <v>échappement pneumatique G 1/4 silencieux bakon</v>
          </cell>
          <cell r="G152">
            <v>20</v>
          </cell>
          <cell r="I152" t="str">
            <v>oui</v>
          </cell>
        </row>
        <row r="153">
          <cell r="E153" t="str">
            <v>harting mal cuve chauffante</v>
          </cell>
          <cell r="G153">
            <v>8</v>
          </cell>
          <cell r="I153" t="str">
            <v>oui</v>
          </cell>
        </row>
        <row r="155">
          <cell r="E155" t="str">
            <v>Embout élec (cosses)</v>
          </cell>
          <cell r="I155" t="str">
            <v>oui</v>
          </cell>
        </row>
        <row r="156">
          <cell r="E156" t="str">
            <v>courroie d'entrainement convoyeur Markem 2</v>
          </cell>
          <cell r="G156">
            <v>2</v>
          </cell>
          <cell r="I156" t="str">
            <v>oui</v>
          </cell>
        </row>
        <row r="157">
          <cell r="E157" t="str">
            <v>(autoclave) Thermomètre digital marque ANDERSON modèle FH3</v>
          </cell>
          <cell r="G157">
            <v>1</v>
          </cell>
          <cell r="I157" t="str">
            <v>oui</v>
          </cell>
        </row>
        <row r="158">
          <cell r="E158" t="str">
            <v>Sonde de température PT100 sur les cuves à panisses</v>
          </cell>
          <cell r="G158">
            <v>2</v>
          </cell>
          <cell r="I158" t="str">
            <v>oui</v>
          </cell>
        </row>
        <row r="159">
          <cell r="E159" t="str">
            <v>Sonde de température PT100 fours bongard</v>
          </cell>
          <cell r="G159">
            <v>3</v>
          </cell>
          <cell r="I159" t="str">
            <v>oui</v>
          </cell>
        </row>
        <row r="160">
          <cell r="E160" t="str">
            <v>Colliers de serrage inox pour tuyaux souples</v>
          </cell>
          <cell r="I160" t="str">
            <v>oui</v>
          </cell>
        </row>
        <row r="161">
          <cell r="E161" t="str">
            <v>Frein moteur élevateur de cuve blanc défaillant</v>
          </cell>
          <cell r="G161">
            <v>1</v>
          </cell>
          <cell r="I161" t="str">
            <v>oui</v>
          </cell>
        </row>
        <row r="162">
          <cell r="E162" t="str">
            <v>DETECTEUR A GALET porte four 8.62</v>
          </cell>
          <cell r="G162">
            <v>2</v>
          </cell>
          <cell r="I162" t="str">
            <v>oui</v>
          </cell>
        </row>
        <row r="163">
          <cell r="E163" t="str">
            <v>Vérin anti-rotation DPM</v>
          </cell>
          <cell r="G163">
            <v>2</v>
          </cell>
          <cell r="I163" t="str">
            <v>oui</v>
          </cell>
        </row>
        <row r="164">
          <cell r="E164" t="str">
            <v>Mécanisme interrupteur va et vient plexo</v>
          </cell>
          <cell r="G164">
            <v>10</v>
          </cell>
          <cell r="I164" t="str">
            <v>oui</v>
          </cell>
        </row>
        <row r="165">
          <cell r="E165" t="str">
            <v>Tête voyant rouge ZB5</v>
          </cell>
          <cell r="G165">
            <v>10</v>
          </cell>
          <cell r="I165" t="str">
            <v>oui</v>
          </cell>
        </row>
        <row r="166">
          <cell r="E166" t="str">
            <v>bouton A.U</v>
          </cell>
          <cell r="G166">
            <v>4</v>
          </cell>
          <cell r="I166" t="str">
            <v>oui</v>
          </cell>
        </row>
        <row r="167">
          <cell r="E167" t="str">
            <v>cellule détection étiquettte MR</v>
          </cell>
          <cell r="G167">
            <v>1</v>
          </cell>
          <cell r="I167" t="str">
            <v>oui</v>
          </cell>
        </row>
        <row r="168">
          <cell r="E168" t="str">
            <v>cable elec 3G 1,5 souple</v>
          </cell>
          <cell r="I168" t="str">
            <v>oui</v>
          </cell>
        </row>
        <row r="169">
          <cell r="E169" t="str">
            <v>potentiomètre 4,7 KOHMS LINEAIRE/ MOELLER</v>
          </cell>
          <cell r="G169">
            <v>1</v>
          </cell>
          <cell r="I169" t="str">
            <v>oui</v>
          </cell>
        </row>
        <row r="170">
          <cell r="E170" t="str">
            <v xml:space="preserve">MINUTERIE 24VAC 1S/99H59Mn   OMRON + accéssoires </v>
          </cell>
          <cell r="G170">
            <v>1</v>
          </cell>
          <cell r="I170" t="str">
            <v>oui</v>
          </cell>
        </row>
        <row r="171">
          <cell r="E171" t="str">
            <v>Boitier coupe-circuit enrouleur de lisière multivac</v>
          </cell>
          <cell r="G171">
            <v>1</v>
          </cell>
          <cell r="I171" t="str">
            <v>oui</v>
          </cell>
        </row>
        <row r="172">
          <cell r="E172" t="str">
            <v>clapet anti-retour bi directinnel MULTIVAC</v>
          </cell>
          <cell r="G172">
            <v>1</v>
          </cell>
          <cell r="I172" t="str">
            <v>oui</v>
          </cell>
        </row>
        <row r="173">
          <cell r="E173" t="str">
            <v>gants</v>
          </cell>
          <cell r="I173" t="str">
            <v>oui</v>
          </cell>
        </row>
        <row r="174">
          <cell r="E174" t="str">
            <v>Forets inox</v>
          </cell>
          <cell r="I174" t="str">
            <v>oui</v>
          </cell>
        </row>
        <row r="175">
          <cell r="E175" t="str">
            <v>Chez HYGINOX platine de connexion pour modèle HYGIcase HC10/15/20</v>
          </cell>
          <cell r="G175">
            <v>2</v>
          </cell>
          <cell r="I175" t="str">
            <v>oui</v>
          </cell>
        </row>
        <row r="176">
          <cell r="E176" t="str">
            <v>Chez HYGINOX Lampe à ozone sur platine pour modèle HYGIcase HC10/15/20</v>
          </cell>
          <cell r="G176">
            <v>1</v>
          </cell>
          <cell r="I176" t="str">
            <v>oui</v>
          </cell>
        </row>
        <row r="177">
          <cell r="E177" t="str">
            <v>Wago de 2 et 3 bornes</v>
          </cell>
          <cell r="G177" t="str">
            <v>1 boite de chaque</v>
          </cell>
          <cell r="I177" t="str">
            <v>oui</v>
          </cell>
        </row>
        <row r="178">
          <cell r="E178" t="str">
            <v>sillicone blanc (silirub NS, SOUDAL)</v>
          </cell>
          <cell r="G178">
            <v>5</v>
          </cell>
          <cell r="I178" t="str">
            <v>oui</v>
          </cell>
        </row>
        <row r="179">
          <cell r="E179" t="str">
            <v xml:space="preserve">Insert Han E Femelle 16 Contacts sur 2 Rangées,500 V 16A </v>
          </cell>
          <cell r="I179" t="str">
            <v>oui</v>
          </cell>
        </row>
        <row r="180">
          <cell r="E180" t="str">
            <v xml:space="preserve">arrêt d'urgence zb5as844 </v>
          </cell>
          <cell r="I180" t="str">
            <v>oui</v>
          </cell>
        </row>
        <row r="181">
          <cell r="E181" t="str">
            <v>arrêt d'urgence zb5ac44</v>
          </cell>
          <cell r="I181" t="str">
            <v>oui</v>
          </cell>
        </row>
        <row r="182">
          <cell r="E182" t="str">
            <v xml:space="preserve">tournevis elec petit </v>
          </cell>
          <cell r="G182">
            <v>5</v>
          </cell>
          <cell r="I182" t="str">
            <v>oui</v>
          </cell>
        </row>
        <row r="183">
          <cell r="E183" t="str">
            <v xml:space="preserve">Insert Han E male 16 Contacts sur 2 Rangées,500 V 16A </v>
          </cell>
          <cell r="G183" t="str">
            <v>3 minimum</v>
          </cell>
          <cell r="I183" t="str">
            <v>oui</v>
          </cell>
        </row>
        <row r="184">
          <cell r="E184" t="str">
            <v xml:space="preserve">PC plexo double precablée </v>
          </cell>
          <cell r="G184">
            <v>6</v>
          </cell>
          <cell r="I184" t="str">
            <v>oui</v>
          </cell>
        </row>
        <row r="185">
          <cell r="E185" t="str">
            <v>PC plexo Triple Précablée</v>
          </cell>
          <cell r="G185">
            <v>6</v>
          </cell>
          <cell r="I185" t="str">
            <v>oui</v>
          </cell>
        </row>
        <row r="186">
          <cell r="E186" t="str">
            <v xml:space="preserve"> Prise pour montage Plexo 16A 2P+T IP55</v>
          </cell>
          <cell r="G186">
            <v>35</v>
          </cell>
          <cell r="I186" t="str">
            <v>oui</v>
          </cell>
        </row>
        <row r="187">
          <cell r="E187" t="str">
            <v>Cadre Plexo PC simple</v>
          </cell>
          <cell r="G187">
            <v>21</v>
          </cell>
          <cell r="I187" t="str">
            <v>oui</v>
          </cell>
        </row>
        <row r="188">
          <cell r="E188" t="str">
            <v>Boitier Plexo PC double</v>
          </cell>
          <cell r="G188">
            <v>6</v>
          </cell>
          <cell r="I188" t="str">
            <v>oui</v>
          </cell>
        </row>
        <row r="189">
          <cell r="E189" t="str">
            <v>Boitier Plexo PC Triple</v>
          </cell>
          <cell r="G189">
            <v>6</v>
          </cell>
          <cell r="I189" t="str">
            <v>oui</v>
          </cell>
        </row>
        <row r="190">
          <cell r="E190" t="str">
            <v>Rondelles inox diam 8</v>
          </cell>
          <cell r="I190" t="str">
            <v>oui</v>
          </cell>
        </row>
        <row r="191">
          <cell r="E191" t="str">
            <v>glissiere complete pour rampe four</v>
          </cell>
          <cell r="I191" t="str">
            <v>oui</v>
          </cell>
        </row>
        <row r="192">
          <cell r="E192" t="str">
            <v>Graisse Klüber sole four</v>
          </cell>
          <cell r="I192" t="str">
            <v>oui</v>
          </cell>
        </row>
        <row r="193">
          <cell r="E193" t="str">
            <v>joint sourdure R240</v>
          </cell>
          <cell r="I193" t="str">
            <v>oui</v>
          </cell>
        </row>
        <row r="194">
          <cell r="E194" t="str">
            <v>sel adoucisseur</v>
          </cell>
          <cell r="I194" t="str">
            <v>oui</v>
          </cell>
        </row>
        <row r="195">
          <cell r="E195" t="str">
            <v xml:space="preserve">distributeur 3/2 multivac </v>
          </cell>
          <cell r="I195" t="str">
            <v>oui</v>
          </cell>
        </row>
        <row r="196">
          <cell r="E196" t="str">
            <v>roulement 6204 x 10</v>
          </cell>
          <cell r="I196" t="str">
            <v>oui</v>
          </cell>
        </row>
        <row r="197">
          <cell r="E197" t="str">
            <v>Pistolet pour station de lavage</v>
          </cell>
          <cell r="I197" t="str">
            <v>oui</v>
          </cell>
        </row>
        <row r="198">
          <cell r="E198" t="str">
            <v>Eau déminéralisé</v>
          </cell>
          <cell r="I198" t="str">
            <v>oui</v>
          </cell>
        </row>
        <row r="199">
          <cell r="E199" t="str">
            <v>Teflon</v>
          </cell>
          <cell r="I199" t="str">
            <v>oui</v>
          </cell>
        </row>
        <row r="200">
          <cell r="E200" t="str">
            <v>VIS Inox A2 M8x20</v>
          </cell>
          <cell r="I200" t="str">
            <v>oui</v>
          </cell>
        </row>
        <row r="201">
          <cell r="E201" t="str">
            <v>bande graissage crepière</v>
          </cell>
          <cell r="I201" t="str">
            <v>oui</v>
          </cell>
        </row>
        <row r="202">
          <cell r="E202" t="str">
            <v>EMBOUTS ELECTRIQUES DIVERS TAILLES Ø4MM</v>
          </cell>
          <cell r="I202" t="str">
            <v>oui</v>
          </cell>
        </row>
        <row r="203">
          <cell r="E203" t="str">
            <v>téflon étanchéité raccord</v>
          </cell>
          <cell r="I203" t="str">
            <v>oui</v>
          </cell>
        </row>
        <row r="204">
          <cell r="E204" t="str">
            <v>electrovanne doseur d'eau crépiêre</v>
          </cell>
          <cell r="I204" t="str">
            <v>oui</v>
          </cell>
        </row>
        <row r="205">
          <cell r="E205" t="str">
            <v>filetfix (pate d'etanchéité fluides)</v>
          </cell>
          <cell r="I205" t="str">
            <v>oui</v>
          </cell>
        </row>
        <row r="206">
          <cell r="E206" t="str">
            <v>verrin accroche sole (crêpière) /!\ stock = 0</v>
          </cell>
          <cell r="I206" t="str">
            <v>oui</v>
          </cell>
        </row>
        <row r="207">
          <cell r="E207" t="str">
            <v>verrin ouverture/fermeture clapé anti-retour /!\ stock = 0</v>
          </cell>
          <cell r="I207" t="str">
            <v>oui</v>
          </cell>
        </row>
        <row r="208">
          <cell r="E208" t="str">
            <v>disqueuse et visseuse</v>
          </cell>
          <cell r="I208" t="str">
            <v>oui</v>
          </cell>
        </row>
        <row r="209">
          <cell r="E209" t="str">
            <v>boite de forets</v>
          </cell>
          <cell r="I209" t="str">
            <v>oui</v>
          </cell>
        </row>
        <row r="210">
          <cell r="E210" t="str">
            <v>Acheter: disque a tronconner, siliconne, glue</v>
          </cell>
          <cell r="I210" t="str">
            <v>oui</v>
          </cell>
        </row>
        <row r="211">
          <cell r="E211" t="str">
            <v>colliers colson 360X9mm (consommable)</v>
          </cell>
          <cell r="I211" t="str">
            <v>oui</v>
          </cell>
        </row>
        <row r="212">
          <cell r="E212" t="str">
            <v>embout angle 90° pour pompe a graisse</v>
          </cell>
          <cell r="I212" t="str">
            <v>oui</v>
          </cell>
        </row>
        <row r="213">
          <cell r="E213" t="str">
            <v>gants</v>
          </cell>
          <cell r="I213" t="str">
            <v>oui</v>
          </cell>
        </row>
        <row r="214">
          <cell r="I214" t="str">
            <v>oui</v>
          </cell>
        </row>
        <row r="215">
          <cell r="E215" t="str">
            <v>FORET A ETAGE</v>
          </cell>
          <cell r="I215" t="str">
            <v>oui</v>
          </cell>
        </row>
        <row r="216">
          <cell r="E216" t="str">
            <v>JONC EN LAITON</v>
          </cell>
          <cell r="I216" t="str">
            <v>oui</v>
          </cell>
        </row>
        <row r="217">
          <cell r="E217" t="str">
            <v>tapis sortie DDM 200*795 (sortie et pesé)</v>
          </cell>
          <cell r="I217" t="str">
            <v>oui</v>
          </cell>
        </row>
      </sheetData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G7">
            <v>0</v>
          </cell>
        </row>
        <row r="8">
          <cell r="G8">
            <v>0</v>
          </cell>
        </row>
        <row r="9">
          <cell r="G9">
            <v>0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</sheetData>
      <sheetData sheetId="36" refreshError="1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B7" t="str">
            <v>RELAIS STATIQUE chauffage de cuves batteur 1</v>
          </cell>
          <cell r="G7">
            <v>-1</v>
          </cell>
        </row>
        <row r="8">
          <cell r="B8" t="str">
            <v>Fin de course Cablé (levée cuve)</v>
          </cell>
          <cell r="G8">
            <v>-2</v>
          </cell>
        </row>
        <row r="9">
          <cell r="B9" t="str">
            <v>afficheur rotation fouet WEST 6100+</v>
          </cell>
          <cell r="G9">
            <v>2</v>
          </cell>
        </row>
        <row r="10">
          <cell r="B10" t="str">
            <v xml:space="preserve">Insert Han E Femelle 16 Contacts sur 2 Rangées,500 V 16A </v>
          </cell>
          <cell r="G10">
            <v>-3</v>
          </cell>
        </row>
        <row r="11">
          <cell r="B11" t="str">
            <v xml:space="preserve">Insert Han E male 16 Contacts sur 2 Rangées,500 V 16A </v>
          </cell>
          <cell r="G11">
            <v>4</v>
          </cell>
        </row>
        <row r="12">
          <cell r="B12" t="str">
            <v xml:space="preserve">Insert Han E Femelle 16 Contacts sur 2 Rangées,500 V 16A </v>
          </cell>
          <cell r="G12">
            <v>4</v>
          </cell>
        </row>
        <row r="13">
          <cell r="B13" t="str">
            <v xml:space="preserve">Insert Han E Femelle 16 Contacts sur 2 Rangées,500 V 16A </v>
          </cell>
          <cell r="G13">
            <v>2</v>
          </cell>
        </row>
        <row r="14">
          <cell r="B14" t="str">
            <v xml:space="preserve">LEVIER EASY-LOCK PRISE HARTING </v>
          </cell>
          <cell r="G14">
            <v>-1</v>
          </cell>
        </row>
        <row r="15">
          <cell r="B15" t="str">
            <v>Tête + roulette Capteur de fin de course Telemecanique ZCKD21</v>
          </cell>
          <cell r="G15">
            <v>-1</v>
          </cell>
        </row>
        <row r="16">
          <cell r="B16" t="str">
            <v xml:space="preserve">LEVIER EASY-LOCK PRISE HARTING </v>
          </cell>
          <cell r="G16">
            <v>-1</v>
          </cell>
        </row>
        <row r="17">
          <cell r="B17" t="str">
            <v>Thermostat de sécurité</v>
          </cell>
          <cell r="G17">
            <v>1</v>
          </cell>
        </row>
        <row r="18">
          <cell r="B18" t="str">
            <v>Chariot Alu support des roulettes pour cuve 150 L</v>
          </cell>
          <cell r="G18">
            <v>-2</v>
          </cell>
        </row>
        <row r="19">
          <cell r="B19" t="str">
            <v xml:space="preserve">Insert Han E male 16 Contacts sur 2 Rangées,500 V 16A </v>
          </cell>
          <cell r="G19">
            <v>8</v>
          </cell>
        </row>
        <row r="20">
          <cell r="B20" t="str">
            <v>Thermostat de sécurité</v>
          </cell>
          <cell r="G20">
            <v>-1</v>
          </cell>
        </row>
        <row r="21">
          <cell r="B21" t="str">
            <v>embase connecteur 16pts</v>
          </cell>
          <cell r="G21">
            <v>-1</v>
          </cell>
        </row>
        <row r="22">
          <cell r="B22" t="str">
            <v>embase connecteur 16pts</v>
          </cell>
          <cell r="G22">
            <v>-1</v>
          </cell>
        </row>
        <row r="23">
          <cell r="B23" t="str">
            <v xml:space="preserve">Insert Han E Femelle 16 Contacts sur 2 Rangées,500 V 16A </v>
          </cell>
          <cell r="G23">
            <v>-1</v>
          </cell>
        </row>
        <row r="24">
          <cell r="B24" t="str">
            <v xml:space="preserve">LEVIER EASY-LOCK PRISE HARTING </v>
          </cell>
          <cell r="G24">
            <v>-1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  <row r="35">
          <cell r="G35">
            <v>0</v>
          </cell>
        </row>
        <row r="36">
          <cell r="G36">
            <v>0</v>
          </cell>
        </row>
      </sheetData>
      <sheetData sheetId="37" refreshError="1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G7">
            <v>0</v>
          </cell>
        </row>
        <row r="8">
          <cell r="G8">
            <v>0</v>
          </cell>
        </row>
        <row r="9">
          <cell r="G9">
            <v>0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</sheetData>
      <sheetData sheetId="38" refreshError="1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B7" t="str">
            <v>CAPTEUR secu fca 3442</v>
          </cell>
          <cell r="G7">
            <v>-2</v>
          </cell>
        </row>
        <row r="8">
          <cell r="B8" t="str">
            <v>manomètre 0-6 bar G1/2 100mm</v>
          </cell>
          <cell r="G8">
            <v>-10</v>
          </cell>
        </row>
        <row r="9">
          <cell r="B9" t="str">
            <v>NB joint de corps pompe 11Kw</v>
          </cell>
          <cell r="G9">
            <v>-2</v>
          </cell>
        </row>
        <row r="10">
          <cell r="B10" t="str">
            <v>lampe 24v(ampoules)</v>
          </cell>
        </row>
        <row r="11">
          <cell r="B11" t="str">
            <v>capteur de proximité</v>
          </cell>
        </row>
        <row r="12">
          <cell r="B12" t="str">
            <v>capteur magnétique</v>
          </cell>
          <cell r="G12">
            <v>-2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  <row r="35">
          <cell r="G35">
            <v>0</v>
          </cell>
        </row>
        <row r="36">
          <cell r="G36">
            <v>0</v>
          </cell>
        </row>
        <row r="37">
          <cell r="G37">
            <v>0</v>
          </cell>
        </row>
        <row r="38">
          <cell r="G38">
            <v>0</v>
          </cell>
        </row>
        <row r="39">
          <cell r="G39">
            <v>0</v>
          </cell>
        </row>
        <row r="40">
          <cell r="G40">
            <v>0</v>
          </cell>
        </row>
      </sheetData>
      <sheetData sheetId="39" refreshError="1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B7" t="str">
            <v>COURROIE ref: STD 800 S8M CXA marque Continental</v>
          </cell>
          <cell r="G7">
            <v>5</v>
          </cell>
        </row>
        <row r="8">
          <cell r="B8" t="str">
            <v>chaîne intermédiaire</v>
          </cell>
          <cell r="G8">
            <v>5</v>
          </cell>
        </row>
        <row r="9">
          <cell r="B9" t="str">
            <v>CAPTEUR secu fca 3442</v>
          </cell>
          <cell r="G9">
            <v>5</v>
          </cell>
        </row>
        <row r="10">
          <cell r="B10" t="str">
            <v>CAPTEUR secu fca 3442</v>
          </cell>
          <cell r="G10">
            <v>5</v>
          </cell>
        </row>
        <row r="11">
          <cell r="B11" t="str">
            <v>galet d=26</v>
          </cell>
          <cell r="G11">
            <v>-250</v>
          </cell>
        </row>
        <row r="12">
          <cell r="B12" t="str">
            <v>chaîne intermédiaire</v>
          </cell>
          <cell r="G12">
            <v>-3</v>
          </cell>
        </row>
        <row r="13">
          <cell r="B13" t="str">
            <v>RESSORT couteaux boyaux</v>
          </cell>
          <cell r="G13">
            <v>-1</v>
          </cell>
        </row>
        <row r="14">
          <cell r="B14" t="str">
            <v>galet d=35</v>
          </cell>
        </row>
        <row r="15">
          <cell r="B15" t="str">
            <v>galet d=35</v>
          </cell>
          <cell r="G15">
            <v>-1</v>
          </cell>
        </row>
        <row r="16">
          <cell r="B16" t="str">
            <v>galet d=35</v>
          </cell>
          <cell r="G16">
            <v>-1</v>
          </cell>
        </row>
        <row r="17">
          <cell r="B17" t="str">
            <v>galet d=26</v>
          </cell>
          <cell r="G17">
            <v>-1</v>
          </cell>
        </row>
        <row r="18">
          <cell r="B18" t="str">
            <v>galet d=26</v>
          </cell>
          <cell r="G18">
            <v>-1</v>
          </cell>
        </row>
        <row r="19">
          <cell r="B19" t="str">
            <v>galet d=26</v>
          </cell>
          <cell r="G19">
            <v>-1</v>
          </cell>
        </row>
        <row r="20">
          <cell r="B20" t="str">
            <v>galet d=26</v>
          </cell>
          <cell r="G20">
            <v>-1</v>
          </cell>
        </row>
        <row r="21">
          <cell r="B21" t="str">
            <v>COUTEAU fca 3442</v>
          </cell>
          <cell r="G21">
            <v>0</v>
          </cell>
        </row>
        <row r="22">
          <cell r="B22" t="str">
            <v>CHAINES AVANCES AGRAFEE</v>
          </cell>
          <cell r="G22">
            <v>-2</v>
          </cell>
        </row>
        <row r="23">
          <cell r="B23" t="str">
            <v>CAPTEUR secu fca 3442</v>
          </cell>
          <cell r="G23">
            <v>-1</v>
          </cell>
        </row>
        <row r="24">
          <cell r="G24">
            <v>0</v>
          </cell>
        </row>
        <row r="25">
          <cell r="G25">
            <v>0</v>
          </cell>
        </row>
        <row r="26">
          <cell r="B26" t="str">
            <v>clippeuse</v>
          </cell>
          <cell r="G26">
            <v>0</v>
          </cell>
        </row>
        <row r="27">
          <cell r="B27" t="str">
            <v>COURROIE ref: STD 800 S8M CXA marque Continental</v>
          </cell>
          <cell r="G27">
            <v>-1</v>
          </cell>
        </row>
        <row r="28">
          <cell r="G28">
            <v>-1</v>
          </cell>
        </row>
        <row r="29">
          <cell r="B29" t="str">
            <v>rotule de gauche</v>
          </cell>
          <cell r="G29">
            <v>-2</v>
          </cell>
        </row>
        <row r="30">
          <cell r="G30">
            <v>-1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  <row r="35">
          <cell r="G35">
            <v>0</v>
          </cell>
        </row>
        <row r="36">
          <cell r="G36">
            <v>0</v>
          </cell>
        </row>
        <row r="37">
          <cell r="G37">
            <v>0</v>
          </cell>
        </row>
        <row r="38">
          <cell r="G38">
            <v>0</v>
          </cell>
        </row>
        <row r="39">
          <cell r="G39">
            <v>0</v>
          </cell>
        </row>
        <row r="40">
          <cell r="G40">
            <v>0</v>
          </cell>
        </row>
        <row r="41">
          <cell r="G41">
            <v>0</v>
          </cell>
        </row>
        <row r="42">
          <cell r="G42">
            <v>0</v>
          </cell>
        </row>
        <row r="43">
          <cell r="G43">
            <v>0</v>
          </cell>
        </row>
        <row r="44">
          <cell r="G44">
            <v>0</v>
          </cell>
        </row>
        <row r="45">
          <cell r="G45">
            <v>0</v>
          </cell>
        </row>
        <row r="46">
          <cell r="G46">
            <v>0</v>
          </cell>
        </row>
        <row r="47">
          <cell r="G47">
            <v>0</v>
          </cell>
        </row>
        <row r="48">
          <cell r="G48">
            <v>0</v>
          </cell>
        </row>
        <row r="49">
          <cell r="G49">
            <v>0</v>
          </cell>
        </row>
        <row r="50">
          <cell r="G50">
            <v>0</v>
          </cell>
        </row>
        <row r="51">
          <cell r="G51">
            <v>0</v>
          </cell>
        </row>
        <row r="52">
          <cell r="G52">
            <v>0</v>
          </cell>
        </row>
        <row r="53">
          <cell r="G53">
            <v>0</v>
          </cell>
        </row>
        <row r="54">
          <cell r="G54">
            <v>0</v>
          </cell>
        </row>
        <row r="55">
          <cell r="G55">
            <v>0</v>
          </cell>
        </row>
        <row r="56">
          <cell r="G56">
            <v>0</v>
          </cell>
        </row>
        <row r="59">
          <cell r="G59">
            <v>0</v>
          </cell>
        </row>
        <row r="60">
          <cell r="G60">
            <v>0</v>
          </cell>
        </row>
        <row r="65">
          <cell r="G65">
            <v>0</v>
          </cell>
        </row>
      </sheetData>
      <sheetData sheetId="40" refreshError="1"/>
      <sheetData sheetId="41" refreshError="1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G7">
            <v>0</v>
          </cell>
        </row>
        <row r="8">
          <cell r="G8">
            <v>0</v>
          </cell>
        </row>
        <row r="9">
          <cell r="G9">
            <v>0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  <row r="35">
          <cell r="G35">
            <v>0</v>
          </cell>
        </row>
      </sheetData>
      <sheetData sheetId="42" refreshError="1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B7" t="str">
            <v>COUROIE TEXROPE 13x1700 LI170 PP (A67/13 01730/)</v>
          </cell>
          <cell r="G7">
            <v>2</v>
          </cell>
        </row>
        <row r="8">
          <cell r="B8" t="str">
            <v>motoreducteur à vis sans fin</v>
          </cell>
          <cell r="G8">
            <v>1</v>
          </cell>
        </row>
        <row r="9">
          <cell r="B9" t="str">
            <v>poulie a moyeu amovible</v>
          </cell>
          <cell r="G9">
            <v>1</v>
          </cell>
        </row>
        <row r="10">
          <cell r="B10" t="str">
            <v>moyeu amovible</v>
          </cell>
          <cell r="G10">
            <v>1</v>
          </cell>
        </row>
        <row r="11">
          <cell r="B11" t="str">
            <v xml:space="preserve"> BANDE COTON POUR GRAISSEURS</v>
          </cell>
          <cell r="G11">
            <v>-27</v>
          </cell>
        </row>
        <row r="12">
          <cell r="B12" t="str">
            <v xml:space="preserve"> BANDE COTON POUR GRAISSEURS</v>
          </cell>
          <cell r="G12">
            <v>63</v>
          </cell>
        </row>
        <row r="13">
          <cell r="B13" t="str">
            <v>VERIN SMC 20-25-B</v>
          </cell>
          <cell r="G13">
            <v>1</v>
          </cell>
        </row>
        <row r="14">
          <cell r="B14" t="str">
            <v>VERIN SMC 20-250-B</v>
          </cell>
          <cell r="G14">
            <v>1</v>
          </cell>
        </row>
        <row r="15">
          <cell r="B15" t="str">
            <v xml:space="preserve"> BANDE COTON POUR GRAISSEURS</v>
          </cell>
          <cell r="G15">
            <v>-21</v>
          </cell>
        </row>
        <row r="16">
          <cell r="B16" t="str">
            <v>FRL asco numatics</v>
          </cell>
          <cell r="G16">
            <v>1</v>
          </cell>
        </row>
        <row r="17">
          <cell r="B17" t="str">
            <v>joints de pistons</v>
          </cell>
          <cell r="G17">
            <v>-6</v>
          </cell>
        </row>
        <row r="18">
          <cell r="B18" t="str">
            <v>FRL asco numatics</v>
          </cell>
          <cell r="G18">
            <v>-1</v>
          </cell>
        </row>
        <row r="19">
          <cell r="B19" t="str">
            <v>joints de pistons</v>
          </cell>
          <cell r="G19">
            <v>-4</v>
          </cell>
        </row>
        <row r="20">
          <cell r="B20" t="str">
            <v>Joint</v>
          </cell>
          <cell r="G20">
            <v>-4</v>
          </cell>
        </row>
        <row r="21">
          <cell r="B21" t="str">
            <v>carte elec pompe graisseur</v>
          </cell>
          <cell r="G21">
            <v>-1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</sheetData>
      <sheetData sheetId="43" refreshError="1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B7" t="str">
            <v>filtres G4 598x498x48 CTA</v>
          </cell>
          <cell r="G7">
            <v>-8</v>
          </cell>
        </row>
        <row r="8">
          <cell r="B8" t="str">
            <v>filtres G4 592x592x48 WOLF/ROOFTOP</v>
          </cell>
          <cell r="G8">
            <v>-7</v>
          </cell>
        </row>
        <row r="9">
          <cell r="B9" t="str">
            <v>filtres F7 287x592x48 CTA</v>
          </cell>
          <cell r="G9">
            <v>-4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</sheetData>
      <sheetData sheetId="44" refreshError="1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8">
          <cell r="G8">
            <v>0</v>
          </cell>
        </row>
        <row r="9">
          <cell r="G9">
            <v>0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  <row r="35">
          <cell r="G35">
            <v>0</v>
          </cell>
        </row>
      </sheetData>
      <sheetData sheetId="45" refreshError="1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G7">
            <v>0</v>
          </cell>
        </row>
        <row r="8">
          <cell r="G8">
            <v>0</v>
          </cell>
        </row>
        <row r="9">
          <cell r="G9">
            <v>0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</sheetData>
      <sheetData sheetId="46" refreshError="1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G7">
            <v>0</v>
          </cell>
        </row>
        <row r="8">
          <cell r="G8">
            <v>0</v>
          </cell>
        </row>
        <row r="9">
          <cell r="G9">
            <v>0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  <row r="35">
          <cell r="G35">
            <v>0</v>
          </cell>
        </row>
      </sheetData>
      <sheetData sheetId="47" refreshError="1">
        <row r="6">
          <cell r="B6" t="str">
            <v>désignation</v>
          </cell>
          <cell r="G6" t="str">
            <v>décompte</v>
          </cell>
        </row>
        <row r="7">
          <cell r="G7">
            <v>0</v>
          </cell>
        </row>
        <row r="8">
          <cell r="B8" t="str">
            <v>joint de type quad ring diam 28,17 x 3,53 mm (cylindre de dosage à piston)</v>
          </cell>
          <cell r="G8">
            <v>8</v>
          </cell>
        </row>
        <row r="9">
          <cell r="B9" t="str">
            <v>joint torique dim 62 x 3 mm (tubes de dosage)</v>
          </cell>
          <cell r="G9">
            <v>8</v>
          </cell>
        </row>
        <row r="10">
          <cell r="B10" t="str">
            <v>joint torique Dim 49,5 x 3 mm (bloc de dosage à piston)</v>
          </cell>
          <cell r="G10">
            <v>8</v>
          </cell>
        </row>
        <row r="11">
          <cell r="B11" t="str">
            <v>joint torique Dim 18 x 2,5 mm (vérin pneumatique tête de dressage)</v>
          </cell>
          <cell r="G11">
            <v>8</v>
          </cell>
        </row>
        <row r="12">
          <cell r="B12" t="str">
            <v>Joint 4</v>
          </cell>
          <cell r="G12">
            <v>4</v>
          </cell>
        </row>
        <row r="13">
          <cell r="B13" t="str">
            <v>joint spi (roulement axe melangeur trémie)</v>
          </cell>
          <cell r="G13">
            <v>3</v>
          </cell>
        </row>
        <row r="14">
          <cell r="B14" t="str">
            <v>joint torique Dim 49,5 x 3 mm (bloc de dosage à piston)</v>
          </cell>
          <cell r="G14">
            <v>-1</v>
          </cell>
        </row>
        <row r="15">
          <cell r="B15" t="str">
            <v>joint torique Dim 35 x 2,5 mm (tubes de distribution sauce)</v>
          </cell>
          <cell r="G15">
            <v>-2</v>
          </cell>
        </row>
        <row r="16">
          <cell r="B16" t="str">
            <v>Joint 4</v>
          </cell>
          <cell r="G16">
            <v>-1</v>
          </cell>
        </row>
        <row r="17">
          <cell r="B17" t="str">
            <v>Valve rotative</v>
          </cell>
          <cell r="G17">
            <v>-1</v>
          </cell>
        </row>
        <row r="18">
          <cell r="B18" t="str">
            <v>joint de type quad ring diam 28,17 x 3,53 mm (cylindre de dosage à piston)</v>
          </cell>
          <cell r="G18">
            <v>-4</v>
          </cell>
        </row>
        <row r="19">
          <cell r="B19" t="str">
            <v>joint torique dim 62 x 3 mm (tubes de dosage)</v>
          </cell>
          <cell r="G19">
            <v>-1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  <row r="35">
          <cell r="G35">
            <v>0</v>
          </cell>
        </row>
        <row r="36">
          <cell r="G36">
            <v>0</v>
          </cell>
        </row>
      </sheetData>
      <sheetData sheetId="48" refreshError="1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G7">
            <v>0</v>
          </cell>
        </row>
        <row r="8">
          <cell r="G8">
            <v>0</v>
          </cell>
        </row>
        <row r="9">
          <cell r="G9">
            <v>0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</sheetData>
      <sheetData sheetId="49" refreshError="1"/>
      <sheetData sheetId="50" refreshError="1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G7">
            <v>0</v>
          </cell>
        </row>
        <row r="8">
          <cell r="G8">
            <v>0</v>
          </cell>
        </row>
        <row r="9">
          <cell r="G9">
            <v>0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</sheetData>
      <sheetData sheetId="51" refreshError="1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B7" t="str">
            <v>join de porte 800x1815</v>
          </cell>
          <cell r="G7">
            <v>-2</v>
          </cell>
        </row>
        <row r="8">
          <cell r="B8" t="str">
            <v>sonde PT 100</v>
          </cell>
          <cell r="G8">
            <v>1</v>
          </cell>
        </row>
        <row r="9">
          <cell r="B9" t="str">
            <v>fin de course XCKN2118P20</v>
          </cell>
          <cell r="G9">
            <v>-1</v>
          </cell>
        </row>
        <row r="10">
          <cell r="B10" t="str">
            <v>DETECTEUR A GALET porte four 8.62</v>
          </cell>
          <cell r="G10">
            <v>2</v>
          </cell>
        </row>
        <row r="11">
          <cell r="B11" t="str">
            <v>sonde PT 100</v>
          </cell>
          <cell r="G11">
            <v>-2</v>
          </cell>
        </row>
        <row r="12">
          <cell r="B12" t="str">
            <v>thermostat sécu 2</v>
          </cell>
          <cell r="G12">
            <v>-1</v>
          </cell>
        </row>
        <row r="13">
          <cell r="B13" t="str">
            <v>ensemble rotule 8,63 120x32 fem</v>
          </cell>
          <cell r="G13">
            <v>4</v>
          </cell>
        </row>
        <row r="14">
          <cell r="B14" t="str">
            <v>ensemble rotule 8,63 120x32 fem</v>
          </cell>
          <cell r="G14">
            <v>-4</v>
          </cell>
        </row>
        <row r="15">
          <cell r="B15" t="str">
            <v>sillicon HT°</v>
          </cell>
          <cell r="G15">
            <v>2</v>
          </cell>
        </row>
        <row r="16">
          <cell r="B16" t="str">
            <v>sillicon HT°</v>
          </cell>
          <cell r="G16">
            <v>-2</v>
          </cell>
        </row>
        <row r="17">
          <cell r="B17" t="str">
            <v>CABLE TRESSE ht</v>
          </cell>
          <cell r="G17">
            <v>-1</v>
          </cell>
        </row>
        <row r="18">
          <cell r="B18" t="str">
            <v>join de porte 800x1815</v>
          </cell>
          <cell r="G18">
            <v>-1</v>
          </cell>
        </row>
        <row r="19">
          <cell r="B19" t="str">
            <v>Mini moteur de volets</v>
          </cell>
          <cell r="G19">
            <v>-2</v>
          </cell>
        </row>
        <row r="20">
          <cell r="B20" t="str">
            <v>join de porte 800x1815</v>
          </cell>
          <cell r="G20">
            <v>-2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</sheetData>
      <sheetData sheetId="52" refreshError="1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G7">
            <v>0</v>
          </cell>
        </row>
        <row r="8">
          <cell r="G8">
            <v>0</v>
          </cell>
        </row>
        <row r="9">
          <cell r="G9">
            <v>0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</sheetData>
      <sheetData sheetId="53" refreshError="1"/>
      <sheetData sheetId="54" refreshError="1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G7">
            <v>0</v>
          </cell>
        </row>
        <row r="8">
          <cell r="G8">
            <v>0</v>
          </cell>
        </row>
        <row r="9">
          <cell r="G9">
            <v>0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</sheetData>
      <sheetData sheetId="55" refreshError="1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G7">
            <v>0</v>
          </cell>
        </row>
        <row r="8">
          <cell r="G8">
            <v>0</v>
          </cell>
        </row>
        <row r="9">
          <cell r="G9">
            <v>0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</sheetData>
      <sheetData sheetId="56" refreshError="1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G7">
            <v>0</v>
          </cell>
        </row>
        <row r="8">
          <cell r="G8">
            <v>0</v>
          </cell>
        </row>
        <row r="9">
          <cell r="G9">
            <v>0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  <row r="35">
          <cell r="G35">
            <v>0</v>
          </cell>
        </row>
      </sheetData>
      <sheetData sheetId="57" refreshError="1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G7">
            <v>0</v>
          </cell>
        </row>
        <row r="8">
          <cell r="G8">
            <v>0</v>
          </cell>
        </row>
        <row r="9">
          <cell r="G9">
            <v>0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  <row r="35">
          <cell r="G35">
            <v>0</v>
          </cell>
        </row>
      </sheetData>
      <sheetData sheetId="58" refreshError="1"/>
      <sheetData sheetId="59" refreshError="1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G7">
            <v>0</v>
          </cell>
        </row>
        <row r="8">
          <cell r="G8">
            <v>0</v>
          </cell>
        </row>
        <row r="9">
          <cell r="G9">
            <v>0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  <row r="35">
          <cell r="G35">
            <v>0</v>
          </cell>
        </row>
      </sheetData>
      <sheetData sheetId="60" refreshError="1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8">
          <cell r="G8">
            <v>0</v>
          </cell>
        </row>
        <row r="9">
          <cell r="G9">
            <v>0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  <row r="35">
          <cell r="G35">
            <v>0</v>
          </cell>
        </row>
      </sheetData>
      <sheetData sheetId="61" refreshError="1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G7">
            <v>0</v>
          </cell>
        </row>
        <row r="8">
          <cell r="G8">
            <v>0</v>
          </cell>
        </row>
        <row r="9">
          <cell r="G9">
            <v>0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</sheetData>
      <sheetData sheetId="62" refreshError="1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G7">
            <v>0</v>
          </cell>
        </row>
        <row r="8">
          <cell r="G8">
            <v>0</v>
          </cell>
        </row>
        <row r="9">
          <cell r="G9">
            <v>0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</sheetData>
      <sheetData sheetId="63" refreshError="1"/>
      <sheetData sheetId="64" refreshError="1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G7">
            <v>0</v>
          </cell>
        </row>
        <row r="8">
          <cell r="G8">
            <v>0</v>
          </cell>
        </row>
        <row r="9">
          <cell r="G9">
            <v>0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</sheetData>
      <sheetData sheetId="65" refreshError="1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B7" t="str">
            <v>Module Logique OU capteur de vide</v>
          </cell>
          <cell r="G7">
            <v>1</v>
          </cell>
        </row>
        <row r="8">
          <cell r="B8" t="str">
            <v xml:space="preserve">distrib 3/2  frein de film </v>
          </cell>
          <cell r="G8">
            <v>1</v>
          </cell>
        </row>
        <row r="9">
          <cell r="B9" t="str">
            <v>Contacteur 11Kw 1NO+1NF AC230V</v>
          </cell>
          <cell r="G9">
            <v>2</v>
          </cell>
        </row>
        <row r="10">
          <cell r="B10" t="str">
            <v>Joint de soudure 2 voies 1 rangée R230</v>
          </cell>
          <cell r="G10">
            <v>-1</v>
          </cell>
        </row>
        <row r="11">
          <cell r="B11" t="str">
            <v>Joint de soudure 2 voies 2 rangées R240</v>
          </cell>
          <cell r="G11">
            <v>-1</v>
          </cell>
        </row>
        <row r="12">
          <cell r="B12" t="str">
            <v>clapet antiretour Gaz R230</v>
          </cell>
          <cell r="G12">
            <v>2</v>
          </cell>
        </row>
        <row r="13">
          <cell r="B13" t="str">
            <v>clapet antiretour Gaz R230</v>
          </cell>
          <cell r="G13">
            <v>-2</v>
          </cell>
        </row>
        <row r="14">
          <cell r="B14" t="str">
            <v>clapet antiretour Gaz R230</v>
          </cell>
          <cell r="G14">
            <v>5</v>
          </cell>
        </row>
        <row r="15">
          <cell r="B15" t="str">
            <v>clapet antiretour Gaz R230</v>
          </cell>
          <cell r="G15">
            <v>-5</v>
          </cell>
        </row>
        <row r="16">
          <cell r="B16" t="str">
            <v xml:space="preserve">distrib 3/2  frein de film </v>
          </cell>
          <cell r="G16">
            <v>-1</v>
          </cell>
        </row>
        <row r="17">
          <cell r="B17" t="str">
            <v>capuchon plastique prot.</v>
          </cell>
          <cell r="G17">
            <v>-8</v>
          </cell>
        </row>
        <row r="18">
          <cell r="B18" t="str">
            <v>Joint de soudure 2 voies 1 rangée R230</v>
          </cell>
          <cell r="G18">
            <v>-1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  <row r="35">
          <cell r="G35">
            <v>0</v>
          </cell>
        </row>
        <row r="36">
          <cell r="G36">
            <v>0</v>
          </cell>
        </row>
        <row r="37">
          <cell r="G37">
            <v>0</v>
          </cell>
        </row>
      </sheetData>
      <sheetData sheetId="66" refreshError="1">
        <row r="5">
          <cell r="B5" t="str">
            <v>désignation</v>
          </cell>
          <cell r="G5" t="str">
            <v>décompte</v>
          </cell>
        </row>
        <row r="6">
          <cell r="G6">
            <v>0</v>
          </cell>
        </row>
        <row r="7">
          <cell r="B7" t="str">
            <v>Couteau perforation rond</v>
          </cell>
          <cell r="G7">
            <v>32</v>
          </cell>
        </row>
        <row r="8">
          <cell r="B8" t="str">
            <v>Joint d'arbre (decoupe longitudinale)</v>
          </cell>
          <cell r="G8">
            <v>1</v>
          </cell>
        </row>
        <row r="9">
          <cell r="B9" t="str">
            <v>cicrclips  (decoupe longitudinale)</v>
          </cell>
          <cell r="G9">
            <v>1</v>
          </cell>
        </row>
        <row r="10">
          <cell r="B10" t="str">
            <v>Lame de coupe R240 (stone cut)</v>
          </cell>
          <cell r="G10">
            <v>3</v>
          </cell>
        </row>
        <row r="11">
          <cell r="B11" t="str">
            <v>Bague intérieur D1=50  D2=45 (decoupe longitudinale)</v>
          </cell>
          <cell r="G11">
            <v>1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</sheetData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menu principale"/>
      <sheetName val="Menu Prod"/>
      <sheetName val="menu demande prod"/>
      <sheetName val="création demande"/>
      <sheetName val="menu MAT"/>
      <sheetName val="menu EPN"/>
      <sheetName val="conditionnement"/>
      <sheetName val="generale"/>
      <sheetName val="salle de pre-cuisson"/>
      <sheetName val="salle de cuisson"/>
      <sheetName val="gestion astreinte"/>
      <sheetName val="liste demande"/>
      <sheetName val="demande prod KM"/>
      <sheetName val="DP CB"/>
      <sheetName val="DP TM"/>
      <sheetName val="control CDL"/>
      <sheetName val="menu mouvement stock"/>
      <sheetName val="stock total systeme"/>
      <sheetName val="total stock autres"/>
      <sheetName val="stock"/>
      <sheetName val="systeme"/>
      <sheetName val="menu main courante"/>
      <sheetName val="main courante"/>
      <sheetName val="menu commande"/>
      <sheetName val="commande"/>
      <sheetName val="récurence"/>
      <sheetName val="préventif"/>
      <sheetName val="notes pour reunions"/>
      <sheetName val="total stock"/>
      <sheetName val="mouvement es"/>
      <sheetName val="stock HGA"/>
      <sheetName val="mouvement HGA"/>
      <sheetName val="mouvement bâtiment"/>
      <sheetName val="roulements"/>
      <sheetName val="mouvement CV"/>
      <sheetName val="mouvement batteurs cuves"/>
      <sheetName val="mouvement CDL"/>
      <sheetName val="mouvement autoclave"/>
      <sheetName val="mouvement clippeuse"/>
      <sheetName val="mouvement convoyeur"/>
      <sheetName val="mouvement coupe légume"/>
      <sheetName val="mouvement crepiere"/>
      <sheetName val="mouvement CTA"/>
      <sheetName val="mouvement CEM"/>
      <sheetName val="mouvement DDM"/>
      <sheetName val="mouvement doseur d'eau"/>
      <sheetName val="mouvement bakon"/>
      <sheetName val="mouvement élévateur VMI"/>
      <sheetName val="mouvement espera"/>
      <sheetName val="mouvement etuyeuse"/>
      <sheetName val="mouvement fours"/>
      <sheetName val="mouvement toshiba"/>
      <sheetName val="mouvement LINDE"/>
      <sheetName val="mouvement lynx"/>
      <sheetName val="mouvement PAV"/>
      <sheetName val="mouvement pediluve"/>
      <sheetName val="mouvement scotcheuse"/>
      <sheetName val="mouvement adoucisseurs"/>
      <sheetName val="mouvement autolaveuse"/>
      <sheetName val="mouvement casier chaussure"/>
      <sheetName val="mouvement desinsectiseur"/>
      <sheetName val="mouvement égoutoir autoclave"/>
      <sheetName val="mouvement éléctrique"/>
      <sheetName val="mouvement MRR240"/>
      <sheetName val="mouv MULTIVAC R230 et R240"/>
      <sheetName val="mouv MULTIVAC DECOUPE"/>
      <sheetName val="mouv REF RS"/>
      <sheetName val="implantation salle verte"/>
      <sheetName val="implantation salle jaune"/>
      <sheetName val="Feuil4"/>
      <sheetName val="Feuil2"/>
      <sheetName val="nouveau systeme"/>
      <sheetName val="mouvement nouveau systeme"/>
      <sheetName val="Feuil3"/>
      <sheetName val="liste pieces"/>
      <sheetName val="pieces a classer"/>
      <sheetName val="menu test periodique"/>
      <sheetName val="TEST froid"/>
      <sheetName val="TEST eclairage secu"/>
      <sheetName val="Feuil8"/>
      <sheetName val="Gestion MA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35">
          <cell r="C35" t="str">
            <v>joint torique dim 55 x  5 mm, emplacement sous trémie bleu</v>
          </cell>
        </row>
        <row r="36">
          <cell r="C36" t="str">
            <v>joint de type quad ring diam 28,17 x 3,53 mm (cylindre de dosage à piston)</v>
          </cell>
        </row>
        <row r="37">
          <cell r="C37" t="str">
            <v>joint torique dim 62 x 3 mm (tubes de dosage)</v>
          </cell>
        </row>
        <row r="38">
          <cell r="C38" t="str">
            <v>joint torique Dim 49,5 x 3 mm (bloc de dosage à piston)</v>
          </cell>
        </row>
        <row r="39">
          <cell r="C39" t="str">
            <v>joint torique Dim 35 x 2,5 mm (tubes de distribution sauce)</v>
          </cell>
        </row>
        <row r="40">
          <cell r="C40" t="str">
            <v>joint torique Dim 18 x 2,5 mm (vérin pneumatique tête de dressage)</v>
          </cell>
        </row>
        <row r="41">
          <cell r="C41" t="str">
            <v>roulement axe trémie</v>
          </cell>
        </row>
        <row r="42">
          <cell r="C42" t="str">
            <v>Roulement support Trémie</v>
          </cell>
        </row>
        <row r="43">
          <cell r="C43" t="str">
            <v>joint spi (roulement axe melangeur trémie)</v>
          </cell>
        </row>
        <row r="44">
          <cell r="C44" t="str">
            <v>vérin iso double effet (tête de dosage)</v>
          </cell>
        </row>
        <row r="45">
          <cell r="C45" t="str">
            <v>vérin iso double effet (tête de dosage)</v>
          </cell>
        </row>
        <row r="46">
          <cell r="C46" t="str">
            <v>capot harting 16 poles</v>
          </cell>
        </row>
        <row r="47">
          <cell r="C47" t="str">
            <v>pince solidarisant les connecteurs</v>
          </cell>
        </row>
        <row r="48">
          <cell r="C48" t="str">
            <v>connecteurs 9 broches prise harting f</v>
          </cell>
        </row>
        <row r="49">
          <cell r="C49" t="str">
            <v>connecteurs 9 broches prise harting m</v>
          </cell>
        </row>
        <row r="50">
          <cell r="C50" t="str">
            <v>connecteur F HARTING HAN8 16A</v>
          </cell>
        </row>
        <row r="51">
          <cell r="C51" t="str">
            <v xml:space="preserve">connecteur M HARTING HAN8 16A </v>
          </cell>
        </row>
        <row r="52">
          <cell r="C52" t="str">
            <v xml:space="preserve">connecteur F HARTING HAN8 10A </v>
          </cell>
        </row>
        <row r="53">
          <cell r="C53" t="str">
            <v xml:space="preserve"> 'za&lt;W</v>
          </cell>
        </row>
        <row r="54">
          <cell r="C54" t="str">
            <v>équerre mal 1/8 T6</v>
          </cell>
        </row>
        <row r="55">
          <cell r="C55" t="str">
            <v>Vérin N25</v>
          </cell>
        </row>
        <row r="56">
          <cell r="C56" t="str">
            <v>Vérin N20</v>
          </cell>
        </row>
        <row r="57">
          <cell r="C57" t="str">
            <v>joint 30*52*7 RVS</v>
          </cell>
        </row>
        <row r="58">
          <cell r="C58" t="str">
            <v>vérin compact</v>
          </cell>
        </row>
        <row r="59">
          <cell r="C59" t="str">
            <v>Valve rotative</v>
          </cell>
        </row>
        <row r="60">
          <cell r="C60" t="str">
            <v>capteur ILS</v>
          </cell>
        </row>
        <row r="61">
          <cell r="C61" t="str">
            <v>Joint 1</v>
          </cell>
        </row>
        <row r="62">
          <cell r="C62" t="str">
            <v>Joint 2</v>
          </cell>
        </row>
        <row r="63">
          <cell r="C63" t="str">
            <v>joint 3</v>
          </cell>
        </row>
        <row r="64">
          <cell r="C64" t="str">
            <v>Joint 4</v>
          </cell>
        </row>
        <row r="65">
          <cell r="C65" t="str">
            <v>Distributeur 5/3</v>
          </cell>
        </row>
        <row r="66">
          <cell r="C66" t="str">
            <v>Distributeur 5/2</v>
          </cell>
        </row>
        <row r="67">
          <cell r="C67" t="str">
            <v>coupleur (Ø6mm) style staublî</v>
          </cell>
        </row>
        <row r="68">
          <cell r="C68" t="str">
            <v>Molette filetée plastique</v>
          </cell>
        </row>
        <row r="69">
          <cell r="C69" t="str">
            <v>LEVIER EASY-LOCK PRISE HARTING</v>
          </cell>
        </row>
        <row r="70">
          <cell r="C70" t="str">
            <v>afficheur rotation fouet WEST 6100+</v>
          </cell>
        </row>
        <row r="71">
          <cell r="C71" t="str">
            <v>Axe acier pour verin</v>
          </cell>
        </row>
        <row r="72">
          <cell r="C72" t="str">
            <v>Bague retenue 150L</v>
          </cell>
        </row>
        <row r="73">
          <cell r="C73" t="str">
            <v>bande de raclage 150 L</v>
          </cell>
        </row>
        <row r="74">
          <cell r="C74" t="str">
            <v xml:space="preserve">bande de raclage 80 L </v>
          </cell>
        </row>
        <row r="75">
          <cell r="C75" t="str">
            <v xml:space="preserve">Butée Arriere Batteur </v>
          </cell>
        </row>
        <row r="76">
          <cell r="C76" t="str">
            <v>Butée FDC presence cuve</v>
          </cell>
        </row>
        <row r="77">
          <cell r="C77" t="str">
            <v>Capot Prise Harting sortie coudée</v>
          </cell>
        </row>
        <row r="78">
          <cell r="C78" t="str">
            <v>Capteur de fin de course Telemecanique, NO/NF, 10 A, 240V, IP66</v>
          </cell>
        </row>
        <row r="79">
          <cell r="C79" t="str">
            <v>chariot alu + sous postes cuves 150L</v>
          </cell>
        </row>
        <row r="80">
          <cell r="C80" t="str">
            <v>Chariot Alu support des roulettes pour cuve 150 L</v>
          </cell>
        </row>
        <row r="81">
          <cell r="C81" t="str">
            <v>cicrclip Axe verin</v>
          </cell>
        </row>
        <row r="82">
          <cell r="C82" t="str">
            <v>Clapet anti-retour HR012 pompe hydraulique</v>
          </cell>
        </row>
        <row r="83">
          <cell r="C83" t="str">
            <v>Connecteur d'alimentation, Han A Series</v>
          </cell>
        </row>
        <row r="84">
          <cell r="C84" t="str">
            <v>Connecteur d'alimentation, Han B Series Entrée latérale,</v>
          </cell>
        </row>
        <row r="85">
          <cell r="C85" t="str">
            <v>Courroie d'entrainement</v>
          </cell>
        </row>
        <row r="86">
          <cell r="C86" t="str">
            <v>Electrodistributeur Hydraulique pour verins leve cuve</v>
          </cell>
        </row>
        <row r="87">
          <cell r="C87" t="str">
            <v>Fin de course Cablé (levée cuve)</v>
          </cell>
        </row>
        <row r="88">
          <cell r="C88" t="str">
            <v>fond de boitier en fonte d'aluminium</v>
          </cell>
        </row>
        <row r="89">
          <cell r="C89" t="str">
            <v>fouet pour cuve 150 l</v>
          </cell>
        </row>
        <row r="90">
          <cell r="C90" t="str">
            <v>fouet pour cuve 80 L</v>
          </cell>
        </row>
        <row r="91">
          <cell r="C91" t="str">
            <v>Glissiere de support (Queue d'arronde)</v>
          </cell>
        </row>
        <row r="92">
          <cell r="C92" t="str">
            <v>Grille tournante</v>
          </cell>
        </row>
        <row r="93">
          <cell r="C93" t="str">
            <v>huile fluide caloporteur</v>
          </cell>
        </row>
        <row r="94">
          <cell r="C94" t="str">
            <v>Huile Hydraulique Alimentaire Verins Batteurs</v>
          </cell>
        </row>
        <row r="95">
          <cell r="C95" t="str">
            <v xml:space="preserve">Insert Han E male 16 Contacts sur 2 Rangées,500 V 16A </v>
          </cell>
        </row>
        <row r="96">
          <cell r="C96" t="str">
            <v xml:space="preserve">Insert Han E Femelle 16 Contacts sur 2 Rangées,500 V 16A </v>
          </cell>
        </row>
        <row r="97">
          <cell r="C97" t="str">
            <v>Joint spi bras satelitte DIM: 50x80x10</v>
          </cell>
        </row>
        <row r="98">
          <cell r="C98" t="str">
            <v>joint suiffé (tresse 100% PTFE 12x12)</v>
          </cell>
        </row>
        <row r="99">
          <cell r="C99" t="str">
            <v xml:space="preserve">LEVIER EASY-LOCK PRISE HARTING </v>
          </cell>
        </row>
        <row r="100">
          <cell r="C100" t="str">
            <v>MODULE SECURITE ACOTOM COM3C 24V batteur 2</v>
          </cell>
        </row>
        <row r="101">
          <cell r="C101" t="str">
            <v>Potentiometre vitesse rotation BAT3</v>
          </cell>
        </row>
        <row r="102">
          <cell r="C102" t="str">
            <v>poussoir de FDC presence cuve</v>
          </cell>
        </row>
        <row r="103">
          <cell r="C103" t="str">
            <v>protection thermoplongeur modele 2077-99 (plastique/verre)</v>
          </cell>
        </row>
        <row r="104">
          <cell r="C104" t="str">
            <v>protection thermoplongeur modele 9622-01 (alu)</v>
          </cell>
        </row>
        <row r="105">
          <cell r="C105" t="str">
            <v>RELAIS STATIQUE chauffage de cuves batteur 1</v>
          </cell>
        </row>
        <row r="106">
          <cell r="C106" t="str">
            <v>Roulement à billes SKF 6207-2RS1, Rainure profonde, 35mmx72mm</v>
          </cell>
        </row>
        <row r="107">
          <cell r="C107" t="str">
            <v>Roulement à billes SKF 6208-2RS1, Rainure profonde, 40mmx80mm</v>
          </cell>
        </row>
        <row r="108">
          <cell r="C108" t="str">
            <v>Roulement capot grille</v>
          </cell>
        </row>
        <row r="109">
          <cell r="C109" t="str">
            <v>Roulettes pour cuves 80/100/150L</v>
          </cell>
        </row>
        <row r="110">
          <cell r="C110" t="str">
            <v>soupapes, 2882/d10c/s-ptfe</v>
          </cell>
        </row>
        <row r="111">
          <cell r="C111" t="str">
            <v>Tête + roulette Capteur de fin de course Telemecanique ZCKD21</v>
          </cell>
        </row>
        <row r="112">
          <cell r="C112" t="str">
            <v>tête de fouet</v>
          </cell>
        </row>
        <row r="113">
          <cell r="C113" t="str">
            <v>Verin hydraulique montée cuve L=735</v>
          </cell>
        </row>
        <row r="114">
          <cell r="C114" t="str">
            <v>protection facade pour afficheur rotation fouet WEST 6100+</v>
          </cell>
        </row>
        <row r="115">
          <cell r="C115" t="str">
            <v>Thermostat de sécurité</v>
          </cell>
        </row>
        <row r="116">
          <cell r="C116" t="str">
            <v>embase connecteur 16pts</v>
          </cell>
        </row>
      </sheetData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>
        <row r="5">
          <cell r="E5" t="str">
            <v>E/S</v>
          </cell>
        </row>
      </sheetData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>
        <row r="5">
          <cell r="E5" t="str">
            <v>E/S</v>
          </cell>
        </row>
      </sheetData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A47A514-1B37-484C-8AFA-C4E8C1789752}" name="Tableau113" displayName="Tableau113" ref="B1:K544" totalsRowShown="0" headerRowDxfId="1152" headerRowBorderDxfId="1151" tableBorderDxfId="1150">
  <autoFilter ref="B1:K544" xr:uid="{BA49F64D-735A-4E8B-BFD5-C1A4DE274318}"/>
  <tableColumns count="10">
    <tableColumn id="1" xr3:uid="{EC77D3EC-9263-46D2-84DC-D32751180C79}" name="système" dataDxfId="1149"/>
    <tableColumn id="2" xr3:uid="{0F96F5A8-7EE4-4BB9-8495-A40B345749A1}" name="désignation" dataDxfId="1148"/>
    <tableColumn id="3" xr3:uid="{0AD314D3-25C5-487A-BDC0-5FB82BBBEF2F}" name="référence" dataDxfId="1147"/>
    <tableColumn id="4" xr3:uid="{9701CABD-3F07-477F-952D-102798EB65F2}" name="fournisseur" dataDxfId="1146"/>
    <tableColumn id="5" xr3:uid="{C7ED7852-932C-4AB0-8C55-424D7A71A131}" name="stock " dataDxfId="1145"/>
    <tableColumn id="6" xr3:uid="{DA868802-CF34-4EEB-B3FD-17625E1509E9}" name="stock ini" dataDxfId="1144"/>
    <tableColumn id="7" xr3:uid="{48ECBB73-B2EC-4D9B-9183-6CB4630D8AE9}" name="seuil " dataDxfId="1143"/>
    <tableColumn id="8" xr3:uid="{DA933F94-CDB8-4E05-AEB3-7054E4044606}" name="alerte stock" dataDxfId="1142">
      <calculatedColumnFormula>IF(F2&lt;H2,"/!\","-")</calculatedColumnFormula>
    </tableColumn>
    <tableColumn id="9" xr3:uid="{2D60E5C3-3DFE-4069-B75A-C4E12C3E444D}" name="prix HT unité" dataDxfId="1141"/>
    <tableColumn id="10" xr3:uid="{705E58AD-00A0-467C-BEFC-BF22BE9B3FF7}" name="prix tot" dataDxfId="1140">
      <calculatedColumnFormula>F2*J2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sav@espera.fr" TargetMode="External"/><Relationship Id="rId7" Type="http://schemas.openxmlformats.org/officeDocument/2006/relationships/hyperlink" Target="mailto:sav@espera.fr" TargetMode="External"/><Relationship Id="rId2" Type="http://schemas.openxmlformats.org/officeDocument/2006/relationships/hyperlink" Target="mailto:sav@espera.fr" TargetMode="External"/><Relationship Id="rId1" Type="http://schemas.openxmlformats.org/officeDocument/2006/relationships/hyperlink" Target="mailto:sav@espera.fr" TargetMode="External"/><Relationship Id="rId6" Type="http://schemas.openxmlformats.org/officeDocument/2006/relationships/hyperlink" Target="mailto:sav@espera.fr" TargetMode="External"/><Relationship Id="rId5" Type="http://schemas.openxmlformats.org/officeDocument/2006/relationships/hyperlink" Target="mailto:sav@espera.fr" TargetMode="External"/><Relationship Id="rId4" Type="http://schemas.openxmlformats.org/officeDocument/2006/relationships/hyperlink" Target="mailto:sav@espera.fr" TargetMode="External"/><Relationship Id="rId9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av@espera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R562"/>
  <sheetViews>
    <sheetView tabSelected="1" topLeftCell="F1" zoomScale="88" zoomScaleNormal="88" workbookViewId="0">
      <selection activeCell="H23" sqref="H23"/>
    </sheetView>
  </sheetViews>
  <sheetFormatPr baseColWidth="10" defaultRowHeight="15" x14ac:dyDescent="0.25"/>
  <cols>
    <col min="2" max="2" width="25.42578125" customWidth="1"/>
    <col min="3" max="3" width="65.28515625" customWidth="1"/>
    <col min="4" max="4" width="44" customWidth="1"/>
    <col min="5" max="5" width="17.28515625" customWidth="1"/>
    <col min="6" max="6" width="25.140625" customWidth="1"/>
    <col min="7" max="7" width="36.28515625" customWidth="1"/>
    <col min="8" max="8" width="29.28515625" customWidth="1"/>
    <col min="9" max="9" width="30" customWidth="1"/>
    <col min="10" max="10" width="16.7109375" customWidth="1"/>
    <col min="11" max="11" width="20.28515625" customWidth="1"/>
  </cols>
  <sheetData>
    <row r="1" spans="1:44" ht="15.75" thickBot="1" x14ac:dyDescent="0.3">
      <c r="A1" s="30"/>
      <c r="B1" s="31" t="s">
        <v>12</v>
      </c>
      <c r="C1" s="31" t="s">
        <v>0</v>
      </c>
      <c r="D1" s="31" t="s">
        <v>1</v>
      </c>
      <c r="E1" s="31" t="s">
        <v>2</v>
      </c>
      <c r="F1" s="31" t="s">
        <v>13</v>
      </c>
      <c r="G1" s="31" t="s">
        <v>14</v>
      </c>
      <c r="H1" s="31" t="s">
        <v>15</v>
      </c>
      <c r="I1" s="31" t="s">
        <v>16</v>
      </c>
      <c r="J1" s="31" t="s">
        <v>17</v>
      </c>
      <c r="K1" s="32" t="s">
        <v>18</v>
      </c>
      <c r="L1" s="30"/>
      <c r="M1" s="3" t="s">
        <v>19</v>
      </c>
      <c r="N1" s="30"/>
      <c r="O1" s="30"/>
      <c r="P1" s="30"/>
      <c r="Q1" s="30"/>
      <c r="R1" s="30"/>
      <c r="S1" s="30" t="s">
        <v>49</v>
      </c>
      <c r="T1" s="26"/>
      <c r="U1" s="26"/>
      <c r="V1" s="26"/>
      <c r="W1" s="26"/>
      <c r="X1" s="26"/>
      <c r="Y1" s="26"/>
      <c r="Z1" s="26"/>
      <c r="AA1" s="26"/>
      <c r="AB1" s="26"/>
      <c r="AC1" s="26"/>
      <c r="AD1" s="26"/>
      <c r="AE1" s="26"/>
      <c r="AF1" s="26"/>
      <c r="AG1" s="26"/>
      <c r="AH1" s="26"/>
      <c r="AI1" s="26"/>
      <c r="AJ1" s="26"/>
      <c r="AK1" s="26"/>
      <c r="AL1" s="26"/>
      <c r="AM1" s="26"/>
      <c r="AN1" s="26"/>
      <c r="AO1" s="26"/>
      <c r="AP1" s="26"/>
      <c r="AQ1" s="26"/>
      <c r="AR1" s="26"/>
    </row>
    <row r="2" spans="1:44" ht="15.75" x14ac:dyDescent="0.25">
      <c r="A2" s="30"/>
      <c r="B2" s="33" t="s">
        <v>23</v>
      </c>
      <c r="C2" s="4" t="s">
        <v>20</v>
      </c>
      <c r="D2" s="5" t="s">
        <v>21</v>
      </c>
      <c r="E2" s="6" t="s">
        <v>22</v>
      </c>
      <c r="F2" s="7" t="e">
        <f>G2+SUMIFS([1]commande!G:G,[1]commande!E:E,"=Kit joint venturi pour adoucisseur ECOWATER modèle R46 5.1",[1]commande!I:I,"=oui")+SUMIF('[1]mouvement autoclave'!B:B,"=Kit joint venturi pour adoucisseur ECOWATER modèle R46 5.1",'[1]mouvement autoclave'!G:G)</f>
        <v>#VALUE!</v>
      </c>
      <c r="G2" s="8">
        <v>0</v>
      </c>
      <c r="H2" s="9">
        <v>1</v>
      </c>
      <c r="I2" s="1" t="e">
        <f>IF(F2&lt;H2,"/!\","-")</f>
        <v>#VALUE!</v>
      </c>
      <c r="J2" s="11">
        <v>16.3</v>
      </c>
      <c r="K2" s="12" t="e">
        <f>F2*J2</f>
        <v>#VALUE!</v>
      </c>
      <c r="L2" s="30"/>
      <c r="M2" s="3" t="e">
        <f>SUM(Tableau113[[#This Row],[prix tot]])</f>
        <v>#VALUE!</v>
      </c>
      <c r="N2" s="30"/>
      <c r="O2" s="30"/>
      <c r="P2" s="30"/>
      <c r="Q2" s="30"/>
      <c r="R2" s="30"/>
      <c r="S2" s="30">
        <v>1</v>
      </c>
      <c r="T2" s="26"/>
      <c r="U2" s="26"/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6"/>
      <c r="AJ2" s="26"/>
      <c r="AK2" s="26"/>
      <c r="AL2" s="26"/>
      <c r="AM2" s="26"/>
      <c r="AN2" s="26"/>
      <c r="AO2" s="26"/>
      <c r="AP2" s="26"/>
      <c r="AQ2" s="26"/>
      <c r="AR2" s="26"/>
    </row>
    <row r="3" spans="1:44" ht="15.75" x14ac:dyDescent="0.25">
      <c r="A3" s="30"/>
      <c r="B3" s="13" t="s">
        <v>23</v>
      </c>
      <c r="C3" s="14" t="s">
        <v>24</v>
      </c>
      <c r="D3" s="5" t="s">
        <v>25</v>
      </c>
      <c r="E3" s="15" t="s">
        <v>26</v>
      </c>
      <c r="F3" s="7" t="e">
        <f>G3+SUMIFS([1]commande!G:G,[1]commande!E:E,"=capteur de proximité",[1]commande!I:I,"=oui")+SUMIF('[1]mouvement autoclave'!B:B,"=capteur de proximité",'[1]mouvement autoclave'!G:G)</f>
        <v>#VALUE!</v>
      </c>
      <c r="G3" s="7">
        <v>1</v>
      </c>
      <c r="H3" s="6">
        <v>1</v>
      </c>
      <c r="I3" s="2" t="e">
        <f>IF(F3&lt;H3,"/!\","-")</f>
        <v>#VALUE!</v>
      </c>
      <c r="J3" s="16">
        <v>36</v>
      </c>
      <c r="K3" s="17" t="e">
        <f>F3*J3</f>
        <v>#VALUE!</v>
      </c>
      <c r="L3" s="30"/>
      <c r="M3" s="30"/>
      <c r="N3" s="30"/>
      <c r="O3" s="30"/>
      <c r="P3" s="30"/>
      <c r="Q3" s="30"/>
      <c r="R3" s="30"/>
      <c r="S3" s="30">
        <v>1</v>
      </c>
      <c r="T3" s="26"/>
      <c r="U3" s="26"/>
      <c r="V3" s="26"/>
      <c r="W3" s="26"/>
      <c r="X3" s="26"/>
      <c r="Y3" s="26"/>
      <c r="Z3" s="26"/>
      <c r="AA3" s="26"/>
      <c r="AB3" s="26"/>
      <c r="AC3" s="26"/>
      <c r="AD3" s="26"/>
      <c r="AE3" s="26"/>
      <c r="AF3" s="26"/>
      <c r="AG3" s="26"/>
      <c r="AH3" s="26"/>
      <c r="AI3" s="26"/>
      <c r="AJ3" s="26"/>
      <c r="AK3" s="26"/>
      <c r="AL3" s="26"/>
      <c r="AM3" s="26"/>
      <c r="AN3" s="26"/>
      <c r="AO3" s="26"/>
      <c r="AP3" s="26"/>
      <c r="AQ3" s="26"/>
      <c r="AR3" s="26"/>
    </row>
    <row r="4" spans="1:44" ht="15.75" x14ac:dyDescent="0.25">
      <c r="A4" s="30"/>
      <c r="B4" s="13" t="s">
        <v>23</v>
      </c>
      <c r="C4" s="14" t="s">
        <v>27</v>
      </c>
      <c r="D4" s="5" t="s">
        <v>28</v>
      </c>
      <c r="E4" s="15" t="s">
        <v>26</v>
      </c>
      <c r="F4" s="7" t="e">
        <f>G4+SUMIFS([1]commande!G:G,[1]commande!E:E,"=capteur magnétique",[1]commande!I:I,"=oui")+SUMIF('[1]mouvement autoclave'!B:B,"=capteur magnétique",'[1]mouvement autoclave'!G:G)</f>
        <v>#VALUE!</v>
      </c>
      <c r="G4" s="7">
        <v>1</v>
      </c>
      <c r="H4" s="6">
        <v>1</v>
      </c>
      <c r="I4" s="2" t="e">
        <f t="shared" ref="I4:I24" si="0">IF(F4&lt;H4,"/!\","-")</f>
        <v>#VALUE!</v>
      </c>
      <c r="J4" s="16">
        <v>36</v>
      </c>
      <c r="K4" s="17" t="e">
        <f t="shared" ref="K4:K24" si="1">F4*J4</f>
        <v>#VALUE!</v>
      </c>
      <c r="L4" s="30"/>
      <c r="M4" s="30"/>
      <c r="N4" s="30"/>
      <c r="O4" s="30"/>
      <c r="P4" s="30"/>
      <c r="Q4" s="30"/>
      <c r="R4" s="30"/>
      <c r="S4" s="30">
        <v>1</v>
      </c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  <c r="AI4" s="26"/>
      <c r="AJ4" s="26"/>
      <c r="AK4" s="26"/>
      <c r="AL4" s="26"/>
      <c r="AM4" s="26"/>
      <c r="AN4" s="26"/>
      <c r="AO4" s="26"/>
      <c r="AP4" s="26"/>
      <c r="AQ4" s="26"/>
      <c r="AR4" s="26"/>
    </row>
    <row r="5" spans="1:44" ht="15.75" x14ac:dyDescent="0.25">
      <c r="A5" s="30"/>
      <c r="B5" s="13" t="s">
        <v>23</v>
      </c>
      <c r="C5" s="4" t="s">
        <v>29</v>
      </c>
      <c r="D5" s="5" t="s">
        <v>30</v>
      </c>
      <c r="E5" s="34" t="s">
        <v>31</v>
      </c>
      <c r="F5" s="7" t="e">
        <f>G5+SUMIFS([1]commande!G:G,[1]commande!E:E,"=corps d'electrovanne sécurité gaz",[1]commande!I:I,"=oui")+SUMIF('[1]mouvement autoclave'!B:B,"=corps d'electrovanne sécurité gaz")</f>
        <v>#VALUE!</v>
      </c>
      <c r="G5" s="7">
        <v>1</v>
      </c>
      <c r="H5" s="6">
        <v>1</v>
      </c>
      <c r="I5" s="2" t="e">
        <f t="shared" si="0"/>
        <v>#VALUE!</v>
      </c>
      <c r="J5" s="16">
        <v>170</v>
      </c>
      <c r="K5" s="17" t="e">
        <f t="shared" si="1"/>
        <v>#VALUE!</v>
      </c>
      <c r="L5" s="30"/>
      <c r="M5" s="30"/>
      <c r="N5" s="30"/>
      <c r="O5" s="30"/>
      <c r="P5" s="30"/>
      <c r="Q5" s="30"/>
      <c r="R5" s="30"/>
      <c r="S5" s="30">
        <v>0</v>
      </c>
      <c r="T5" s="26"/>
      <c r="U5" s="26"/>
      <c r="V5" s="26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I5" s="26"/>
      <c r="AJ5" s="26"/>
      <c r="AK5" s="26"/>
      <c r="AL5" s="26"/>
      <c r="AM5" s="26"/>
      <c r="AN5" s="26"/>
      <c r="AO5" s="26"/>
      <c r="AP5" s="26"/>
      <c r="AQ5" s="26"/>
      <c r="AR5" s="26"/>
    </row>
    <row r="6" spans="1:44" ht="15.75" x14ac:dyDescent="0.25">
      <c r="A6" s="30"/>
      <c r="B6" s="13" t="s">
        <v>23</v>
      </c>
      <c r="C6" s="14" t="s">
        <v>32</v>
      </c>
      <c r="D6" s="5" t="s">
        <v>33</v>
      </c>
      <c r="E6" s="15" t="s">
        <v>26</v>
      </c>
      <c r="F6" s="7" t="e">
        <f>G6+SUMIFS([1]commande!G:G,[1]commande!E:E,"=disjoncteur 0,5",[1]commande!I:I,"=oui")+SUMIF('[1]mouvement autoclave'!B:B,"=disjoncteur 0,5",'[1]mouvement autoclave'!G:G)</f>
        <v>#VALUE!</v>
      </c>
      <c r="G6" s="7">
        <v>1</v>
      </c>
      <c r="H6" s="6">
        <v>0</v>
      </c>
      <c r="I6" s="2" t="e">
        <f t="shared" si="0"/>
        <v>#VALUE!</v>
      </c>
      <c r="J6" s="16">
        <v>18.53</v>
      </c>
      <c r="K6" s="17" t="e">
        <f t="shared" si="1"/>
        <v>#VALUE!</v>
      </c>
      <c r="L6" s="30"/>
      <c r="M6" s="30"/>
      <c r="N6" s="30"/>
      <c r="O6" s="30"/>
      <c r="P6" s="30"/>
      <c r="Q6" s="30"/>
      <c r="R6" s="30"/>
      <c r="S6" s="30">
        <v>1</v>
      </c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</row>
    <row r="7" spans="1:44" ht="15.75" x14ac:dyDescent="0.25">
      <c r="A7" s="30"/>
      <c r="B7" s="13" t="s">
        <v>23</v>
      </c>
      <c r="C7" s="18" t="s">
        <v>34</v>
      </c>
      <c r="D7" s="5" t="s">
        <v>35</v>
      </c>
      <c r="E7" s="19" t="s">
        <v>35</v>
      </c>
      <c r="F7" s="7" t="e">
        <f>G7+SUMIFS([1]commande!G:G,[1]commande!E:E,"=filtres 100 microns cintropur",[1]commande!I:I,"=oui")+SUMIF('[1]mouvement autoclave'!B:B,"=filtres 100 microns cintropur",'[1]mouvement autoclave'!G:G)</f>
        <v>#VALUE!</v>
      </c>
      <c r="G7" s="7">
        <v>0</v>
      </c>
      <c r="H7" s="20">
        <v>1</v>
      </c>
      <c r="I7" s="2" t="e">
        <f t="shared" si="0"/>
        <v>#VALUE!</v>
      </c>
      <c r="J7" s="21">
        <v>5</v>
      </c>
      <c r="K7" s="17" t="e">
        <f t="shared" si="1"/>
        <v>#VALUE!</v>
      </c>
      <c r="L7" s="30"/>
      <c r="M7" s="30"/>
      <c r="N7" s="30"/>
      <c r="O7" s="30"/>
      <c r="P7" s="30"/>
      <c r="Q7" s="30"/>
      <c r="R7" s="30"/>
      <c r="S7" s="30">
        <v>1</v>
      </c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  <c r="AL7" s="26"/>
      <c r="AM7" s="26"/>
      <c r="AN7" s="26"/>
      <c r="AO7" s="26"/>
      <c r="AP7" s="26"/>
      <c r="AQ7" s="26"/>
      <c r="AR7" s="26"/>
    </row>
    <row r="8" spans="1:44" ht="15.75" x14ac:dyDescent="0.25">
      <c r="A8" s="30"/>
      <c r="B8" s="13" t="s">
        <v>23</v>
      </c>
      <c r="C8" s="18" t="s">
        <v>36</v>
      </c>
      <c r="D8" s="5">
        <v>96488302</v>
      </c>
      <c r="E8" s="19" t="s">
        <v>37</v>
      </c>
      <c r="F8" s="7" t="e">
        <f>G8+SUMIFS([1]commande!G:G,[1]commande!E:E,"=garniture type BAQE pour pompe 11Kw",[1]commande!I:I,"=oui")+SUMIF('[1]mouvement autoclave'!B:B,"=garniture type BAQE pour pompe 11Kw",'[1]mouvement autoclave'!G:G)</f>
        <v>#VALUE!</v>
      </c>
      <c r="G8" s="7">
        <v>1</v>
      </c>
      <c r="H8" s="20">
        <v>1</v>
      </c>
      <c r="I8" s="2" t="e">
        <f t="shared" si="0"/>
        <v>#VALUE!</v>
      </c>
      <c r="J8" s="21">
        <v>161</v>
      </c>
      <c r="K8" s="17" t="e">
        <f t="shared" si="1"/>
        <v>#VALUE!</v>
      </c>
      <c r="L8" s="30"/>
      <c r="M8" s="30"/>
      <c r="N8" s="30"/>
      <c r="O8" s="30"/>
      <c r="P8" s="30"/>
      <c r="Q8" s="30"/>
      <c r="R8" s="30"/>
      <c r="S8" s="30">
        <v>1</v>
      </c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</row>
    <row r="9" spans="1:44" ht="15.75" x14ac:dyDescent="0.25">
      <c r="A9" s="30"/>
      <c r="B9" s="13" t="s">
        <v>23</v>
      </c>
      <c r="C9" s="14" t="s">
        <v>38</v>
      </c>
      <c r="D9" s="5">
        <v>97757659</v>
      </c>
      <c r="E9" s="34" t="s">
        <v>39</v>
      </c>
      <c r="F9" s="7" t="e">
        <f>G9+SUMIFS([1]commande!G:G,[1]commande!E:E,"=NB joint de corps pompe 11Kw",[1]commande!I:I,"=oui")+SUMIF('[1]mouvement autoclave'!B:B,"=NB joint de corps pompe 11Kw",'[1]mouvement autoclave'!G:G)</f>
        <v>#VALUE!</v>
      </c>
      <c r="G9" s="7">
        <v>2</v>
      </c>
      <c r="H9" s="6">
        <v>1</v>
      </c>
      <c r="I9" s="2" t="e">
        <f t="shared" si="0"/>
        <v>#VALUE!</v>
      </c>
      <c r="J9" s="16">
        <v>75.459999999999994</v>
      </c>
      <c r="K9" s="17" t="e">
        <f t="shared" si="1"/>
        <v>#VALUE!</v>
      </c>
      <c r="L9" s="30"/>
      <c r="M9" s="30"/>
      <c r="N9" s="30"/>
      <c r="O9" s="30"/>
      <c r="P9" s="30"/>
      <c r="Q9" s="30"/>
      <c r="R9" s="30"/>
      <c r="S9" s="30">
        <v>1</v>
      </c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</row>
    <row r="10" spans="1:44" ht="15.75" x14ac:dyDescent="0.25">
      <c r="A10" s="30"/>
      <c r="B10" s="13" t="s">
        <v>23</v>
      </c>
      <c r="C10" s="22" t="s">
        <v>40</v>
      </c>
      <c r="D10" s="23" t="s">
        <v>41</v>
      </c>
      <c r="E10" s="24" t="s">
        <v>42</v>
      </c>
      <c r="F10" s="7" t="e">
        <f>G10+SUMIFS([1]commande!G:G,[1]commande!E:E,"=I.H.M autoclave",[1]commande!I:I,"=oui")+SUMIF('[1]mouvement autoclave'!B:B,"=I.H.M autoclave",'[1]mouvement autoclave'!G:G)</f>
        <v>#VALUE!</v>
      </c>
      <c r="G10" s="25">
        <v>1</v>
      </c>
      <c r="H10" s="25">
        <v>1</v>
      </c>
      <c r="I10" s="2" t="e">
        <f t="shared" si="0"/>
        <v>#VALUE!</v>
      </c>
      <c r="J10" s="16">
        <v>1995</v>
      </c>
      <c r="K10" s="17" t="e">
        <f t="shared" si="1"/>
        <v>#VALUE!</v>
      </c>
      <c r="L10" s="30"/>
      <c r="M10" s="30"/>
      <c r="N10" s="30"/>
      <c r="O10" s="30"/>
      <c r="P10" s="30"/>
      <c r="Q10" s="30"/>
      <c r="R10" s="30"/>
      <c r="S10" s="30">
        <v>1</v>
      </c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  <c r="AM10" s="26"/>
      <c r="AN10" s="26"/>
      <c r="AO10" s="26"/>
      <c r="AP10" s="26"/>
      <c r="AQ10" s="26"/>
      <c r="AR10" s="26"/>
    </row>
    <row r="11" spans="1:44" ht="15.75" x14ac:dyDescent="0.25">
      <c r="A11" s="30"/>
      <c r="B11" s="13" t="s">
        <v>23</v>
      </c>
      <c r="C11" s="14" t="s">
        <v>43</v>
      </c>
      <c r="D11" s="5" t="s">
        <v>44</v>
      </c>
      <c r="E11" s="15" t="s">
        <v>26</v>
      </c>
      <c r="F11" s="7" t="e">
        <f>G11+SUMIFS([1]commande!G:G,[1]commande!E:E,"=interrupteur de sécurité",[1]commande!I:I,"=oui")+SUMIF('[1]mouvement autoclave'!B:B,"=interrupteur de sécurité",'[1]mouvement autoclave'!G:G)</f>
        <v>#VALUE!</v>
      </c>
      <c r="G11" s="7">
        <v>1</v>
      </c>
      <c r="H11" s="6">
        <v>1</v>
      </c>
      <c r="I11" s="2" t="e">
        <f t="shared" si="0"/>
        <v>#VALUE!</v>
      </c>
      <c r="J11" s="16">
        <v>192.91</v>
      </c>
      <c r="K11" s="17" t="e">
        <f t="shared" si="1"/>
        <v>#VALUE!</v>
      </c>
      <c r="L11" s="30"/>
      <c r="M11" s="30"/>
      <c r="N11" s="30"/>
      <c r="O11" s="30"/>
      <c r="P11" s="30"/>
      <c r="Q11" s="30"/>
      <c r="R11" s="30"/>
      <c r="S11" s="30">
        <v>0</v>
      </c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</row>
    <row r="12" spans="1:44" ht="14.45" customHeight="1" x14ac:dyDescent="0.25">
      <c r="A12" s="30"/>
      <c r="B12" s="13" t="s">
        <v>23</v>
      </c>
      <c r="C12" s="14" t="s">
        <v>45</v>
      </c>
      <c r="D12" s="5" t="s">
        <v>46</v>
      </c>
      <c r="E12" s="15" t="s">
        <v>42</v>
      </c>
      <c r="F12" s="7" t="e">
        <f>G12+SUMIFS([1]commande!G:G,[1]commande!E:E,"=joint de porte 1300 mm",[1]commande!I:I,"=oui")+SUMIF('[1]mouvement autoclave'!B:B,"=joint de porte 1300 mm",'[1]mouvement autoclave'!G:G)</f>
        <v>#VALUE!</v>
      </c>
      <c r="G12" s="7">
        <v>2</v>
      </c>
      <c r="H12" s="6">
        <v>1</v>
      </c>
      <c r="I12" s="2" t="e">
        <f t="shared" si="0"/>
        <v>#VALUE!</v>
      </c>
      <c r="J12" s="16">
        <v>159.6</v>
      </c>
      <c r="K12" s="17" t="e">
        <f t="shared" si="1"/>
        <v>#VALUE!</v>
      </c>
      <c r="L12" s="30"/>
      <c r="M12" s="30"/>
      <c r="N12" s="30"/>
      <c r="O12" s="30"/>
      <c r="P12" s="30"/>
      <c r="Q12" s="30"/>
      <c r="R12" s="30"/>
      <c r="S12" s="30">
        <v>0</v>
      </c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6"/>
      <c r="AQ12" s="26"/>
      <c r="AR12" s="26"/>
    </row>
    <row r="13" spans="1:44" ht="14.45" customHeight="1" x14ac:dyDescent="0.25">
      <c r="A13" s="30"/>
      <c r="B13" s="13" t="s">
        <v>23</v>
      </c>
      <c r="C13" s="14" t="s">
        <v>47</v>
      </c>
      <c r="D13" s="5" t="s">
        <v>48</v>
      </c>
      <c r="E13" s="15" t="s">
        <v>26</v>
      </c>
      <c r="F13" s="7" t="e">
        <f>G13+SUMIFS([1]commande!G:G,[1]commande!E:E,"=lampe 24v(ampoules)",[1]commande!I:I,"=oui")+SUMIF('[1]mouvement autoclave'!B:B,"=lampe 24v(ampoules)",'[1]mouvement autoclave'!G:G)</f>
        <v>#VALUE!</v>
      </c>
      <c r="G13" s="7">
        <v>0</v>
      </c>
      <c r="H13" s="6">
        <v>2</v>
      </c>
      <c r="I13" s="2" t="e">
        <f t="shared" si="0"/>
        <v>#VALUE!</v>
      </c>
      <c r="J13" s="16">
        <v>3.24</v>
      </c>
      <c r="K13" s="17" t="e">
        <f t="shared" si="1"/>
        <v>#VALUE!</v>
      </c>
      <c r="L13" s="30"/>
      <c r="M13" s="30"/>
      <c r="N13" s="30"/>
      <c r="O13" s="30"/>
      <c r="P13" s="30"/>
      <c r="Q13" s="30"/>
      <c r="R13" s="30"/>
      <c r="S13" s="30">
        <v>0</v>
      </c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</row>
    <row r="14" spans="1:44" ht="15" customHeight="1" x14ac:dyDescent="0.25">
      <c r="A14" s="30"/>
      <c r="B14" s="13" t="s">
        <v>23</v>
      </c>
      <c r="C14" s="14" t="s">
        <v>50</v>
      </c>
      <c r="D14" s="5" t="s">
        <v>51</v>
      </c>
      <c r="E14" s="15" t="s">
        <v>26</v>
      </c>
      <c r="F14" s="7" t="e">
        <f>G14+SUMIFS([1]commande!G:G,[1]commande!E:E,"=manomètre 0-6 bar G1/2 100mm",[1]commande!I:I,"=oui")+SUMIF('[1]mouvement autoclave'!B:B,"=manomètre 0-6 bar G1/2 100mm",'[1]mouvement autoclave'!G:G)</f>
        <v>#VALUE!</v>
      </c>
      <c r="G14" s="7">
        <v>1</v>
      </c>
      <c r="H14" s="6">
        <v>1</v>
      </c>
      <c r="I14" s="2" t="e">
        <f t="shared" si="0"/>
        <v>#VALUE!</v>
      </c>
      <c r="J14" s="16">
        <v>81.99</v>
      </c>
      <c r="K14" s="17" t="e">
        <f t="shared" si="1"/>
        <v>#VALUE!</v>
      </c>
      <c r="L14" s="30"/>
      <c r="M14" s="30"/>
      <c r="N14" s="30"/>
      <c r="O14" s="30"/>
      <c r="P14" s="30"/>
      <c r="Q14" s="30"/>
      <c r="R14" s="30"/>
      <c r="S14" s="30">
        <v>1</v>
      </c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</row>
    <row r="15" spans="1:44" ht="14.45" customHeight="1" x14ac:dyDescent="0.25">
      <c r="A15" s="30"/>
      <c r="B15" s="13" t="s">
        <v>23</v>
      </c>
      <c r="C15" s="14" t="s">
        <v>52</v>
      </c>
      <c r="D15" s="5" t="s">
        <v>53</v>
      </c>
      <c r="E15" s="15" t="s">
        <v>39</v>
      </c>
      <c r="F15" s="7" t="e">
        <f>G15+SUMIFS([1]commande!G:G,[1]commande!E:E,"=module d'ouverture progressif",[1]commande!I:I,"=oui")+SUMIF('[1]mouvement autoclave'!B:B,"=module d'ouverture progressif",'[1]mouvement autoclave'!G:G)</f>
        <v>#VALUE!</v>
      </c>
      <c r="G15" s="7">
        <v>0</v>
      </c>
      <c r="H15" s="6">
        <v>1</v>
      </c>
      <c r="I15" s="2" t="e">
        <f t="shared" si="0"/>
        <v>#VALUE!</v>
      </c>
      <c r="J15" s="16">
        <v>320</v>
      </c>
      <c r="K15" s="17" t="e">
        <f t="shared" si="1"/>
        <v>#VALUE!</v>
      </c>
      <c r="L15" s="30"/>
      <c r="M15" s="30"/>
      <c r="N15" s="30"/>
      <c r="O15" s="30"/>
      <c r="P15" s="30"/>
      <c r="Q15" s="30"/>
      <c r="R15" s="30"/>
      <c r="S15" s="30">
        <v>0</v>
      </c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6"/>
    </row>
    <row r="16" spans="1:44" ht="14.45" customHeight="1" x14ac:dyDescent="0.25">
      <c r="A16" s="30"/>
      <c r="B16" s="13" t="s">
        <v>23</v>
      </c>
      <c r="C16" s="14" t="s">
        <v>54</v>
      </c>
      <c r="D16" s="5" t="s">
        <v>55</v>
      </c>
      <c r="E16" s="15" t="s">
        <v>26</v>
      </c>
      <c r="F16" s="7" t="e">
        <f>G16+SUMIFS([1]commande!G:G,[1]commande!E:E,"=Pile chlorure de thionyle 3,6V 2400mAh",[1]commande!I:I,"=oui")+SUMIF('[1]mouvement autoclave'!B:B,"=Pile chlorure de thionyle 3,6V 2400mAh",'[1]mouvement autoclave'!G:G)</f>
        <v>#VALUE!</v>
      </c>
      <c r="G16" s="7">
        <v>0</v>
      </c>
      <c r="H16" s="6">
        <v>2</v>
      </c>
      <c r="I16" s="2" t="e">
        <f t="shared" si="0"/>
        <v>#VALUE!</v>
      </c>
      <c r="J16" s="16">
        <v>7.32</v>
      </c>
      <c r="K16" s="17" t="e">
        <f t="shared" si="1"/>
        <v>#VALUE!</v>
      </c>
      <c r="L16" s="30"/>
      <c r="M16" s="30"/>
      <c r="N16" s="30"/>
      <c r="O16" s="30"/>
      <c r="P16" s="30"/>
      <c r="Q16" s="30"/>
      <c r="R16" s="30"/>
      <c r="S16" s="30">
        <v>1</v>
      </c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  <c r="AM16" s="26"/>
      <c r="AN16" s="26"/>
      <c r="AO16" s="26"/>
      <c r="AP16" s="26"/>
      <c r="AQ16" s="26"/>
      <c r="AR16" s="26"/>
    </row>
    <row r="17" spans="1:44" ht="14.45" customHeight="1" x14ac:dyDescent="0.25">
      <c r="A17" s="30"/>
      <c r="B17" s="13" t="s">
        <v>23</v>
      </c>
      <c r="C17" s="14" t="s">
        <v>56</v>
      </c>
      <c r="D17" s="6" t="s">
        <v>57</v>
      </c>
      <c r="E17" s="15" t="s">
        <v>39</v>
      </c>
      <c r="F17" s="7" t="e">
        <f>G17+SUMIFS([1]commande!G:G,[1]commande!E:E,"=vanne de proces dn 32 pn 25",[1]commande!I:I,"=oui")+SUMIF('[1]mouvement autoclave'!B:B,"=vanne de proces dn 32 pn 25",'[1]mouvement autoclave'!G:G)</f>
        <v>#VALUE!</v>
      </c>
      <c r="G17" s="7">
        <v>1</v>
      </c>
      <c r="H17" s="6">
        <v>1</v>
      </c>
      <c r="I17" s="2" t="e">
        <f t="shared" si="0"/>
        <v>#VALUE!</v>
      </c>
      <c r="J17" s="16">
        <v>550</v>
      </c>
      <c r="K17" s="17" t="e">
        <f t="shared" si="1"/>
        <v>#VALUE!</v>
      </c>
      <c r="L17" s="30"/>
      <c r="M17" s="30"/>
      <c r="N17" s="30"/>
      <c r="O17" s="30"/>
      <c r="P17" s="30"/>
      <c r="Q17" s="30"/>
      <c r="R17" s="30"/>
      <c r="S17" s="30">
        <v>0</v>
      </c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6"/>
      <c r="AL17" s="26"/>
      <c r="AM17" s="26"/>
      <c r="AN17" s="26"/>
      <c r="AO17" s="26"/>
      <c r="AP17" s="26"/>
      <c r="AQ17" s="26"/>
      <c r="AR17" s="26"/>
    </row>
    <row r="18" spans="1:44" ht="14.45" customHeight="1" x14ac:dyDescent="0.25">
      <c r="A18" s="30"/>
      <c r="B18" s="13" t="s">
        <v>23</v>
      </c>
      <c r="C18" s="14" t="s">
        <v>58</v>
      </c>
      <c r="D18" s="5" t="s">
        <v>59</v>
      </c>
      <c r="E18" s="15" t="s">
        <v>39</v>
      </c>
      <c r="F18" s="7" t="e">
        <f>G18+SUMIFS([1]commande!G:G,[1]commande!E:E,"=vanne de process dn 100 pn 25",[1]commande!I:I,"=oui")+SUMIF('[1]mouvement autoclave'!B:B,"=vanne de process dn 100 pn 25",'[1]mouvement autoclave'!G:G)</f>
        <v>#VALUE!</v>
      </c>
      <c r="G18" s="7">
        <v>1</v>
      </c>
      <c r="H18" s="6">
        <v>1</v>
      </c>
      <c r="I18" s="2" t="e">
        <f t="shared" si="0"/>
        <v>#VALUE!</v>
      </c>
      <c r="J18" s="16">
        <v>2014</v>
      </c>
      <c r="K18" s="17" t="e">
        <f t="shared" si="1"/>
        <v>#VALUE!</v>
      </c>
      <c r="L18" s="30"/>
      <c r="M18" s="30"/>
      <c r="N18" s="30"/>
      <c r="O18" s="30"/>
      <c r="P18" s="30"/>
      <c r="Q18" s="30"/>
      <c r="R18" s="30"/>
      <c r="S18" s="30">
        <v>1</v>
      </c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26"/>
      <c r="AE18" s="26"/>
      <c r="AF18" s="26"/>
      <c r="AG18" s="26"/>
      <c r="AH18" s="26"/>
      <c r="AI18" s="26"/>
      <c r="AJ18" s="26"/>
      <c r="AK18" s="26"/>
      <c r="AL18" s="26"/>
      <c r="AM18" s="26"/>
      <c r="AN18" s="26"/>
      <c r="AO18" s="26"/>
      <c r="AP18" s="26"/>
      <c r="AQ18" s="26"/>
      <c r="AR18" s="26"/>
    </row>
    <row r="19" spans="1:44" ht="14.45" customHeight="1" x14ac:dyDescent="0.25">
      <c r="A19" s="30"/>
      <c r="B19" s="13" t="s">
        <v>23</v>
      </c>
      <c r="C19" s="14" t="s">
        <v>60</v>
      </c>
      <c r="D19" s="5" t="s">
        <v>61</v>
      </c>
      <c r="E19" s="15" t="s">
        <v>39</v>
      </c>
      <c r="F19" s="7" t="e">
        <f>G19+SUMIFS([1]commande!G:G,[1]commande!E:E,"=vanne de process dn 20 pn 25",[1]commande!I:I,"=oui")+SUMIF('[1]mouvement autoclave'!B:B,"=vanne de process dn 20 pn 25",'[1]mouvement autoclave'!G:G)</f>
        <v>#VALUE!</v>
      </c>
      <c r="G19" s="7">
        <v>1</v>
      </c>
      <c r="H19" s="6">
        <v>1</v>
      </c>
      <c r="I19" s="2" t="e">
        <f t="shared" si="0"/>
        <v>#VALUE!</v>
      </c>
      <c r="J19" s="16">
        <v>360</v>
      </c>
      <c r="K19" s="17" t="e">
        <f t="shared" si="1"/>
        <v>#VALUE!</v>
      </c>
      <c r="L19" s="30"/>
      <c r="M19" s="30"/>
      <c r="N19" s="30"/>
      <c r="O19" s="30"/>
      <c r="P19" s="30"/>
      <c r="Q19" s="30"/>
      <c r="R19" s="30"/>
      <c r="S19" s="30">
        <v>1</v>
      </c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6"/>
      <c r="AL19" s="26"/>
      <c r="AM19" s="26"/>
      <c r="AN19" s="26"/>
      <c r="AO19" s="26"/>
      <c r="AP19" s="26"/>
      <c r="AQ19" s="26"/>
      <c r="AR19" s="26"/>
    </row>
    <row r="20" spans="1:44" ht="14.45" customHeight="1" x14ac:dyDescent="0.25">
      <c r="A20" s="30"/>
      <c r="B20" s="13" t="s">
        <v>23</v>
      </c>
      <c r="C20" s="14" t="s">
        <v>62</v>
      </c>
      <c r="D20" s="5" t="s">
        <v>63</v>
      </c>
      <c r="E20" s="15" t="s">
        <v>39</v>
      </c>
      <c r="F20" s="7" t="e">
        <f>G20+SUMIF('[1]mouvement autoclave'!B:B,"=vanne de process dn 40",'[1]mouvement autoclave'!G:G)</f>
        <v>#VALUE!</v>
      </c>
      <c r="G20" s="7">
        <v>1</v>
      </c>
      <c r="H20" s="6">
        <v>1</v>
      </c>
      <c r="I20" s="2" t="e">
        <f t="shared" si="0"/>
        <v>#VALUE!</v>
      </c>
      <c r="J20" s="16">
        <v>651</v>
      </c>
      <c r="K20" s="17" t="e">
        <f t="shared" si="1"/>
        <v>#VALUE!</v>
      </c>
      <c r="L20" s="30"/>
      <c r="M20" s="30"/>
      <c r="N20" s="30"/>
      <c r="O20" s="30"/>
      <c r="P20" s="30"/>
      <c r="Q20" s="30"/>
      <c r="R20" s="30"/>
      <c r="S20" s="30">
        <v>1</v>
      </c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26"/>
      <c r="AL20" s="26"/>
      <c r="AM20" s="26"/>
      <c r="AN20" s="26"/>
      <c r="AO20" s="26"/>
      <c r="AP20" s="26"/>
      <c r="AQ20" s="26"/>
      <c r="AR20" s="26"/>
    </row>
    <row r="21" spans="1:44" ht="14.45" customHeight="1" x14ac:dyDescent="0.25">
      <c r="A21" s="30"/>
      <c r="B21" s="13" t="s">
        <v>23</v>
      </c>
      <c r="C21" s="14" t="s">
        <v>64</v>
      </c>
      <c r="D21" s="5" t="s">
        <v>65</v>
      </c>
      <c r="E21" s="15" t="s">
        <v>39</v>
      </c>
      <c r="F21" s="7" t="e">
        <f>G21+SUMIF('[1]mouvement autoclave'!B:B,"=vanne de process dn 40 pn 25 316L",'[1]mouvement autoclave'!G:G)</f>
        <v>#VALUE!</v>
      </c>
      <c r="G21" s="7">
        <v>1</v>
      </c>
      <c r="H21" s="6">
        <v>1</v>
      </c>
      <c r="I21" s="2" t="e">
        <f t="shared" si="0"/>
        <v>#VALUE!</v>
      </c>
      <c r="J21" s="16">
        <v>355</v>
      </c>
      <c r="K21" s="17" t="e">
        <f t="shared" si="1"/>
        <v>#VALUE!</v>
      </c>
      <c r="L21" s="30"/>
      <c r="M21" s="30"/>
      <c r="N21" s="30"/>
      <c r="O21" s="30"/>
      <c r="P21" s="30"/>
      <c r="Q21" s="30"/>
      <c r="R21" s="30"/>
      <c r="S21" s="30">
        <v>1</v>
      </c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26"/>
      <c r="AP21" s="26"/>
      <c r="AQ21" s="26"/>
      <c r="AR21" s="26"/>
    </row>
    <row r="22" spans="1:44" ht="14.45" customHeight="1" x14ac:dyDescent="0.25">
      <c r="A22" s="30"/>
      <c r="B22" s="13" t="s">
        <v>23</v>
      </c>
      <c r="C22" s="14" t="s">
        <v>66</v>
      </c>
      <c r="D22" s="5" t="s">
        <v>67</v>
      </c>
      <c r="E22" s="15" t="s">
        <v>39</v>
      </c>
      <c r="F22" s="7" t="e">
        <f>G22+SUMIF('[1]mouvement autoclave'!B:B,"=vanne de process dn 50 pn 25",'[1]mouvement autoclave'!G:G)</f>
        <v>#VALUE!</v>
      </c>
      <c r="G22" s="7">
        <v>1</v>
      </c>
      <c r="H22" s="6">
        <v>1</v>
      </c>
      <c r="I22" s="2" t="e">
        <f t="shared" si="0"/>
        <v>#VALUE!</v>
      </c>
      <c r="J22" s="16">
        <v>760</v>
      </c>
      <c r="K22" s="17" t="e">
        <f t="shared" si="1"/>
        <v>#VALUE!</v>
      </c>
      <c r="L22" s="30"/>
      <c r="M22" s="30"/>
      <c r="N22" s="30"/>
      <c r="O22" s="30"/>
      <c r="P22" s="30"/>
      <c r="Q22" s="30"/>
      <c r="R22" s="30"/>
      <c r="S22" s="30">
        <v>1</v>
      </c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  <c r="AL22" s="26"/>
      <c r="AM22" s="26"/>
      <c r="AN22" s="26"/>
      <c r="AO22" s="26"/>
      <c r="AP22" s="26"/>
      <c r="AQ22" s="26"/>
      <c r="AR22" s="26"/>
    </row>
    <row r="23" spans="1:44" ht="14.45" customHeight="1" x14ac:dyDescent="0.25">
      <c r="A23" s="30"/>
      <c r="B23" s="13" t="s">
        <v>23</v>
      </c>
      <c r="C23" s="14" t="s">
        <v>68</v>
      </c>
      <c r="D23" s="5" t="s">
        <v>69</v>
      </c>
      <c r="E23" s="15" t="s">
        <v>26</v>
      </c>
      <c r="F23" s="7" t="e">
        <f>G23+SUMIF('[1]mouvement autoclave'!B:B,"=ventillateur 24v 42mA5( pour le pc)",'[1]mouvement autoclave'!G:G)</f>
        <v>#VALUE!</v>
      </c>
      <c r="G23" s="7">
        <v>1</v>
      </c>
      <c r="H23" s="6">
        <v>1</v>
      </c>
      <c r="I23" s="2" t="e">
        <f t="shared" si="0"/>
        <v>#VALUE!</v>
      </c>
      <c r="J23" s="16">
        <v>20.56</v>
      </c>
      <c r="K23" s="17" t="e">
        <f t="shared" si="1"/>
        <v>#VALUE!</v>
      </c>
      <c r="L23" s="30"/>
      <c r="M23" s="3" t="s">
        <v>23</v>
      </c>
      <c r="N23" s="30"/>
      <c r="O23" s="30"/>
      <c r="P23" s="30"/>
      <c r="Q23" s="30"/>
      <c r="R23" s="30"/>
      <c r="S23" s="30">
        <v>0</v>
      </c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6"/>
      <c r="AH23" s="26"/>
      <c r="AI23" s="26"/>
      <c r="AJ23" s="26"/>
      <c r="AK23" s="26"/>
      <c r="AL23" s="26"/>
      <c r="AM23" s="26"/>
      <c r="AN23" s="26"/>
      <c r="AO23" s="26"/>
      <c r="AP23" s="26"/>
      <c r="AQ23" s="26"/>
      <c r="AR23" s="26"/>
    </row>
    <row r="24" spans="1:44" ht="15.75" x14ac:dyDescent="0.25">
      <c r="A24" s="30"/>
      <c r="B24" s="13" t="s">
        <v>23</v>
      </c>
      <c r="C24" s="14" t="s">
        <v>70</v>
      </c>
      <c r="D24" s="5">
        <v>601140</v>
      </c>
      <c r="E24" s="11" t="s">
        <v>22</v>
      </c>
      <c r="F24" s="7" t="e">
        <f>G24+SUMIF('[1]mouvement autoclave'!B:B,"=Capteur proximité 440NGO2123",'[1]mouvement autoclave'!G:G)</f>
        <v>#VALUE!</v>
      </c>
      <c r="G24" s="7">
        <v>1</v>
      </c>
      <c r="H24" s="6">
        <v>1</v>
      </c>
      <c r="I24" s="2" t="e">
        <f t="shared" si="0"/>
        <v>#VALUE!</v>
      </c>
      <c r="J24" s="16">
        <v>0</v>
      </c>
      <c r="K24" s="17" t="e">
        <f t="shared" si="1"/>
        <v>#VALUE!</v>
      </c>
      <c r="L24" s="30"/>
      <c r="M24" s="35" t="e">
        <f>SUM(K3:K24)</f>
        <v>#VALUE!</v>
      </c>
      <c r="N24" s="30"/>
      <c r="O24" s="30"/>
      <c r="P24" s="30"/>
      <c r="Q24" s="30"/>
      <c r="R24" s="30"/>
      <c r="S24" s="30">
        <v>0</v>
      </c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26"/>
      <c r="AM24" s="26"/>
      <c r="AN24" s="26"/>
      <c r="AO24" s="26"/>
      <c r="AP24" s="26"/>
      <c r="AQ24" s="26"/>
      <c r="AR24" s="26"/>
    </row>
    <row r="25" spans="1:44" ht="15.75" x14ac:dyDescent="0.25">
      <c r="A25" s="30"/>
      <c r="B25" s="13" t="s">
        <v>71</v>
      </c>
      <c r="C25" s="36" t="s">
        <v>72</v>
      </c>
      <c r="D25" s="37" t="s">
        <v>73</v>
      </c>
      <c r="E25" s="6" t="s">
        <v>74</v>
      </c>
      <c r="F25" s="7" t="e">
        <f>G25+SUMIF('[1]mouvement autolaveuse'!B:B,"=COURROIE DENTEE AUTOLAVEUSE BR40",'[1]mouvement autolaveuse'!G:G)</f>
        <v>#VALUE!</v>
      </c>
      <c r="G25" s="7">
        <v>2</v>
      </c>
      <c r="H25" s="7">
        <v>2</v>
      </c>
      <c r="I25" s="10" t="e">
        <f>IF(F25&lt;H25,"/!\","-")</f>
        <v>#VALUE!</v>
      </c>
      <c r="J25" s="11">
        <v>15.34</v>
      </c>
      <c r="K25" s="12" t="e">
        <f>F25*J25</f>
        <v>#VALUE!</v>
      </c>
      <c r="L25" s="30"/>
      <c r="M25" s="3" t="s">
        <v>71</v>
      </c>
      <c r="N25" s="30"/>
      <c r="O25" s="30"/>
      <c r="P25" s="30"/>
      <c r="Q25" s="30"/>
      <c r="R25" s="30"/>
      <c r="S25" s="30">
        <v>0</v>
      </c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26"/>
      <c r="AE25" s="26"/>
      <c r="AF25" s="26"/>
      <c r="AG25" s="26"/>
      <c r="AH25" s="26"/>
      <c r="AI25" s="26"/>
      <c r="AJ25" s="26"/>
      <c r="AK25" s="26"/>
      <c r="AL25" s="26"/>
      <c r="AM25" s="26"/>
      <c r="AN25" s="26"/>
      <c r="AO25" s="26"/>
      <c r="AP25" s="26"/>
      <c r="AQ25" s="26"/>
      <c r="AR25" s="26"/>
    </row>
    <row r="26" spans="1:44" ht="14.45" customHeight="1" x14ac:dyDescent="0.25">
      <c r="A26" s="30"/>
      <c r="B26" s="13" t="s">
        <v>71</v>
      </c>
      <c r="C26" s="36" t="s">
        <v>75</v>
      </c>
      <c r="D26" s="38" t="s">
        <v>76</v>
      </c>
      <c r="E26" s="6" t="s">
        <v>74</v>
      </c>
      <c r="F26" s="7" t="e">
        <f>G26+SUMIF('[1]mouvement autolaveuse'!B:B,"=Courroie dentee",'[1]mouvement autolaveuse'!G:G)</f>
        <v>#VALUE!</v>
      </c>
      <c r="G26" s="7">
        <v>2</v>
      </c>
      <c r="H26" s="7">
        <v>2</v>
      </c>
      <c r="I26" s="10" t="e">
        <f>IF(F26&lt;H26,"/!\","-")</f>
        <v>#VALUE!</v>
      </c>
      <c r="J26" s="11">
        <v>12.74</v>
      </c>
      <c r="K26" s="12" t="e">
        <f>F26*J26</f>
        <v>#VALUE!</v>
      </c>
      <c r="L26" s="30"/>
      <c r="M26" s="35" t="e">
        <f>SUM(K25:K26)</f>
        <v>#VALUE!</v>
      </c>
      <c r="N26" s="30"/>
      <c r="O26" s="30"/>
      <c r="P26" s="30"/>
      <c r="Q26" s="30"/>
      <c r="R26" s="30"/>
      <c r="S26" s="30">
        <v>1</v>
      </c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26"/>
      <c r="AE26" s="26"/>
      <c r="AF26" s="26"/>
      <c r="AG26" s="26"/>
      <c r="AH26" s="26"/>
      <c r="AI26" s="26"/>
      <c r="AJ26" s="26"/>
      <c r="AK26" s="26"/>
      <c r="AL26" s="26"/>
      <c r="AM26" s="26"/>
      <c r="AN26" s="26"/>
      <c r="AO26" s="26"/>
      <c r="AP26" s="26"/>
      <c r="AQ26" s="26"/>
      <c r="AR26" s="26"/>
    </row>
    <row r="27" spans="1:44" ht="14.45" customHeight="1" x14ac:dyDescent="0.25">
      <c r="A27" s="30"/>
      <c r="B27" s="39" t="s">
        <v>77</v>
      </c>
      <c r="C27" s="40" t="s">
        <v>78</v>
      </c>
      <c r="D27" s="41" t="s">
        <v>79</v>
      </c>
      <c r="E27" s="42" t="s">
        <v>22</v>
      </c>
      <c r="F27" s="43" t="e">
        <f>G27+SUMIF('[1]mouvement bakon'!B:B,"=joint torique dim 55 x  5 mm, emplacement sous trémie bleu",'[1]mouvement bakon'!G:G)</f>
        <v>#VALUE!</v>
      </c>
      <c r="G27" s="43">
        <v>11</v>
      </c>
      <c r="H27" s="44">
        <v>16</v>
      </c>
      <c r="I27" s="2" t="e">
        <f>IF(F27&lt;H27,"/!\","-")</f>
        <v>#VALUE!</v>
      </c>
      <c r="J27" s="16">
        <v>11.1</v>
      </c>
      <c r="K27" s="17" t="e">
        <f>F27*J27</f>
        <v>#VALUE!</v>
      </c>
      <c r="L27" s="30"/>
      <c r="M27" s="30"/>
      <c r="N27" s="30"/>
      <c r="O27" s="30"/>
      <c r="P27" s="30"/>
      <c r="Q27" s="30"/>
      <c r="R27" s="30"/>
      <c r="S27" s="30">
        <v>0</v>
      </c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26"/>
      <c r="AH27" s="26"/>
      <c r="AI27" s="26"/>
      <c r="AJ27" s="26"/>
      <c r="AK27" s="26"/>
      <c r="AL27" s="26"/>
      <c r="AM27" s="26"/>
      <c r="AN27" s="26"/>
      <c r="AO27" s="26"/>
      <c r="AP27" s="26"/>
      <c r="AQ27" s="26"/>
      <c r="AR27" s="26"/>
    </row>
    <row r="28" spans="1:44" ht="15" customHeight="1" x14ac:dyDescent="0.25">
      <c r="A28" s="30"/>
      <c r="B28" s="39" t="s">
        <v>77</v>
      </c>
      <c r="C28" s="45" t="s">
        <v>80</v>
      </c>
      <c r="D28" s="41" t="s">
        <v>81</v>
      </c>
      <c r="E28" s="46" t="s">
        <v>22</v>
      </c>
      <c r="F28" s="43" t="e">
        <f>G28+SUMIF('[1]mouvement bakon'!B:B,"=joint de type quad ring diam 28,17 x 3,53 mm (cylindre de dosage à piston)",'[1]mouvement bakon'!G:G)</f>
        <v>#VALUE!</v>
      </c>
      <c r="G28" s="43">
        <v>36</v>
      </c>
      <c r="H28" s="44">
        <v>16</v>
      </c>
      <c r="I28" s="2" t="e">
        <f t="shared" ref="I28:I91" si="2">IF(F28&lt;H28,"/!\","-")</f>
        <v>#VALUE!</v>
      </c>
      <c r="J28" s="16">
        <v>23.5</v>
      </c>
      <c r="K28" s="17" t="e">
        <f t="shared" ref="K28:K91" si="3">F28*J28</f>
        <v>#VALUE!</v>
      </c>
      <c r="L28" s="30"/>
      <c r="M28" s="30"/>
      <c r="N28" s="30"/>
      <c r="O28" s="30"/>
      <c r="P28" s="30"/>
      <c r="Q28" s="30"/>
      <c r="R28" s="30"/>
      <c r="S28" s="30">
        <v>1</v>
      </c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  <c r="AM28" s="26"/>
      <c r="AN28" s="26"/>
      <c r="AO28" s="26"/>
      <c r="AP28" s="26"/>
      <c r="AQ28" s="26"/>
      <c r="AR28" s="26"/>
    </row>
    <row r="29" spans="1:44" ht="15.75" x14ac:dyDescent="0.25">
      <c r="A29" s="30"/>
      <c r="B29" s="39" t="s">
        <v>77</v>
      </c>
      <c r="C29" s="40" t="s">
        <v>82</v>
      </c>
      <c r="D29" s="41" t="s">
        <v>83</v>
      </c>
      <c r="E29" s="46" t="s">
        <v>22</v>
      </c>
      <c r="F29" s="43" t="e">
        <f>G29+SUMIF('[1]mouvement bakon'!B:B,"=joint torique dim 62 x 3 mm (tubes de dosage)",'[1]mouvement bakon'!G:G)</f>
        <v>#VALUE!</v>
      </c>
      <c r="G29" s="43">
        <v>40</v>
      </c>
      <c r="H29" s="44">
        <v>16</v>
      </c>
      <c r="I29" s="2" t="e">
        <f t="shared" si="2"/>
        <v>#VALUE!</v>
      </c>
      <c r="J29" s="16">
        <v>5.82</v>
      </c>
      <c r="K29" s="17" t="e">
        <f t="shared" si="3"/>
        <v>#VALUE!</v>
      </c>
      <c r="L29" s="30"/>
      <c r="M29" s="30"/>
      <c r="N29" s="30"/>
      <c r="O29" s="30"/>
      <c r="P29" s="30"/>
      <c r="Q29" s="30"/>
      <c r="R29" s="30"/>
      <c r="S29" s="30">
        <v>0</v>
      </c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/>
      <c r="AN29" s="26"/>
      <c r="AO29" s="26"/>
      <c r="AP29" s="26"/>
      <c r="AQ29" s="26"/>
      <c r="AR29" s="26"/>
    </row>
    <row r="30" spans="1:44" ht="15.75" x14ac:dyDescent="0.25">
      <c r="A30" s="30"/>
      <c r="B30" s="39" t="s">
        <v>77</v>
      </c>
      <c r="C30" s="40" t="s">
        <v>84</v>
      </c>
      <c r="D30" s="41" t="s">
        <v>85</v>
      </c>
      <c r="E30" s="46" t="s">
        <v>22</v>
      </c>
      <c r="F30" s="43" t="e">
        <f>G30+SUMIF('[1]mouvement bakon'!B:B,"=joint torique Dim 49,5 x 3 mm (bloc de dosage à piston)",'[1]mouvement bakon'!G:G)</f>
        <v>#VALUE!</v>
      </c>
      <c r="G30" s="43">
        <v>3</v>
      </c>
      <c r="H30" s="44">
        <v>16</v>
      </c>
      <c r="I30" s="2" t="e">
        <f t="shared" si="2"/>
        <v>#VALUE!</v>
      </c>
      <c r="J30" s="16">
        <v>14.8</v>
      </c>
      <c r="K30" s="17" t="e">
        <f t="shared" si="3"/>
        <v>#VALUE!</v>
      </c>
      <c r="L30" s="30"/>
      <c r="M30" s="30"/>
      <c r="N30" s="30"/>
      <c r="O30" s="30"/>
      <c r="P30" s="30"/>
      <c r="Q30" s="30"/>
      <c r="R30" s="30"/>
      <c r="S30" s="30">
        <v>1</v>
      </c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  <c r="AM30" s="26"/>
      <c r="AN30" s="26"/>
      <c r="AO30" s="26"/>
      <c r="AP30" s="26"/>
      <c r="AQ30" s="26"/>
      <c r="AR30" s="26"/>
    </row>
    <row r="31" spans="1:44" ht="15.75" x14ac:dyDescent="0.25">
      <c r="A31" s="30"/>
      <c r="B31" s="39" t="s">
        <v>77</v>
      </c>
      <c r="C31" s="40" t="s">
        <v>86</v>
      </c>
      <c r="D31" s="41" t="s">
        <v>87</v>
      </c>
      <c r="E31" s="46" t="s">
        <v>22</v>
      </c>
      <c r="F31" s="43" t="e">
        <f>G31+SUMIF('[1]mouvement bakon'!B:B,"=joint torique Dim 35 x 2,5 mm (tubes de distribution sauce)",'[1]mouvement bakon'!G:G)</f>
        <v>#VALUE!</v>
      </c>
      <c r="G31" s="43">
        <v>7</v>
      </c>
      <c r="H31" s="44">
        <v>16</v>
      </c>
      <c r="I31" s="2" t="e">
        <f t="shared" si="2"/>
        <v>#VALUE!</v>
      </c>
      <c r="J31" s="16">
        <v>7.7</v>
      </c>
      <c r="K31" s="17" t="e">
        <f t="shared" si="3"/>
        <v>#VALUE!</v>
      </c>
      <c r="L31" s="30"/>
      <c r="M31" s="30"/>
      <c r="N31" s="30"/>
      <c r="O31" s="30"/>
      <c r="P31" s="30"/>
      <c r="Q31" s="30"/>
      <c r="R31" s="30"/>
      <c r="S31" s="30">
        <v>1</v>
      </c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/>
      <c r="AN31" s="26"/>
      <c r="AO31" s="26"/>
      <c r="AP31" s="26"/>
      <c r="AQ31" s="26"/>
      <c r="AR31" s="26"/>
    </row>
    <row r="32" spans="1:44" ht="15.75" x14ac:dyDescent="0.25">
      <c r="A32" s="30"/>
      <c r="B32" s="39" t="s">
        <v>77</v>
      </c>
      <c r="C32" s="45" t="s">
        <v>88</v>
      </c>
      <c r="D32" s="41"/>
      <c r="E32" s="44" t="s">
        <v>22</v>
      </c>
      <c r="F32" s="43" t="e">
        <f>G32+SUMIF('[1]mouvement bakon'!B:B,"=joint torique Dim 18 x 2,5 mm (vérin pneumatique tête de dressage)",'[1]mouvement bakon'!G:G)</f>
        <v>#VALUE!</v>
      </c>
      <c r="G32" s="43">
        <v>-7</v>
      </c>
      <c r="H32" s="44">
        <v>16</v>
      </c>
      <c r="I32" s="2" t="e">
        <f t="shared" si="2"/>
        <v>#VALUE!</v>
      </c>
      <c r="J32" s="11">
        <v>0</v>
      </c>
      <c r="K32" s="17" t="e">
        <f t="shared" si="3"/>
        <v>#VALUE!</v>
      </c>
      <c r="L32" s="30"/>
      <c r="M32" s="30"/>
      <c r="N32" s="30"/>
      <c r="O32" s="30"/>
      <c r="P32" s="30"/>
      <c r="Q32" s="30"/>
      <c r="R32" s="30"/>
      <c r="S32" s="30">
        <v>1</v>
      </c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26"/>
      <c r="AE32" s="26"/>
      <c r="AF32" s="26"/>
      <c r="AG32" s="26"/>
      <c r="AH32" s="26"/>
      <c r="AI32" s="26"/>
      <c r="AJ32" s="26"/>
      <c r="AK32" s="26"/>
      <c r="AL32" s="26"/>
      <c r="AM32" s="26"/>
      <c r="AN32" s="26"/>
      <c r="AO32" s="26"/>
      <c r="AP32" s="26"/>
      <c r="AQ32" s="26"/>
      <c r="AR32" s="26"/>
    </row>
    <row r="33" spans="1:44" ht="15.75" x14ac:dyDescent="0.25">
      <c r="A33" s="30"/>
      <c r="B33" s="39" t="s">
        <v>77</v>
      </c>
      <c r="C33" s="40" t="s">
        <v>89</v>
      </c>
      <c r="D33" s="41" t="s">
        <v>90</v>
      </c>
      <c r="E33" s="44" t="s">
        <v>22</v>
      </c>
      <c r="F33" s="43" t="e">
        <f>G33+SUMIF('[1]mouvement bakon'!B:B,"=roulement axe trémie",'[1]mouvement bakon'!G:G)</f>
        <v>#VALUE!</v>
      </c>
      <c r="G33" s="43">
        <v>7</v>
      </c>
      <c r="H33" s="44">
        <v>2</v>
      </c>
      <c r="I33" s="2" t="e">
        <f t="shared" si="2"/>
        <v>#VALUE!</v>
      </c>
      <c r="J33" s="11">
        <v>0</v>
      </c>
      <c r="K33" s="17" t="e">
        <f t="shared" si="3"/>
        <v>#VALUE!</v>
      </c>
      <c r="L33" s="30"/>
      <c r="M33" s="30"/>
      <c r="N33" s="30"/>
      <c r="O33" s="30"/>
      <c r="P33" s="30"/>
      <c r="Q33" s="30"/>
      <c r="R33" s="30"/>
      <c r="S33" s="30">
        <v>1</v>
      </c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26"/>
      <c r="AE33" s="26"/>
      <c r="AF33" s="26"/>
      <c r="AG33" s="26"/>
      <c r="AH33" s="26"/>
      <c r="AI33" s="26"/>
      <c r="AJ33" s="26"/>
      <c r="AK33" s="26"/>
      <c r="AL33" s="26"/>
      <c r="AM33" s="26"/>
      <c r="AN33" s="26"/>
      <c r="AO33" s="26"/>
      <c r="AP33" s="26"/>
      <c r="AQ33" s="26"/>
      <c r="AR33" s="26"/>
    </row>
    <row r="34" spans="1:44" ht="15.75" x14ac:dyDescent="0.25">
      <c r="A34" s="30"/>
      <c r="B34" s="47" t="s">
        <v>77</v>
      </c>
      <c r="C34" s="48" t="s">
        <v>91</v>
      </c>
      <c r="D34" s="49">
        <v>6201</v>
      </c>
      <c r="E34" s="50" t="s">
        <v>22</v>
      </c>
      <c r="F34" s="51" t="e">
        <f>G34+SUMIF('[1]mouvement bakon'!B:B,"=Roulement support Trémie",'[1]mouvement bakon'!G:G)</f>
        <v>#VALUE!</v>
      </c>
      <c r="G34" s="51">
        <v>0</v>
      </c>
      <c r="H34" s="50">
        <v>2</v>
      </c>
      <c r="I34" s="2" t="e">
        <f t="shared" si="2"/>
        <v>#VALUE!</v>
      </c>
      <c r="J34" s="11">
        <v>0</v>
      </c>
      <c r="K34" s="17" t="e">
        <f t="shared" si="3"/>
        <v>#VALUE!</v>
      </c>
      <c r="L34" s="30"/>
      <c r="M34" s="30"/>
      <c r="N34" s="30"/>
      <c r="O34" s="30"/>
      <c r="P34" s="30"/>
      <c r="Q34" s="30"/>
      <c r="R34" s="30"/>
      <c r="S34" s="30">
        <v>1</v>
      </c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"/>
      <c r="AE34" s="26"/>
      <c r="AF34" s="26"/>
      <c r="AG34" s="26"/>
      <c r="AH34" s="26"/>
      <c r="AI34" s="26"/>
      <c r="AJ34" s="26"/>
      <c r="AK34" s="26"/>
      <c r="AL34" s="26"/>
      <c r="AM34" s="26"/>
      <c r="AN34" s="26"/>
      <c r="AO34" s="26"/>
      <c r="AP34" s="26"/>
      <c r="AQ34" s="26"/>
      <c r="AR34" s="26"/>
    </row>
    <row r="35" spans="1:44" ht="14.45" customHeight="1" x14ac:dyDescent="0.25">
      <c r="A35" s="30"/>
      <c r="B35" s="39" t="s">
        <v>77</v>
      </c>
      <c r="C35" s="40" t="s">
        <v>92</v>
      </c>
      <c r="D35" s="41" t="s">
        <v>93</v>
      </c>
      <c r="E35" s="44" t="s">
        <v>22</v>
      </c>
      <c r="F35" s="43" t="e">
        <f>G35+SUMIF('[1]mouvement bakon'!B:B,"=joint spi (roulement axe melangeur trémie)",'[1]mouvement bakon'!G:G)</f>
        <v>#VALUE!</v>
      </c>
      <c r="G35" s="43">
        <v>13</v>
      </c>
      <c r="H35" s="44">
        <v>2</v>
      </c>
      <c r="I35" s="2" t="e">
        <f t="shared" si="2"/>
        <v>#VALUE!</v>
      </c>
      <c r="J35" s="11">
        <v>24.4</v>
      </c>
      <c r="K35" s="17" t="e">
        <f t="shared" si="3"/>
        <v>#VALUE!</v>
      </c>
      <c r="L35" s="30"/>
      <c r="M35" s="30"/>
      <c r="N35" s="30"/>
      <c r="O35" s="30"/>
      <c r="P35" s="30"/>
      <c r="Q35" s="30"/>
      <c r="R35" s="30"/>
      <c r="S35" s="30">
        <v>0</v>
      </c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  <c r="AF35" s="26"/>
      <c r="AG35" s="26"/>
      <c r="AH35" s="26"/>
      <c r="AI35" s="26"/>
      <c r="AJ35" s="26"/>
      <c r="AK35" s="26"/>
      <c r="AL35" s="26"/>
      <c r="AM35" s="26"/>
      <c r="AN35" s="26"/>
      <c r="AO35" s="26"/>
      <c r="AP35" s="26"/>
      <c r="AQ35" s="26"/>
      <c r="AR35" s="26"/>
    </row>
    <row r="36" spans="1:44" ht="14.45" customHeight="1" x14ac:dyDescent="0.25">
      <c r="A36" s="30"/>
      <c r="B36" s="39" t="s">
        <v>77</v>
      </c>
      <c r="C36" s="40" t="s">
        <v>94</v>
      </c>
      <c r="D36" s="44" t="s">
        <v>95</v>
      </c>
      <c r="E36" s="44" t="s">
        <v>96</v>
      </c>
      <c r="F36" s="43" t="e">
        <f>G36+SUMIF('[1]mouvement bakon'!B:B,"=vérin iso double effet (tête de dosage)",'[1]mouvement bakon'!G:G)</f>
        <v>#VALUE!</v>
      </c>
      <c r="G36" s="43">
        <v>4</v>
      </c>
      <c r="H36" s="44">
        <v>6</v>
      </c>
      <c r="I36" s="2" t="e">
        <f t="shared" si="2"/>
        <v>#VALUE!</v>
      </c>
      <c r="J36" s="11">
        <v>92.98</v>
      </c>
      <c r="K36" s="17" t="e">
        <f t="shared" si="3"/>
        <v>#VALUE!</v>
      </c>
      <c r="L36" s="30"/>
      <c r="M36" s="30"/>
      <c r="N36" s="30"/>
      <c r="O36" s="30"/>
      <c r="P36" s="30"/>
      <c r="Q36" s="30"/>
      <c r="R36" s="30"/>
      <c r="S36" s="30">
        <v>0</v>
      </c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I36" s="26"/>
      <c r="AJ36" s="26"/>
      <c r="AK36" s="26"/>
      <c r="AL36" s="26"/>
      <c r="AM36" s="26"/>
      <c r="AN36" s="26"/>
      <c r="AO36" s="26"/>
      <c r="AP36" s="26"/>
      <c r="AQ36" s="26"/>
      <c r="AR36" s="26"/>
    </row>
    <row r="37" spans="1:44" ht="14.45" customHeight="1" x14ac:dyDescent="0.25">
      <c r="A37" s="30"/>
      <c r="B37" s="52" t="s">
        <v>77</v>
      </c>
      <c r="C37" s="53" t="s">
        <v>94</v>
      </c>
      <c r="D37" s="54" t="s">
        <v>97</v>
      </c>
      <c r="E37" s="54" t="s">
        <v>22</v>
      </c>
      <c r="F37" s="55" t="e">
        <f>G37+SUMIF('[1]mouvement bakon'!B:B,"=vérin iso double effet (tête de dosage)",'[1]mouvement bakon'!G:G)</f>
        <v>#VALUE!</v>
      </c>
      <c r="G37" s="55">
        <v>0</v>
      </c>
      <c r="H37" s="54">
        <v>0</v>
      </c>
      <c r="I37" s="2" t="e">
        <f t="shared" si="2"/>
        <v>#VALUE!</v>
      </c>
      <c r="J37" s="11">
        <v>31.67</v>
      </c>
      <c r="K37" s="17" t="e">
        <f t="shared" si="3"/>
        <v>#VALUE!</v>
      </c>
      <c r="L37" s="30"/>
      <c r="M37" s="30"/>
      <c r="N37" s="30"/>
      <c r="O37" s="30"/>
      <c r="P37" s="30"/>
      <c r="Q37" s="30"/>
      <c r="R37" s="30"/>
      <c r="S37" s="30">
        <v>0</v>
      </c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26"/>
      <c r="AE37" s="26"/>
      <c r="AF37" s="26"/>
      <c r="AG37" s="26"/>
      <c r="AH37" s="26"/>
      <c r="AI37" s="26"/>
      <c r="AJ37" s="26"/>
      <c r="AK37" s="26"/>
      <c r="AL37" s="26"/>
      <c r="AM37" s="26"/>
      <c r="AN37" s="26"/>
      <c r="AO37" s="26"/>
      <c r="AP37" s="26"/>
      <c r="AQ37" s="26"/>
      <c r="AR37" s="26"/>
    </row>
    <row r="38" spans="1:44" ht="15.75" x14ac:dyDescent="0.25">
      <c r="A38" s="30"/>
      <c r="B38" s="56" t="s">
        <v>77</v>
      </c>
      <c r="C38" s="57" t="s">
        <v>98</v>
      </c>
      <c r="D38" s="58" t="s">
        <v>99</v>
      </c>
      <c r="E38" s="59" t="s">
        <v>22</v>
      </c>
      <c r="F38" s="60" t="e">
        <f>G38+SUMIF('[1]mouvement bakon'!B:B,"=capot harting 16 poles",'[1]mouvement bakon'!G:G)</f>
        <v>#VALUE!</v>
      </c>
      <c r="G38" s="60">
        <v>0</v>
      </c>
      <c r="H38" s="59">
        <v>2</v>
      </c>
      <c r="I38" s="2" t="e">
        <f t="shared" si="2"/>
        <v>#VALUE!</v>
      </c>
      <c r="J38" s="11">
        <v>7.3049999999999997</v>
      </c>
      <c r="K38" s="17" t="e">
        <f t="shared" si="3"/>
        <v>#VALUE!</v>
      </c>
      <c r="L38" s="30"/>
      <c r="M38" s="30"/>
      <c r="N38" s="30"/>
      <c r="O38" s="30"/>
      <c r="P38" s="30"/>
      <c r="Q38" s="30"/>
      <c r="R38" s="30"/>
      <c r="S38" s="30">
        <v>1</v>
      </c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  <c r="AM38" s="26"/>
      <c r="AN38" s="26"/>
      <c r="AO38" s="26"/>
      <c r="AP38" s="26"/>
      <c r="AQ38" s="26"/>
      <c r="AR38" s="26"/>
    </row>
    <row r="39" spans="1:44" ht="15.75" x14ac:dyDescent="0.25">
      <c r="A39" s="30"/>
      <c r="B39" s="56" t="s">
        <v>77</v>
      </c>
      <c r="C39" s="57" t="s">
        <v>100</v>
      </c>
      <c r="D39" s="58" t="s">
        <v>101</v>
      </c>
      <c r="E39" s="59" t="s">
        <v>22</v>
      </c>
      <c r="F39" s="60" t="e">
        <f>G39+SUMIF('[1]mouvement bakon'!B:B,"=pince solidarisant les connecteurs",'[1]mouvement bakon'!G:G)</f>
        <v>#VALUE!</v>
      </c>
      <c r="G39" s="60">
        <v>0</v>
      </c>
      <c r="H39" s="59">
        <v>1</v>
      </c>
      <c r="I39" s="2" t="e">
        <f t="shared" si="2"/>
        <v>#VALUE!</v>
      </c>
      <c r="J39" s="11">
        <v>16.3</v>
      </c>
      <c r="K39" s="17" t="e">
        <f t="shared" si="3"/>
        <v>#VALUE!</v>
      </c>
      <c r="L39" s="30"/>
      <c r="M39" s="30"/>
      <c r="N39" s="30"/>
      <c r="O39" s="30"/>
      <c r="P39" s="30"/>
      <c r="Q39" s="30"/>
      <c r="R39" s="30"/>
      <c r="S39" s="30">
        <v>0</v>
      </c>
      <c r="T39" s="26"/>
      <c r="U39" s="26"/>
      <c r="V39" s="26"/>
      <c r="W39" s="26"/>
      <c r="X39" s="26"/>
      <c r="Y39" s="26"/>
      <c r="Z39" s="26"/>
      <c r="AA39" s="26"/>
      <c r="AB39" s="26"/>
      <c r="AC39" s="26"/>
      <c r="AD39" s="26"/>
      <c r="AE39" s="26"/>
      <c r="AF39" s="26"/>
      <c r="AG39" s="26"/>
      <c r="AH39" s="26"/>
      <c r="AI39" s="26"/>
      <c r="AJ39" s="26"/>
      <c r="AK39" s="26"/>
      <c r="AL39" s="26"/>
      <c r="AM39" s="26"/>
      <c r="AN39" s="26"/>
      <c r="AO39" s="26"/>
      <c r="AP39" s="26"/>
      <c r="AQ39" s="26"/>
      <c r="AR39" s="26"/>
    </row>
    <row r="40" spans="1:44" ht="15.75" x14ac:dyDescent="0.25">
      <c r="A40" s="30"/>
      <c r="B40" s="56" t="s">
        <v>77</v>
      </c>
      <c r="C40" s="57" t="s">
        <v>102</v>
      </c>
      <c r="D40" s="58" t="s">
        <v>103</v>
      </c>
      <c r="E40" s="59" t="s">
        <v>22</v>
      </c>
      <c r="F40" s="60" t="e">
        <f>G40+SUMIF('[1]mouvement bakon'!B:B,"=connecteurs 9 broches prise harting f",'[1]mouvement bakon'!G:G)</f>
        <v>#VALUE!</v>
      </c>
      <c r="G40" s="60">
        <v>0</v>
      </c>
      <c r="H40" s="59">
        <v>1</v>
      </c>
      <c r="I40" s="2" t="e">
        <f t="shared" si="2"/>
        <v>#VALUE!</v>
      </c>
      <c r="J40" s="11">
        <v>28.96</v>
      </c>
      <c r="K40" s="17" t="e">
        <f t="shared" si="3"/>
        <v>#VALUE!</v>
      </c>
      <c r="L40" s="30"/>
      <c r="M40" s="30"/>
      <c r="N40" s="30"/>
      <c r="O40" s="30"/>
      <c r="P40" s="30"/>
      <c r="Q40" s="30"/>
      <c r="R40" s="30"/>
      <c r="S40" s="30">
        <v>1</v>
      </c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  <c r="AO40" s="26"/>
      <c r="AP40" s="26"/>
      <c r="AQ40" s="26"/>
      <c r="AR40" s="26"/>
    </row>
    <row r="41" spans="1:44" ht="15.75" x14ac:dyDescent="0.25">
      <c r="A41" s="30"/>
      <c r="B41" s="56" t="s">
        <v>77</v>
      </c>
      <c r="C41" s="57" t="s">
        <v>104</v>
      </c>
      <c r="D41" s="58" t="s">
        <v>105</v>
      </c>
      <c r="E41" s="59" t="s">
        <v>22</v>
      </c>
      <c r="F41" s="60" t="e">
        <f>G41+SUMIF('[1]mouvement bakon'!B:B,"=connecteurs 9 broches prise harting m",'[1]mouvement bakon'!G:G)</f>
        <v>#VALUE!</v>
      </c>
      <c r="G41" s="60">
        <v>0</v>
      </c>
      <c r="H41" s="59">
        <v>1</v>
      </c>
      <c r="I41" s="2" t="e">
        <f t="shared" si="2"/>
        <v>#VALUE!</v>
      </c>
      <c r="J41" s="11">
        <v>28.68</v>
      </c>
      <c r="K41" s="17" t="e">
        <f t="shared" si="3"/>
        <v>#VALUE!</v>
      </c>
      <c r="L41" s="30"/>
      <c r="M41" s="30"/>
      <c r="N41" s="30"/>
      <c r="O41" s="30"/>
      <c r="P41" s="30"/>
      <c r="Q41" s="30"/>
      <c r="R41" s="30"/>
      <c r="S41" s="30">
        <v>0</v>
      </c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26"/>
      <c r="AI41" s="26"/>
      <c r="AJ41" s="26"/>
      <c r="AK41" s="26"/>
      <c r="AL41" s="26"/>
      <c r="AM41" s="26"/>
      <c r="AN41" s="26"/>
      <c r="AO41" s="26"/>
      <c r="AP41" s="26"/>
      <c r="AQ41" s="26"/>
      <c r="AR41" s="26"/>
    </row>
    <row r="42" spans="1:44" ht="15.75" x14ac:dyDescent="0.25">
      <c r="A42" s="30"/>
      <c r="B42" s="13" t="s">
        <v>77</v>
      </c>
      <c r="C42" s="14" t="s">
        <v>106</v>
      </c>
      <c r="D42" s="5" t="s">
        <v>107</v>
      </c>
      <c r="E42" s="6" t="s">
        <v>108</v>
      </c>
      <c r="F42" s="7" t="e">
        <f>G42+SUMIF('[1]mouvement bakon'!B:B,"=connecteur F HARTING HAN8 16A",'[1]mouvement bakon'!G:G)</f>
        <v>#VALUE!</v>
      </c>
      <c r="G42" s="7">
        <v>4</v>
      </c>
      <c r="H42" s="6">
        <v>1</v>
      </c>
      <c r="I42" s="2" t="e">
        <f t="shared" si="2"/>
        <v>#VALUE!</v>
      </c>
      <c r="J42" s="11">
        <v>13.667999999999999</v>
      </c>
      <c r="K42" s="17" t="e">
        <f t="shared" si="3"/>
        <v>#VALUE!</v>
      </c>
      <c r="L42" s="30"/>
      <c r="M42" s="30"/>
      <c r="N42" s="30"/>
      <c r="O42" s="30"/>
      <c r="P42" s="30"/>
      <c r="Q42" s="30"/>
      <c r="R42" s="30"/>
      <c r="S42" s="30">
        <v>1</v>
      </c>
      <c r="T42" s="26"/>
      <c r="U42" s="26"/>
      <c r="V42" s="26"/>
      <c r="W42" s="26"/>
      <c r="X42" s="26"/>
      <c r="Y42" s="26"/>
      <c r="Z42" s="26"/>
      <c r="AA42" s="26"/>
      <c r="AB42" s="26"/>
      <c r="AC42" s="26"/>
      <c r="AD42" s="26"/>
      <c r="AE42" s="26"/>
      <c r="AF42" s="26"/>
      <c r="AG42" s="26"/>
      <c r="AH42" s="26"/>
      <c r="AI42" s="26"/>
      <c r="AJ42" s="26"/>
      <c r="AK42" s="26"/>
      <c r="AL42" s="26"/>
      <c r="AM42" s="26"/>
      <c r="AN42" s="26"/>
      <c r="AO42" s="26"/>
      <c r="AP42" s="26"/>
      <c r="AQ42" s="26"/>
      <c r="AR42" s="26"/>
    </row>
    <row r="43" spans="1:44" ht="15.75" x14ac:dyDescent="0.25">
      <c r="A43" s="30"/>
      <c r="B43" s="13" t="s">
        <v>77</v>
      </c>
      <c r="C43" s="14" t="s">
        <v>109</v>
      </c>
      <c r="D43" s="5" t="s">
        <v>110</v>
      </c>
      <c r="E43" s="6" t="s">
        <v>108</v>
      </c>
      <c r="F43" s="7" t="e">
        <f>G43+SUMIF('[1]mouvement bakon'!B:B,"=connecteur M HARTING HAN8 16A ",'[1]mouvement bakon'!G:G)</f>
        <v>#VALUE!</v>
      </c>
      <c r="G43" s="7">
        <v>5</v>
      </c>
      <c r="H43" s="6">
        <v>1</v>
      </c>
      <c r="I43" s="2" t="e">
        <f t="shared" si="2"/>
        <v>#VALUE!</v>
      </c>
      <c r="J43" s="11">
        <v>13.294</v>
      </c>
      <c r="K43" s="17" t="e">
        <f t="shared" si="3"/>
        <v>#VALUE!</v>
      </c>
      <c r="L43" s="30"/>
      <c r="M43" s="30"/>
      <c r="N43" s="30"/>
      <c r="O43" s="30"/>
      <c r="P43" s="30"/>
      <c r="Q43" s="30"/>
      <c r="R43" s="30"/>
      <c r="S43" s="30">
        <v>1</v>
      </c>
      <c r="T43" s="26"/>
      <c r="U43" s="26"/>
      <c r="V43" s="26"/>
      <c r="W43" s="26"/>
      <c r="X43" s="26"/>
      <c r="Y43" s="26"/>
      <c r="Z43" s="26"/>
      <c r="AA43" s="26"/>
      <c r="AB43" s="26"/>
      <c r="AC43" s="26"/>
      <c r="AD43" s="26"/>
      <c r="AE43" s="26"/>
      <c r="AF43" s="26"/>
      <c r="AG43" s="26"/>
      <c r="AH43" s="26"/>
      <c r="AI43" s="26"/>
      <c r="AJ43" s="26"/>
      <c r="AK43" s="26"/>
      <c r="AL43" s="26"/>
      <c r="AM43" s="26"/>
      <c r="AN43" s="26"/>
      <c r="AO43" s="26"/>
      <c r="AP43" s="26"/>
      <c r="AQ43" s="26"/>
      <c r="AR43" s="26"/>
    </row>
    <row r="44" spans="1:44" ht="15.75" x14ac:dyDescent="0.25">
      <c r="A44" s="30"/>
      <c r="B44" s="13" t="s">
        <v>77</v>
      </c>
      <c r="C44" s="14" t="s">
        <v>111</v>
      </c>
      <c r="D44" s="5" t="s">
        <v>112</v>
      </c>
      <c r="E44" s="6" t="s">
        <v>108</v>
      </c>
      <c r="F44" s="7" t="e">
        <f>G44+SUMIF('[1]mouvement bakon'!B:B,"=connecteur F HARTING HAN8 10A ",'[1]mouvement bakon'!G:G)</f>
        <v>#VALUE!</v>
      </c>
      <c r="G44" s="7">
        <v>7</v>
      </c>
      <c r="H44" s="6">
        <v>2</v>
      </c>
      <c r="I44" s="2" t="e">
        <f t="shared" si="2"/>
        <v>#VALUE!</v>
      </c>
      <c r="J44" s="11">
        <v>18.6495</v>
      </c>
      <c r="K44" s="17" t="e">
        <f t="shared" si="3"/>
        <v>#VALUE!</v>
      </c>
      <c r="L44" s="30"/>
      <c r="M44" s="30"/>
      <c r="N44" s="30"/>
      <c r="O44" s="30"/>
      <c r="P44" s="30"/>
      <c r="Q44" s="30"/>
      <c r="R44" s="30"/>
      <c r="S44" s="30">
        <v>1</v>
      </c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26"/>
      <c r="AE44" s="26"/>
      <c r="AF44" s="26"/>
      <c r="AG44" s="26"/>
      <c r="AH44" s="26"/>
      <c r="AI44" s="26"/>
      <c r="AJ44" s="26"/>
      <c r="AK44" s="26"/>
      <c r="AL44" s="26"/>
      <c r="AM44" s="26"/>
      <c r="AN44" s="26"/>
      <c r="AO44" s="26"/>
      <c r="AP44" s="26"/>
      <c r="AQ44" s="26"/>
      <c r="AR44" s="26"/>
    </row>
    <row r="45" spans="1:44" ht="15.75" x14ac:dyDescent="0.25">
      <c r="A45" s="30"/>
      <c r="B45" s="13" t="s">
        <v>77</v>
      </c>
      <c r="C45" s="14" t="s">
        <v>113</v>
      </c>
      <c r="D45" s="5" t="s">
        <v>114</v>
      </c>
      <c r="E45" s="6" t="s">
        <v>108</v>
      </c>
      <c r="F45" s="7" t="e">
        <f>G45+SUMIF('[1]mouvement bakon'!B:B,"=connecteur M HARTING HAN8 10A ",'[1]mouvement bakon'!G:G)</f>
        <v>#VALUE!</v>
      </c>
      <c r="G45" s="7">
        <v>9</v>
      </c>
      <c r="H45" s="6">
        <v>2</v>
      </c>
      <c r="I45" s="2" t="e">
        <f t="shared" si="2"/>
        <v>#VALUE!</v>
      </c>
      <c r="J45" s="11">
        <v>16.178999999999998</v>
      </c>
      <c r="K45" s="17" t="e">
        <f t="shared" si="3"/>
        <v>#VALUE!</v>
      </c>
      <c r="L45" s="30"/>
      <c r="M45" s="30"/>
      <c r="N45" s="30"/>
      <c r="O45" s="30"/>
      <c r="P45" s="30"/>
      <c r="Q45" s="30"/>
      <c r="R45" s="30"/>
      <c r="S45" s="30">
        <v>1</v>
      </c>
      <c r="T45" s="26"/>
      <c r="U45" s="26"/>
      <c r="V45" s="26"/>
      <c r="W45" s="26"/>
      <c r="X45" s="26"/>
      <c r="Y45" s="26"/>
      <c r="Z45" s="26"/>
      <c r="AA45" s="26"/>
      <c r="AB45" s="26"/>
      <c r="AC45" s="26"/>
      <c r="AD45" s="26"/>
      <c r="AE45" s="26"/>
      <c r="AF45" s="26"/>
      <c r="AG45" s="26"/>
      <c r="AH45" s="26"/>
      <c r="AI45" s="26"/>
      <c r="AJ45" s="26"/>
      <c r="AK45" s="26"/>
      <c r="AL45" s="26"/>
      <c r="AM45" s="26"/>
      <c r="AN45" s="26"/>
      <c r="AO45" s="26"/>
      <c r="AP45" s="26"/>
      <c r="AQ45" s="26"/>
      <c r="AR45" s="26"/>
    </row>
    <row r="46" spans="1:44" ht="15.75" x14ac:dyDescent="0.25">
      <c r="A46" s="30"/>
      <c r="B46" s="13" t="s">
        <v>77</v>
      </c>
      <c r="C46" s="14" t="s">
        <v>115</v>
      </c>
      <c r="D46" s="5" t="s">
        <v>116</v>
      </c>
      <c r="E46" s="6" t="s">
        <v>96</v>
      </c>
      <c r="F46" s="7" t="e">
        <f>G46+SUMIF('[1]mouvement bakon'!B:B,"=équerre mal 1/8 T6",'[1]mouvement bakon'!G:G)</f>
        <v>#VALUE!</v>
      </c>
      <c r="G46" s="7">
        <v>4</v>
      </c>
      <c r="H46" s="6">
        <v>2</v>
      </c>
      <c r="I46" s="2" t="e">
        <f t="shared" si="2"/>
        <v>#VALUE!</v>
      </c>
      <c r="J46" s="11">
        <v>2.91</v>
      </c>
      <c r="K46" s="17" t="e">
        <f t="shared" si="3"/>
        <v>#VALUE!</v>
      </c>
      <c r="L46" s="30"/>
      <c r="M46" s="30"/>
      <c r="N46" s="30"/>
      <c r="O46" s="30"/>
      <c r="P46" s="30"/>
      <c r="Q46" s="30"/>
      <c r="R46" s="30"/>
      <c r="S46" s="30">
        <v>1</v>
      </c>
      <c r="T46" s="26"/>
      <c r="U46" s="26"/>
      <c r="V46" s="26"/>
      <c r="W46" s="26"/>
      <c r="X46" s="26"/>
      <c r="Y46" s="26"/>
      <c r="Z46" s="26"/>
      <c r="AA46" s="26"/>
      <c r="AB46" s="26"/>
      <c r="AC46" s="26"/>
      <c r="AD46" s="26"/>
      <c r="AE46" s="26"/>
      <c r="AF46" s="26"/>
      <c r="AG46" s="26"/>
      <c r="AH46" s="26"/>
      <c r="AI46" s="26"/>
      <c r="AJ46" s="26"/>
      <c r="AK46" s="26"/>
      <c r="AL46" s="26"/>
      <c r="AM46" s="26"/>
      <c r="AN46" s="26"/>
      <c r="AO46" s="26"/>
      <c r="AP46" s="26"/>
      <c r="AQ46" s="26"/>
      <c r="AR46" s="26"/>
    </row>
    <row r="47" spans="1:44" ht="15.75" x14ac:dyDescent="0.25">
      <c r="A47" s="30"/>
      <c r="B47" s="13" t="s">
        <v>77</v>
      </c>
      <c r="C47" s="14" t="s">
        <v>117</v>
      </c>
      <c r="D47" s="5" t="s">
        <v>118</v>
      </c>
      <c r="E47" s="6" t="s">
        <v>26</v>
      </c>
      <c r="F47" s="7" t="e">
        <f>G47+SUMIF('[1]mouvement bakon'!B:B,"=Vérin N25",'[1]mouvement bakon'!G:G)</f>
        <v>#VALUE!</v>
      </c>
      <c r="G47" s="7">
        <v>1</v>
      </c>
      <c r="H47" s="6">
        <v>1</v>
      </c>
      <c r="I47" s="2" t="e">
        <f t="shared" si="2"/>
        <v>#VALUE!</v>
      </c>
      <c r="J47" s="11">
        <v>65.25</v>
      </c>
      <c r="K47" s="17" t="e">
        <f t="shared" si="3"/>
        <v>#VALUE!</v>
      </c>
      <c r="L47" s="30"/>
      <c r="M47" s="30"/>
      <c r="N47" s="30"/>
      <c r="O47" s="30"/>
      <c r="P47" s="30"/>
      <c r="Q47" s="30"/>
      <c r="R47" s="30"/>
      <c r="S47" s="30">
        <v>0</v>
      </c>
      <c r="T47" s="26"/>
      <c r="U47" s="26"/>
      <c r="V47" s="26"/>
      <c r="W47" s="26"/>
      <c r="X47" s="26"/>
      <c r="Y47" s="26"/>
      <c r="Z47" s="26"/>
      <c r="AA47" s="26"/>
      <c r="AB47" s="26"/>
      <c r="AC47" s="26"/>
      <c r="AD47" s="26"/>
      <c r="AE47" s="26"/>
      <c r="AF47" s="26"/>
      <c r="AG47" s="26"/>
      <c r="AH47" s="26"/>
      <c r="AI47" s="26"/>
      <c r="AJ47" s="26"/>
      <c r="AK47" s="26"/>
      <c r="AL47" s="26"/>
      <c r="AM47" s="26"/>
      <c r="AN47" s="26"/>
      <c r="AO47" s="26"/>
      <c r="AP47" s="26"/>
      <c r="AQ47" s="26"/>
      <c r="AR47" s="26"/>
    </row>
    <row r="48" spans="1:44" ht="15.75" x14ac:dyDescent="0.25">
      <c r="A48" s="30"/>
      <c r="B48" s="13" t="s">
        <v>77</v>
      </c>
      <c r="C48" s="14" t="s">
        <v>119</v>
      </c>
      <c r="D48" s="5" t="s">
        <v>120</v>
      </c>
      <c r="E48" s="6" t="s">
        <v>26</v>
      </c>
      <c r="F48" s="7" t="e">
        <f>G48+SUMIF('[1]mouvement bakon'!B:B,"=Vérin N20",'[1]mouvement bakon'!G:G)</f>
        <v>#VALUE!</v>
      </c>
      <c r="G48" s="7">
        <v>2</v>
      </c>
      <c r="H48" s="6">
        <v>2</v>
      </c>
      <c r="I48" s="2" t="e">
        <f t="shared" si="2"/>
        <v>#VALUE!</v>
      </c>
      <c r="J48" s="11">
        <v>44.54</v>
      </c>
      <c r="K48" s="17" t="e">
        <f t="shared" si="3"/>
        <v>#VALUE!</v>
      </c>
      <c r="L48" s="30"/>
      <c r="M48" s="30"/>
      <c r="N48" s="30"/>
      <c r="O48" s="30"/>
      <c r="P48" s="30"/>
      <c r="Q48" s="30"/>
      <c r="R48" s="30"/>
      <c r="S48" s="30">
        <v>0</v>
      </c>
      <c r="T48" s="26"/>
      <c r="U48" s="26"/>
      <c r="V48" s="26"/>
      <c r="W48" s="26"/>
      <c r="X48" s="26"/>
      <c r="Y48" s="26"/>
      <c r="Z48" s="26"/>
      <c r="AA48" s="26"/>
      <c r="AB48" s="26"/>
      <c r="AC48" s="26"/>
      <c r="AD48" s="26"/>
      <c r="AE48" s="26"/>
      <c r="AF48" s="26"/>
      <c r="AG48" s="26"/>
      <c r="AH48" s="26"/>
      <c r="AI48" s="26"/>
      <c r="AJ48" s="26"/>
      <c r="AK48" s="26"/>
      <c r="AL48" s="26"/>
      <c r="AM48" s="26"/>
      <c r="AN48" s="26"/>
      <c r="AO48" s="26"/>
      <c r="AP48" s="26"/>
      <c r="AQ48" s="26"/>
      <c r="AR48" s="26"/>
    </row>
    <row r="49" spans="1:44" ht="15.75" x14ac:dyDescent="0.25">
      <c r="A49" s="30"/>
      <c r="B49" s="13" t="s">
        <v>77</v>
      </c>
      <c r="C49" s="14" t="s">
        <v>121</v>
      </c>
      <c r="D49" s="5" t="s">
        <v>122</v>
      </c>
      <c r="E49" s="6" t="s">
        <v>22</v>
      </c>
      <c r="F49" s="7" t="e">
        <f>G49+SUMIF('[1]mouvement bakon'!B:B,"=joint 30*52*7 RVS",'[1]mouvement bakon'!G:G)</f>
        <v>#VALUE!</v>
      </c>
      <c r="G49" s="7">
        <v>2</v>
      </c>
      <c r="H49" s="6">
        <v>4</v>
      </c>
      <c r="I49" s="2" t="e">
        <f t="shared" si="2"/>
        <v>#VALUE!</v>
      </c>
      <c r="J49" s="11">
        <v>9.3800000000000008</v>
      </c>
      <c r="K49" s="17" t="e">
        <f t="shared" si="3"/>
        <v>#VALUE!</v>
      </c>
      <c r="L49" s="30"/>
      <c r="M49" s="30"/>
      <c r="N49" s="30"/>
      <c r="O49" s="30"/>
      <c r="P49" s="30"/>
      <c r="Q49" s="30"/>
      <c r="R49" s="30"/>
      <c r="S49" s="30">
        <v>0</v>
      </c>
      <c r="T49" s="26"/>
      <c r="U49" s="26"/>
      <c r="V49" s="26"/>
      <c r="W49" s="26"/>
      <c r="X49" s="26"/>
      <c r="Y49" s="26"/>
      <c r="Z49" s="26"/>
      <c r="AA49" s="26"/>
      <c r="AB49" s="26"/>
      <c r="AC49" s="26"/>
      <c r="AD49" s="26"/>
      <c r="AE49" s="26"/>
      <c r="AF49" s="26"/>
      <c r="AG49" s="26"/>
      <c r="AH49" s="26"/>
      <c r="AI49" s="26"/>
      <c r="AJ49" s="26"/>
      <c r="AK49" s="26"/>
      <c r="AL49" s="26"/>
      <c r="AM49" s="26"/>
      <c r="AN49" s="26"/>
      <c r="AO49" s="26"/>
      <c r="AP49" s="26"/>
      <c r="AQ49" s="26"/>
      <c r="AR49" s="26"/>
    </row>
    <row r="50" spans="1:44" ht="15.75" x14ac:dyDescent="0.25">
      <c r="A50" s="30"/>
      <c r="B50" s="13" t="s">
        <v>77</v>
      </c>
      <c r="C50" s="14" t="s">
        <v>123</v>
      </c>
      <c r="D50" s="5" t="s">
        <v>124</v>
      </c>
      <c r="E50" s="6" t="s">
        <v>22</v>
      </c>
      <c r="F50" s="7" t="e">
        <f>G50+SUMIF('[1]mouvement bakon'!B:B,"=vérin compact",'[1]mouvement bakon'!G:G)</f>
        <v>#VALUE!</v>
      </c>
      <c r="G50" s="7">
        <v>1</v>
      </c>
      <c r="H50" s="6">
        <v>1</v>
      </c>
      <c r="I50" s="2" t="e">
        <f t="shared" si="2"/>
        <v>#VALUE!</v>
      </c>
      <c r="J50" s="11">
        <v>66.7</v>
      </c>
      <c r="K50" s="17" t="e">
        <f t="shared" si="3"/>
        <v>#VALUE!</v>
      </c>
      <c r="L50" s="30"/>
      <c r="M50" s="30"/>
      <c r="N50" s="30"/>
      <c r="O50" s="30"/>
      <c r="P50" s="30"/>
      <c r="Q50" s="30"/>
      <c r="R50" s="30"/>
      <c r="S50" s="30">
        <v>1</v>
      </c>
      <c r="T50" s="26"/>
      <c r="U50" s="26"/>
      <c r="V50" s="26"/>
      <c r="W50" s="26"/>
      <c r="X50" s="26"/>
      <c r="Y50" s="26"/>
      <c r="Z50" s="26"/>
      <c r="AA50" s="26"/>
      <c r="AB50" s="26"/>
      <c r="AC50" s="26"/>
      <c r="AD50" s="26"/>
      <c r="AE50" s="26"/>
      <c r="AF50" s="26"/>
      <c r="AG50" s="26"/>
      <c r="AH50" s="26"/>
      <c r="AI50" s="26"/>
      <c r="AJ50" s="26"/>
      <c r="AK50" s="26"/>
      <c r="AL50" s="26"/>
      <c r="AM50" s="26"/>
      <c r="AN50" s="26"/>
      <c r="AO50" s="26"/>
      <c r="AP50" s="26"/>
      <c r="AQ50" s="26"/>
      <c r="AR50" s="26"/>
    </row>
    <row r="51" spans="1:44" ht="15.75" x14ac:dyDescent="0.25">
      <c r="A51" s="30"/>
      <c r="B51" s="13" t="s">
        <v>77</v>
      </c>
      <c r="C51" s="14" t="s">
        <v>125</v>
      </c>
      <c r="D51" s="5">
        <v>3052</v>
      </c>
      <c r="E51" s="6" t="s">
        <v>22</v>
      </c>
      <c r="F51" s="7" t="e">
        <f>G51+SUMIF('[1]mouvement bakon'!B:B,"=Valve rotative",'[1]mouvement bakon'!G:G)</f>
        <v>#VALUE!</v>
      </c>
      <c r="G51" s="7">
        <v>4</v>
      </c>
      <c r="H51" s="6">
        <v>2</v>
      </c>
      <c r="I51" s="2" t="e">
        <f t="shared" si="2"/>
        <v>#VALUE!</v>
      </c>
      <c r="J51" s="11">
        <v>249.43</v>
      </c>
      <c r="K51" s="17" t="e">
        <f t="shared" si="3"/>
        <v>#VALUE!</v>
      </c>
      <c r="L51" s="30"/>
      <c r="M51" s="30"/>
      <c r="N51" s="30"/>
      <c r="O51" s="30"/>
      <c r="P51" s="30"/>
      <c r="Q51" s="30"/>
      <c r="R51" s="30"/>
      <c r="S51" s="30">
        <v>0</v>
      </c>
      <c r="T51" s="26"/>
      <c r="U51" s="26"/>
      <c r="V51" s="26"/>
      <c r="W51" s="26"/>
      <c r="X51" s="26"/>
      <c r="Y51" s="26"/>
      <c r="Z51" s="26"/>
      <c r="AA51" s="26"/>
      <c r="AB51" s="26"/>
      <c r="AC51" s="26"/>
      <c r="AD51" s="26"/>
      <c r="AE51" s="26"/>
      <c r="AF51" s="26"/>
      <c r="AG51" s="26"/>
      <c r="AH51" s="26"/>
      <c r="AI51" s="26"/>
      <c r="AJ51" s="26"/>
      <c r="AK51" s="26"/>
      <c r="AL51" s="26"/>
      <c r="AM51" s="26"/>
      <c r="AN51" s="26"/>
      <c r="AO51" s="26"/>
      <c r="AP51" s="26"/>
      <c r="AQ51" s="26"/>
      <c r="AR51" s="26"/>
    </row>
    <row r="52" spans="1:44" ht="15.75" x14ac:dyDescent="0.25">
      <c r="A52" s="30"/>
      <c r="B52" s="13" t="s">
        <v>77</v>
      </c>
      <c r="C52" s="14" t="s">
        <v>126</v>
      </c>
      <c r="D52" s="5" t="s">
        <v>127</v>
      </c>
      <c r="E52" s="6" t="s">
        <v>22</v>
      </c>
      <c r="F52" s="7" t="e">
        <f>G52+SUMIF('[1]mouvement bakon'!B:B,"=capteur ILS",'[1]mouvement bakon'!G:G)</f>
        <v>#VALUE!</v>
      </c>
      <c r="G52" s="7">
        <v>2</v>
      </c>
      <c r="H52" s="6">
        <v>1</v>
      </c>
      <c r="I52" s="2" t="e">
        <f t="shared" si="2"/>
        <v>#VALUE!</v>
      </c>
      <c r="J52" s="11">
        <v>39.69</v>
      </c>
      <c r="K52" s="17" t="e">
        <f t="shared" si="3"/>
        <v>#VALUE!</v>
      </c>
      <c r="L52" s="30"/>
      <c r="M52" s="30"/>
      <c r="N52" s="30"/>
      <c r="O52" s="30"/>
      <c r="P52" s="30"/>
      <c r="Q52" s="30"/>
      <c r="R52" s="30"/>
      <c r="S52" s="30">
        <v>1</v>
      </c>
      <c r="T52" s="26"/>
      <c r="U52" s="26"/>
      <c r="V52" s="26"/>
      <c r="W52" s="26"/>
      <c r="X52" s="26"/>
      <c r="Y52" s="26"/>
      <c r="Z52" s="26"/>
      <c r="AA52" s="26"/>
      <c r="AB52" s="26"/>
      <c r="AC52" s="26"/>
      <c r="AD52" s="26"/>
      <c r="AE52" s="26"/>
      <c r="AF52" s="26"/>
      <c r="AG52" s="26"/>
      <c r="AH52" s="26"/>
      <c r="AI52" s="26"/>
      <c r="AJ52" s="26"/>
      <c r="AK52" s="26"/>
      <c r="AL52" s="26"/>
      <c r="AM52" s="26"/>
      <c r="AN52" s="26"/>
      <c r="AO52" s="26"/>
      <c r="AP52" s="26"/>
      <c r="AQ52" s="26"/>
      <c r="AR52" s="26"/>
    </row>
    <row r="53" spans="1:44" ht="15.75" x14ac:dyDescent="0.25">
      <c r="A53" s="30"/>
      <c r="B53" s="13" t="s">
        <v>77</v>
      </c>
      <c r="C53" s="14" t="s">
        <v>128</v>
      </c>
      <c r="D53" s="5" t="s">
        <v>129</v>
      </c>
      <c r="E53" s="6" t="s">
        <v>22</v>
      </c>
      <c r="F53" s="7" t="e">
        <f>G53+SUMIF('[1]mouvement bakon'!B:B,"=Joint 1",'[1]mouvement bakon'!G:G)</f>
        <v>#VALUE!</v>
      </c>
      <c r="G53" s="7">
        <v>8</v>
      </c>
      <c r="H53" s="6">
        <v>8</v>
      </c>
      <c r="I53" s="2" t="e">
        <f t="shared" si="2"/>
        <v>#VALUE!</v>
      </c>
      <c r="J53" s="11">
        <v>1.68</v>
      </c>
      <c r="K53" s="17" t="e">
        <f t="shared" si="3"/>
        <v>#VALUE!</v>
      </c>
      <c r="L53" s="30"/>
      <c r="M53" s="30"/>
      <c r="N53" s="30"/>
      <c r="O53" s="30"/>
      <c r="P53" s="30"/>
      <c r="Q53" s="30"/>
      <c r="R53" s="30"/>
      <c r="S53" s="30">
        <v>0</v>
      </c>
      <c r="T53" s="26"/>
      <c r="U53" s="26"/>
      <c r="V53" s="26"/>
      <c r="W53" s="26"/>
      <c r="X53" s="26"/>
      <c r="Y53" s="26"/>
      <c r="Z53" s="26"/>
      <c r="AA53" s="26"/>
      <c r="AB53" s="26"/>
      <c r="AC53" s="26"/>
      <c r="AD53" s="26"/>
      <c r="AE53" s="26"/>
      <c r="AF53" s="26"/>
      <c r="AG53" s="26"/>
      <c r="AH53" s="26"/>
      <c r="AI53" s="26"/>
      <c r="AJ53" s="26"/>
      <c r="AK53" s="26"/>
      <c r="AL53" s="26"/>
      <c r="AM53" s="26"/>
      <c r="AN53" s="26"/>
      <c r="AO53" s="26"/>
      <c r="AP53" s="26"/>
      <c r="AQ53" s="26"/>
      <c r="AR53" s="26"/>
    </row>
    <row r="54" spans="1:44" ht="15.75" x14ac:dyDescent="0.25">
      <c r="A54" s="30"/>
      <c r="B54" s="13" t="s">
        <v>77</v>
      </c>
      <c r="C54" s="14" t="s">
        <v>130</v>
      </c>
      <c r="D54" s="5" t="s">
        <v>131</v>
      </c>
      <c r="E54" s="6" t="s">
        <v>22</v>
      </c>
      <c r="F54" s="7" t="e">
        <f>G54+SUMIF('[1]mouvement bakon'!B:B,"=Joint 2",'[1]mouvement bakon'!G:G)</f>
        <v>#VALUE!</v>
      </c>
      <c r="G54" s="7">
        <v>8</v>
      </c>
      <c r="H54" s="6">
        <v>8</v>
      </c>
      <c r="I54" s="2" t="e">
        <f t="shared" si="2"/>
        <v>#VALUE!</v>
      </c>
      <c r="J54" s="11">
        <v>1.85</v>
      </c>
      <c r="K54" s="17" t="e">
        <f t="shared" si="3"/>
        <v>#VALUE!</v>
      </c>
      <c r="L54" s="30"/>
      <c r="M54" s="30"/>
      <c r="N54" s="30"/>
      <c r="O54" s="30"/>
      <c r="P54" s="30"/>
      <c r="Q54" s="30"/>
      <c r="R54" s="30"/>
      <c r="S54" s="30">
        <v>1</v>
      </c>
      <c r="T54" s="26"/>
      <c r="U54" s="26"/>
      <c r="V54" s="26"/>
      <c r="W54" s="26"/>
      <c r="X54" s="26"/>
      <c r="Y54" s="26"/>
      <c r="Z54" s="26"/>
      <c r="AA54" s="26"/>
      <c r="AB54" s="26"/>
      <c r="AC54" s="26"/>
      <c r="AD54" s="26"/>
      <c r="AE54" s="26"/>
      <c r="AF54" s="26"/>
      <c r="AG54" s="26"/>
      <c r="AH54" s="26"/>
      <c r="AI54" s="26"/>
      <c r="AJ54" s="26"/>
      <c r="AK54" s="26"/>
      <c r="AL54" s="26"/>
      <c r="AM54" s="26"/>
      <c r="AN54" s="26"/>
      <c r="AO54" s="26"/>
      <c r="AP54" s="26"/>
      <c r="AQ54" s="26"/>
      <c r="AR54" s="26"/>
    </row>
    <row r="55" spans="1:44" ht="15.75" x14ac:dyDescent="0.25">
      <c r="A55" s="30"/>
      <c r="B55" s="13" t="s">
        <v>77</v>
      </c>
      <c r="C55" s="14" t="s">
        <v>132</v>
      </c>
      <c r="D55" s="5" t="s">
        <v>133</v>
      </c>
      <c r="E55" s="6" t="s">
        <v>22</v>
      </c>
      <c r="F55" s="7" t="e">
        <f>G55+SUMIF('[1]mouvement bakon'!B:B,"=joint 3",'[1]mouvement bakon'!G:G)</f>
        <v>#VALUE!</v>
      </c>
      <c r="G55" s="7">
        <v>12</v>
      </c>
      <c r="H55" s="6">
        <v>8</v>
      </c>
      <c r="I55" s="2" t="e">
        <f t="shared" si="2"/>
        <v>#VALUE!</v>
      </c>
      <c r="J55" s="11">
        <v>8.3800000000000008</v>
      </c>
      <c r="K55" s="17" t="e">
        <f t="shared" si="3"/>
        <v>#VALUE!</v>
      </c>
      <c r="L55" s="30"/>
      <c r="M55" s="30"/>
      <c r="N55" s="30"/>
      <c r="O55" s="30"/>
      <c r="P55" s="30"/>
      <c r="Q55" s="30"/>
      <c r="R55" s="30"/>
      <c r="S55" s="30">
        <v>1</v>
      </c>
      <c r="T55" s="26"/>
      <c r="U55" s="26"/>
      <c r="V55" s="26"/>
      <c r="W55" s="26"/>
      <c r="X55" s="26"/>
      <c r="Y55" s="26"/>
      <c r="Z55" s="26"/>
      <c r="AA55" s="26"/>
      <c r="AB55" s="26"/>
      <c r="AC55" s="26"/>
      <c r="AD55" s="26"/>
      <c r="AE55" s="26"/>
      <c r="AF55" s="26"/>
      <c r="AG55" s="26"/>
      <c r="AH55" s="26"/>
      <c r="AI55" s="26"/>
      <c r="AJ55" s="26"/>
      <c r="AK55" s="26"/>
      <c r="AL55" s="26"/>
      <c r="AM55" s="26"/>
      <c r="AN55" s="26"/>
      <c r="AO55" s="26"/>
      <c r="AP55" s="26"/>
      <c r="AQ55" s="26"/>
      <c r="AR55" s="26"/>
    </row>
    <row r="56" spans="1:44" ht="15.75" x14ac:dyDescent="0.25">
      <c r="A56" s="30"/>
      <c r="B56" s="13" t="s">
        <v>77</v>
      </c>
      <c r="C56" s="14" t="s">
        <v>134</v>
      </c>
      <c r="D56" s="5" t="s">
        <v>135</v>
      </c>
      <c r="E56" s="6" t="s">
        <v>22</v>
      </c>
      <c r="F56" s="7" t="e">
        <f>G56+SUMIF('[1]mouvement bakon'!B:B,"=Joint 4",'[1]mouvement bakon'!G:G)</f>
        <v>#VALUE!</v>
      </c>
      <c r="G56" s="7">
        <v>4</v>
      </c>
      <c r="H56" s="6">
        <v>4</v>
      </c>
      <c r="I56" s="2" t="e">
        <f t="shared" si="2"/>
        <v>#VALUE!</v>
      </c>
      <c r="J56" s="11">
        <v>5.38</v>
      </c>
      <c r="K56" s="17" t="e">
        <f t="shared" si="3"/>
        <v>#VALUE!</v>
      </c>
      <c r="L56" s="30"/>
      <c r="M56" s="30"/>
      <c r="N56" s="30"/>
      <c r="O56" s="30"/>
      <c r="P56" s="30"/>
      <c r="Q56" s="30"/>
      <c r="R56" s="30"/>
      <c r="S56" s="30">
        <v>1</v>
      </c>
      <c r="T56" s="26"/>
      <c r="U56" s="26"/>
      <c r="V56" s="26"/>
      <c r="W56" s="26"/>
      <c r="X56" s="26"/>
      <c r="Y56" s="26"/>
      <c r="Z56" s="26"/>
      <c r="AA56" s="26"/>
      <c r="AB56" s="26"/>
      <c r="AC56" s="26"/>
      <c r="AD56" s="26"/>
      <c r="AE56" s="26"/>
      <c r="AF56" s="26"/>
      <c r="AG56" s="26"/>
      <c r="AH56" s="26"/>
      <c r="AI56" s="26"/>
      <c r="AJ56" s="26"/>
      <c r="AK56" s="26"/>
      <c r="AL56" s="26"/>
      <c r="AM56" s="26"/>
      <c r="AN56" s="26"/>
      <c r="AO56" s="26"/>
      <c r="AP56" s="26"/>
      <c r="AQ56" s="26"/>
      <c r="AR56" s="26"/>
    </row>
    <row r="57" spans="1:44" ht="15.75" x14ac:dyDescent="0.25">
      <c r="A57" s="30"/>
      <c r="B57" s="13" t="s">
        <v>77</v>
      </c>
      <c r="C57" s="14" t="s">
        <v>136</v>
      </c>
      <c r="D57" s="5" t="s">
        <v>137</v>
      </c>
      <c r="E57" s="6" t="s">
        <v>22</v>
      </c>
      <c r="F57" s="7" t="e">
        <f>G57+SUMIF('[1]mouvement bakon'!B:B,"=Distributeur 5/3",'[1]mouvement bakon'!G:G)</f>
        <v>#VALUE!</v>
      </c>
      <c r="G57" s="7">
        <v>1</v>
      </c>
      <c r="H57" s="6">
        <v>1</v>
      </c>
      <c r="I57" s="2" t="e">
        <f t="shared" si="2"/>
        <v>#VALUE!</v>
      </c>
      <c r="J57" s="11">
        <v>133.85</v>
      </c>
      <c r="K57" s="17" t="e">
        <f t="shared" si="3"/>
        <v>#VALUE!</v>
      </c>
      <c r="L57" s="30"/>
      <c r="M57" s="30"/>
      <c r="N57" s="30"/>
      <c r="O57" s="30"/>
      <c r="P57" s="30"/>
      <c r="Q57" s="30"/>
      <c r="R57" s="30"/>
      <c r="S57" s="30">
        <v>1</v>
      </c>
      <c r="T57" s="26"/>
      <c r="U57" s="26"/>
      <c r="V57" s="26"/>
      <c r="W57" s="26"/>
      <c r="X57" s="26"/>
      <c r="Y57" s="26"/>
      <c r="Z57" s="26"/>
      <c r="AA57" s="26"/>
      <c r="AB57" s="26"/>
      <c r="AC57" s="26"/>
      <c r="AD57" s="26"/>
      <c r="AE57" s="26"/>
      <c r="AF57" s="26"/>
      <c r="AG57" s="26"/>
      <c r="AH57" s="26"/>
      <c r="AI57" s="26"/>
      <c r="AJ57" s="26"/>
      <c r="AK57" s="26"/>
      <c r="AL57" s="26"/>
      <c r="AM57" s="26"/>
      <c r="AN57" s="26"/>
      <c r="AO57" s="26"/>
      <c r="AP57" s="26"/>
      <c r="AQ57" s="26"/>
      <c r="AR57" s="26"/>
    </row>
    <row r="58" spans="1:44" ht="15.75" x14ac:dyDescent="0.25">
      <c r="A58" s="30"/>
      <c r="B58" s="13" t="s">
        <v>77</v>
      </c>
      <c r="C58" s="14" t="s">
        <v>138</v>
      </c>
      <c r="D58" s="5" t="s">
        <v>139</v>
      </c>
      <c r="E58" s="6" t="s">
        <v>22</v>
      </c>
      <c r="F58" s="7" t="e">
        <f>G58+SUMIF('[1]mouvement bakon'!B:B,"=Distributeur 5/2",'[1]mouvement bakon'!G:G)</f>
        <v>#VALUE!</v>
      </c>
      <c r="G58" s="7">
        <v>2</v>
      </c>
      <c r="H58" s="6">
        <v>1</v>
      </c>
      <c r="I58" s="2" t="e">
        <f t="shared" si="2"/>
        <v>#VALUE!</v>
      </c>
      <c r="J58" s="11">
        <v>84.11</v>
      </c>
      <c r="K58" s="17" t="e">
        <f t="shared" si="3"/>
        <v>#VALUE!</v>
      </c>
      <c r="L58" s="30"/>
      <c r="M58" s="30"/>
      <c r="N58" s="30"/>
      <c r="O58" s="30"/>
      <c r="P58" s="30"/>
      <c r="Q58" s="30"/>
      <c r="R58" s="30"/>
      <c r="S58" s="30">
        <v>1</v>
      </c>
      <c r="T58" s="26"/>
      <c r="U58" s="26"/>
      <c r="V58" s="26"/>
      <c r="W58" s="26"/>
      <c r="X58" s="26"/>
      <c r="Y58" s="26"/>
      <c r="Z58" s="26"/>
      <c r="AA58" s="26"/>
      <c r="AB58" s="26"/>
      <c r="AC58" s="26"/>
      <c r="AD58" s="26"/>
      <c r="AE58" s="26"/>
      <c r="AF58" s="26"/>
      <c r="AG58" s="26"/>
      <c r="AH58" s="26"/>
      <c r="AI58" s="26"/>
      <c r="AJ58" s="26"/>
      <c r="AK58" s="26"/>
      <c r="AL58" s="26"/>
      <c r="AM58" s="26"/>
      <c r="AN58" s="26"/>
      <c r="AO58" s="26"/>
      <c r="AP58" s="26"/>
      <c r="AQ58" s="26"/>
      <c r="AR58" s="26"/>
    </row>
    <row r="59" spans="1:44" ht="15.75" x14ac:dyDescent="0.25">
      <c r="A59" s="30"/>
      <c r="B59" s="13" t="s">
        <v>77</v>
      </c>
      <c r="C59" s="14" t="s">
        <v>140</v>
      </c>
      <c r="D59" s="5" t="s">
        <v>141</v>
      </c>
      <c r="E59" s="6" t="s">
        <v>96</v>
      </c>
      <c r="F59" s="7" t="e">
        <f>G59+SUMIF('[1]mouvement bakon'!B:B,"=coupleur (Ø6mm) style staublî",'[1]mouvement bakon'!G:G)</f>
        <v>#VALUE!</v>
      </c>
      <c r="G59" s="7">
        <v>24</v>
      </c>
      <c r="H59" s="6">
        <v>2</v>
      </c>
      <c r="I59" s="2" t="e">
        <f t="shared" si="2"/>
        <v>#VALUE!</v>
      </c>
      <c r="J59" s="11">
        <v>2.27</v>
      </c>
      <c r="K59" s="17" t="e">
        <f t="shared" si="3"/>
        <v>#VALUE!</v>
      </c>
      <c r="L59" s="30"/>
      <c r="M59" s="30"/>
      <c r="N59" s="30"/>
      <c r="O59" s="30"/>
      <c r="P59" s="30"/>
      <c r="Q59" s="30"/>
      <c r="R59" s="30"/>
      <c r="S59" s="30">
        <v>0</v>
      </c>
      <c r="T59" s="26"/>
      <c r="U59" s="26"/>
      <c r="V59" s="26"/>
      <c r="W59" s="26"/>
      <c r="X59" s="26"/>
      <c r="Y59" s="26"/>
      <c r="Z59" s="26"/>
      <c r="AA59" s="26"/>
      <c r="AB59" s="26"/>
      <c r="AC59" s="26"/>
      <c r="AD59" s="26"/>
      <c r="AE59" s="26"/>
      <c r="AF59" s="26"/>
      <c r="AG59" s="26"/>
      <c r="AH59" s="26"/>
      <c r="AI59" s="26"/>
      <c r="AJ59" s="26"/>
      <c r="AK59" s="26"/>
      <c r="AL59" s="26"/>
      <c r="AM59" s="26"/>
      <c r="AN59" s="26"/>
      <c r="AO59" s="26"/>
      <c r="AP59" s="26"/>
      <c r="AQ59" s="26"/>
      <c r="AR59" s="26"/>
    </row>
    <row r="60" spans="1:44" ht="15.75" x14ac:dyDescent="0.25">
      <c r="A60" s="30"/>
      <c r="B60" s="13" t="s">
        <v>77</v>
      </c>
      <c r="C60" s="14" t="s">
        <v>142</v>
      </c>
      <c r="D60" s="5" t="s">
        <v>143</v>
      </c>
      <c r="E60" s="6" t="s">
        <v>22</v>
      </c>
      <c r="F60" s="7" t="e">
        <f>G60+SUMIF('[1]mouvement bakon'!B:B,"=Molette filetée plastique",'[1]mouvement bakon'!G:G)</f>
        <v>#VALUE!</v>
      </c>
      <c r="G60" s="7">
        <v>1</v>
      </c>
      <c r="H60" s="6">
        <v>1</v>
      </c>
      <c r="I60" s="2" t="e">
        <f t="shared" si="2"/>
        <v>#VALUE!</v>
      </c>
      <c r="J60" s="11">
        <v>14.03</v>
      </c>
      <c r="K60" s="17" t="e">
        <f t="shared" si="3"/>
        <v>#VALUE!</v>
      </c>
      <c r="L60" s="30"/>
      <c r="M60" s="3" t="s">
        <v>77</v>
      </c>
      <c r="N60" s="30"/>
      <c r="O60" s="30"/>
      <c r="P60" s="30"/>
      <c r="Q60" s="30"/>
      <c r="R60" s="30"/>
      <c r="S60" s="30">
        <v>0</v>
      </c>
      <c r="T60" s="26"/>
      <c r="U60" s="26"/>
      <c r="V60" s="26"/>
      <c r="W60" s="26"/>
      <c r="X60" s="26"/>
      <c r="Y60" s="26"/>
      <c r="Z60" s="26"/>
      <c r="AA60" s="26"/>
      <c r="AB60" s="26"/>
      <c r="AC60" s="26"/>
      <c r="AD60" s="26"/>
      <c r="AE60" s="26"/>
      <c r="AF60" s="26"/>
      <c r="AG60" s="26"/>
      <c r="AH60" s="26"/>
      <c r="AI60" s="26"/>
      <c r="AJ60" s="26"/>
      <c r="AK60" s="26"/>
      <c r="AL60" s="26"/>
      <c r="AM60" s="26"/>
      <c r="AN60" s="26"/>
      <c r="AO60" s="26"/>
      <c r="AP60" s="26"/>
      <c r="AQ60" s="26"/>
      <c r="AR60" s="26"/>
    </row>
    <row r="61" spans="1:44" ht="15.75" x14ac:dyDescent="0.25">
      <c r="A61" s="30"/>
      <c r="B61" s="61" t="s">
        <v>77</v>
      </c>
      <c r="C61" s="62" t="s">
        <v>144</v>
      </c>
      <c r="D61" s="63" t="s">
        <v>145</v>
      </c>
      <c r="E61" s="25" t="s">
        <v>22</v>
      </c>
      <c r="F61" s="7" t="e">
        <f>G61+SUMIF('[1]mouvement bakon'!B:B,"=LEVIER EASY-LOCK PRISE HARTING",'[1]mouvement bakon'!G:G)</f>
        <v>#VALUE!</v>
      </c>
      <c r="G61" s="6">
        <v>10</v>
      </c>
      <c r="H61" s="63">
        <v>2</v>
      </c>
      <c r="I61" s="2" t="e">
        <f t="shared" si="2"/>
        <v>#VALUE!</v>
      </c>
      <c r="J61" s="11">
        <v>5.29</v>
      </c>
      <c r="K61" s="17" t="e">
        <f t="shared" si="3"/>
        <v>#VALUE!</v>
      </c>
      <c r="L61" s="30"/>
      <c r="M61" s="35" t="e">
        <f>SUM(K27:K61)</f>
        <v>#VALUE!</v>
      </c>
      <c r="N61" s="30"/>
      <c r="O61" s="30"/>
      <c r="P61" s="30"/>
      <c r="Q61" s="30"/>
      <c r="R61" s="30"/>
      <c r="S61" s="30">
        <v>0</v>
      </c>
      <c r="T61" s="26"/>
      <c r="U61" s="26"/>
      <c r="V61" s="26"/>
      <c r="W61" s="26"/>
      <c r="X61" s="26"/>
      <c r="Y61" s="26"/>
      <c r="Z61" s="26"/>
      <c r="AA61" s="26"/>
      <c r="AB61" s="26"/>
      <c r="AC61" s="26"/>
      <c r="AD61" s="26"/>
      <c r="AE61" s="26"/>
      <c r="AF61" s="26"/>
      <c r="AG61" s="26"/>
      <c r="AH61" s="26"/>
      <c r="AI61" s="26"/>
      <c r="AJ61" s="26"/>
      <c r="AK61" s="26"/>
      <c r="AL61" s="26"/>
      <c r="AM61" s="26"/>
      <c r="AN61" s="26"/>
      <c r="AO61" s="26"/>
      <c r="AP61" s="26"/>
      <c r="AQ61" s="26"/>
      <c r="AR61" s="26"/>
    </row>
    <row r="62" spans="1:44" ht="24" x14ac:dyDescent="0.25">
      <c r="A62" s="30"/>
      <c r="B62" s="13" t="s">
        <v>146</v>
      </c>
      <c r="C62" s="62" t="s">
        <v>3</v>
      </c>
      <c r="D62" s="63" t="s">
        <v>147</v>
      </c>
      <c r="E62" s="63" t="s">
        <v>22</v>
      </c>
      <c r="F62" s="64" t="e">
        <f>G62+SUMIF('[1]mouvement batteurs cuves'!B:B,"=afficheur rotation fouet WEST 6100+",'[1]mouvement batteurs cuves'!G:G)</f>
        <v>#VALUE!</v>
      </c>
      <c r="G62" s="63">
        <v>2</v>
      </c>
      <c r="H62" s="63">
        <v>1</v>
      </c>
      <c r="I62" s="65" t="e">
        <f t="shared" si="2"/>
        <v>#VALUE!</v>
      </c>
      <c r="J62" s="66">
        <v>295.58999999999997</v>
      </c>
      <c r="K62" s="67" t="e">
        <f t="shared" si="3"/>
        <v>#VALUE!</v>
      </c>
      <c r="L62" s="30"/>
      <c r="M62" s="30"/>
      <c r="N62" s="30"/>
      <c r="O62" s="30"/>
      <c r="P62" s="30"/>
      <c r="Q62" s="30"/>
      <c r="R62" s="30"/>
      <c r="S62" s="30">
        <v>1</v>
      </c>
      <c r="T62" s="26"/>
      <c r="U62" s="26"/>
      <c r="V62" s="26"/>
      <c r="W62" s="26"/>
      <c r="X62" s="26"/>
      <c r="Y62" s="26"/>
      <c r="Z62" s="26"/>
      <c r="AA62" s="26"/>
      <c r="AB62" s="26"/>
      <c r="AC62" s="26"/>
      <c r="AD62" s="26"/>
      <c r="AE62" s="26"/>
      <c r="AF62" s="26"/>
      <c r="AG62" s="26"/>
      <c r="AH62" s="26"/>
      <c r="AI62" s="26"/>
      <c r="AJ62" s="26"/>
      <c r="AK62" s="26"/>
      <c r="AL62" s="26"/>
      <c r="AM62" s="26"/>
      <c r="AN62" s="26"/>
      <c r="AO62" s="26"/>
      <c r="AP62" s="26"/>
      <c r="AQ62" s="26"/>
      <c r="AR62" s="26"/>
    </row>
    <row r="63" spans="1:44" ht="15.75" x14ac:dyDescent="0.25">
      <c r="A63" s="30"/>
      <c r="B63" s="13" t="s">
        <v>146</v>
      </c>
      <c r="C63" s="4" t="s">
        <v>148</v>
      </c>
      <c r="D63" s="20" t="s">
        <v>149</v>
      </c>
      <c r="E63" s="20" t="s">
        <v>22</v>
      </c>
      <c r="F63" s="7" t="e">
        <f>G63+SUMIF('[1]mouvement batteurs cuves'!B:B,"=Axe acier pour verin",'[1]mouvement batteurs cuves'!G:G)</f>
        <v>#VALUE!</v>
      </c>
      <c r="G63" s="63">
        <v>2</v>
      </c>
      <c r="H63" s="20">
        <v>2</v>
      </c>
      <c r="I63" s="68" t="e">
        <f t="shared" si="2"/>
        <v>#VALUE!</v>
      </c>
      <c r="J63" s="69">
        <v>40.799999999999997</v>
      </c>
      <c r="K63" s="17" t="e">
        <f t="shared" si="3"/>
        <v>#VALUE!</v>
      </c>
      <c r="L63" s="30"/>
      <c r="M63" s="30"/>
      <c r="N63" s="30"/>
      <c r="O63" s="30"/>
      <c r="P63" s="30"/>
      <c r="Q63" s="30"/>
      <c r="R63" s="30"/>
      <c r="S63" s="30">
        <v>0</v>
      </c>
      <c r="T63" s="26"/>
      <c r="U63" s="26"/>
      <c r="V63" s="26"/>
      <c r="W63" s="26"/>
      <c r="X63" s="26"/>
      <c r="Y63" s="26"/>
      <c r="Z63" s="26"/>
      <c r="AA63" s="26"/>
      <c r="AB63" s="26"/>
      <c r="AC63" s="26"/>
      <c r="AD63" s="26"/>
      <c r="AE63" s="26"/>
      <c r="AF63" s="26"/>
      <c r="AG63" s="26"/>
      <c r="AH63" s="26"/>
      <c r="AI63" s="26"/>
      <c r="AJ63" s="26"/>
      <c r="AK63" s="26"/>
      <c r="AL63" s="26"/>
      <c r="AM63" s="26"/>
      <c r="AN63" s="26"/>
      <c r="AO63" s="26"/>
      <c r="AP63" s="26"/>
      <c r="AQ63" s="26"/>
      <c r="AR63" s="26"/>
    </row>
    <row r="64" spans="1:44" ht="15.75" x14ac:dyDescent="0.25">
      <c r="A64" s="30"/>
      <c r="B64" s="13" t="s">
        <v>146</v>
      </c>
      <c r="C64" s="70" t="s">
        <v>150</v>
      </c>
      <c r="D64" s="71" t="s">
        <v>151</v>
      </c>
      <c r="E64" s="71" t="s">
        <v>22</v>
      </c>
      <c r="F64" s="64" t="e">
        <f>G64+SUMIF('[1]mouvement batteurs cuves'!B:B,"=Bague retenue 150L",'[1]mouvement batteurs cuves'!G:G)</f>
        <v>#VALUE!</v>
      </c>
      <c r="G64" s="63">
        <v>5</v>
      </c>
      <c r="H64" s="71">
        <v>2</v>
      </c>
      <c r="I64" s="65" t="e">
        <f t="shared" si="2"/>
        <v>#VALUE!</v>
      </c>
      <c r="J64" s="72">
        <v>0</v>
      </c>
      <c r="K64" s="67" t="e">
        <f t="shared" si="3"/>
        <v>#VALUE!</v>
      </c>
      <c r="L64" s="30"/>
      <c r="M64" s="30"/>
      <c r="N64" s="30"/>
      <c r="O64" s="30"/>
      <c r="P64" s="30"/>
      <c r="Q64" s="30"/>
      <c r="R64" s="30"/>
      <c r="S64" s="30">
        <v>1</v>
      </c>
      <c r="T64" s="26"/>
      <c r="U64" s="26"/>
      <c r="V64" s="26"/>
      <c r="W64" s="26"/>
      <c r="X64" s="26"/>
      <c r="Y64" s="26"/>
      <c r="Z64" s="26"/>
      <c r="AA64" s="26"/>
      <c r="AB64" s="26"/>
      <c r="AC64" s="26"/>
      <c r="AD64" s="26"/>
      <c r="AE64" s="26"/>
      <c r="AF64" s="26"/>
      <c r="AG64" s="26"/>
      <c r="AH64" s="26"/>
      <c r="AI64" s="26"/>
      <c r="AJ64" s="26"/>
      <c r="AK64" s="26"/>
      <c r="AL64" s="26"/>
      <c r="AM64" s="26"/>
      <c r="AN64" s="26"/>
      <c r="AO64" s="26"/>
      <c r="AP64" s="26"/>
      <c r="AQ64" s="26"/>
      <c r="AR64" s="26"/>
    </row>
    <row r="65" spans="1:44" ht="15.75" x14ac:dyDescent="0.25">
      <c r="A65" s="30"/>
      <c r="B65" s="13" t="s">
        <v>146</v>
      </c>
      <c r="C65" s="62" t="s">
        <v>152</v>
      </c>
      <c r="D65" s="63" t="s">
        <v>153</v>
      </c>
      <c r="E65" s="63" t="s">
        <v>154</v>
      </c>
      <c r="F65" s="7" t="e">
        <f>G65+SUMIF('[1]mouvement batteurs cuves'!B:B,"=fond de boitier en fonte d'aluminium",'[1]mouvement batteurs cuves'!G:G)</f>
        <v>#VALUE!</v>
      </c>
      <c r="G65" s="63">
        <v>8</v>
      </c>
      <c r="H65" s="63">
        <v>1</v>
      </c>
      <c r="I65" s="68" t="e">
        <f t="shared" si="2"/>
        <v>#VALUE!</v>
      </c>
      <c r="J65" s="66">
        <v>201.62</v>
      </c>
      <c r="K65" s="17" t="e">
        <f t="shared" si="3"/>
        <v>#VALUE!</v>
      </c>
      <c r="L65" s="30"/>
      <c r="M65" s="30"/>
      <c r="N65" s="30"/>
      <c r="O65" s="30"/>
      <c r="P65" s="30"/>
      <c r="Q65" s="30"/>
      <c r="R65" s="30"/>
      <c r="S65" s="30">
        <v>0</v>
      </c>
      <c r="T65" s="26"/>
      <c r="U65" s="26"/>
      <c r="V65" s="26"/>
      <c r="W65" s="26"/>
      <c r="X65" s="26"/>
      <c r="Y65" s="26"/>
      <c r="Z65" s="26"/>
      <c r="AA65" s="26"/>
      <c r="AB65" s="26"/>
      <c r="AC65" s="26"/>
      <c r="AD65" s="26"/>
      <c r="AE65" s="26"/>
      <c r="AF65" s="26"/>
      <c r="AG65" s="26"/>
      <c r="AH65" s="26"/>
      <c r="AI65" s="26"/>
      <c r="AJ65" s="26"/>
      <c r="AK65" s="26"/>
      <c r="AL65" s="26"/>
      <c r="AM65" s="26"/>
      <c r="AN65" s="26"/>
      <c r="AO65" s="26"/>
      <c r="AP65" s="26"/>
      <c r="AQ65" s="26"/>
      <c r="AR65" s="26"/>
    </row>
    <row r="66" spans="1:44" ht="15.75" x14ac:dyDescent="0.25">
      <c r="A66" s="30"/>
      <c r="B66" s="13" t="s">
        <v>146</v>
      </c>
      <c r="C66" s="62" t="s">
        <v>155</v>
      </c>
      <c r="D66" s="63" t="s">
        <v>156</v>
      </c>
      <c r="E66" s="63" t="s">
        <v>154</v>
      </c>
      <c r="F66" s="64" t="e">
        <f>G66+SUMIF('[1]mouvement batteurs cuves'!B:B,"=bande de raclage 80 L ",'[1]mouvement batteurs cuves'!G:G)</f>
        <v>#VALUE!</v>
      </c>
      <c r="G66" s="63">
        <v>7</v>
      </c>
      <c r="H66" s="63">
        <v>1</v>
      </c>
      <c r="I66" s="65" t="e">
        <f t="shared" si="2"/>
        <v>#VALUE!</v>
      </c>
      <c r="J66" s="66">
        <v>43.8</v>
      </c>
      <c r="K66" s="67" t="e">
        <f t="shared" si="3"/>
        <v>#VALUE!</v>
      </c>
      <c r="L66" s="30"/>
      <c r="M66" s="30"/>
      <c r="N66" s="30"/>
      <c r="O66" s="30"/>
      <c r="P66" s="30"/>
      <c r="Q66" s="30"/>
      <c r="R66" s="30"/>
      <c r="S66" s="30">
        <v>1</v>
      </c>
      <c r="T66" s="26"/>
      <c r="U66" s="26"/>
      <c r="V66" s="26"/>
      <c r="W66" s="26"/>
      <c r="X66" s="26"/>
      <c r="Y66" s="26"/>
      <c r="Z66" s="26"/>
      <c r="AA66" s="26"/>
      <c r="AB66" s="26"/>
      <c r="AC66" s="26"/>
      <c r="AD66" s="26"/>
      <c r="AE66" s="26"/>
      <c r="AF66" s="26"/>
      <c r="AG66" s="26"/>
      <c r="AH66" s="26"/>
      <c r="AI66" s="26"/>
      <c r="AJ66" s="26"/>
      <c r="AK66" s="26"/>
      <c r="AL66" s="26"/>
      <c r="AM66" s="26"/>
      <c r="AN66" s="26"/>
      <c r="AO66" s="26"/>
      <c r="AP66" s="26"/>
      <c r="AQ66" s="26"/>
      <c r="AR66" s="26"/>
    </row>
    <row r="67" spans="1:44" ht="15.75" x14ac:dyDescent="0.25">
      <c r="A67" s="30"/>
      <c r="B67" s="13" t="s">
        <v>146</v>
      </c>
      <c r="C67" s="4" t="s">
        <v>157</v>
      </c>
      <c r="D67" s="20" t="s">
        <v>158</v>
      </c>
      <c r="E67" s="20" t="s">
        <v>22</v>
      </c>
      <c r="F67" s="7" t="e">
        <f>G67+SUMIF('[1]mouvement batteurs cuves'!B:B,"=Butée Arriere Batteur ",'[1]mouvement batteurs cuves'!G:G)</f>
        <v>#VALUE!</v>
      </c>
      <c r="G67" s="63">
        <v>4</v>
      </c>
      <c r="H67" s="20">
        <v>1</v>
      </c>
      <c r="I67" s="68" t="e">
        <f t="shared" si="2"/>
        <v>#VALUE!</v>
      </c>
      <c r="J67" s="69">
        <v>14.1</v>
      </c>
      <c r="K67" s="17" t="e">
        <f t="shared" si="3"/>
        <v>#VALUE!</v>
      </c>
      <c r="L67" s="30"/>
      <c r="M67" s="30"/>
      <c r="N67" s="30"/>
      <c r="O67" s="30"/>
      <c r="P67" s="30"/>
      <c r="Q67" s="30"/>
      <c r="R67" s="30"/>
      <c r="S67" s="30">
        <v>1</v>
      </c>
      <c r="T67" s="26"/>
      <c r="U67" s="26"/>
      <c r="V67" s="26"/>
      <c r="W67" s="26"/>
      <c r="X67" s="26"/>
      <c r="Y67" s="26"/>
      <c r="Z67" s="26"/>
      <c r="AA67" s="26"/>
      <c r="AB67" s="26"/>
      <c r="AC67" s="26"/>
      <c r="AD67" s="26"/>
      <c r="AE67" s="26"/>
      <c r="AF67" s="26"/>
      <c r="AG67" s="26"/>
      <c r="AH67" s="26"/>
      <c r="AI67" s="26"/>
      <c r="AJ67" s="26"/>
      <c r="AK67" s="26"/>
      <c r="AL67" s="26"/>
      <c r="AM67" s="26"/>
      <c r="AN67" s="26"/>
      <c r="AO67" s="26"/>
      <c r="AP67" s="26"/>
      <c r="AQ67" s="26"/>
      <c r="AR67" s="26"/>
    </row>
    <row r="68" spans="1:44" ht="15.75" x14ac:dyDescent="0.25">
      <c r="A68" s="30"/>
      <c r="B68" s="13" t="s">
        <v>146</v>
      </c>
      <c r="C68" s="70" t="s">
        <v>159</v>
      </c>
      <c r="D68" s="71" t="s">
        <v>160</v>
      </c>
      <c r="E68" s="71" t="s">
        <v>22</v>
      </c>
      <c r="F68" s="64" t="e">
        <f>G68+SUMIF('[1]mouvement batteurs cuves'!B:B,"=Butée FDC presence cuve",'[1]mouvement batteurs cuves'!G:G)</f>
        <v>#VALUE!</v>
      </c>
      <c r="G68" s="63">
        <v>3</v>
      </c>
      <c r="H68" s="71">
        <v>1</v>
      </c>
      <c r="I68" s="65" t="e">
        <f t="shared" si="2"/>
        <v>#VALUE!</v>
      </c>
      <c r="J68" s="72">
        <v>12.51</v>
      </c>
      <c r="K68" s="67" t="e">
        <f t="shared" si="3"/>
        <v>#VALUE!</v>
      </c>
      <c r="L68" s="30"/>
      <c r="M68" s="30"/>
      <c r="N68" s="30"/>
      <c r="O68" s="30"/>
      <c r="P68" s="30"/>
      <c r="Q68" s="30"/>
      <c r="R68" s="30"/>
      <c r="S68" s="30">
        <v>1</v>
      </c>
      <c r="T68" s="26"/>
      <c r="U68" s="26"/>
      <c r="V68" s="26"/>
      <c r="W68" s="26"/>
      <c r="X68" s="26"/>
      <c r="Y68" s="26"/>
      <c r="Z68" s="26"/>
      <c r="AA68" s="26"/>
      <c r="AB68" s="26"/>
      <c r="AC68" s="26"/>
      <c r="AD68" s="26"/>
      <c r="AE68" s="26"/>
      <c r="AF68" s="26"/>
      <c r="AG68" s="26"/>
      <c r="AH68" s="26"/>
      <c r="AI68" s="26"/>
      <c r="AJ68" s="26"/>
      <c r="AK68" s="26"/>
      <c r="AL68" s="26"/>
      <c r="AM68" s="26"/>
      <c r="AN68" s="26"/>
      <c r="AO68" s="26"/>
      <c r="AP68" s="26"/>
      <c r="AQ68" s="26"/>
      <c r="AR68" s="26"/>
    </row>
    <row r="69" spans="1:44" ht="15.75" x14ac:dyDescent="0.25">
      <c r="A69" s="30"/>
      <c r="B69" s="13" t="s">
        <v>146</v>
      </c>
      <c r="C69" s="4" t="s">
        <v>161</v>
      </c>
      <c r="D69" s="20" t="s">
        <v>162</v>
      </c>
      <c r="E69" s="20" t="s">
        <v>22</v>
      </c>
      <c r="F69" s="7" t="e">
        <f>G69+SUMIF('[1]mouvement batteurs cuves'!B:B,"=Capot Prise Harting sortie coudée",'[1]mouvement batteurs cuves'!G:G)</f>
        <v>#VALUE!</v>
      </c>
      <c r="G69" s="63">
        <v>5</v>
      </c>
      <c r="H69" s="20">
        <v>2</v>
      </c>
      <c r="I69" s="68" t="e">
        <f t="shared" si="2"/>
        <v>#VALUE!</v>
      </c>
      <c r="J69" s="69">
        <v>13.86</v>
      </c>
      <c r="K69" s="17" t="e">
        <f t="shared" si="3"/>
        <v>#VALUE!</v>
      </c>
      <c r="L69" s="30"/>
      <c r="M69" s="30"/>
      <c r="N69" s="30"/>
      <c r="O69" s="30"/>
      <c r="P69" s="30"/>
      <c r="Q69" s="30"/>
      <c r="R69" s="30"/>
      <c r="S69" s="30">
        <v>1</v>
      </c>
      <c r="T69" s="26"/>
      <c r="U69" s="26"/>
      <c r="V69" s="26"/>
      <c r="W69" s="26"/>
      <c r="X69" s="26"/>
      <c r="Y69" s="26"/>
      <c r="Z69" s="26"/>
      <c r="AA69" s="26"/>
      <c r="AB69" s="26"/>
      <c r="AC69" s="26"/>
      <c r="AD69" s="26"/>
      <c r="AE69" s="26"/>
      <c r="AF69" s="26"/>
      <c r="AG69" s="26"/>
      <c r="AH69" s="26"/>
      <c r="AI69" s="26"/>
      <c r="AJ69" s="26"/>
      <c r="AK69" s="26"/>
      <c r="AL69" s="26"/>
      <c r="AM69" s="26"/>
      <c r="AN69" s="26"/>
      <c r="AO69" s="26"/>
      <c r="AP69" s="26"/>
      <c r="AQ69" s="26"/>
      <c r="AR69" s="26"/>
    </row>
    <row r="70" spans="1:44" ht="15.75" x14ac:dyDescent="0.25">
      <c r="A70" s="30"/>
      <c r="B70" s="13" t="s">
        <v>146</v>
      </c>
      <c r="C70" s="70" t="s">
        <v>163</v>
      </c>
      <c r="D70" s="71" t="s">
        <v>164</v>
      </c>
      <c r="E70" s="71" t="s">
        <v>22</v>
      </c>
      <c r="F70" s="64" t="e">
        <f>G70+SUMIF('[1]mouvement batteurs cuves'!B:B,"=Capteur de fin de course Telemecanique, NO/NF, 10 A, 240V, IP66",'[1]mouvement batteurs cuves'!G:G)</f>
        <v>#VALUE!</v>
      </c>
      <c r="G70" s="63">
        <v>1</v>
      </c>
      <c r="H70" s="71">
        <v>1</v>
      </c>
      <c r="I70" s="65" t="e">
        <f t="shared" si="2"/>
        <v>#VALUE!</v>
      </c>
      <c r="J70" s="72">
        <v>45.5</v>
      </c>
      <c r="K70" s="67" t="e">
        <f t="shared" si="3"/>
        <v>#VALUE!</v>
      </c>
      <c r="L70" s="30"/>
      <c r="M70" s="30"/>
      <c r="N70" s="30"/>
      <c r="O70" s="30"/>
      <c r="P70" s="30"/>
      <c r="Q70" s="30"/>
      <c r="R70" s="30"/>
      <c r="S70" s="30">
        <v>1</v>
      </c>
      <c r="T70" s="26"/>
      <c r="U70" s="26"/>
      <c r="V70" s="26"/>
      <c r="W70" s="26"/>
      <c r="X70" s="26"/>
      <c r="Y70" s="26"/>
      <c r="Z70" s="26"/>
      <c r="AA70" s="26"/>
      <c r="AB70" s="26"/>
      <c r="AC70" s="26"/>
      <c r="AD70" s="26"/>
      <c r="AE70" s="26"/>
      <c r="AF70" s="26"/>
      <c r="AG70" s="26"/>
      <c r="AH70" s="26"/>
      <c r="AI70" s="26"/>
      <c r="AJ70" s="26"/>
      <c r="AK70" s="26"/>
      <c r="AL70" s="26"/>
      <c r="AM70" s="26"/>
      <c r="AN70" s="26"/>
      <c r="AO70" s="26"/>
      <c r="AP70" s="26"/>
      <c r="AQ70" s="26"/>
      <c r="AR70" s="26"/>
    </row>
    <row r="71" spans="1:44" ht="15.75" x14ac:dyDescent="0.25">
      <c r="A71" s="30"/>
      <c r="B71" s="13" t="s">
        <v>146</v>
      </c>
      <c r="C71" s="73" t="s">
        <v>165</v>
      </c>
      <c r="D71" s="74" t="s">
        <v>166</v>
      </c>
      <c r="E71" s="63" t="s">
        <v>22</v>
      </c>
      <c r="F71" s="7" t="e">
        <f>G71+SUMIF('[1]mouvement batteurs cuves'!B:B,"=chariot alu + sous postes cuves 150L",'[1]mouvement batteurs cuves'!G:G)</f>
        <v>#VALUE!</v>
      </c>
      <c r="G71" s="63">
        <v>1</v>
      </c>
      <c r="H71" s="63">
        <v>1</v>
      </c>
      <c r="I71" s="68" t="e">
        <f t="shared" si="2"/>
        <v>#VALUE!</v>
      </c>
      <c r="J71" s="66">
        <v>246</v>
      </c>
      <c r="K71" s="17" t="e">
        <f t="shared" si="3"/>
        <v>#VALUE!</v>
      </c>
      <c r="L71" s="30"/>
      <c r="M71" s="30"/>
      <c r="N71" s="30"/>
      <c r="O71" s="30"/>
      <c r="P71" s="30"/>
      <c r="Q71" s="30"/>
      <c r="R71" s="30"/>
      <c r="S71" s="30">
        <v>0</v>
      </c>
      <c r="T71" s="26"/>
      <c r="U71" s="26"/>
      <c r="V71" s="26"/>
      <c r="W71" s="26"/>
      <c r="X71" s="26"/>
      <c r="Y71" s="26"/>
      <c r="Z71" s="26"/>
      <c r="AA71" s="26"/>
      <c r="AB71" s="26"/>
      <c r="AC71" s="26"/>
      <c r="AD71" s="26"/>
      <c r="AE71" s="26"/>
      <c r="AF71" s="26"/>
      <c r="AG71" s="26"/>
      <c r="AH71" s="26"/>
      <c r="AI71" s="26"/>
      <c r="AJ71" s="26"/>
      <c r="AK71" s="26"/>
      <c r="AL71" s="26"/>
      <c r="AM71" s="26"/>
      <c r="AN71" s="26"/>
      <c r="AO71" s="26"/>
      <c r="AP71" s="26"/>
      <c r="AQ71" s="26"/>
      <c r="AR71" s="26"/>
    </row>
    <row r="72" spans="1:44" ht="15.75" x14ac:dyDescent="0.25">
      <c r="A72" s="30"/>
      <c r="B72" s="13" t="s">
        <v>146</v>
      </c>
      <c r="C72" s="70" t="s">
        <v>10</v>
      </c>
      <c r="D72" s="71" t="s">
        <v>167</v>
      </c>
      <c r="E72" s="71" t="s">
        <v>154</v>
      </c>
      <c r="F72" s="64" t="e">
        <f>G72+SUMIF('[1]mouvement batteurs cuves'!B:B,"=Chariot Alu support des roulettes pour cuve 150 L",'[1]mouvement batteurs cuves'!G:G)</f>
        <v>#VALUE!</v>
      </c>
      <c r="G72" s="63">
        <v>3</v>
      </c>
      <c r="H72" s="71">
        <v>1</v>
      </c>
      <c r="I72" s="65" t="e">
        <f t="shared" si="2"/>
        <v>#VALUE!</v>
      </c>
      <c r="J72" s="72">
        <v>246</v>
      </c>
      <c r="K72" s="67" t="e">
        <f t="shared" si="3"/>
        <v>#VALUE!</v>
      </c>
      <c r="L72" s="30"/>
      <c r="M72" s="30"/>
      <c r="N72" s="30"/>
      <c r="O72" s="30"/>
      <c r="P72" s="30"/>
      <c r="Q72" s="30"/>
      <c r="R72" s="30"/>
      <c r="S72" s="30">
        <v>0</v>
      </c>
      <c r="T72" s="26"/>
      <c r="U72" s="26"/>
      <c r="V72" s="26"/>
      <c r="W72" s="26"/>
      <c r="X72" s="26"/>
      <c r="Y72" s="26"/>
      <c r="Z72" s="26"/>
      <c r="AA72" s="26"/>
      <c r="AB72" s="26"/>
      <c r="AC72" s="26"/>
      <c r="AD72" s="26"/>
      <c r="AE72" s="26"/>
      <c r="AF72" s="26"/>
      <c r="AG72" s="26"/>
      <c r="AH72" s="26"/>
      <c r="AI72" s="26"/>
      <c r="AJ72" s="26"/>
      <c r="AK72" s="26"/>
      <c r="AL72" s="26"/>
      <c r="AM72" s="26"/>
      <c r="AN72" s="26"/>
      <c r="AO72" s="26"/>
      <c r="AP72" s="26"/>
      <c r="AQ72" s="26"/>
      <c r="AR72" s="26"/>
    </row>
    <row r="73" spans="1:44" ht="15.75" x14ac:dyDescent="0.25">
      <c r="A73" s="30"/>
      <c r="B73" s="13" t="s">
        <v>146</v>
      </c>
      <c r="C73" s="4" t="s">
        <v>168</v>
      </c>
      <c r="D73" s="20" t="s">
        <v>169</v>
      </c>
      <c r="E73" s="20" t="s">
        <v>22</v>
      </c>
      <c r="F73" s="7" t="e">
        <f>G73+SUMIF('[1]mouvement batteurs cuves'!B:B,"=cicrclip Axe verin",'[1]mouvement batteurs cuves'!G:G)</f>
        <v>#VALUE!</v>
      </c>
      <c r="G73" s="63">
        <v>2</v>
      </c>
      <c r="H73" s="20">
        <v>2</v>
      </c>
      <c r="I73" s="68" t="e">
        <f t="shared" si="2"/>
        <v>#VALUE!</v>
      </c>
      <c r="J73" s="69">
        <v>0.3</v>
      </c>
      <c r="K73" s="17" t="e">
        <f t="shared" si="3"/>
        <v>#VALUE!</v>
      </c>
      <c r="L73" s="30"/>
      <c r="M73" s="30"/>
      <c r="N73" s="30"/>
      <c r="O73" s="30"/>
      <c r="P73" s="30"/>
      <c r="Q73" s="30"/>
      <c r="R73" s="30"/>
      <c r="S73" s="30">
        <v>0</v>
      </c>
      <c r="T73" s="26"/>
      <c r="U73" s="26"/>
      <c r="V73" s="26"/>
      <c r="W73" s="26"/>
      <c r="X73" s="26"/>
      <c r="Y73" s="26"/>
      <c r="Z73" s="26"/>
      <c r="AA73" s="26"/>
      <c r="AB73" s="26"/>
      <c r="AC73" s="26"/>
      <c r="AD73" s="26"/>
      <c r="AE73" s="26"/>
      <c r="AF73" s="26"/>
      <c r="AG73" s="26"/>
      <c r="AH73" s="26"/>
      <c r="AI73" s="26"/>
      <c r="AJ73" s="26"/>
      <c r="AK73" s="26"/>
      <c r="AL73" s="26"/>
      <c r="AM73" s="26"/>
      <c r="AN73" s="26"/>
      <c r="AO73" s="26"/>
      <c r="AP73" s="26"/>
      <c r="AQ73" s="26"/>
      <c r="AR73" s="26"/>
    </row>
    <row r="74" spans="1:44" ht="15.75" x14ac:dyDescent="0.25">
      <c r="A74" s="30"/>
      <c r="B74" s="13" t="s">
        <v>146</v>
      </c>
      <c r="C74" s="70" t="s">
        <v>170</v>
      </c>
      <c r="D74" s="71" t="s">
        <v>171</v>
      </c>
      <c r="E74" s="75" t="s">
        <v>22</v>
      </c>
      <c r="F74" s="64" t="e">
        <f>G74+SUMIF('[1]mouvement batteurs cuves'!B:B,"=Clapet anti-retour HR012 pompe hydraulique",'[1]mouvement batteurs cuves'!G:G)</f>
        <v>#VALUE!</v>
      </c>
      <c r="G74" s="63">
        <v>0</v>
      </c>
      <c r="H74" s="71">
        <v>1</v>
      </c>
      <c r="I74" s="65" t="e">
        <f t="shared" si="2"/>
        <v>#VALUE!</v>
      </c>
      <c r="J74" s="72">
        <v>0</v>
      </c>
      <c r="K74" s="67" t="e">
        <f t="shared" si="3"/>
        <v>#VALUE!</v>
      </c>
      <c r="L74" s="30"/>
      <c r="M74" s="30"/>
      <c r="N74" s="30"/>
      <c r="O74" s="30"/>
      <c r="P74" s="30"/>
      <c r="Q74" s="30"/>
      <c r="R74" s="30"/>
      <c r="S74" s="30">
        <v>1</v>
      </c>
      <c r="T74" s="26"/>
      <c r="U74" s="26"/>
      <c r="V74" s="26"/>
      <c r="W74" s="26"/>
      <c r="X74" s="26"/>
      <c r="Y74" s="26"/>
      <c r="Z74" s="26"/>
      <c r="AA74" s="26"/>
      <c r="AB74" s="26"/>
      <c r="AC74" s="26"/>
      <c r="AD74" s="26"/>
      <c r="AE74" s="26"/>
      <c r="AF74" s="26"/>
      <c r="AG74" s="26"/>
      <c r="AH74" s="26"/>
      <c r="AI74" s="26"/>
      <c r="AJ74" s="26"/>
      <c r="AK74" s="26"/>
      <c r="AL74" s="26"/>
      <c r="AM74" s="26"/>
      <c r="AN74" s="26"/>
      <c r="AO74" s="26"/>
      <c r="AP74" s="26"/>
      <c r="AQ74" s="26"/>
      <c r="AR74" s="26"/>
    </row>
    <row r="75" spans="1:44" ht="15.75" x14ac:dyDescent="0.25">
      <c r="A75" s="30"/>
      <c r="B75" s="13" t="s">
        <v>146</v>
      </c>
      <c r="C75" s="4" t="s">
        <v>172</v>
      </c>
      <c r="D75" s="20" t="s">
        <v>173</v>
      </c>
      <c r="E75" s="20" t="s">
        <v>22</v>
      </c>
      <c r="F75" s="7" t="e">
        <f>G75+SUMIF('[1]mouvement batteurs cuves'!B:B,"=Connecteur d'alimentation, Han A Series",'[1]mouvement batteurs cuves'!G:G)</f>
        <v>#VALUE!</v>
      </c>
      <c r="G75" s="63">
        <v>2</v>
      </c>
      <c r="H75" s="20">
        <v>1</v>
      </c>
      <c r="I75" s="68" t="e">
        <f t="shared" si="2"/>
        <v>#VALUE!</v>
      </c>
      <c r="J75" s="69">
        <v>18.989999999999998</v>
      </c>
      <c r="K75" s="17" t="e">
        <f t="shared" si="3"/>
        <v>#VALUE!</v>
      </c>
      <c r="L75" s="30"/>
      <c r="M75" s="30"/>
      <c r="N75" s="30"/>
      <c r="O75" s="30"/>
      <c r="P75" s="30"/>
      <c r="Q75" s="30"/>
      <c r="R75" s="30"/>
      <c r="S75" s="30">
        <v>0</v>
      </c>
      <c r="T75" s="26"/>
      <c r="U75" s="26"/>
      <c r="V75" s="26"/>
      <c r="W75" s="26"/>
      <c r="X75" s="26"/>
      <c r="Y75" s="26"/>
      <c r="Z75" s="26"/>
      <c r="AA75" s="26"/>
      <c r="AB75" s="26"/>
      <c r="AC75" s="26"/>
      <c r="AD75" s="26"/>
      <c r="AE75" s="26"/>
      <c r="AF75" s="26"/>
      <c r="AG75" s="26"/>
      <c r="AH75" s="26"/>
      <c r="AI75" s="26"/>
      <c r="AJ75" s="26"/>
      <c r="AK75" s="26"/>
      <c r="AL75" s="26"/>
      <c r="AM75" s="26"/>
      <c r="AN75" s="26"/>
      <c r="AO75" s="26"/>
      <c r="AP75" s="26"/>
      <c r="AQ75" s="26"/>
      <c r="AR75" s="26"/>
    </row>
    <row r="76" spans="1:44" ht="15.75" x14ac:dyDescent="0.25">
      <c r="A76" s="30"/>
      <c r="B76" s="13" t="s">
        <v>146</v>
      </c>
      <c r="C76" s="70" t="s">
        <v>174</v>
      </c>
      <c r="D76" s="71" t="s">
        <v>175</v>
      </c>
      <c r="E76" s="71" t="s">
        <v>22</v>
      </c>
      <c r="F76" s="64" t="e">
        <f>G76+SUMIF('[1]mouvement batteurs cuves'!B:B,"=Connecteur d'alimentation, Han B Series Entrée latérale,",'[1]mouvement batteurs cuves'!G:G)</f>
        <v>#VALUE!</v>
      </c>
      <c r="G76" s="63">
        <v>2</v>
      </c>
      <c r="H76" s="71">
        <v>1</v>
      </c>
      <c r="I76" s="65" t="e">
        <f t="shared" si="2"/>
        <v>#VALUE!</v>
      </c>
      <c r="J76" s="72">
        <v>11.17</v>
      </c>
      <c r="K76" s="67" t="e">
        <f t="shared" si="3"/>
        <v>#VALUE!</v>
      </c>
      <c r="L76" s="30"/>
      <c r="M76" s="30"/>
      <c r="N76" s="30"/>
      <c r="O76" s="30"/>
      <c r="P76" s="30"/>
      <c r="Q76" s="30"/>
      <c r="R76" s="30"/>
      <c r="S76" s="30">
        <v>1</v>
      </c>
      <c r="T76" s="26"/>
      <c r="U76" s="26"/>
      <c r="V76" s="26"/>
      <c r="W76" s="26"/>
      <c r="X76" s="26"/>
      <c r="Y76" s="26"/>
      <c r="Z76" s="26"/>
      <c r="AA76" s="26"/>
      <c r="AB76" s="26"/>
      <c r="AC76" s="26"/>
      <c r="AD76" s="26"/>
      <c r="AE76" s="26"/>
      <c r="AF76" s="26"/>
      <c r="AG76" s="26"/>
      <c r="AH76" s="26"/>
      <c r="AI76" s="26"/>
      <c r="AJ76" s="26"/>
      <c r="AK76" s="26"/>
      <c r="AL76" s="26"/>
      <c r="AM76" s="26"/>
      <c r="AN76" s="26"/>
      <c r="AO76" s="26"/>
      <c r="AP76" s="26"/>
      <c r="AQ76" s="26"/>
      <c r="AR76" s="26"/>
    </row>
    <row r="77" spans="1:44" ht="15.75" x14ac:dyDescent="0.25">
      <c r="A77" s="30"/>
      <c r="B77" s="13" t="s">
        <v>146</v>
      </c>
      <c r="C77" s="4" t="s">
        <v>176</v>
      </c>
      <c r="D77" s="20" t="s">
        <v>22</v>
      </c>
      <c r="E77" s="6" t="s">
        <v>22</v>
      </c>
      <c r="F77" s="7" t="e">
        <f>G77+SUMIF('[1]mouvement batteurs cuves'!B:B,"=Courroie d'entrainement",'[1]mouvement batteurs cuves'!G:G)</f>
        <v>#VALUE!</v>
      </c>
      <c r="G77" s="63">
        <v>0</v>
      </c>
      <c r="H77" s="20">
        <v>1</v>
      </c>
      <c r="I77" s="68" t="e">
        <f t="shared" si="2"/>
        <v>#VALUE!</v>
      </c>
      <c r="J77" s="69">
        <v>0</v>
      </c>
      <c r="K77" s="17" t="e">
        <f t="shared" si="3"/>
        <v>#VALUE!</v>
      </c>
      <c r="L77" s="30"/>
      <c r="M77" s="30"/>
      <c r="N77" s="30"/>
      <c r="O77" s="30"/>
      <c r="P77" s="30"/>
      <c r="Q77" s="30"/>
      <c r="R77" s="30"/>
      <c r="S77" s="30">
        <v>0</v>
      </c>
      <c r="T77" s="26"/>
      <c r="U77" s="26"/>
      <c r="V77" s="26"/>
      <c r="W77" s="26"/>
      <c r="X77" s="26"/>
      <c r="Y77" s="26"/>
      <c r="Z77" s="26"/>
      <c r="AA77" s="26"/>
      <c r="AB77" s="26"/>
      <c r="AC77" s="26"/>
      <c r="AD77" s="26"/>
      <c r="AE77" s="26"/>
      <c r="AF77" s="26"/>
      <c r="AG77" s="26"/>
      <c r="AH77" s="26"/>
      <c r="AI77" s="26"/>
      <c r="AJ77" s="26"/>
      <c r="AK77" s="26"/>
      <c r="AL77" s="26"/>
      <c r="AM77" s="26"/>
      <c r="AN77" s="26"/>
      <c r="AO77" s="26"/>
      <c r="AP77" s="26"/>
      <c r="AQ77" s="26"/>
      <c r="AR77" s="26"/>
    </row>
    <row r="78" spans="1:44" ht="15.75" x14ac:dyDescent="0.25">
      <c r="A78" s="30"/>
      <c r="B78" s="13" t="s">
        <v>146</v>
      </c>
      <c r="C78" s="62" t="s">
        <v>177</v>
      </c>
      <c r="D78" s="63" t="s">
        <v>178</v>
      </c>
      <c r="E78" s="63" t="s">
        <v>22</v>
      </c>
      <c r="F78" s="64" t="e">
        <f>G78+SUMIF('[1]mouvement batteurs cuves'!B:B,"=Electrodistributeur Hydraulique pour verins leve cuve",'[1]mouvement batteurs cuves'!G:G)</f>
        <v>#VALUE!</v>
      </c>
      <c r="G78" s="63">
        <v>1</v>
      </c>
      <c r="H78" s="63">
        <v>1</v>
      </c>
      <c r="I78" s="65" t="e">
        <f t="shared" si="2"/>
        <v>#VALUE!</v>
      </c>
      <c r="J78" s="66">
        <v>355.1</v>
      </c>
      <c r="K78" s="67" t="e">
        <f t="shared" si="3"/>
        <v>#VALUE!</v>
      </c>
      <c r="L78" s="30"/>
      <c r="M78" s="30"/>
      <c r="N78" s="30"/>
      <c r="O78" s="30"/>
      <c r="P78" s="30"/>
      <c r="Q78" s="30"/>
      <c r="R78" s="30"/>
      <c r="S78" s="30">
        <v>1</v>
      </c>
      <c r="T78" s="26"/>
      <c r="U78" s="26"/>
      <c r="V78" s="26"/>
      <c r="W78" s="26"/>
      <c r="X78" s="26"/>
      <c r="Y78" s="26"/>
      <c r="Z78" s="26"/>
      <c r="AA78" s="26"/>
      <c r="AB78" s="26"/>
      <c r="AC78" s="26"/>
      <c r="AD78" s="26"/>
      <c r="AE78" s="26"/>
      <c r="AF78" s="26"/>
      <c r="AG78" s="26"/>
      <c r="AH78" s="26"/>
      <c r="AI78" s="26"/>
      <c r="AJ78" s="26"/>
      <c r="AK78" s="26"/>
      <c r="AL78" s="26"/>
      <c r="AM78" s="26"/>
      <c r="AN78" s="26"/>
      <c r="AO78" s="26"/>
      <c r="AP78" s="26"/>
      <c r="AQ78" s="26"/>
      <c r="AR78" s="26"/>
    </row>
    <row r="79" spans="1:44" ht="15.75" x14ac:dyDescent="0.25">
      <c r="A79" s="30"/>
      <c r="B79" s="13" t="s">
        <v>146</v>
      </c>
      <c r="C79" s="4" t="s">
        <v>5</v>
      </c>
      <c r="D79" s="20" t="s">
        <v>179</v>
      </c>
      <c r="E79" s="20" t="s">
        <v>22</v>
      </c>
      <c r="F79" s="7" t="e">
        <f>G79+SUMIF('[1]mouvement batteurs cuves'!B:B,"=Fin de course Cablé (levée cuve)",'[1]mouvement batteurs cuves'!G:G)</f>
        <v>#VALUE!</v>
      </c>
      <c r="G79" s="63">
        <v>3</v>
      </c>
      <c r="H79" s="20">
        <v>1</v>
      </c>
      <c r="I79" s="68" t="e">
        <f t="shared" si="2"/>
        <v>#VALUE!</v>
      </c>
      <c r="J79" s="69">
        <v>151.5</v>
      </c>
      <c r="K79" s="17" t="e">
        <f t="shared" si="3"/>
        <v>#VALUE!</v>
      </c>
      <c r="L79" s="30"/>
      <c r="M79" s="30"/>
      <c r="N79" s="30"/>
      <c r="O79" s="30"/>
      <c r="P79" s="30"/>
      <c r="Q79" s="30"/>
      <c r="R79" s="30"/>
      <c r="S79" s="30">
        <v>1</v>
      </c>
      <c r="T79" s="26"/>
      <c r="U79" s="26"/>
      <c r="V79" s="26"/>
      <c r="W79" s="26"/>
      <c r="X79" s="26"/>
      <c r="Y79" s="26"/>
      <c r="Z79" s="26"/>
      <c r="AA79" s="26"/>
      <c r="AB79" s="26"/>
      <c r="AC79" s="26"/>
      <c r="AD79" s="26"/>
      <c r="AE79" s="26"/>
      <c r="AF79" s="26"/>
      <c r="AG79" s="26"/>
      <c r="AH79" s="26"/>
      <c r="AI79" s="26"/>
      <c r="AJ79" s="26"/>
      <c r="AK79" s="26"/>
      <c r="AL79" s="26"/>
      <c r="AM79" s="26"/>
      <c r="AN79" s="26"/>
      <c r="AO79" s="26"/>
      <c r="AP79" s="26"/>
      <c r="AQ79" s="26"/>
      <c r="AR79" s="26"/>
    </row>
    <row r="80" spans="1:44" ht="15.75" x14ac:dyDescent="0.25">
      <c r="A80" s="30"/>
      <c r="B80" s="13" t="s">
        <v>146</v>
      </c>
      <c r="C80" s="62" t="s">
        <v>180</v>
      </c>
      <c r="D80" s="63">
        <v>98603041</v>
      </c>
      <c r="E80" s="63" t="s">
        <v>22</v>
      </c>
      <c r="F80" s="64" t="e">
        <f>G80+SUMIF('[1]mouvement batteurs cuves'!B:B,"=fond de boitier en fonte d'aluminium",'[1]mouvement batteurs cuves'!G:G)</f>
        <v>#VALUE!</v>
      </c>
      <c r="G80" s="63">
        <v>3</v>
      </c>
      <c r="H80" s="63">
        <v>3</v>
      </c>
      <c r="I80" s="65" t="e">
        <f t="shared" si="2"/>
        <v>#VALUE!</v>
      </c>
      <c r="J80" s="66">
        <v>15.6</v>
      </c>
      <c r="K80" s="67" t="e">
        <f t="shared" si="3"/>
        <v>#VALUE!</v>
      </c>
      <c r="L80" s="30"/>
      <c r="M80" s="30"/>
      <c r="N80" s="30"/>
      <c r="O80" s="30"/>
      <c r="P80" s="30"/>
      <c r="Q80" s="30"/>
      <c r="R80" s="30"/>
      <c r="S80" s="30">
        <v>1</v>
      </c>
      <c r="T80" s="26"/>
      <c r="U80" s="26"/>
      <c r="V80" s="26"/>
      <c r="W80" s="26"/>
      <c r="X80" s="26"/>
      <c r="Y80" s="26"/>
      <c r="Z80" s="26"/>
      <c r="AA80" s="26"/>
      <c r="AB80" s="26"/>
      <c r="AC80" s="26"/>
      <c r="AD80" s="26"/>
      <c r="AE80" s="26"/>
      <c r="AF80" s="26"/>
      <c r="AG80" s="26"/>
      <c r="AH80" s="26"/>
      <c r="AI80" s="26"/>
      <c r="AJ80" s="26"/>
      <c r="AK80" s="26"/>
      <c r="AL80" s="26"/>
      <c r="AM80" s="26"/>
      <c r="AN80" s="26"/>
      <c r="AO80" s="26"/>
      <c r="AP80" s="26"/>
      <c r="AQ80" s="26"/>
      <c r="AR80" s="26"/>
    </row>
    <row r="81" spans="1:44" ht="24" x14ac:dyDescent="0.25">
      <c r="A81" s="30"/>
      <c r="B81" s="13" t="s">
        <v>146</v>
      </c>
      <c r="C81" s="62" t="s">
        <v>181</v>
      </c>
      <c r="D81" s="63" t="s">
        <v>182</v>
      </c>
      <c r="E81" s="63" t="s">
        <v>183</v>
      </c>
      <c r="F81" s="7" t="e">
        <f>G81+SUMIF('[1]mouvement batteurs cuves'!B:B,"=fouet pour cuve 150 l",'[1]mouvement batteurs cuves'!G:G)</f>
        <v>#VALUE!</v>
      </c>
      <c r="G81" s="63">
        <v>0</v>
      </c>
      <c r="H81" s="63">
        <v>1</v>
      </c>
      <c r="I81" s="68" t="e">
        <f t="shared" si="2"/>
        <v>#VALUE!</v>
      </c>
      <c r="J81" s="66">
        <v>1188.8</v>
      </c>
      <c r="K81" s="17" t="e">
        <f t="shared" si="3"/>
        <v>#VALUE!</v>
      </c>
      <c r="L81" s="30"/>
      <c r="M81" s="30"/>
      <c r="N81" s="30"/>
      <c r="O81" s="30"/>
      <c r="P81" s="30"/>
      <c r="Q81" s="30"/>
      <c r="R81" s="30"/>
      <c r="S81" s="30">
        <v>1</v>
      </c>
      <c r="T81" s="26"/>
      <c r="U81" s="26"/>
      <c r="V81" s="26"/>
      <c r="W81" s="26"/>
      <c r="X81" s="26"/>
      <c r="Y81" s="26"/>
      <c r="Z81" s="26"/>
      <c r="AA81" s="26"/>
      <c r="AB81" s="26"/>
      <c r="AC81" s="26"/>
      <c r="AD81" s="26"/>
      <c r="AE81" s="26"/>
      <c r="AF81" s="26"/>
      <c r="AG81" s="26"/>
      <c r="AH81" s="26"/>
      <c r="AI81" s="26"/>
      <c r="AJ81" s="26"/>
      <c r="AK81" s="26"/>
      <c r="AL81" s="26"/>
      <c r="AM81" s="26"/>
      <c r="AN81" s="26"/>
      <c r="AO81" s="26"/>
      <c r="AP81" s="26"/>
      <c r="AQ81" s="26"/>
      <c r="AR81" s="26"/>
    </row>
    <row r="82" spans="1:44" ht="24" x14ac:dyDescent="0.25">
      <c r="A82" s="30"/>
      <c r="B82" s="13" t="s">
        <v>146</v>
      </c>
      <c r="C82" s="62" t="s">
        <v>184</v>
      </c>
      <c r="D82" s="63" t="s">
        <v>185</v>
      </c>
      <c r="E82" s="63" t="s">
        <v>183</v>
      </c>
      <c r="F82" s="64" t="e">
        <f>G82+SUMIF('[1]mouvement batteurs cuves'!B:B,"=fouet pour cuve 80 L",'[1]mouvement batteurs cuves'!G:G)</f>
        <v>#VALUE!</v>
      </c>
      <c r="G82" s="63">
        <v>0</v>
      </c>
      <c r="H82" s="63">
        <v>1</v>
      </c>
      <c r="I82" s="65" t="e">
        <f t="shared" si="2"/>
        <v>#VALUE!</v>
      </c>
      <c r="J82" s="66">
        <v>438.1</v>
      </c>
      <c r="K82" s="67" t="e">
        <f t="shared" si="3"/>
        <v>#VALUE!</v>
      </c>
      <c r="L82" s="30"/>
      <c r="M82" s="30"/>
      <c r="N82" s="30"/>
      <c r="O82" s="30"/>
      <c r="P82" s="30"/>
      <c r="Q82" s="30"/>
      <c r="R82" s="30"/>
      <c r="S82" s="30">
        <v>1</v>
      </c>
      <c r="T82" s="26"/>
      <c r="U82" s="26"/>
      <c r="V82" s="26"/>
      <c r="W82" s="26"/>
      <c r="X82" s="26"/>
      <c r="Y82" s="26"/>
      <c r="Z82" s="26"/>
      <c r="AA82" s="26"/>
      <c r="AB82" s="26"/>
      <c r="AC82" s="26"/>
      <c r="AD82" s="26"/>
      <c r="AE82" s="26"/>
      <c r="AF82" s="26"/>
      <c r="AG82" s="26"/>
      <c r="AH82" s="26"/>
      <c r="AI82" s="26"/>
      <c r="AJ82" s="26"/>
      <c r="AK82" s="26"/>
      <c r="AL82" s="26"/>
      <c r="AM82" s="26"/>
      <c r="AN82" s="26"/>
      <c r="AO82" s="26"/>
      <c r="AP82" s="26"/>
      <c r="AQ82" s="26"/>
      <c r="AR82" s="26"/>
    </row>
    <row r="83" spans="1:44" ht="15.75" x14ac:dyDescent="0.25">
      <c r="A83" s="30"/>
      <c r="B83" s="13" t="s">
        <v>146</v>
      </c>
      <c r="C83" s="4" t="s">
        <v>186</v>
      </c>
      <c r="D83" s="20" t="s">
        <v>187</v>
      </c>
      <c r="E83" s="20" t="s">
        <v>22</v>
      </c>
      <c r="F83" s="7" t="e">
        <f>G83+SUMIF('[1]mouvement batteurs cuves'!B:B,"=Glissiere de support (Queue d'arronde)",'[1]mouvement batteurs cuves'!G:G)</f>
        <v>#VALUE!</v>
      </c>
      <c r="G83" s="63">
        <v>1</v>
      </c>
      <c r="H83" s="20">
        <v>1</v>
      </c>
      <c r="I83" s="68" t="e">
        <f t="shared" si="2"/>
        <v>#VALUE!</v>
      </c>
      <c r="J83" s="69">
        <v>312.5</v>
      </c>
      <c r="K83" s="17" t="e">
        <f t="shared" si="3"/>
        <v>#VALUE!</v>
      </c>
      <c r="L83" s="30"/>
      <c r="M83" s="30"/>
      <c r="N83" s="30"/>
      <c r="O83" s="30"/>
      <c r="P83" s="30"/>
      <c r="Q83" s="30"/>
      <c r="R83" s="30"/>
      <c r="S83" s="30">
        <v>0</v>
      </c>
      <c r="T83" s="26"/>
      <c r="U83" s="26"/>
      <c r="V83" s="26"/>
      <c r="W83" s="26"/>
      <c r="X83" s="26"/>
      <c r="Y83" s="26"/>
      <c r="Z83" s="26"/>
      <c r="AA83" s="26"/>
      <c r="AB83" s="26"/>
      <c r="AC83" s="26"/>
      <c r="AD83" s="26"/>
      <c r="AE83" s="26"/>
      <c r="AF83" s="26"/>
      <c r="AG83" s="26"/>
      <c r="AH83" s="26"/>
      <c r="AI83" s="26"/>
      <c r="AJ83" s="26"/>
      <c r="AK83" s="26"/>
      <c r="AL83" s="26"/>
      <c r="AM83" s="26"/>
      <c r="AN83" s="26"/>
      <c r="AO83" s="26"/>
      <c r="AP83" s="26"/>
      <c r="AQ83" s="26"/>
      <c r="AR83" s="26"/>
    </row>
    <row r="84" spans="1:44" ht="15.75" x14ac:dyDescent="0.25">
      <c r="A84" s="30"/>
      <c r="B84" s="13" t="s">
        <v>146</v>
      </c>
      <c r="C84" s="62" t="s">
        <v>188</v>
      </c>
      <c r="D84" s="63" t="s">
        <v>189</v>
      </c>
      <c r="E84" s="63" t="s">
        <v>22</v>
      </c>
      <c r="F84" s="64" t="e">
        <f>G84+SUMIF('[1]mouvement batteurs cuves'!B:B,"=Grille tournante",'[1]mouvement batteurs cuves'!G:G)</f>
        <v>#VALUE!</v>
      </c>
      <c r="G84" s="63">
        <v>1</v>
      </c>
      <c r="H84" s="63">
        <v>1</v>
      </c>
      <c r="I84" s="65" t="e">
        <f t="shared" si="2"/>
        <v>#VALUE!</v>
      </c>
      <c r="J84" s="66">
        <v>669.53</v>
      </c>
      <c r="K84" s="67" t="e">
        <f t="shared" si="3"/>
        <v>#VALUE!</v>
      </c>
      <c r="L84" s="30"/>
      <c r="M84" s="30"/>
      <c r="N84" s="30"/>
      <c r="O84" s="30"/>
      <c r="P84" s="30"/>
      <c r="Q84" s="30"/>
      <c r="R84" s="30"/>
      <c r="S84" s="30">
        <v>0</v>
      </c>
      <c r="T84" s="26"/>
      <c r="U84" s="26"/>
      <c r="V84" s="26"/>
      <c r="W84" s="26"/>
      <c r="X84" s="26"/>
      <c r="Y84" s="26"/>
      <c r="Z84" s="26"/>
      <c r="AA84" s="26"/>
      <c r="AB84" s="26"/>
      <c r="AC84" s="26"/>
      <c r="AD84" s="26"/>
      <c r="AE84" s="26"/>
      <c r="AF84" s="26"/>
      <c r="AG84" s="26"/>
      <c r="AH84" s="26"/>
      <c r="AI84" s="26"/>
      <c r="AJ84" s="26"/>
      <c r="AK84" s="26"/>
      <c r="AL84" s="26"/>
      <c r="AM84" s="26"/>
      <c r="AN84" s="26"/>
      <c r="AO84" s="26"/>
      <c r="AP84" s="26"/>
      <c r="AQ84" s="26"/>
      <c r="AR84" s="26"/>
    </row>
    <row r="85" spans="1:44" ht="15.75" x14ac:dyDescent="0.25">
      <c r="A85" s="30"/>
      <c r="B85" s="13" t="s">
        <v>146</v>
      </c>
      <c r="C85" s="62" t="s">
        <v>190</v>
      </c>
      <c r="D85" s="63" t="s">
        <v>191</v>
      </c>
      <c r="E85" s="63" t="s">
        <v>22</v>
      </c>
      <c r="F85" s="55" t="e">
        <f>G85+SUMIF('[1]mouvement batteurs cuves'!B:B,"=huile fluide caloporteur",'[1]mouvement batteurs cuves'!G:G)</f>
        <v>#VALUE!</v>
      </c>
      <c r="G85" s="76">
        <v>40</v>
      </c>
      <c r="H85" s="63">
        <v>25</v>
      </c>
      <c r="I85" s="68" t="e">
        <f t="shared" si="2"/>
        <v>#VALUE!</v>
      </c>
      <c r="J85" s="66">
        <v>6.7801999999999998</v>
      </c>
      <c r="K85" s="17" t="e">
        <f t="shared" si="3"/>
        <v>#VALUE!</v>
      </c>
      <c r="L85" s="30"/>
      <c r="M85" s="30"/>
      <c r="N85" s="30"/>
      <c r="O85" s="30"/>
      <c r="P85" s="30"/>
      <c r="Q85" s="30"/>
      <c r="R85" s="30"/>
      <c r="S85" s="30">
        <v>0</v>
      </c>
      <c r="T85" s="26"/>
      <c r="U85" s="26"/>
      <c r="V85" s="26"/>
      <c r="W85" s="26"/>
      <c r="X85" s="26"/>
      <c r="Y85" s="26"/>
      <c r="Z85" s="26"/>
      <c r="AA85" s="26"/>
      <c r="AB85" s="26"/>
      <c r="AC85" s="26"/>
      <c r="AD85" s="26"/>
      <c r="AE85" s="26"/>
      <c r="AF85" s="26"/>
      <c r="AG85" s="26"/>
      <c r="AH85" s="26"/>
      <c r="AI85" s="26"/>
      <c r="AJ85" s="26"/>
      <c r="AK85" s="26"/>
      <c r="AL85" s="26"/>
      <c r="AM85" s="26"/>
      <c r="AN85" s="26"/>
      <c r="AO85" s="26"/>
      <c r="AP85" s="26"/>
      <c r="AQ85" s="26"/>
      <c r="AR85" s="26"/>
    </row>
    <row r="86" spans="1:44" ht="15.75" x14ac:dyDescent="0.25">
      <c r="A86" s="30"/>
      <c r="B86" s="13" t="s">
        <v>146</v>
      </c>
      <c r="C86" s="62" t="s">
        <v>192</v>
      </c>
      <c r="D86" s="63" t="s">
        <v>193</v>
      </c>
      <c r="E86" s="63" t="s">
        <v>22</v>
      </c>
      <c r="F86" s="55" t="e">
        <f>G86+SUMIF('[1]mouvement batteurs cuves'!B:B,"=Huile Hydraulique Alimentaire Verins Batteurs",'[1]mouvement batteurs cuves'!G:G)</f>
        <v>#VALUE!</v>
      </c>
      <c r="G86" s="76">
        <v>4</v>
      </c>
      <c r="H86" s="63">
        <v>5</v>
      </c>
      <c r="I86" s="65" t="e">
        <f t="shared" si="2"/>
        <v>#VALUE!</v>
      </c>
      <c r="J86" s="66">
        <v>4.5</v>
      </c>
      <c r="K86" s="67" t="e">
        <f t="shared" si="3"/>
        <v>#VALUE!</v>
      </c>
      <c r="L86" s="30"/>
      <c r="M86" s="30"/>
      <c r="N86" s="30"/>
      <c r="O86" s="30"/>
      <c r="P86" s="30"/>
      <c r="Q86" s="30"/>
      <c r="R86" s="30"/>
      <c r="S86" s="30">
        <v>1</v>
      </c>
      <c r="T86" s="26"/>
      <c r="U86" s="26"/>
      <c r="V86" s="26"/>
      <c r="W86" s="26"/>
      <c r="X86" s="26"/>
      <c r="Y86" s="26"/>
      <c r="Z86" s="26"/>
      <c r="AA86" s="26"/>
      <c r="AB86" s="26"/>
      <c r="AC86" s="26"/>
      <c r="AD86" s="26"/>
      <c r="AE86" s="26"/>
      <c r="AF86" s="26"/>
      <c r="AG86" s="26"/>
      <c r="AH86" s="26"/>
      <c r="AI86" s="26"/>
      <c r="AJ86" s="26"/>
      <c r="AK86" s="26"/>
      <c r="AL86" s="26"/>
      <c r="AM86" s="26"/>
      <c r="AN86" s="26"/>
      <c r="AO86" s="26"/>
      <c r="AP86" s="26"/>
      <c r="AQ86" s="26"/>
      <c r="AR86" s="26"/>
    </row>
    <row r="87" spans="1:44" ht="15.75" x14ac:dyDescent="0.25">
      <c r="A87" s="30"/>
      <c r="B87" s="13" t="s">
        <v>146</v>
      </c>
      <c r="C87" s="62" t="s">
        <v>4</v>
      </c>
      <c r="D87" s="63" t="s">
        <v>194</v>
      </c>
      <c r="E87" s="63" t="s">
        <v>22</v>
      </c>
      <c r="F87" s="7" t="e">
        <f>G87+SUMIF('[1]mouvement batteurs cuves'!B:B,"=Insert Han E male 16 Contacts sur 2 Rangées,500 V 16A ",'[1]mouvement batteurs cuves'!G:G)</f>
        <v>#VALUE!</v>
      </c>
      <c r="G87" s="63">
        <v>0</v>
      </c>
      <c r="H87" s="63">
        <v>1</v>
      </c>
      <c r="I87" s="68" t="e">
        <f t="shared" si="2"/>
        <v>#VALUE!</v>
      </c>
      <c r="J87" s="66">
        <v>11.63</v>
      </c>
      <c r="K87" s="17" t="e">
        <f t="shared" si="3"/>
        <v>#VALUE!</v>
      </c>
      <c r="L87" s="30"/>
      <c r="M87" s="30"/>
      <c r="N87" s="30"/>
      <c r="O87" s="30"/>
      <c r="P87" s="30"/>
      <c r="Q87" s="30"/>
      <c r="R87" s="30"/>
      <c r="S87" s="30">
        <v>0</v>
      </c>
      <c r="T87" s="26"/>
      <c r="U87" s="26"/>
      <c r="V87" s="26"/>
      <c r="W87" s="26"/>
      <c r="X87" s="26"/>
      <c r="Y87" s="26"/>
      <c r="Z87" s="26"/>
      <c r="AA87" s="26"/>
      <c r="AB87" s="26"/>
      <c r="AC87" s="26"/>
      <c r="AD87" s="26"/>
      <c r="AE87" s="26"/>
      <c r="AF87" s="26"/>
      <c r="AG87" s="26"/>
      <c r="AH87" s="26"/>
      <c r="AI87" s="26"/>
      <c r="AJ87" s="26"/>
      <c r="AK87" s="26"/>
      <c r="AL87" s="26"/>
      <c r="AM87" s="26"/>
      <c r="AN87" s="26"/>
      <c r="AO87" s="26"/>
      <c r="AP87" s="26"/>
      <c r="AQ87" s="26"/>
      <c r="AR87" s="26"/>
    </row>
    <row r="88" spans="1:44" ht="15.75" x14ac:dyDescent="0.25">
      <c r="A88" s="30"/>
      <c r="B88" s="13" t="s">
        <v>146</v>
      </c>
      <c r="C88" s="62" t="s">
        <v>6</v>
      </c>
      <c r="D88" s="63" t="s">
        <v>195</v>
      </c>
      <c r="E88" s="63" t="s">
        <v>22</v>
      </c>
      <c r="F88" s="64" t="e">
        <f>G88+SUMIF('[1]mouvement batteurs cuves'!B:B,"=Insert Han E Femelle 16 Contacts sur 2 Rangées,500 V 16A ",'[1]mouvement batteurs cuves'!G:G)</f>
        <v>#VALUE!</v>
      </c>
      <c r="G88" s="63">
        <v>3</v>
      </c>
      <c r="H88" s="63">
        <v>1</v>
      </c>
      <c r="I88" s="65" t="e">
        <f t="shared" si="2"/>
        <v>#VALUE!</v>
      </c>
      <c r="J88" s="66">
        <v>12.38</v>
      </c>
      <c r="K88" s="67" t="e">
        <f t="shared" si="3"/>
        <v>#VALUE!</v>
      </c>
      <c r="L88" s="30"/>
      <c r="M88" s="30"/>
      <c r="N88" s="30"/>
      <c r="O88" s="30"/>
      <c r="P88" s="30"/>
      <c r="Q88" s="30"/>
      <c r="R88" s="30"/>
      <c r="S88" s="30">
        <v>1</v>
      </c>
      <c r="T88" s="26"/>
      <c r="U88" s="26"/>
      <c r="V88" s="26"/>
      <c r="W88" s="26"/>
      <c r="X88" s="26"/>
      <c r="Y88" s="26"/>
      <c r="Z88" s="26"/>
      <c r="AA88" s="26"/>
      <c r="AB88" s="26"/>
      <c r="AC88" s="26"/>
      <c r="AD88" s="26"/>
      <c r="AE88" s="26"/>
      <c r="AF88" s="26"/>
      <c r="AG88" s="26"/>
      <c r="AH88" s="26"/>
      <c r="AI88" s="26"/>
      <c r="AJ88" s="26"/>
      <c r="AK88" s="26"/>
      <c r="AL88" s="26"/>
      <c r="AM88" s="26"/>
      <c r="AN88" s="26"/>
      <c r="AO88" s="26"/>
      <c r="AP88" s="26"/>
      <c r="AQ88" s="26"/>
      <c r="AR88" s="26"/>
    </row>
    <row r="89" spans="1:44" ht="15.75" x14ac:dyDescent="0.25">
      <c r="A89" s="30"/>
      <c r="B89" s="13" t="s">
        <v>146</v>
      </c>
      <c r="C89" s="4" t="s">
        <v>196</v>
      </c>
      <c r="D89" s="20" t="s">
        <v>22</v>
      </c>
      <c r="E89" s="20" t="s">
        <v>22</v>
      </c>
      <c r="F89" s="7" t="e">
        <f>G89+SUMIF('[1]mouvement batteurs cuves'!B:B,"=Joint spi bras satelitte DIM: 50x80x10",'[1]mouvement batteurs cuves'!G:G)</f>
        <v>#VALUE!</v>
      </c>
      <c r="G89" s="63">
        <v>5</v>
      </c>
      <c r="H89" s="20">
        <v>1</v>
      </c>
      <c r="I89" s="68" t="e">
        <f t="shared" si="2"/>
        <v>#VALUE!</v>
      </c>
      <c r="J89" s="69">
        <v>0</v>
      </c>
      <c r="K89" s="17" t="e">
        <f t="shared" si="3"/>
        <v>#VALUE!</v>
      </c>
      <c r="L89" s="30"/>
      <c r="M89" s="30"/>
      <c r="N89" s="30"/>
      <c r="O89" s="30"/>
      <c r="P89" s="30"/>
      <c r="Q89" s="30"/>
      <c r="R89" s="30"/>
      <c r="S89" s="30">
        <v>0</v>
      </c>
      <c r="T89" s="26"/>
      <c r="U89" s="26"/>
      <c r="V89" s="26"/>
      <c r="W89" s="26"/>
      <c r="X89" s="26"/>
      <c r="Y89" s="26"/>
      <c r="Z89" s="26"/>
      <c r="AA89" s="26"/>
      <c r="AB89" s="26"/>
      <c r="AC89" s="26"/>
      <c r="AD89" s="26"/>
      <c r="AE89" s="26"/>
      <c r="AF89" s="26"/>
      <c r="AG89" s="26"/>
      <c r="AH89" s="26"/>
      <c r="AI89" s="26"/>
      <c r="AJ89" s="26"/>
      <c r="AK89" s="26"/>
      <c r="AL89" s="26"/>
      <c r="AM89" s="26"/>
      <c r="AN89" s="26"/>
      <c r="AO89" s="26"/>
      <c r="AP89" s="26"/>
      <c r="AQ89" s="26"/>
      <c r="AR89" s="26"/>
    </row>
    <row r="90" spans="1:44" ht="15.75" x14ac:dyDescent="0.25">
      <c r="A90" s="30"/>
      <c r="B90" s="13" t="s">
        <v>146</v>
      </c>
      <c r="C90" s="70" t="s">
        <v>197</v>
      </c>
      <c r="D90" s="71" t="s">
        <v>22</v>
      </c>
      <c r="E90" s="71" t="s">
        <v>22</v>
      </c>
      <c r="F90" s="64" t="e">
        <f>G90+SUMIF('[1]mouvement batteurs cuves'!B:B,"=joint suiffé (tresse 100% PTFE 12x12)",'[1]mouvement batteurs cuves'!G:G)</f>
        <v>#VALUE!</v>
      </c>
      <c r="G90" s="63">
        <v>1</v>
      </c>
      <c r="H90" s="71">
        <v>1</v>
      </c>
      <c r="I90" s="65" t="e">
        <f t="shared" si="2"/>
        <v>#VALUE!</v>
      </c>
      <c r="J90" s="72">
        <v>0</v>
      </c>
      <c r="K90" s="67" t="e">
        <f t="shared" si="3"/>
        <v>#VALUE!</v>
      </c>
      <c r="L90" s="30"/>
      <c r="M90" s="30"/>
      <c r="N90" s="30"/>
      <c r="O90" s="30"/>
      <c r="P90" s="30"/>
      <c r="Q90" s="30"/>
      <c r="R90" s="30"/>
      <c r="S90" s="30">
        <v>1</v>
      </c>
      <c r="T90" s="26"/>
      <c r="U90" s="26"/>
      <c r="V90" s="26"/>
      <c r="W90" s="26"/>
      <c r="X90" s="26"/>
      <c r="Y90" s="26"/>
      <c r="Z90" s="26"/>
      <c r="AA90" s="26"/>
      <c r="AB90" s="26"/>
      <c r="AC90" s="26"/>
      <c r="AD90" s="26"/>
      <c r="AE90" s="26"/>
      <c r="AF90" s="26"/>
      <c r="AG90" s="26"/>
      <c r="AH90" s="26"/>
      <c r="AI90" s="26"/>
      <c r="AJ90" s="26"/>
      <c r="AK90" s="26"/>
      <c r="AL90" s="26"/>
      <c r="AM90" s="26"/>
      <c r="AN90" s="26"/>
      <c r="AO90" s="26"/>
      <c r="AP90" s="26"/>
      <c r="AQ90" s="26"/>
      <c r="AR90" s="26"/>
    </row>
    <row r="91" spans="1:44" ht="15.75" x14ac:dyDescent="0.25">
      <c r="A91" s="30"/>
      <c r="B91" s="13" t="s">
        <v>146</v>
      </c>
      <c r="C91" s="62" t="s">
        <v>7</v>
      </c>
      <c r="D91" s="63" t="s">
        <v>145</v>
      </c>
      <c r="E91" s="63" t="s">
        <v>22</v>
      </c>
      <c r="F91" s="7" t="e">
        <f>G91+SUMIF('[1]mouvement batteurs cuves'!B:B,"=LEVIER EASY-LOCK PRISE HARTING ",'[1]mouvement batteurs cuves'!G:G)</f>
        <v>#VALUE!</v>
      </c>
      <c r="G91" s="63">
        <v>13</v>
      </c>
      <c r="H91" s="63">
        <v>2</v>
      </c>
      <c r="I91" s="68" t="e">
        <f t="shared" si="2"/>
        <v>#VALUE!</v>
      </c>
      <c r="J91" s="66">
        <v>4.28</v>
      </c>
      <c r="K91" s="17" t="e">
        <f t="shared" si="3"/>
        <v>#VALUE!</v>
      </c>
      <c r="L91" s="30"/>
      <c r="M91" s="30"/>
      <c r="N91" s="30"/>
      <c r="O91" s="30"/>
      <c r="P91" s="30"/>
      <c r="Q91" s="30"/>
      <c r="R91" s="30"/>
      <c r="S91" s="30">
        <v>1</v>
      </c>
      <c r="T91" s="26"/>
      <c r="U91" s="26"/>
      <c r="V91" s="26"/>
      <c r="W91" s="26"/>
      <c r="X91" s="26"/>
      <c r="Y91" s="26"/>
      <c r="Z91" s="26"/>
      <c r="AA91" s="26"/>
      <c r="AB91" s="26"/>
      <c r="AC91" s="26"/>
      <c r="AD91" s="26"/>
      <c r="AE91" s="26"/>
      <c r="AF91" s="26"/>
      <c r="AG91" s="26"/>
      <c r="AH91" s="26"/>
      <c r="AI91" s="26"/>
      <c r="AJ91" s="26"/>
      <c r="AK91" s="26"/>
      <c r="AL91" s="26"/>
      <c r="AM91" s="26"/>
      <c r="AN91" s="26"/>
      <c r="AO91" s="26"/>
      <c r="AP91" s="26"/>
      <c r="AQ91" s="26"/>
      <c r="AR91" s="26"/>
    </row>
    <row r="92" spans="1:44" ht="15.75" x14ac:dyDescent="0.25">
      <c r="A92" s="30"/>
      <c r="B92" s="13" t="s">
        <v>146</v>
      </c>
      <c r="C92" s="62" t="s">
        <v>198</v>
      </c>
      <c r="D92" s="63" t="s">
        <v>199</v>
      </c>
      <c r="E92" s="63" t="s">
        <v>22</v>
      </c>
      <c r="F92" s="64" t="e">
        <f>G92+SUMIF('[1]mouvement batteurs cuves'!B:B,"=MODULE SECURITE ACOTOM COM3C 24V batteur 2",'[1]mouvement batteurs cuves'!G:G)</f>
        <v>#VALUE!</v>
      </c>
      <c r="G92" s="63">
        <v>0</v>
      </c>
      <c r="H92" s="63">
        <v>1</v>
      </c>
      <c r="I92" s="65" t="e">
        <f t="shared" ref="I92:I105" si="4">IF(F92&lt;H92,"/!\","-")</f>
        <v>#VALUE!</v>
      </c>
      <c r="J92" s="66">
        <v>196.86</v>
      </c>
      <c r="K92" s="67" t="e">
        <f t="shared" ref="K92:K105" si="5">F92*J92</f>
        <v>#VALUE!</v>
      </c>
      <c r="L92" s="30"/>
      <c r="M92" s="30"/>
      <c r="N92" s="30"/>
      <c r="O92" s="30"/>
      <c r="P92" s="30"/>
      <c r="Q92" s="30"/>
      <c r="R92" s="30"/>
      <c r="S92" s="30">
        <v>1</v>
      </c>
      <c r="T92" s="26"/>
      <c r="U92" s="26"/>
      <c r="V92" s="26"/>
      <c r="W92" s="26"/>
      <c r="X92" s="26"/>
      <c r="Y92" s="26"/>
      <c r="Z92" s="26"/>
      <c r="AA92" s="26"/>
      <c r="AB92" s="26"/>
      <c r="AC92" s="26"/>
      <c r="AD92" s="26"/>
      <c r="AE92" s="26"/>
      <c r="AF92" s="26"/>
      <c r="AG92" s="26"/>
      <c r="AH92" s="26"/>
      <c r="AI92" s="26"/>
      <c r="AJ92" s="26"/>
      <c r="AK92" s="26"/>
      <c r="AL92" s="26"/>
      <c r="AM92" s="26"/>
      <c r="AN92" s="26"/>
      <c r="AO92" s="26"/>
      <c r="AP92" s="26"/>
      <c r="AQ92" s="26"/>
      <c r="AR92" s="26"/>
    </row>
    <row r="93" spans="1:44" ht="15.75" x14ac:dyDescent="0.25">
      <c r="A93" s="30"/>
      <c r="B93" s="13" t="s">
        <v>146</v>
      </c>
      <c r="C93" s="4" t="s">
        <v>200</v>
      </c>
      <c r="D93" s="20" t="s">
        <v>201</v>
      </c>
      <c r="E93" s="20" t="s">
        <v>22</v>
      </c>
      <c r="F93" s="7" t="e">
        <f>G93+SUMIF('[1]mouvement batteurs cuves'!B:B,"=Potentiometre vitesse rotation BAT3",'[1]mouvement batteurs cuves'!G:G)</f>
        <v>#VALUE!</v>
      </c>
      <c r="G93" s="63">
        <v>1</v>
      </c>
      <c r="H93" s="20">
        <v>1</v>
      </c>
      <c r="I93" s="68" t="e">
        <f t="shared" si="4"/>
        <v>#VALUE!</v>
      </c>
      <c r="J93" s="69">
        <v>54.09</v>
      </c>
      <c r="K93" s="17" t="e">
        <f t="shared" si="5"/>
        <v>#VALUE!</v>
      </c>
      <c r="L93" s="30"/>
      <c r="M93" s="30"/>
      <c r="N93" s="30"/>
      <c r="O93" s="30"/>
      <c r="P93" s="30"/>
      <c r="Q93" s="30"/>
      <c r="R93" s="30"/>
      <c r="S93" s="30">
        <v>1</v>
      </c>
      <c r="T93" s="26"/>
      <c r="U93" s="26"/>
      <c r="V93" s="26"/>
      <c r="W93" s="26"/>
      <c r="X93" s="26"/>
      <c r="Y93" s="26"/>
      <c r="Z93" s="26"/>
      <c r="AA93" s="26"/>
      <c r="AB93" s="26"/>
      <c r="AC93" s="26"/>
      <c r="AD93" s="26"/>
      <c r="AE93" s="26"/>
      <c r="AF93" s="26"/>
      <c r="AG93" s="26"/>
      <c r="AH93" s="26"/>
      <c r="AI93" s="26"/>
      <c r="AJ93" s="26"/>
      <c r="AK93" s="26"/>
      <c r="AL93" s="26"/>
      <c r="AM93" s="26"/>
      <c r="AN93" s="26"/>
      <c r="AO93" s="26"/>
      <c r="AP93" s="26"/>
      <c r="AQ93" s="26"/>
      <c r="AR93" s="26"/>
    </row>
    <row r="94" spans="1:44" ht="15.75" x14ac:dyDescent="0.25">
      <c r="A94" s="30"/>
      <c r="B94" s="13" t="s">
        <v>146</v>
      </c>
      <c r="C94" s="70" t="s">
        <v>202</v>
      </c>
      <c r="D94" s="71" t="s">
        <v>203</v>
      </c>
      <c r="E94" s="71" t="s">
        <v>22</v>
      </c>
      <c r="F94" s="64" t="e">
        <f>G94+SUMIF('[1]mouvement batteurs cuves'!B:B,"=poussoir de FDC presence cuve",'[1]mouvement batteurs cuves'!G:G)</f>
        <v>#VALUE!</v>
      </c>
      <c r="G94" s="63">
        <v>3</v>
      </c>
      <c r="H94" s="71">
        <v>1</v>
      </c>
      <c r="I94" s="65" t="e">
        <f t="shared" si="4"/>
        <v>#VALUE!</v>
      </c>
      <c r="J94" s="72">
        <v>44.79</v>
      </c>
      <c r="K94" s="67" t="e">
        <f t="shared" si="5"/>
        <v>#VALUE!</v>
      </c>
      <c r="L94" s="30"/>
      <c r="M94" s="30"/>
      <c r="N94" s="30"/>
      <c r="O94" s="30"/>
      <c r="P94" s="30"/>
      <c r="Q94" s="30"/>
      <c r="R94" s="30"/>
      <c r="S94" s="30">
        <v>1</v>
      </c>
      <c r="T94" s="26"/>
      <c r="U94" s="26"/>
      <c r="V94" s="26"/>
      <c r="W94" s="26"/>
      <c r="X94" s="26"/>
      <c r="Y94" s="26"/>
      <c r="Z94" s="26"/>
      <c r="AA94" s="26"/>
      <c r="AB94" s="26"/>
      <c r="AC94" s="26"/>
      <c r="AD94" s="26"/>
      <c r="AE94" s="26"/>
      <c r="AF94" s="26"/>
      <c r="AG94" s="26"/>
      <c r="AH94" s="26"/>
      <c r="AI94" s="26"/>
      <c r="AJ94" s="26"/>
      <c r="AK94" s="26"/>
      <c r="AL94" s="26"/>
      <c r="AM94" s="26"/>
      <c r="AN94" s="26"/>
      <c r="AO94" s="26"/>
      <c r="AP94" s="26"/>
      <c r="AQ94" s="26"/>
      <c r="AR94" s="26"/>
    </row>
    <row r="95" spans="1:44" ht="15.75" x14ac:dyDescent="0.25">
      <c r="A95" s="30"/>
      <c r="B95" s="13" t="s">
        <v>146</v>
      </c>
      <c r="C95" s="62" t="s">
        <v>204</v>
      </c>
      <c r="D95" s="63" t="s">
        <v>205</v>
      </c>
      <c r="E95" s="63" t="s">
        <v>206</v>
      </c>
      <c r="F95" s="7" t="e">
        <f>G95+SUMIF('[1]mouvement batteurs cuves'!B:B,"=protection thermoplongeur modele 2077-99 (plastique/verre)",'[1]mouvement batteurs cuves'!G:G)</f>
        <v>#VALUE!</v>
      </c>
      <c r="G95" s="63">
        <v>0</v>
      </c>
      <c r="H95" s="63">
        <v>0</v>
      </c>
      <c r="I95" s="68" t="e">
        <f t="shared" si="4"/>
        <v>#VALUE!</v>
      </c>
      <c r="J95" s="66">
        <v>44.6</v>
      </c>
      <c r="K95" s="17" t="e">
        <f t="shared" si="5"/>
        <v>#VALUE!</v>
      </c>
      <c r="L95" s="30"/>
      <c r="M95" s="30"/>
      <c r="N95" s="30"/>
      <c r="O95" s="30"/>
      <c r="P95" s="30"/>
      <c r="Q95" s="30"/>
      <c r="R95" s="30"/>
      <c r="S95" s="30">
        <v>0</v>
      </c>
      <c r="T95" s="26"/>
      <c r="U95" s="26"/>
      <c r="V95" s="26"/>
      <c r="W95" s="26"/>
      <c r="X95" s="26"/>
      <c r="Y95" s="26"/>
      <c r="Z95" s="26"/>
      <c r="AA95" s="26"/>
      <c r="AB95" s="26"/>
      <c r="AC95" s="26"/>
      <c r="AD95" s="26"/>
      <c r="AE95" s="26"/>
      <c r="AF95" s="26"/>
      <c r="AG95" s="26"/>
      <c r="AH95" s="26"/>
      <c r="AI95" s="26"/>
      <c r="AJ95" s="26"/>
      <c r="AK95" s="26"/>
      <c r="AL95" s="26"/>
      <c r="AM95" s="26"/>
      <c r="AN95" s="26"/>
      <c r="AO95" s="26"/>
      <c r="AP95" s="26"/>
      <c r="AQ95" s="26"/>
      <c r="AR95" s="26"/>
    </row>
    <row r="96" spans="1:44" ht="15.75" x14ac:dyDescent="0.25">
      <c r="A96" s="30"/>
      <c r="B96" s="13" t="s">
        <v>146</v>
      </c>
      <c r="C96" s="62" t="s">
        <v>207</v>
      </c>
      <c r="D96" s="63" t="s">
        <v>208</v>
      </c>
      <c r="E96" s="63" t="s">
        <v>206</v>
      </c>
      <c r="F96" s="64" t="e">
        <f>G96+SUMIF('[1]mouvement batteurs cuves'!B:B,"=protection thermoplongeur modele 9622-01 (alu)",'[1]mouvement batteurs cuves'!G:G)</f>
        <v>#VALUE!</v>
      </c>
      <c r="G96" s="63">
        <v>8</v>
      </c>
      <c r="H96" s="63">
        <v>2</v>
      </c>
      <c r="I96" s="65" t="e">
        <f t="shared" si="4"/>
        <v>#VALUE!</v>
      </c>
      <c r="J96" s="66">
        <v>44.6</v>
      </c>
      <c r="K96" s="67" t="e">
        <f t="shared" si="5"/>
        <v>#VALUE!</v>
      </c>
      <c r="L96" s="30"/>
      <c r="M96" s="30"/>
      <c r="N96" s="30"/>
      <c r="O96" s="30"/>
      <c r="P96" s="30"/>
      <c r="Q96" s="30"/>
      <c r="R96" s="30"/>
      <c r="S96" s="30">
        <v>0</v>
      </c>
      <c r="T96" s="26"/>
      <c r="U96" s="26"/>
      <c r="V96" s="26"/>
      <c r="W96" s="26"/>
      <c r="X96" s="26"/>
      <c r="Y96" s="26"/>
      <c r="Z96" s="26"/>
      <c r="AA96" s="26"/>
      <c r="AB96" s="26"/>
      <c r="AC96" s="26"/>
      <c r="AD96" s="26"/>
      <c r="AE96" s="26"/>
      <c r="AF96" s="26"/>
      <c r="AG96" s="26"/>
      <c r="AH96" s="26"/>
      <c r="AI96" s="26"/>
      <c r="AJ96" s="26"/>
      <c r="AK96" s="26"/>
      <c r="AL96" s="26"/>
      <c r="AM96" s="26"/>
      <c r="AN96" s="26"/>
      <c r="AO96" s="26"/>
      <c r="AP96" s="26"/>
      <c r="AQ96" s="26"/>
      <c r="AR96" s="26"/>
    </row>
    <row r="97" spans="1:44" ht="15.75" x14ac:dyDescent="0.25">
      <c r="A97" s="30"/>
      <c r="B97" s="13" t="s">
        <v>146</v>
      </c>
      <c r="C97" s="62" t="s">
        <v>209</v>
      </c>
      <c r="D97" s="63" t="s">
        <v>210</v>
      </c>
      <c r="E97" s="63" t="s">
        <v>22</v>
      </c>
      <c r="F97" s="7" t="e">
        <f>G97+SUMIF('[1]mouvement batteurs cuves'!B:B,"=RELAIS STATIQUE chauffage de cuves batteur 1",'[1]mouvement batteurs cuves'!G:G)</f>
        <v>#VALUE!</v>
      </c>
      <c r="G97" s="63">
        <v>1</v>
      </c>
      <c r="H97" s="63">
        <v>0</v>
      </c>
      <c r="I97" s="68" t="e">
        <f t="shared" si="4"/>
        <v>#VALUE!</v>
      </c>
      <c r="J97" s="66">
        <v>181.14</v>
      </c>
      <c r="K97" s="17" t="e">
        <f t="shared" si="5"/>
        <v>#VALUE!</v>
      </c>
      <c r="L97" s="30"/>
      <c r="M97" s="30"/>
      <c r="N97" s="30"/>
      <c r="O97" s="30"/>
      <c r="P97" s="30"/>
      <c r="Q97" s="30"/>
      <c r="R97" s="30"/>
      <c r="S97" s="30">
        <v>0</v>
      </c>
      <c r="T97" s="26"/>
      <c r="U97" s="26"/>
      <c r="V97" s="26"/>
      <c r="W97" s="26"/>
      <c r="X97" s="26"/>
      <c r="Y97" s="26"/>
      <c r="Z97" s="26"/>
      <c r="AA97" s="26"/>
      <c r="AB97" s="26"/>
      <c r="AC97" s="26"/>
      <c r="AD97" s="26"/>
      <c r="AE97" s="26"/>
      <c r="AF97" s="26"/>
      <c r="AG97" s="26"/>
      <c r="AH97" s="26"/>
      <c r="AI97" s="26"/>
      <c r="AJ97" s="26"/>
      <c r="AK97" s="26"/>
      <c r="AL97" s="26"/>
      <c r="AM97" s="26"/>
      <c r="AN97" s="26"/>
      <c r="AO97" s="26"/>
      <c r="AP97" s="26"/>
      <c r="AQ97" s="26"/>
      <c r="AR97" s="26"/>
    </row>
    <row r="98" spans="1:44" ht="15.75" x14ac:dyDescent="0.25">
      <c r="A98" s="30"/>
      <c r="B98" s="13" t="s">
        <v>146</v>
      </c>
      <c r="C98" s="70" t="s">
        <v>211</v>
      </c>
      <c r="D98" s="71" t="s">
        <v>212</v>
      </c>
      <c r="E98" s="71" t="s">
        <v>22</v>
      </c>
      <c r="F98" s="64" t="e">
        <f>G98+SUMIF('[1]mouvement batteurs cuves'!B:B,"=Roulement à billes SKF 6207-2RS1, Rainure profonde, 35mmx72mm",'[1]mouvement batteurs cuves'!G:G)</f>
        <v>#VALUE!</v>
      </c>
      <c r="G98" s="63">
        <v>1</v>
      </c>
      <c r="H98" s="71">
        <v>2</v>
      </c>
      <c r="I98" s="65" t="e">
        <f t="shared" si="4"/>
        <v>#VALUE!</v>
      </c>
      <c r="J98" s="72">
        <v>12.93</v>
      </c>
      <c r="K98" s="67" t="e">
        <f t="shared" si="5"/>
        <v>#VALUE!</v>
      </c>
      <c r="L98" s="30"/>
      <c r="M98" s="30"/>
      <c r="N98" s="30"/>
      <c r="O98" s="30"/>
      <c r="P98" s="30"/>
      <c r="Q98" s="30"/>
      <c r="R98" s="30"/>
      <c r="S98" s="30">
        <v>1</v>
      </c>
      <c r="T98" s="26"/>
      <c r="U98" s="26"/>
      <c r="V98" s="26"/>
      <c r="W98" s="26"/>
      <c r="X98" s="26"/>
      <c r="Y98" s="26"/>
      <c r="Z98" s="26"/>
      <c r="AA98" s="26"/>
      <c r="AB98" s="26"/>
      <c r="AC98" s="26"/>
      <c r="AD98" s="26"/>
      <c r="AE98" s="26"/>
      <c r="AF98" s="26"/>
      <c r="AG98" s="26"/>
      <c r="AH98" s="26"/>
      <c r="AI98" s="26"/>
      <c r="AJ98" s="26"/>
      <c r="AK98" s="26"/>
      <c r="AL98" s="26"/>
      <c r="AM98" s="26"/>
      <c r="AN98" s="26"/>
      <c r="AO98" s="26"/>
      <c r="AP98" s="26"/>
      <c r="AQ98" s="26"/>
      <c r="AR98" s="26"/>
    </row>
    <row r="99" spans="1:44" ht="15.75" x14ac:dyDescent="0.25">
      <c r="A99" s="30"/>
      <c r="B99" s="13" t="s">
        <v>146</v>
      </c>
      <c r="C99" s="4" t="s">
        <v>213</v>
      </c>
      <c r="D99" s="20" t="s">
        <v>214</v>
      </c>
      <c r="E99" s="20" t="s">
        <v>22</v>
      </c>
      <c r="F99" s="7" t="e">
        <f>G99+SUMIF('[1]mouvement batteurs cuves'!B:B,"=Roulement à billes SKF 6208-2RS1, Rainure profonde, 40mmx80mm",'[1]mouvement batteurs cuves'!G:G)</f>
        <v>#VALUE!</v>
      </c>
      <c r="G99" s="63">
        <v>1</v>
      </c>
      <c r="H99" s="20">
        <v>1</v>
      </c>
      <c r="I99" s="68" t="e">
        <f t="shared" si="4"/>
        <v>#VALUE!</v>
      </c>
      <c r="J99" s="69">
        <v>16.920000000000002</v>
      </c>
      <c r="K99" s="17" t="e">
        <f t="shared" si="5"/>
        <v>#VALUE!</v>
      </c>
      <c r="L99" s="30"/>
      <c r="M99" s="30"/>
      <c r="N99" s="30"/>
      <c r="O99" s="30"/>
      <c r="P99" s="30"/>
      <c r="Q99" s="30"/>
      <c r="R99" s="30"/>
      <c r="S99" s="30">
        <v>0</v>
      </c>
      <c r="T99" s="26"/>
      <c r="U99" s="26"/>
      <c r="V99" s="26"/>
      <c r="W99" s="26"/>
      <c r="X99" s="26"/>
      <c r="Y99" s="26"/>
      <c r="Z99" s="26"/>
      <c r="AA99" s="26"/>
      <c r="AB99" s="26"/>
      <c r="AC99" s="26"/>
      <c r="AD99" s="26"/>
      <c r="AE99" s="26"/>
      <c r="AF99" s="26"/>
      <c r="AG99" s="26"/>
      <c r="AH99" s="26"/>
      <c r="AI99" s="26"/>
      <c r="AJ99" s="26"/>
      <c r="AK99" s="26"/>
      <c r="AL99" s="26"/>
      <c r="AM99" s="26"/>
      <c r="AN99" s="26"/>
      <c r="AO99" s="26"/>
      <c r="AP99" s="26"/>
      <c r="AQ99" s="26"/>
      <c r="AR99" s="26"/>
    </row>
    <row r="100" spans="1:44" ht="15.75" x14ac:dyDescent="0.25">
      <c r="A100" s="30"/>
      <c r="B100" s="13" t="s">
        <v>146</v>
      </c>
      <c r="C100" s="70" t="s">
        <v>215</v>
      </c>
      <c r="D100" s="71" t="s">
        <v>22</v>
      </c>
      <c r="E100" s="71" t="s">
        <v>22</v>
      </c>
      <c r="F100" s="64" t="e">
        <f>G100+SUMIF('[1]mouvement batteurs cuves'!B:B,"=Roulement capot grille",'[1]mouvement batteurs cuves'!G:G)</f>
        <v>#VALUE!</v>
      </c>
      <c r="G100" s="63">
        <v>3</v>
      </c>
      <c r="H100" s="71">
        <v>3</v>
      </c>
      <c r="I100" s="65" t="e">
        <f t="shared" si="4"/>
        <v>#VALUE!</v>
      </c>
      <c r="J100" s="72">
        <v>0</v>
      </c>
      <c r="K100" s="67" t="e">
        <f t="shared" si="5"/>
        <v>#VALUE!</v>
      </c>
      <c r="L100" s="30"/>
      <c r="M100" s="30"/>
      <c r="N100" s="30"/>
      <c r="O100" s="30"/>
      <c r="P100" s="30"/>
      <c r="Q100" s="30"/>
      <c r="R100" s="30"/>
      <c r="S100" s="30">
        <v>1</v>
      </c>
      <c r="T100" s="26"/>
      <c r="U100" s="26"/>
      <c r="V100" s="26"/>
      <c r="W100" s="26"/>
      <c r="X100" s="26"/>
      <c r="Y100" s="26"/>
      <c r="Z100" s="26"/>
      <c r="AA100" s="26"/>
      <c r="AB100" s="26"/>
      <c r="AC100" s="26"/>
      <c r="AD100" s="26"/>
      <c r="AE100" s="26"/>
      <c r="AF100" s="26"/>
      <c r="AG100" s="26"/>
      <c r="AH100" s="26"/>
      <c r="AI100" s="26"/>
      <c r="AJ100" s="26"/>
      <c r="AK100" s="26"/>
      <c r="AL100" s="26"/>
      <c r="AM100" s="26"/>
      <c r="AN100" s="26"/>
      <c r="AO100" s="26"/>
      <c r="AP100" s="26"/>
      <c r="AQ100" s="26"/>
      <c r="AR100" s="26"/>
    </row>
    <row r="101" spans="1:44" ht="15.75" x14ac:dyDescent="0.25">
      <c r="A101" s="30"/>
      <c r="B101" s="13" t="s">
        <v>146</v>
      </c>
      <c r="C101" s="4" t="s">
        <v>216</v>
      </c>
      <c r="D101" s="20" t="s">
        <v>217</v>
      </c>
      <c r="E101" s="20" t="s">
        <v>22</v>
      </c>
      <c r="F101" s="7" t="e">
        <f>G101+SUMIF('[1]mouvement batteurs cuves'!B:B,"=Roulettes pour cuves 80/100/150L",'[1]mouvement batteurs cuves'!G:G)</f>
        <v>#VALUE!</v>
      </c>
      <c r="G101" s="63">
        <v>7</v>
      </c>
      <c r="H101" s="20">
        <v>4</v>
      </c>
      <c r="I101" s="68" t="e">
        <f t="shared" si="4"/>
        <v>#VALUE!</v>
      </c>
      <c r="J101" s="69">
        <v>24.9</v>
      </c>
      <c r="K101" s="17" t="e">
        <f t="shared" si="5"/>
        <v>#VALUE!</v>
      </c>
      <c r="L101" s="30"/>
      <c r="M101" s="30"/>
      <c r="N101" s="30"/>
      <c r="O101" s="30"/>
      <c r="P101" s="30"/>
      <c r="Q101" s="30"/>
      <c r="R101" s="30"/>
      <c r="S101" s="30">
        <v>0</v>
      </c>
      <c r="T101" s="26"/>
      <c r="U101" s="26"/>
      <c r="V101" s="26"/>
      <c r="W101" s="26"/>
      <c r="X101" s="26"/>
      <c r="Y101" s="26"/>
      <c r="Z101" s="26"/>
      <c r="AA101" s="26"/>
      <c r="AB101" s="26"/>
      <c r="AC101" s="26"/>
      <c r="AD101" s="26"/>
      <c r="AE101" s="26"/>
      <c r="AF101" s="26"/>
      <c r="AG101" s="26"/>
      <c r="AH101" s="26"/>
      <c r="AI101" s="26"/>
      <c r="AJ101" s="26"/>
      <c r="AK101" s="26"/>
      <c r="AL101" s="26"/>
      <c r="AM101" s="26"/>
      <c r="AN101" s="26"/>
      <c r="AO101" s="26"/>
      <c r="AP101" s="26"/>
      <c r="AQ101" s="26"/>
      <c r="AR101" s="26"/>
    </row>
    <row r="102" spans="1:44" ht="15.75" x14ac:dyDescent="0.25">
      <c r="A102" s="30"/>
      <c r="B102" s="13" t="s">
        <v>146</v>
      </c>
      <c r="C102" s="62" t="s">
        <v>218</v>
      </c>
      <c r="D102" s="77" t="s">
        <v>22</v>
      </c>
      <c r="E102" s="63" t="s">
        <v>22</v>
      </c>
      <c r="F102" s="64" t="e">
        <f>G102+SUMIF('[1]mouvement batteurs cuves'!B:B,"=soupapes, 2882/d10c/s-ptfe",'[1]mouvement batteurs cuves'!G:G)</f>
        <v>#VALUE!</v>
      </c>
      <c r="G102" s="63">
        <v>4</v>
      </c>
      <c r="H102" s="63">
        <v>1</v>
      </c>
      <c r="I102" s="65" t="e">
        <f t="shared" si="4"/>
        <v>#VALUE!</v>
      </c>
      <c r="J102" s="66">
        <v>219.83</v>
      </c>
      <c r="K102" s="67" t="e">
        <f t="shared" si="5"/>
        <v>#VALUE!</v>
      </c>
      <c r="L102" s="30"/>
      <c r="M102" s="30"/>
      <c r="N102" s="30"/>
      <c r="O102" s="30"/>
      <c r="P102" s="30"/>
      <c r="Q102" s="30"/>
      <c r="R102" s="30"/>
      <c r="S102" s="30">
        <v>1</v>
      </c>
      <c r="T102" s="26"/>
      <c r="U102" s="26"/>
      <c r="V102" s="26"/>
      <c r="W102" s="26"/>
      <c r="X102" s="26"/>
      <c r="Y102" s="26"/>
      <c r="Z102" s="26"/>
      <c r="AA102" s="26"/>
      <c r="AB102" s="26"/>
      <c r="AC102" s="26"/>
      <c r="AD102" s="26"/>
      <c r="AE102" s="26"/>
      <c r="AF102" s="26"/>
      <c r="AG102" s="26"/>
      <c r="AH102" s="26"/>
      <c r="AI102" s="26"/>
      <c r="AJ102" s="26"/>
      <c r="AK102" s="26"/>
      <c r="AL102" s="26"/>
      <c r="AM102" s="26"/>
      <c r="AN102" s="26"/>
      <c r="AO102" s="26"/>
      <c r="AP102" s="26"/>
      <c r="AQ102" s="26"/>
      <c r="AR102" s="26"/>
    </row>
    <row r="103" spans="1:44" ht="15.75" x14ac:dyDescent="0.25">
      <c r="A103" s="30"/>
      <c r="B103" s="13" t="s">
        <v>146</v>
      </c>
      <c r="C103" s="4" t="s">
        <v>8</v>
      </c>
      <c r="D103" s="78" t="s">
        <v>219</v>
      </c>
      <c r="E103" s="79" t="s">
        <v>22</v>
      </c>
      <c r="F103" s="7" t="e">
        <f>G103+SUMIF('[1]mouvement batteurs cuves'!B:B,"=Tête + roulette Capteur de fin de course Telemecanique ZCKD21",'[1]mouvement batteurs cuves'!G:G)</f>
        <v>#VALUE!</v>
      </c>
      <c r="G103" s="63">
        <v>2</v>
      </c>
      <c r="H103" s="20">
        <v>1</v>
      </c>
      <c r="I103" s="68" t="e">
        <f t="shared" si="4"/>
        <v>#VALUE!</v>
      </c>
      <c r="J103" s="69">
        <v>22.34</v>
      </c>
      <c r="K103" s="17" t="e">
        <f t="shared" si="5"/>
        <v>#VALUE!</v>
      </c>
      <c r="L103" s="30"/>
      <c r="M103" s="30"/>
      <c r="N103" s="30"/>
      <c r="O103" s="30"/>
      <c r="P103" s="30"/>
      <c r="Q103" s="30"/>
      <c r="R103" s="30"/>
      <c r="S103" s="30">
        <v>1</v>
      </c>
      <c r="T103" s="26"/>
      <c r="U103" s="26"/>
      <c r="V103" s="26"/>
      <c r="W103" s="26"/>
      <c r="X103" s="26"/>
      <c r="Y103" s="26"/>
      <c r="Z103" s="26"/>
      <c r="AA103" s="26"/>
      <c r="AB103" s="26"/>
      <c r="AC103" s="26"/>
      <c r="AD103" s="26"/>
      <c r="AE103" s="26"/>
      <c r="AF103" s="26"/>
      <c r="AG103" s="26"/>
      <c r="AH103" s="26"/>
      <c r="AI103" s="26"/>
      <c r="AJ103" s="26"/>
      <c r="AK103" s="26"/>
      <c r="AL103" s="26"/>
      <c r="AM103" s="26"/>
      <c r="AN103" s="26"/>
      <c r="AO103" s="26"/>
      <c r="AP103" s="26"/>
      <c r="AQ103" s="26"/>
      <c r="AR103" s="26"/>
    </row>
    <row r="104" spans="1:44" ht="24" x14ac:dyDescent="0.25">
      <c r="A104" s="30"/>
      <c r="B104" s="13" t="s">
        <v>146</v>
      </c>
      <c r="C104" s="62" t="s">
        <v>220</v>
      </c>
      <c r="D104" s="77" t="s">
        <v>221</v>
      </c>
      <c r="E104" s="63" t="s">
        <v>183</v>
      </c>
      <c r="F104" s="64" t="e">
        <f>G104+SUMIF('[1]mouvement batteurs cuves'!B:B,"=tête de fouet",'[1]mouvement batteurs cuves'!G:G)</f>
        <v>#VALUE!</v>
      </c>
      <c r="G104" s="63">
        <v>0</v>
      </c>
      <c r="H104" s="63">
        <v>1</v>
      </c>
      <c r="I104" s="65" t="e">
        <f t="shared" si="4"/>
        <v>#VALUE!</v>
      </c>
      <c r="J104" s="66">
        <v>292.39999999999998</v>
      </c>
      <c r="K104" s="67" t="e">
        <f t="shared" si="5"/>
        <v>#VALUE!</v>
      </c>
      <c r="L104" s="30"/>
      <c r="M104" s="30"/>
      <c r="N104" s="30"/>
      <c r="O104" s="30"/>
      <c r="P104" s="30"/>
      <c r="Q104" s="30"/>
      <c r="R104" s="30"/>
      <c r="S104" s="30">
        <v>1</v>
      </c>
      <c r="T104" s="26"/>
      <c r="U104" s="26"/>
      <c r="V104" s="26"/>
      <c r="W104" s="26"/>
      <c r="X104" s="26"/>
      <c r="Y104" s="26"/>
      <c r="Z104" s="26"/>
      <c r="AA104" s="26"/>
      <c r="AB104" s="26"/>
      <c r="AC104" s="26"/>
      <c r="AD104" s="26"/>
      <c r="AE104" s="26"/>
      <c r="AF104" s="26"/>
      <c r="AG104" s="26"/>
      <c r="AH104" s="26"/>
      <c r="AI104" s="26"/>
      <c r="AJ104" s="26"/>
      <c r="AK104" s="26"/>
      <c r="AL104" s="26"/>
      <c r="AM104" s="26"/>
      <c r="AN104" s="26"/>
      <c r="AO104" s="26"/>
      <c r="AP104" s="26"/>
      <c r="AQ104" s="26"/>
      <c r="AR104" s="26"/>
    </row>
    <row r="105" spans="1:44" ht="15.75" x14ac:dyDescent="0.25">
      <c r="A105" s="30"/>
      <c r="B105" s="13" t="s">
        <v>146</v>
      </c>
      <c r="C105" s="80" t="s">
        <v>222</v>
      </c>
      <c r="D105" s="78" t="s">
        <v>223</v>
      </c>
      <c r="E105" s="78" t="s">
        <v>22</v>
      </c>
      <c r="F105" s="81" t="e">
        <f>G105+SUMIF('[1]mouvement batteurs cuves'!B:B,"=Verin hydraulique montée cuve L=735",'[1]mouvement batteurs cuves'!G:G)</f>
        <v>#VALUE!</v>
      </c>
      <c r="G105" s="77">
        <v>0</v>
      </c>
      <c r="H105" s="78">
        <v>1</v>
      </c>
      <c r="I105" s="82" t="e">
        <f t="shared" si="4"/>
        <v>#VALUE!</v>
      </c>
      <c r="J105" s="83">
        <v>1192.1500000000001</v>
      </c>
      <c r="K105" s="84" t="e">
        <f t="shared" si="5"/>
        <v>#VALUE!</v>
      </c>
      <c r="L105" s="30"/>
      <c r="M105" s="30"/>
      <c r="N105" s="30"/>
      <c r="O105" s="30"/>
      <c r="P105" s="30"/>
      <c r="Q105" s="30"/>
      <c r="R105" s="30"/>
      <c r="S105" s="30">
        <v>1</v>
      </c>
      <c r="T105" s="26"/>
      <c r="U105" s="26"/>
      <c r="V105" s="26"/>
      <c r="W105" s="26"/>
      <c r="X105" s="26"/>
      <c r="Y105" s="26"/>
      <c r="Z105" s="26"/>
      <c r="AA105" s="26"/>
      <c r="AB105" s="26"/>
      <c r="AC105" s="26"/>
      <c r="AD105" s="26"/>
      <c r="AE105" s="26"/>
      <c r="AF105" s="26"/>
      <c r="AG105" s="26"/>
      <c r="AH105" s="26"/>
      <c r="AI105" s="26"/>
      <c r="AJ105" s="26"/>
      <c r="AK105" s="26"/>
      <c r="AL105" s="26"/>
      <c r="AM105" s="26"/>
      <c r="AN105" s="26"/>
      <c r="AO105" s="26"/>
      <c r="AP105" s="26"/>
      <c r="AQ105" s="26"/>
      <c r="AR105" s="26"/>
    </row>
    <row r="106" spans="1:44" ht="15.75" x14ac:dyDescent="0.25">
      <c r="A106" s="30"/>
      <c r="B106" s="13" t="s">
        <v>146</v>
      </c>
      <c r="C106" s="85" t="s">
        <v>224</v>
      </c>
      <c r="D106" s="86" t="s">
        <v>225</v>
      </c>
      <c r="E106" s="86" t="s">
        <v>226</v>
      </c>
      <c r="F106" s="87" t="e">
        <f>G106+SUMIF('[1]mouvement batteurs cuves'!B:B,"=protection facade pour afficheur rotation fouet WEST 6100+",'[1]mouvement batteurs cuves'!G:G)</f>
        <v>#VALUE!</v>
      </c>
      <c r="G106" s="77">
        <v>4</v>
      </c>
      <c r="H106" s="86">
        <v>1</v>
      </c>
      <c r="I106" s="88" t="e">
        <f>IF(F106&lt;H106,"/!\","-")</f>
        <v>#VALUE!</v>
      </c>
      <c r="J106" s="89"/>
      <c r="K106" s="90" t="e">
        <f>F106*J106</f>
        <v>#VALUE!</v>
      </c>
      <c r="L106" s="30"/>
      <c r="M106" s="30"/>
      <c r="N106" s="30"/>
      <c r="O106" s="30"/>
      <c r="P106" s="30"/>
      <c r="Q106" s="30"/>
      <c r="R106" s="30"/>
      <c r="S106" s="30">
        <v>1</v>
      </c>
      <c r="T106" s="26"/>
      <c r="U106" s="26"/>
      <c r="V106" s="26"/>
      <c r="W106" s="26"/>
      <c r="X106" s="26"/>
      <c r="Y106" s="26"/>
      <c r="Z106" s="26"/>
      <c r="AA106" s="26"/>
      <c r="AB106" s="26"/>
      <c r="AC106" s="26"/>
      <c r="AD106" s="26"/>
      <c r="AE106" s="26"/>
      <c r="AF106" s="26"/>
      <c r="AG106" s="26"/>
      <c r="AH106" s="26"/>
      <c r="AI106" s="26"/>
      <c r="AJ106" s="26"/>
      <c r="AK106" s="26"/>
      <c r="AL106" s="26"/>
      <c r="AM106" s="26"/>
      <c r="AN106" s="26"/>
      <c r="AO106" s="26"/>
      <c r="AP106" s="26"/>
      <c r="AQ106" s="26"/>
      <c r="AR106" s="26"/>
    </row>
    <row r="107" spans="1:44" ht="15.75" x14ac:dyDescent="0.25">
      <c r="A107" s="30"/>
      <c r="B107" s="13" t="s">
        <v>146</v>
      </c>
      <c r="C107" s="80" t="s">
        <v>9</v>
      </c>
      <c r="D107" s="78" t="s">
        <v>227</v>
      </c>
      <c r="E107" s="78" t="s">
        <v>226</v>
      </c>
      <c r="F107" s="81" t="e">
        <f>G107+SUMIF('[1]mouvement batteurs cuves'!B:B,"=Thermostat de sécurité",'[1]mouvement batteurs cuves'!G:G)</f>
        <v>#VALUE!</v>
      </c>
      <c r="G107" s="77">
        <v>0</v>
      </c>
      <c r="H107" s="78">
        <v>1</v>
      </c>
      <c r="I107" s="82" t="e">
        <f>IF(F107&lt;H107,"/!\","-")</f>
        <v>#VALUE!</v>
      </c>
      <c r="J107" s="83"/>
      <c r="K107" s="84" t="e">
        <f>F107*J107</f>
        <v>#VALUE!</v>
      </c>
      <c r="L107" s="30"/>
      <c r="M107" s="3" t="s">
        <v>228</v>
      </c>
      <c r="N107" s="30"/>
      <c r="O107" s="30"/>
      <c r="P107" s="30"/>
      <c r="Q107" s="30"/>
      <c r="R107" s="30"/>
      <c r="S107" s="30">
        <v>0</v>
      </c>
      <c r="T107" s="26"/>
      <c r="U107" s="26"/>
      <c r="V107" s="26"/>
      <c r="W107" s="26"/>
      <c r="X107" s="26"/>
      <c r="Y107" s="26"/>
      <c r="Z107" s="26"/>
      <c r="AA107" s="26"/>
      <c r="AB107" s="26"/>
      <c r="AC107" s="26"/>
      <c r="AD107" s="26"/>
      <c r="AE107" s="26"/>
      <c r="AF107" s="26"/>
      <c r="AG107" s="26"/>
      <c r="AH107" s="26"/>
      <c r="AI107" s="26"/>
      <c r="AJ107" s="26"/>
      <c r="AK107" s="26"/>
      <c r="AL107" s="26"/>
      <c r="AM107" s="26"/>
      <c r="AN107" s="26"/>
      <c r="AO107" s="26"/>
      <c r="AP107" s="26"/>
      <c r="AQ107" s="26"/>
      <c r="AR107" s="26"/>
    </row>
    <row r="108" spans="1:44" ht="15.75" x14ac:dyDescent="0.25">
      <c r="A108" s="30"/>
      <c r="B108" s="13" t="s">
        <v>146</v>
      </c>
      <c r="C108" s="70" t="s">
        <v>11</v>
      </c>
      <c r="D108" s="71" t="s">
        <v>229</v>
      </c>
      <c r="E108" s="71"/>
      <c r="F108" s="64" t="e">
        <f>G108+SUMIF('[1]mouvement batteurs cuves'!B:B,"=embase connecteur 16pts",'[1]mouvement batteurs cuves'!G:G)</f>
        <v>#VALUE!</v>
      </c>
      <c r="G108" s="63">
        <v>4</v>
      </c>
      <c r="H108" s="71">
        <v>1</v>
      </c>
      <c r="I108" s="65" t="e">
        <f>IF(F108&lt;H108,"/!\","-")</f>
        <v>#VALUE!</v>
      </c>
      <c r="J108" s="72"/>
      <c r="K108" s="67" t="e">
        <f>F108*J108</f>
        <v>#VALUE!</v>
      </c>
      <c r="L108" s="30"/>
      <c r="M108" s="35" t="e">
        <f>SUM(K62:K108)</f>
        <v>#VALUE!</v>
      </c>
      <c r="N108" s="30"/>
      <c r="O108" s="30"/>
      <c r="P108" s="30"/>
      <c r="Q108" s="30"/>
      <c r="R108" s="30"/>
      <c r="S108" s="30">
        <v>0</v>
      </c>
      <c r="T108" s="26"/>
      <c r="U108" s="26"/>
      <c r="V108" s="26"/>
      <c r="W108" s="26"/>
      <c r="X108" s="26"/>
      <c r="Y108" s="26"/>
      <c r="Z108" s="26"/>
      <c r="AA108" s="26"/>
      <c r="AB108" s="26"/>
      <c r="AC108" s="26"/>
      <c r="AD108" s="26"/>
      <c r="AE108" s="26"/>
      <c r="AF108" s="26"/>
      <c r="AG108" s="26"/>
      <c r="AH108" s="26"/>
      <c r="AI108" s="26"/>
      <c r="AJ108" s="26"/>
      <c r="AK108" s="26"/>
      <c r="AL108" s="26"/>
      <c r="AM108" s="26"/>
      <c r="AN108" s="26"/>
      <c r="AO108" s="26"/>
      <c r="AP108" s="26"/>
      <c r="AQ108" s="26"/>
      <c r="AR108" s="26"/>
    </row>
    <row r="109" spans="1:44" ht="15.75" x14ac:dyDescent="0.25">
      <c r="A109" s="30"/>
      <c r="B109" s="13" t="s">
        <v>230</v>
      </c>
      <c r="C109" s="14" t="s">
        <v>231</v>
      </c>
      <c r="D109" s="5" t="s">
        <v>232</v>
      </c>
      <c r="E109" s="6" t="s">
        <v>74</v>
      </c>
      <c r="F109" s="7" t="e">
        <f>G109+SUMIF('[1]mouvement casier chaussure'!B:B,"=lampe uv",'[1]mouvement casier chaussure'!G:G)</f>
        <v>#VALUE!</v>
      </c>
      <c r="G109" s="7">
        <v>2</v>
      </c>
      <c r="H109" s="6">
        <v>2</v>
      </c>
      <c r="I109" s="1" t="e">
        <f>IF(F109&lt;H109,"/!\","-")</f>
        <v>#VALUE!</v>
      </c>
      <c r="J109" s="11">
        <v>195</v>
      </c>
      <c r="K109" s="12" t="e">
        <f>F109*J109</f>
        <v>#VALUE!</v>
      </c>
      <c r="L109" s="30"/>
      <c r="M109" s="3" t="s">
        <v>233</v>
      </c>
      <c r="N109" s="30"/>
      <c r="O109" s="30"/>
      <c r="P109" s="30"/>
      <c r="Q109" s="30"/>
      <c r="R109" s="30"/>
      <c r="S109" s="30">
        <v>0</v>
      </c>
      <c r="T109" s="26"/>
      <c r="U109" s="26"/>
      <c r="V109" s="26"/>
      <c r="W109" s="26"/>
      <c r="X109" s="26"/>
      <c r="Y109" s="26"/>
      <c r="Z109" s="26"/>
      <c r="AA109" s="26"/>
      <c r="AB109" s="26"/>
      <c r="AC109" s="26"/>
      <c r="AD109" s="26"/>
      <c r="AE109" s="26"/>
      <c r="AF109" s="26"/>
      <c r="AG109" s="26"/>
      <c r="AH109" s="26"/>
      <c r="AI109" s="26"/>
      <c r="AJ109" s="26"/>
      <c r="AK109" s="26"/>
      <c r="AL109" s="26"/>
      <c r="AM109" s="26"/>
      <c r="AN109" s="26"/>
      <c r="AO109" s="26"/>
      <c r="AP109" s="26"/>
      <c r="AQ109" s="26"/>
      <c r="AR109" s="26"/>
    </row>
    <row r="110" spans="1:44" ht="15.75" x14ac:dyDescent="0.25">
      <c r="A110" s="30"/>
      <c r="B110" s="61" t="s">
        <v>230</v>
      </c>
      <c r="C110" s="14" t="s">
        <v>234</v>
      </c>
      <c r="D110" s="5" t="s">
        <v>235</v>
      </c>
      <c r="E110" s="6" t="s">
        <v>74</v>
      </c>
      <c r="F110" s="7" t="e">
        <f>G110+SUMIF('[1]mouvement casier chaussure'!B:B,"=moteur tangentiel",'[1]mouvement casier chaussure'!G:G)</f>
        <v>#VALUE!</v>
      </c>
      <c r="G110" s="7">
        <v>2</v>
      </c>
      <c r="H110" s="6">
        <v>1</v>
      </c>
      <c r="I110" s="1" t="e">
        <f>IF(F110&lt;H110,"/!\","-")</f>
        <v>#VALUE!</v>
      </c>
      <c r="J110" s="11">
        <v>141.1</v>
      </c>
      <c r="K110" s="12" t="e">
        <f>F110*J110</f>
        <v>#VALUE!</v>
      </c>
      <c r="L110" s="30"/>
      <c r="M110" s="35" t="e">
        <f>SUM(K109:K110)</f>
        <v>#VALUE!</v>
      </c>
      <c r="N110" s="30"/>
      <c r="O110" s="30"/>
      <c r="P110" s="30"/>
      <c r="Q110" s="30"/>
      <c r="R110" s="30"/>
      <c r="S110" s="30">
        <v>1</v>
      </c>
      <c r="T110" s="26"/>
      <c r="U110" s="26"/>
      <c r="V110" s="26"/>
      <c r="W110" s="26"/>
      <c r="X110" s="26"/>
      <c r="Y110" s="26"/>
      <c r="Z110" s="26"/>
      <c r="AA110" s="26"/>
      <c r="AB110" s="26"/>
      <c r="AC110" s="26"/>
      <c r="AD110" s="26"/>
      <c r="AE110" s="26"/>
      <c r="AF110" s="26"/>
      <c r="AG110" s="26"/>
      <c r="AH110" s="26"/>
      <c r="AI110" s="26"/>
      <c r="AJ110" s="26"/>
      <c r="AK110" s="26"/>
      <c r="AL110" s="26"/>
      <c r="AM110" s="26"/>
      <c r="AN110" s="26"/>
      <c r="AO110" s="26"/>
      <c r="AP110" s="26"/>
      <c r="AQ110" s="26"/>
      <c r="AR110" s="26"/>
    </row>
    <row r="111" spans="1:44" ht="15.75" x14ac:dyDescent="0.25">
      <c r="A111" s="30"/>
      <c r="B111" s="13" t="s">
        <v>236</v>
      </c>
      <c r="C111" s="91" t="s">
        <v>237</v>
      </c>
      <c r="D111" s="92" t="s">
        <v>22</v>
      </c>
      <c r="E111" s="93" t="s">
        <v>22</v>
      </c>
      <c r="F111" s="64" t="e">
        <f>G111+SUMIF('[1]mouvement CDL'!B:B,"=clapet anti-retour",'[1]mouvement CDL'!G:G)</f>
        <v>#VALUE!</v>
      </c>
      <c r="G111" s="64">
        <v>0</v>
      </c>
      <c r="H111" s="94">
        <v>2</v>
      </c>
      <c r="I111" s="65" t="e">
        <f t="shared" ref="I111:I134" si="6">IF(F111&lt;H111,"/!\","-")</f>
        <v>#VALUE!</v>
      </c>
      <c r="J111" s="95">
        <v>15.2</v>
      </c>
      <c r="K111" s="67" t="e">
        <f t="shared" ref="K111:K134" si="7">F111*J111</f>
        <v>#VALUE!</v>
      </c>
      <c r="L111" s="30"/>
      <c r="M111" s="30"/>
      <c r="N111" s="30"/>
      <c r="O111" s="30"/>
      <c r="P111" s="30"/>
      <c r="Q111" s="30"/>
      <c r="R111" s="30"/>
      <c r="S111" s="30">
        <v>0</v>
      </c>
      <c r="T111" s="26"/>
      <c r="U111" s="26"/>
      <c r="V111" s="26"/>
      <c r="W111" s="26"/>
      <c r="X111" s="26"/>
      <c r="Y111" s="26"/>
      <c r="Z111" s="26"/>
      <c r="AA111" s="26"/>
      <c r="AB111" s="26"/>
      <c r="AC111" s="26"/>
      <c r="AD111" s="26"/>
      <c r="AE111" s="26"/>
      <c r="AF111" s="26"/>
      <c r="AG111" s="26"/>
      <c r="AH111" s="26"/>
      <c r="AI111" s="26"/>
      <c r="AJ111" s="26"/>
      <c r="AK111" s="26"/>
      <c r="AL111" s="26"/>
      <c r="AM111" s="26"/>
      <c r="AN111" s="26"/>
      <c r="AO111" s="26"/>
      <c r="AP111" s="26"/>
      <c r="AQ111" s="26"/>
      <c r="AR111" s="26"/>
    </row>
    <row r="112" spans="1:44" ht="15.75" x14ac:dyDescent="0.25">
      <c r="A112" s="30"/>
      <c r="B112" s="13" t="s">
        <v>236</v>
      </c>
      <c r="C112" s="14" t="s">
        <v>238</v>
      </c>
      <c r="D112" s="25" t="s">
        <v>239</v>
      </c>
      <c r="E112" s="11" t="s">
        <v>22</v>
      </c>
      <c r="F112" s="7" t="e">
        <f>G112+SUMIF('[1]mouvement CDL'!B:B,"=Kit enrouleur double pour dévidoir inox",'[1]mouvement CDL'!G:G)</f>
        <v>#VALUE!</v>
      </c>
      <c r="G112" s="7">
        <v>1</v>
      </c>
      <c r="H112" s="6">
        <v>1</v>
      </c>
      <c r="I112" s="68" t="e">
        <f t="shared" si="6"/>
        <v>#VALUE!</v>
      </c>
      <c r="J112" s="16"/>
      <c r="K112" s="17" t="e">
        <f t="shared" si="7"/>
        <v>#VALUE!</v>
      </c>
      <c r="L112" s="30"/>
      <c r="M112" s="30"/>
      <c r="N112" s="30"/>
      <c r="O112" s="30"/>
      <c r="P112" s="30"/>
      <c r="Q112" s="30"/>
      <c r="R112" s="30"/>
      <c r="S112" s="30">
        <v>1</v>
      </c>
      <c r="T112" s="26"/>
      <c r="U112" s="26"/>
      <c r="V112" s="26"/>
      <c r="W112" s="26"/>
      <c r="X112" s="26"/>
      <c r="Y112" s="26"/>
      <c r="Z112" s="26"/>
      <c r="AA112" s="26"/>
      <c r="AB112" s="26"/>
      <c r="AC112" s="26"/>
      <c r="AD112" s="26"/>
      <c r="AE112" s="26"/>
      <c r="AF112" s="26"/>
      <c r="AG112" s="26"/>
      <c r="AH112" s="26"/>
      <c r="AI112" s="26"/>
      <c r="AJ112" s="26"/>
      <c r="AK112" s="26"/>
      <c r="AL112" s="26"/>
      <c r="AM112" s="26"/>
      <c r="AN112" s="26"/>
      <c r="AO112" s="26"/>
      <c r="AP112" s="26"/>
      <c r="AQ112" s="26"/>
      <c r="AR112" s="26"/>
    </row>
    <row r="113" spans="1:44" ht="15.75" x14ac:dyDescent="0.25">
      <c r="A113" s="30"/>
      <c r="B113" s="13" t="s">
        <v>236</v>
      </c>
      <c r="C113" s="91" t="s">
        <v>240</v>
      </c>
      <c r="D113" s="92" t="s">
        <v>241</v>
      </c>
      <c r="E113" s="93" t="s">
        <v>22</v>
      </c>
      <c r="F113" s="64" t="e">
        <f>G113+SUMIF('[1]mouvement CDL'!B:B,"=Pistolet corps plastique marque prevost",'[1]mouvement CDL'!G:G)</f>
        <v>#VALUE!</v>
      </c>
      <c r="G113" s="64">
        <v>1</v>
      </c>
      <c r="H113" s="94">
        <v>1</v>
      </c>
      <c r="I113" s="65" t="e">
        <f t="shared" si="6"/>
        <v>#VALUE!</v>
      </c>
      <c r="J113" s="95"/>
      <c r="K113" s="67" t="e">
        <f t="shared" si="7"/>
        <v>#VALUE!</v>
      </c>
      <c r="L113" s="30"/>
      <c r="M113" s="30"/>
      <c r="N113" s="30"/>
      <c r="O113" s="30"/>
      <c r="P113" s="30"/>
      <c r="Q113" s="30"/>
      <c r="R113" s="30"/>
      <c r="S113" s="30">
        <v>0</v>
      </c>
      <c r="T113" s="26"/>
      <c r="U113" s="26"/>
      <c r="V113" s="26"/>
      <c r="W113" s="26"/>
      <c r="X113" s="26"/>
      <c r="Y113" s="26"/>
      <c r="Z113" s="26"/>
      <c r="AA113" s="26"/>
      <c r="AB113" s="26"/>
      <c r="AC113" s="26"/>
      <c r="AD113" s="26"/>
      <c r="AE113" s="26"/>
      <c r="AF113" s="26"/>
      <c r="AG113" s="26"/>
      <c r="AH113" s="26"/>
      <c r="AI113" s="26"/>
      <c r="AJ113" s="26"/>
      <c r="AK113" s="26"/>
      <c r="AL113" s="26"/>
      <c r="AM113" s="26"/>
      <c r="AN113" s="26"/>
      <c r="AO113" s="26"/>
      <c r="AP113" s="26"/>
      <c r="AQ113" s="26"/>
      <c r="AR113" s="26"/>
    </row>
    <row r="114" spans="1:44" ht="15.75" x14ac:dyDescent="0.25">
      <c r="A114" s="30"/>
      <c r="B114" s="13" t="s">
        <v>236</v>
      </c>
      <c r="C114" s="14" t="s">
        <v>242</v>
      </c>
      <c r="D114" s="25" t="s">
        <v>243</v>
      </c>
      <c r="E114" s="11" t="s">
        <v>22</v>
      </c>
      <c r="F114" s="7" t="e">
        <f>G114+SUMIF('[1]mouvement CDL'!B:B,"=Pistolet eau corps acier/inox",'[1]mouvement CDL'!G:G)</f>
        <v>#VALUE!</v>
      </c>
      <c r="G114" s="7">
        <v>1</v>
      </c>
      <c r="H114" s="6">
        <v>2</v>
      </c>
      <c r="I114" s="68" t="e">
        <f t="shared" si="6"/>
        <v>#VALUE!</v>
      </c>
      <c r="J114" s="16"/>
      <c r="K114" s="17" t="e">
        <f t="shared" si="7"/>
        <v>#VALUE!</v>
      </c>
      <c r="L114" s="30"/>
      <c r="M114" s="30"/>
      <c r="N114" s="30"/>
      <c r="O114" s="30"/>
      <c r="P114" s="30"/>
      <c r="Q114" s="30"/>
      <c r="R114" s="30"/>
      <c r="S114" s="30">
        <v>1</v>
      </c>
      <c r="T114" s="26"/>
      <c r="U114" s="26"/>
      <c r="V114" s="26"/>
      <c r="W114" s="26"/>
      <c r="X114" s="26"/>
      <c r="Y114" s="26"/>
      <c r="Z114" s="26"/>
      <c r="AA114" s="26"/>
      <c r="AB114" s="26"/>
      <c r="AC114" s="26"/>
      <c r="AD114" s="26"/>
      <c r="AE114" s="26"/>
      <c r="AF114" s="26"/>
      <c r="AG114" s="26"/>
      <c r="AH114" s="26"/>
      <c r="AI114" s="26"/>
      <c r="AJ114" s="26"/>
      <c r="AK114" s="26"/>
      <c r="AL114" s="26"/>
      <c r="AM114" s="26"/>
      <c r="AN114" s="26"/>
      <c r="AO114" s="26"/>
      <c r="AP114" s="26"/>
      <c r="AQ114" s="26"/>
      <c r="AR114" s="26"/>
    </row>
    <row r="115" spans="1:44" ht="15.75" x14ac:dyDescent="0.25">
      <c r="A115" s="30"/>
      <c r="B115" s="13" t="s">
        <v>236</v>
      </c>
      <c r="C115" s="91" t="s">
        <v>244</v>
      </c>
      <c r="D115" s="92" t="s">
        <v>22</v>
      </c>
      <c r="E115" s="93" t="s">
        <v>22</v>
      </c>
      <c r="F115" s="64" t="e">
        <f>G115+SUMIF('[1]mouvement CDL'!B:B,"=Ressort cliquet centrale de lavage",'[1]mouvement CDL'!G:G)</f>
        <v>#VALUE!</v>
      </c>
      <c r="G115" s="64">
        <v>7</v>
      </c>
      <c r="H115" s="94">
        <v>4</v>
      </c>
      <c r="I115" s="65" t="e">
        <f t="shared" si="6"/>
        <v>#VALUE!</v>
      </c>
      <c r="J115" s="95">
        <v>8.8000000000000007</v>
      </c>
      <c r="K115" s="67" t="e">
        <f t="shared" si="7"/>
        <v>#VALUE!</v>
      </c>
      <c r="L115" s="30"/>
      <c r="M115" s="30"/>
      <c r="N115" s="30"/>
      <c r="O115" s="30"/>
      <c r="P115" s="30"/>
      <c r="Q115" s="30"/>
      <c r="R115" s="30"/>
      <c r="S115" s="30">
        <v>1</v>
      </c>
      <c r="T115" s="26"/>
      <c r="U115" s="26"/>
      <c r="V115" s="26"/>
      <c r="W115" s="26"/>
      <c r="X115" s="26"/>
      <c r="Y115" s="26"/>
      <c r="Z115" s="26"/>
      <c r="AA115" s="26"/>
      <c r="AB115" s="26"/>
      <c r="AC115" s="26"/>
      <c r="AD115" s="26"/>
      <c r="AE115" s="26"/>
      <c r="AF115" s="26"/>
      <c r="AG115" s="26"/>
      <c r="AH115" s="26"/>
      <c r="AI115" s="26"/>
      <c r="AJ115" s="26"/>
      <c r="AK115" s="26"/>
      <c r="AL115" s="26"/>
      <c r="AM115" s="26"/>
      <c r="AN115" s="26"/>
      <c r="AO115" s="26"/>
      <c r="AP115" s="26"/>
      <c r="AQ115" s="26"/>
      <c r="AR115" s="26"/>
    </row>
    <row r="116" spans="1:44" ht="15.75" x14ac:dyDescent="0.25">
      <c r="A116" s="30"/>
      <c r="B116" s="13" t="s">
        <v>236</v>
      </c>
      <c r="C116" s="14" t="s">
        <v>245</v>
      </c>
      <c r="D116" s="25" t="s">
        <v>22</v>
      </c>
      <c r="E116" s="11" t="s">
        <v>22</v>
      </c>
      <c r="F116" s="7" t="e">
        <f>G116+SUMIF('[1]mouvement CDL'!B:B,"=tuyau 12x20 /10 ML",'[1]mouvement CDL'!G:G)</f>
        <v>#VALUE!</v>
      </c>
      <c r="G116" s="7">
        <v>0</v>
      </c>
      <c r="H116" s="6">
        <v>2</v>
      </c>
      <c r="I116" s="68" t="e">
        <f t="shared" si="6"/>
        <v>#VALUE!</v>
      </c>
      <c r="J116" s="16">
        <v>39.33</v>
      </c>
      <c r="K116" s="17" t="e">
        <f t="shared" si="7"/>
        <v>#VALUE!</v>
      </c>
      <c r="L116" s="30"/>
      <c r="M116" s="30"/>
      <c r="N116" s="30"/>
      <c r="O116" s="30"/>
      <c r="P116" s="30"/>
      <c r="Q116" s="30"/>
      <c r="R116" s="30"/>
      <c r="S116" s="30">
        <v>1</v>
      </c>
      <c r="T116" s="26"/>
      <c r="U116" s="26"/>
      <c r="V116" s="26"/>
      <c r="W116" s="26"/>
      <c r="X116" s="26"/>
      <c r="Y116" s="26"/>
      <c r="Z116" s="26"/>
      <c r="AA116" s="26"/>
      <c r="AB116" s="26"/>
      <c r="AC116" s="26"/>
      <c r="AD116" s="26"/>
      <c r="AE116" s="26"/>
      <c r="AF116" s="26"/>
      <c r="AG116" s="26"/>
      <c r="AH116" s="26"/>
      <c r="AI116" s="26"/>
      <c r="AJ116" s="26"/>
      <c r="AK116" s="26"/>
      <c r="AL116" s="26"/>
      <c r="AM116" s="26"/>
      <c r="AN116" s="26"/>
      <c r="AO116" s="26"/>
      <c r="AP116" s="26"/>
      <c r="AQ116" s="26"/>
      <c r="AR116" s="26"/>
    </row>
    <row r="117" spans="1:44" ht="15.75" x14ac:dyDescent="0.25">
      <c r="A117" s="30"/>
      <c r="B117" s="13" t="s">
        <v>236</v>
      </c>
      <c r="C117" s="91" t="s">
        <v>246</v>
      </c>
      <c r="D117" s="92" t="s">
        <v>22</v>
      </c>
      <c r="E117" s="93" t="s">
        <v>22</v>
      </c>
      <c r="F117" s="64" t="e">
        <f>G117+SUMIF('[1]mouvement CDL'!B:B,"=tuyaux 12x20/ 15 ML",'[1]mouvement CDL'!G:G)</f>
        <v>#VALUE!</v>
      </c>
      <c r="G117" s="64">
        <v>0</v>
      </c>
      <c r="H117" s="94">
        <v>2</v>
      </c>
      <c r="I117" s="65" t="e">
        <f t="shared" si="6"/>
        <v>#VALUE!</v>
      </c>
      <c r="J117" s="95">
        <v>54.07</v>
      </c>
      <c r="K117" s="67" t="e">
        <f t="shared" si="7"/>
        <v>#VALUE!</v>
      </c>
      <c r="L117" s="30"/>
      <c r="M117" s="3" t="s">
        <v>247</v>
      </c>
      <c r="N117" s="30"/>
      <c r="O117" s="30"/>
      <c r="P117" s="30"/>
      <c r="Q117" s="30"/>
      <c r="R117" s="30"/>
      <c r="S117" s="30">
        <v>1</v>
      </c>
      <c r="T117" s="26"/>
      <c r="U117" s="26"/>
      <c r="V117" s="26"/>
      <c r="W117" s="26"/>
      <c r="X117" s="26"/>
      <c r="Y117" s="26"/>
      <c r="Z117" s="26"/>
      <c r="AA117" s="26"/>
      <c r="AB117" s="26"/>
      <c r="AC117" s="26"/>
      <c r="AD117" s="26"/>
      <c r="AE117" s="26"/>
      <c r="AF117" s="26"/>
      <c r="AG117" s="26"/>
      <c r="AH117" s="26"/>
      <c r="AI117" s="26"/>
      <c r="AJ117" s="26"/>
      <c r="AK117" s="26"/>
      <c r="AL117" s="26"/>
      <c r="AM117" s="26"/>
      <c r="AN117" s="26"/>
      <c r="AO117" s="26"/>
      <c r="AP117" s="26"/>
      <c r="AQ117" s="26"/>
      <c r="AR117" s="26"/>
    </row>
    <row r="118" spans="1:44" ht="15.75" x14ac:dyDescent="0.25">
      <c r="A118" s="30"/>
      <c r="B118" s="13" t="s">
        <v>236</v>
      </c>
      <c r="C118" s="14" t="s">
        <v>248</v>
      </c>
      <c r="D118" s="25" t="s">
        <v>22</v>
      </c>
      <c r="E118" s="11" t="s">
        <v>22</v>
      </c>
      <c r="F118" s="7" t="e">
        <f>G118+SUMIF('[1]mouvement CDL'!B:B,"=venturi centrale de lavage",'[1]mouvement CDL'!G:G)</f>
        <v>#VALUE!</v>
      </c>
      <c r="G118" s="7">
        <v>0</v>
      </c>
      <c r="H118" s="6">
        <v>1</v>
      </c>
      <c r="I118" s="68" t="e">
        <f t="shared" si="6"/>
        <v>#VALUE!</v>
      </c>
      <c r="J118" s="16">
        <v>7</v>
      </c>
      <c r="K118" s="17" t="e">
        <f t="shared" si="7"/>
        <v>#VALUE!</v>
      </c>
      <c r="L118" s="30"/>
      <c r="M118" s="35" t="e">
        <f>SUM(K111:K118)</f>
        <v>#VALUE!</v>
      </c>
      <c r="N118" s="30"/>
      <c r="O118" s="30"/>
      <c r="P118" s="30"/>
      <c r="Q118" s="30"/>
      <c r="R118" s="30"/>
      <c r="S118" s="30">
        <v>1</v>
      </c>
      <c r="T118" s="26"/>
      <c r="U118" s="26"/>
      <c r="V118" s="26"/>
      <c r="W118" s="26"/>
      <c r="X118" s="26"/>
      <c r="Y118" s="26"/>
      <c r="Z118" s="26"/>
      <c r="AA118" s="26"/>
      <c r="AB118" s="26"/>
      <c r="AC118" s="26"/>
      <c r="AD118" s="26"/>
      <c r="AE118" s="26"/>
      <c r="AF118" s="26"/>
      <c r="AG118" s="26"/>
      <c r="AH118" s="26"/>
      <c r="AI118" s="26"/>
      <c r="AJ118" s="26"/>
      <c r="AK118" s="26"/>
      <c r="AL118" s="26"/>
      <c r="AM118" s="26"/>
      <c r="AN118" s="26"/>
      <c r="AO118" s="26"/>
      <c r="AP118" s="26"/>
      <c r="AQ118" s="26"/>
      <c r="AR118" s="26"/>
    </row>
    <row r="119" spans="1:44" ht="15.75" x14ac:dyDescent="0.25">
      <c r="A119" s="30"/>
      <c r="B119" s="13" t="s">
        <v>249</v>
      </c>
      <c r="C119" s="91" t="s">
        <v>250</v>
      </c>
      <c r="D119" s="96" t="s">
        <v>251</v>
      </c>
      <c r="E119" s="93" t="s">
        <v>252</v>
      </c>
      <c r="F119" s="64" t="e">
        <f>G119+SUMIF('[1]mouvement CV'!B:B,"=amortisseur valve pompe A",'[1]mouvement CV'!G:G)</f>
        <v>#VALUE!</v>
      </c>
      <c r="G119" s="64">
        <v>2</v>
      </c>
      <c r="H119" s="94">
        <v>1</v>
      </c>
      <c r="I119" s="65" t="e">
        <f t="shared" si="6"/>
        <v>#VALUE!</v>
      </c>
      <c r="J119" s="93">
        <v>187.18</v>
      </c>
      <c r="K119" s="67" t="e">
        <f t="shared" si="7"/>
        <v>#VALUE!</v>
      </c>
      <c r="L119" s="30"/>
      <c r="M119" s="30"/>
      <c r="N119" s="30"/>
      <c r="O119" s="30"/>
      <c r="P119" s="30"/>
      <c r="Q119" s="30"/>
      <c r="R119" s="30"/>
      <c r="S119" s="30">
        <v>0</v>
      </c>
      <c r="T119" s="26"/>
      <c r="U119" s="26"/>
      <c r="V119" s="26"/>
      <c r="W119" s="26"/>
      <c r="X119" s="26"/>
      <c r="Y119" s="26"/>
      <c r="Z119" s="26"/>
      <c r="AA119" s="26"/>
      <c r="AB119" s="26"/>
      <c r="AC119" s="26"/>
      <c r="AD119" s="26"/>
      <c r="AE119" s="26"/>
      <c r="AF119" s="26"/>
      <c r="AG119" s="26"/>
      <c r="AH119" s="26"/>
      <c r="AI119" s="26"/>
      <c r="AJ119" s="26"/>
      <c r="AK119" s="26"/>
      <c r="AL119" s="26"/>
      <c r="AM119" s="26"/>
      <c r="AN119" s="26"/>
      <c r="AO119" s="26"/>
      <c r="AP119" s="26"/>
      <c r="AQ119" s="26"/>
      <c r="AR119" s="26"/>
    </row>
    <row r="120" spans="1:44" ht="15.75" x14ac:dyDescent="0.25">
      <c r="A120" s="30"/>
      <c r="B120" s="13" t="s">
        <v>249</v>
      </c>
      <c r="C120" s="14" t="s">
        <v>253</v>
      </c>
      <c r="D120" s="5" t="s">
        <v>254</v>
      </c>
      <c r="E120" s="11" t="s">
        <v>252</v>
      </c>
      <c r="F120" s="7" t="e">
        <f>G120+SUMIF('[1]mouvement CV'!B:B,"=amortisseur valve pompe B",'[1]mouvement CV'!G:G)</f>
        <v>#VALUE!</v>
      </c>
      <c r="G120" s="7">
        <v>2</v>
      </c>
      <c r="H120" s="6">
        <v>1</v>
      </c>
      <c r="I120" s="68" t="e">
        <f t="shared" si="6"/>
        <v>#VALUE!</v>
      </c>
      <c r="J120" s="11">
        <v>124.78</v>
      </c>
      <c r="K120" s="17" t="e">
        <f t="shared" si="7"/>
        <v>#VALUE!</v>
      </c>
      <c r="L120" s="30"/>
      <c r="M120" s="30"/>
      <c r="N120" s="30"/>
      <c r="O120" s="30"/>
      <c r="P120" s="30"/>
      <c r="Q120" s="30"/>
      <c r="R120" s="30"/>
      <c r="S120" s="30">
        <v>0</v>
      </c>
      <c r="T120" s="26"/>
      <c r="U120" s="26"/>
      <c r="V120" s="26"/>
      <c r="W120" s="26"/>
      <c r="X120" s="26"/>
      <c r="Y120" s="26"/>
      <c r="Z120" s="26"/>
      <c r="AA120" s="26"/>
      <c r="AB120" s="26"/>
      <c r="AC120" s="26"/>
      <c r="AD120" s="26"/>
      <c r="AE120" s="26"/>
      <c r="AF120" s="26"/>
      <c r="AG120" s="26"/>
      <c r="AH120" s="26"/>
      <c r="AI120" s="26"/>
      <c r="AJ120" s="26"/>
      <c r="AK120" s="26"/>
      <c r="AL120" s="26"/>
      <c r="AM120" s="26"/>
      <c r="AN120" s="26"/>
      <c r="AO120" s="26"/>
      <c r="AP120" s="26"/>
      <c r="AQ120" s="26"/>
      <c r="AR120" s="26"/>
    </row>
    <row r="121" spans="1:44" ht="15.75" x14ac:dyDescent="0.25">
      <c r="A121" s="30"/>
      <c r="B121" s="13" t="s">
        <v>249</v>
      </c>
      <c r="C121" s="91" t="s">
        <v>255</v>
      </c>
      <c r="D121" s="96">
        <v>190185</v>
      </c>
      <c r="E121" s="93" t="s">
        <v>252</v>
      </c>
      <c r="F121" s="64" t="e">
        <f>G121+SUMIF('[1]mouvement CV'!B:B,"=cellule uvz 780 blue brûleur",'[1]mouvement CV'!G:G)</f>
        <v>#VALUE!</v>
      </c>
      <c r="G121" s="64">
        <v>2</v>
      </c>
      <c r="H121" s="94">
        <v>1</v>
      </c>
      <c r="I121" s="65" t="e">
        <f t="shared" si="6"/>
        <v>#VALUE!</v>
      </c>
      <c r="J121" s="93">
        <v>123.57</v>
      </c>
      <c r="K121" s="67" t="e">
        <f t="shared" si="7"/>
        <v>#VALUE!</v>
      </c>
      <c r="L121" s="30"/>
      <c r="M121" s="30"/>
      <c r="N121" s="30"/>
      <c r="O121" s="30"/>
      <c r="P121" s="30"/>
      <c r="Q121" s="30"/>
      <c r="R121" s="30"/>
      <c r="S121" s="30">
        <v>0</v>
      </c>
      <c r="T121" s="26"/>
      <c r="U121" s="26"/>
      <c r="V121" s="26"/>
      <c r="W121" s="26"/>
      <c r="X121" s="26"/>
      <c r="Y121" s="26"/>
      <c r="Z121" s="26"/>
      <c r="AA121" s="26"/>
      <c r="AB121" s="26"/>
      <c r="AC121" s="26"/>
      <c r="AD121" s="26"/>
      <c r="AE121" s="26"/>
      <c r="AF121" s="26"/>
      <c r="AG121" s="26"/>
      <c r="AH121" s="26"/>
      <c r="AI121" s="26"/>
      <c r="AJ121" s="26"/>
      <c r="AK121" s="26"/>
      <c r="AL121" s="26"/>
      <c r="AM121" s="26"/>
      <c r="AN121" s="26"/>
      <c r="AO121" s="26"/>
      <c r="AP121" s="26"/>
      <c r="AQ121" s="26"/>
      <c r="AR121" s="26"/>
    </row>
    <row r="122" spans="1:44" ht="15.75" x14ac:dyDescent="0.25">
      <c r="A122" s="30"/>
      <c r="B122" s="13" t="s">
        <v>249</v>
      </c>
      <c r="C122" s="14" t="s">
        <v>256</v>
      </c>
      <c r="D122" s="5" t="s">
        <v>257</v>
      </c>
      <c r="E122" s="11" t="s">
        <v>252</v>
      </c>
      <c r="F122" s="7" t="e">
        <f>G122+SUMIF('[1]mouvement CV'!B:B,"=clapet valve de contrôle(sièges inox)",'[1]mouvement CV'!G:G)</f>
        <v>#VALUE!</v>
      </c>
      <c r="G122" s="7">
        <v>2</v>
      </c>
      <c r="H122" s="6">
        <v>2</v>
      </c>
      <c r="I122" s="68" t="e">
        <f t="shared" si="6"/>
        <v>#VALUE!</v>
      </c>
      <c r="J122" s="11">
        <v>76.650000000000006</v>
      </c>
      <c r="K122" s="17" t="e">
        <f t="shared" si="7"/>
        <v>#VALUE!</v>
      </c>
      <c r="L122" s="30"/>
      <c r="M122" s="30"/>
      <c r="N122" s="30"/>
      <c r="O122" s="30"/>
      <c r="P122" s="30"/>
      <c r="Q122" s="30"/>
      <c r="R122" s="30"/>
      <c r="S122" s="30">
        <v>1</v>
      </c>
      <c r="T122" s="26"/>
      <c r="U122" s="26"/>
      <c r="V122" s="26"/>
      <c r="W122" s="26"/>
      <c r="X122" s="26"/>
      <c r="Y122" s="26"/>
      <c r="Z122" s="26"/>
      <c r="AA122" s="26"/>
      <c r="AB122" s="26"/>
      <c r="AC122" s="26"/>
      <c r="AD122" s="26"/>
      <c r="AE122" s="26"/>
      <c r="AF122" s="26"/>
      <c r="AG122" s="26"/>
      <c r="AH122" s="26"/>
      <c r="AI122" s="26"/>
      <c r="AJ122" s="26"/>
      <c r="AK122" s="26"/>
      <c r="AL122" s="26"/>
      <c r="AM122" s="26"/>
      <c r="AN122" s="26"/>
      <c r="AO122" s="26"/>
      <c r="AP122" s="26"/>
      <c r="AQ122" s="26"/>
      <c r="AR122" s="26"/>
    </row>
    <row r="123" spans="1:44" ht="15.75" x14ac:dyDescent="0.25">
      <c r="A123" s="30"/>
      <c r="B123" s="13" t="s">
        <v>249</v>
      </c>
      <c r="C123" s="91" t="s">
        <v>258</v>
      </c>
      <c r="D123" s="96" t="s">
        <v>259</v>
      </c>
      <c r="E123" s="93" t="s">
        <v>252</v>
      </c>
      <c r="F123" s="64" t="e">
        <f>G123+SUMIF('[1]mouvement CV'!B:B,"=diaphragme de pompe",'[1]mouvement CV'!G:G)</f>
        <v>#VALUE!</v>
      </c>
      <c r="G123" s="64">
        <v>2</v>
      </c>
      <c r="H123" s="94">
        <v>1</v>
      </c>
      <c r="I123" s="65" t="e">
        <f t="shared" si="6"/>
        <v>#VALUE!</v>
      </c>
      <c r="J123" s="93">
        <v>196.1</v>
      </c>
      <c r="K123" s="67" t="e">
        <f t="shared" si="7"/>
        <v>#VALUE!</v>
      </c>
      <c r="L123" s="30"/>
      <c r="M123" s="30"/>
      <c r="N123" s="30"/>
      <c r="O123" s="30"/>
      <c r="P123" s="30"/>
      <c r="Q123" s="30"/>
      <c r="R123" s="30"/>
      <c r="S123" s="30">
        <v>0</v>
      </c>
      <c r="T123" s="26"/>
      <c r="U123" s="26"/>
      <c r="V123" s="26"/>
      <c r="W123" s="26"/>
      <c r="X123" s="26"/>
      <c r="Y123" s="26"/>
      <c r="Z123" s="26"/>
      <c r="AA123" s="26"/>
      <c r="AB123" s="26"/>
      <c r="AC123" s="26"/>
      <c r="AD123" s="26"/>
      <c r="AE123" s="26"/>
      <c r="AF123" s="26"/>
      <c r="AG123" s="26"/>
      <c r="AH123" s="26"/>
      <c r="AI123" s="26"/>
      <c r="AJ123" s="26"/>
      <c r="AK123" s="26"/>
      <c r="AL123" s="26"/>
      <c r="AM123" s="26"/>
      <c r="AN123" s="26"/>
      <c r="AO123" s="26"/>
      <c r="AP123" s="26"/>
      <c r="AQ123" s="26"/>
      <c r="AR123" s="26"/>
    </row>
    <row r="124" spans="1:44" ht="15.75" x14ac:dyDescent="0.25">
      <c r="A124" s="30"/>
      <c r="B124" s="13" t="s">
        <v>249</v>
      </c>
      <c r="C124" s="14" t="s">
        <v>260</v>
      </c>
      <c r="D124" s="5" t="s">
        <v>261</v>
      </c>
      <c r="E124" s="11" t="s">
        <v>252</v>
      </c>
      <c r="F124" s="7" t="e">
        <f>G124+SUMIF('[1]mouvement CV'!B:B,"=disque de diaphragme",'[1]mouvement CV'!G:G)</f>
        <v>#VALUE!</v>
      </c>
      <c r="G124" s="7">
        <v>1</v>
      </c>
      <c r="H124" s="6">
        <v>1</v>
      </c>
      <c r="I124" s="68" t="e">
        <f t="shared" si="6"/>
        <v>#VALUE!</v>
      </c>
      <c r="J124" s="11">
        <v>15.48</v>
      </c>
      <c r="K124" s="17" t="e">
        <f t="shared" si="7"/>
        <v>#VALUE!</v>
      </c>
      <c r="L124" s="30"/>
      <c r="M124" s="30"/>
      <c r="N124" s="30"/>
      <c r="O124" s="30"/>
      <c r="P124" s="30"/>
      <c r="Q124" s="30"/>
      <c r="R124" s="30"/>
      <c r="S124" s="30">
        <v>1</v>
      </c>
      <c r="T124" s="26"/>
      <c r="U124" s="26"/>
      <c r="V124" s="26"/>
      <c r="W124" s="26"/>
      <c r="X124" s="26"/>
      <c r="Y124" s="26"/>
      <c r="Z124" s="26"/>
      <c r="AA124" s="26"/>
      <c r="AB124" s="26"/>
      <c r="AC124" s="26"/>
      <c r="AD124" s="26"/>
      <c r="AE124" s="26"/>
      <c r="AF124" s="26"/>
      <c r="AG124" s="26"/>
      <c r="AH124" s="26"/>
      <c r="AI124" s="26"/>
      <c r="AJ124" s="26"/>
      <c r="AK124" s="26"/>
      <c r="AL124" s="26"/>
      <c r="AM124" s="26"/>
      <c r="AN124" s="26"/>
      <c r="AO124" s="26"/>
      <c r="AP124" s="26"/>
      <c r="AQ124" s="26"/>
      <c r="AR124" s="26"/>
    </row>
    <row r="125" spans="1:44" ht="15.75" x14ac:dyDescent="0.25">
      <c r="A125" s="30"/>
      <c r="B125" s="13" t="s">
        <v>249</v>
      </c>
      <c r="C125" s="91" t="s">
        <v>262</v>
      </c>
      <c r="D125" s="96" t="s">
        <v>263</v>
      </c>
      <c r="E125" s="93" t="s">
        <v>252</v>
      </c>
      <c r="F125" s="64" t="e">
        <f>G125+SUMIF('[1]mouvement CV'!B:B,"=disques clapet valve de contrôle",'[1]mouvement CV'!G:G)</f>
        <v>#VALUE!</v>
      </c>
      <c r="G125" s="64">
        <v>2</v>
      </c>
      <c r="H125" s="94">
        <v>2</v>
      </c>
      <c r="I125" s="65" t="e">
        <f t="shared" si="6"/>
        <v>#VALUE!</v>
      </c>
      <c r="J125" s="93">
        <v>46.34</v>
      </c>
      <c r="K125" s="67" t="e">
        <f t="shared" si="7"/>
        <v>#VALUE!</v>
      </c>
      <c r="L125" s="30"/>
      <c r="M125" s="30"/>
      <c r="N125" s="30"/>
      <c r="O125" s="30"/>
      <c r="P125" s="30"/>
      <c r="Q125" s="30"/>
      <c r="R125" s="30"/>
      <c r="S125" s="30">
        <v>0</v>
      </c>
      <c r="T125" s="26"/>
      <c r="U125" s="26"/>
      <c r="V125" s="26"/>
      <c r="W125" s="26"/>
      <c r="X125" s="26"/>
      <c r="Y125" s="26"/>
      <c r="Z125" s="26"/>
      <c r="AA125" s="26"/>
      <c r="AB125" s="26"/>
      <c r="AC125" s="26"/>
      <c r="AD125" s="26"/>
      <c r="AE125" s="26"/>
      <c r="AF125" s="26"/>
      <c r="AG125" s="26"/>
      <c r="AH125" s="26"/>
      <c r="AI125" s="26"/>
      <c r="AJ125" s="26"/>
      <c r="AK125" s="26"/>
      <c r="AL125" s="26"/>
      <c r="AM125" s="26"/>
      <c r="AN125" s="26"/>
      <c r="AO125" s="26"/>
      <c r="AP125" s="26"/>
      <c r="AQ125" s="26"/>
      <c r="AR125" s="26"/>
    </row>
    <row r="126" spans="1:44" ht="15.75" x14ac:dyDescent="0.25">
      <c r="A126" s="30"/>
      <c r="B126" s="13" t="s">
        <v>249</v>
      </c>
      <c r="C126" s="14" t="s">
        <v>264</v>
      </c>
      <c r="D126" s="5">
        <v>16547</v>
      </c>
      <c r="E126" s="11" t="s">
        <v>252</v>
      </c>
      <c r="F126" s="7" t="e">
        <f>G126+SUMIF('[1]mouvement CV'!B:B,"=joint, rondelles cuivre clapet",'[1]mouvement CV'!G:G)</f>
        <v>#VALUE!</v>
      </c>
      <c r="G126" s="7">
        <v>2</v>
      </c>
      <c r="H126" s="6">
        <v>2</v>
      </c>
      <c r="I126" s="68" t="e">
        <f t="shared" si="6"/>
        <v>#VALUE!</v>
      </c>
      <c r="J126" s="11">
        <v>6.91</v>
      </c>
      <c r="K126" s="17" t="e">
        <f t="shared" si="7"/>
        <v>#VALUE!</v>
      </c>
      <c r="L126" s="30"/>
      <c r="M126" s="30"/>
      <c r="N126" s="30"/>
      <c r="O126" s="30"/>
      <c r="P126" s="30"/>
      <c r="Q126" s="30"/>
      <c r="R126" s="30"/>
      <c r="S126" s="30">
        <v>1</v>
      </c>
      <c r="T126" s="26"/>
      <c r="U126" s="26"/>
      <c r="V126" s="26"/>
      <c r="W126" s="26"/>
      <c r="X126" s="26"/>
      <c r="Y126" s="26"/>
      <c r="Z126" s="26"/>
      <c r="AA126" s="26"/>
      <c r="AB126" s="26"/>
      <c r="AC126" s="26"/>
      <c r="AD126" s="26"/>
      <c r="AE126" s="26"/>
      <c r="AF126" s="26"/>
      <c r="AG126" s="26"/>
      <c r="AH126" s="26"/>
      <c r="AI126" s="26"/>
      <c r="AJ126" s="26"/>
      <c r="AK126" s="26"/>
      <c r="AL126" s="26"/>
      <c r="AM126" s="26"/>
      <c r="AN126" s="26"/>
      <c r="AO126" s="26"/>
      <c r="AP126" s="26"/>
      <c r="AQ126" s="26"/>
      <c r="AR126" s="26"/>
    </row>
    <row r="127" spans="1:44" ht="15.75" x14ac:dyDescent="0.25">
      <c r="A127" s="30"/>
      <c r="B127" s="13" t="s">
        <v>249</v>
      </c>
      <c r="C127" s="91" t="s">
        <v>265</v>
      </c>
      <c r="D127" s="96" t="s">
        <v>266</v>
      </c>
      <c r="E127" s="93" t="s">
        <v>22</v>
      </c>
      <c r="F127" s="64" t="e">
        <f>G127+SUMIF('[1]mouvement CV'!B:B,"=PT100 6 connexions t° serpentin",'[1]mouvement CV'!G:G)</f>
        <v>#VALUE!</v>
      </c>
      <c r="G127" s="64">
        <v>1</v>
      </c>
      <c r="H127" s="94">
        <v>1</v>
      </c>
      <c r="I127" s="65" t="e">
        <f t="shared" si="6"/>
        <v>#VALUE!</v>
      </c>
      <c r="J127" s="93"/>
      <c r="K127" s="67" t="e">
        <f t="shared" si="7"/>
        <v>#VALUE!</v>
      </c>
      <c r="L127" s="30"/>
      <c r="M127" s="30"/>
      <c r="N127" s="30"/>
      <c r="O127" s="30"/>
      <c r="P127" s="30"/>
      <c r="Q127" s="30"/>
      <c r="R127" s="30"/>
      <c r="S127" s="30">
        <v>1</v>
      </c>
      <c r="T127" s="26"/>
      <c r="U127" s="26"/>
      <c r="V127" s="26"/>
      <c r="W127" s="26"/>
      <c r="X127" s="26"/>
      <c r="Y127" s="26"/>
      <c r="Z127" s="26"/>
      <c r="AA127" s="26"/>
      <c r="AB127" s="26"/>
      <c r="AC127" s="26"/>
      <c r="AD127" s="26"/>
      <c r="AE127" s="26"/>
      <c r="AF127" s="26"/>
      <c r="AG127" s="26"/>
      <c r="AH127" s="26"/>
      <c r="AI127" s="26"/>
      <c r="AJ127" s="26"/>
      <c r="AK127" s="26"/>
      <c r="AL127" s="26"/>
      <c r="AM127" s="26"/>
      <c r="AN127" s="26"/>
      <c r="AO127" s="26"/>
      <c r="AP127" s="26"/>
      <c r="AQ127" s="26"/>
      <c r="AR127" s="26"/>
    </row>
    <row r="128" spans="1:44" ht="15.75" x14ac:dyDescent="0.25">
      <c r="A128" s="30"/>
      <c r="B128" s="13" t="s">
        <v>249</v>
      </c>
      <c r="C128" s="14" t="s">
        <v>267</v>
      </c>
      <c r="D128" s="5">
        <v>25004200410008</v>
      </c>
      <c r="E128" s="11" t="s">
        <v>268</v>
      </c>
      <c r="F128" s="7" t="e">
        <f>G128+SUMIF('[1]mouvement CV'!B:B,"=purgeur Gestra pn 40",'[1]mouvement CV'!G:G)</f>
        <v>#VALUE!</v>
      </c>
      <c r="G128" s="7">
        <v>0</v>
      </c>
      <c r="H128" s="6">
        <v>1</v>
      </c>
      <c r="I128" s="68" t="e">
        <f t="shared" si="6"/>
        <v>#VALUE!</v>
      </c>
      <c r="J128" s="11">
        <v>258</v>
      </c>
      <c r="K128" s="17" t="e">
        <f t="shared" si="7"/>
        <v>#VALUE!</v>
      </c>
      <c r="L128" s="30"/>
      <c r="M128" s="30"/>
      <c r="N128" s="30"/>
      <c r="O128" s="30"/>
      <c r="P128" s="30"/>
      <c r="Q128" s="30"/>
      <c r="R128" s="30"/>
      <c r="S128" s="30">
        <v>1</v>
      </c>
      <c r="T128" s="26"/>
      <c r="U128" s="26"/>
      <c r="V128" s="26"/>
      <c r="W128" s="26"/>
      <c r="X128" s="26"/>
      <c r="Y128" s="26"/>
      <c r="Z128" s="26"/>
      <c r="AA128" s="26"/>
      <c r="AB128" s="26"/>
      <c r="AC128" s="26"/>
      <c r="AD128" s="26"/>
      <c r="AE128" s="26"/>
      <c r="AF128" s="26"/>
      <c r="AG128" s="26"/>
      <c r="AH128" s="26"/>
      <c r="AI128" s="26"/>
      <c r="AJ128" s="26"/>
      <c r="AK128" s="26"/>
      <c r="AL128" s="26"/>
      <c r="AM128" s="26"/>
      <c r="AN128" s="26"/>
      <c r="AO128" s="26"/>
      <c r="AP128" s="26"/>
      <c r="AQ128" s="26"/>
      <c r="AR128" s="26"/>
    </row>
    <row r="129" spans="1:44" ht="15.75" x14ac:dyDescent="0.25">
      <c r="A129" s="30"/>
      <c r="B129" s="13" t="s">
        <v>249</v>
      </c>
      <c r="C129" s="70" t="s">
        <v>269</v>
      </c>
      <c r="D129" s="96" t="s">
        <v>270</v>
      </c>
      <c r="E129" s="93" t="s">
        <v>268</v>
      </c>
      <c r="F129" s="64" t="e">
        <f>G129+SUMIF('[1]mouvement CV'!B:B,"=régulateur purgeur Gestra ",'[1]mouvement CV'!G:G)</f>
        <v>#VALUE!</v>
      </c>
      <c r="G129" s="64">
        <v>0</v>
      </c>
      <c r="H129" s="94">
        <v>1</v>
      </c>
      <c r="I129" s="65" t="e">
        <f t="shared" si="6"/>
        <v>#VALUE!</v>
      </c>
      <c r="J129" s="93">
        <v>190</v>
      </c>
      <c r="K129" s="67" t="e">
        <f t="shared" si="7"/>
        <v>#VALUE!</v>
      </c>
      <c r="L129" s="30"/>
      <c r="M129" s="30"/>
      <c r="N129" s="30"/>
      <c r="O129" s="30"/>
      <c r="P129" s="30"/>
      <c r="Q129" s="30"/>
      <c r="R129" s="30"/>
      <c r="S129" s="30">
        <v>1</v>
      </c>
      <c r="T129" s="26"/>
      <c r="U129" s="26"/>
      <c r="V129" s="26"/>
      <c r="W129" s="26"/>
      <c r="X129" s="26"/>
      <c r="Y129" s="26"/>
      <c r="Z129" s="26"/>
      <c r="AA129" s="26"/>
      <c r="AB129" s="26"/>
      <c r="AC129" s="26"/>
      <c r="AD129" s="26"/>
      <c r="AE129" s="26"/>
      <c r="AF129" s="26"/>
      <c r="AG129" s="26"/>
      <c r="AH129" s="26"/>
      <c r="AI129" s="26"/>
      <c r="AJ129" s="26"/>
      <c r="AK129" s="26"/>
      <c r="AL129" s="26"/>
      <c r="AM129" s="26"/>
      <c r="AN129" s="26"/>
      <c r="AO129" s="26"/>
      <c r="AP129" s="26"/>
      <c r="AQ129" s="26"/>
      <c r="AR129" s="26"/>
    </row>
    <row r="130" spans="1:44" ht="15.75" x14ac:dyDescent="0.25">
      <c r="A130" s="30"/>
      <c r="B130" s="13" t="s">
        <v>249</v>
      </c>
      <c r="C130" s="14" t="s">
        <v>271</v>
      </c>
      <c r="D130" s="5" t="s">
        <v>272</v>
      </c>
      <c r="E130" s="11" t="s">
        <v>252</v>
      </c>
      <c r="F130" s="7" t="e">
        <f>G130+SUMIF('[1]mouvement CV'!B:B,"=ressort clapet pompe aspiration",'[1]mouvement CV'!G:G)</f>
        <v>#VALUE!</v>
      </c>
      <c r="G130" s="7">
        <v>1</v>
      </c>
      <c r="H130" s="6">
        <v>1</v>
      </c>
      <c r="I130" s="68" t="e">
        <f t="shared" si="6"/>
        <v>#VALUE!</v>
      </c>
      <c r="J130" s="11">
        <v>3.84</v>
      </c>
      <c r="K130" s="17" t="e">
        <f t="shared" si="7"/>
        <v>#VALUE!</v>
      </c>
      <c r="L130" s="30"/>
      <c r="M130" s="30"/>
      <c r="N130" s="30"/>
      <c r="O130" s="30"/>
      <c r="P130" s="30"/>
      <c r="Q130" s="30"/>
      <c r="R130" s="30"/>
      <c r="S130" s="30">
        <v>1</v>
      </c>
      <c r="T130" s="26"/>
      <c r="U130" s="26"/>
      <c r="V130" s="26"/>
      <c r="W130" s="26"/>
      <c r="X130" s="26"/>
      <c r="Y130" s="26"/>
      <c r="Z130" s="26"/>
      <c r="AA130" s="26"/>
      <c r="AB130" s="26"/>
      <c r="AC130" s="26"/>
      <c r="AD130" s="26"/>
      <c r="AE130" s="26"/>
      <c r="AF130" s="26"/>
      <c r="AG130" s="26"/>
      <c r="AH130" s="26"/>
      <c r="AI130" s="26"/>
      <c r="AJ130" s="26"/>
      <c r="AK130" s="26"/>
      <c r="AL130" s="26"/>
      <c r="AM130" s="26"/>
      <c r="AN130" s="26"/>
      <c r="AO130" s="26"/>
      <c r="AP130" s="26"/>
      <c r="AQ130" s="26"/>
      <c r="AR130" s="26"/>
    </row>
    <row r="131" spans="1:44" ht="15.75" x14ac:dyDescent="0.25">
      <c r="A131" s="30"/>
      <c r="B131" s="13" t="s">
        <v>249</v>
      </c>
      <c r="C131" s="91" t="s">
        <v>273</v>
      </c>
      <c r="D131" s="96" t="s">
        <v>274</v>
      </c>
      <c r="E131" s="93" t="s">
        <v>252</v>
      </c>
      <c r="F131" s="64" t="e">
        <f>G131+SUMIF('[1]mouvement CV'!B:B,"=ressort clapet pompe refoulement",'[1]mouvement CV'!G:G)</f>
        <v>#VALUE!</v>
      </c>
      <c r="G131" s="64">
        <v>1</v>
      </c>
      <c r="H131" s="94">
        <v>1</v>
      </c>
      <c r="I131" s="65" t="e">
        <f t="shared" si="6"/>
        <v>#VALUE!</v>
      </c>
      <c r="J131" s="93">
        <v>3.84</v>
      </c>
      <c r="K131" s="67" t="e">
        <f t="shared" si="7"/>
        <v>#VALUE!</v>
      </c>
      <c r="L131" s="30"/>
      <c r="M131" s="30"/>
      <c r="N131" s="30"/>
      <c r="O131" s="30"/>
      <c r="P131" s="30"/>
      <c r="Q131" s="30"/>
      <c r="R131" s="30"/>
      <c r="S131" s="30">
        <v>0</v>
      </c>
      <c r="T131" s="26"/>
      <c r="U131" s="26"/>
      <c r="V131" s="26"/>
      <c r="W131" s="26"/>
      <c r="X131" s="26"/>
      <c r="Y131" s="26"/>
      <c r="Z131" s="26"/>
      <c r="AA131" s="26"/>
      <c r="AB131" s="26"/>
      <c r="AC131" s="26"/>
      <c r="AD131" s="26"/>
      <c r="AE131" s="26"/>
      <c r="AF131" s="26"/>
      <c r="AG131" s="26"/>
      <c r="AH131" s="26"/>
      <c r="AI131" s="26"/>
      <c r="AJ131" s="26"/>
      <c r="AK131" s="26"/>
      <c r="AL131" s="26"/>
      <c r="AM131" s="26"/>
      <c r="AN131" s="26"/>
      <c r="AO131" s="26"/>
      <c r="AP131" s="26"/>
      <c r="AQ131" s="26"/>
      <c r="AR131" s="26"/>
    </row>
    <row r="132" spans="1:44" ht="15.75" x14ac:dyDescent="0.25">
      <c r="A132" s="30"/>
      <c r="B132" s="13" t="s">
        <v>249</v>
      </c>
      <c r="C132" s="14" t="s">
        <v>275</v>
      </c>
      <c r="D132" s="5" t="s">
        <v>276</v>
      </c>
      <c r="E132" s="11" t="s">
        <v>252</v>
      </c>
      <c r="F132" s="7" t="e">
        <f>G132+SUMIF('[1]mouvement CV'!B:B,"=ressort de pression diaphragme",'[1]mouvement CV'!G:G)</f>
        <v>#VALUE!</v>
      </c>
      <c r="G132" s="7">
        <v>1</v>
      </c>
      <c r="H132" s="6">
        <v>1</v>
      </c>
      <c r="I132" s="68" t="e">
        <f t="shared" si="6"/>
        <v>#VALUE!</v>
      </c>
      <c r="J132" s="11">
        <v>101.61</v>
      </c>
      <c r="K132" s="17" t="e">
        <f t="shared" si="7"/>
        <v>#VALUE!</v>
      </c>
      <c r="L132" s="30"/>
      <c r="M132" s="30"/>
      <c r="N132" s="30"/>
      <c r="O132" s="30"/>
      <c r="P132" s="30"/>
      <c r="Q132" s="30"/>
      <c r="R132" s="30"/>
      <c r="S132" s="30">
        <v>0</v>
      </c>
      <c r="T132" s="26"/>
      <c r="U132" s="26"/>
      <c r="V132" s="26"/>
      <c r="W132" s="26"/>
      <c r="X132" s="26"/>
      <c r="Y132" s="26"/>
      <c r="Z132" s="26"/>
      <c r="AA132" s="26"/>
      <c r="AB132" s="26"/>
      <c r="AC132" s="26"/>
      <c r="AD132" s="26"/>
      <c r="AE132" s="26"/>
      <c r="AF132" s="26"/>
      <c r="AG132" s="26"/>
      <c r="AH132" s="26"/>
      <c r="AI132" s="26"/>
      <c r="AJ132" s="26"/>
      <c r="AK132" s="26"/>
      <c r="AL132" s="26"/>
      <c r="AM132" s="26"/>
      <c r="AN132" s="26"/>
      <c r="AO132" s="26"/>
      <c r="AP132" s="26"/>
      <c r="AQ132" s="26"/>
      <c r="AR132" s="26"/>
    </row>
    <row r="133" spans="1:44" ht="15.75" x14ac:dyDescent="0.25">
      <c r="A133" s="30"/>
      <c r="B133" s="13" t="s">
        <v>249</v>
      </c>
      <c r="C133" s="91" t="s">
        <v>277</v>
      </c>
      <c r="D133" s="96" t="s">
        <v>278</v>
      </c>
      <c r="E133" s="93" t="s">
        <v>22</v>
      </c>
      <c r="F133" s="64" t="e">
        <f>G133+SUMIF('[1]mouvement CV'!B:B,"=transfo d'allumage, marque BRAHMA type T13/M",'[1]mouvement CV'!G:G)</f>
        <v>#VALUE!</v>
      </c>
      <c r="G133" s="64">
        <v>2</v>
      </c>
      <c r="H133" s="94">
        <v>1</v>
      </c>
      <c r="I133" s="65" t="e">
        <f t="shared" si="6"/>
        <v>#VALUE!</v>
      </c>
      <c r="J133" s="93"/>
      <c r="K133" s="67" t="e">
        <f t="shared" si="7"/>
        <v>#VALUE!</v>
      </c>
      <c r="L133" s="30"/>
      <c r="M133" s="3" t="s">
        <v>279</v>
      </c>
      <c r="N133" s="30"/>
      <c r="O133" s="30"/>
      <c r="P133" s="30"/>
      <c r="Q133" s="30"/>
      <c r="R133" s="30"/>
      <c r="S133" s="30">
        <v>0</v>
      </c>
      <c r="T133" s="26"/>
      <c r="U133" s="26"/>
      <c r="V133" s="26"/>
      <c r="W133" s="26"/>
      <c r="X133" s="26"/>
      <c r="Y133" s="26"/>
      <c r="Z133" s="26"/>
      <c r="AA133" s="26"/>
      <c r="AB133" s="26"/>
      <c r="AC133" s="26"/>
      <c r="AD133" s="26"/>
      <c r="AE133" s="26"/>
      <c r="AF133" s="26"/>
      <c r="AG133" s="26"/>
      <c r="AH133" s="26"/>
      <c r="AI133" s="26"/>
      <c r="AJ133" s="26"/>
      <c r="AK133" s="26"/>
      <c r="AL133" s="26"/>
      <c r="AM133" s="26"/>
      <c r="AN133" s="26"/>
      <c r="AO133" s="26"/>
      <c r="AP133" s="26"/>
      <c r="AQ133" s="26"/>
      <c r="AR133" s="26"/>
    </row>
    <row r="134" spans="1:44" ht="15.75" x14ac:dyDescent="0.25">
      <c r="A134" s="30"/>
      <c r="B134" s="13" t="s">
        <v>249</v>
      </c>
      <c r="C134" s="14" t="s">
        <v>280</v>
      </c>
      <c r="D134" s="5" t="s">
        <v>281</v>
      </c>
      <c r="E134" s="11" t="s">
        <v>252</v>
      </c>
      <c r="F134" s="7" t="e">
        <f>G134+SUMIF('[1]mouvement CV'!B:B,"=tuyau raccord pompe/bache",'[1]mouvement CV'!G:G)</f>
        <v>#VALUE!</v>
      </c>
      <c r="G134" s="7">
        <v>0</v>
      </c>
      <c r="H134" s="6">
        <v>1</v>
      </c>
      <c r="I134" s="68" t="e">
        <f t="shared" si="6"/>
        <v>#VALUE!</v>
      </c>
      <c r="J134" s="11">
        <v>6.76</v>
      </c>
      <c r="K134" s="17" t="e">
        <f t="shared" si="7"/>
        <v>#VALUE!</v>
      </c>
      <c r="L134" s="30"/>
      <c r="M134" s="35" t="e">
        <f>SUM(K119:K134)</f>
        <v>#VALUE!</v>
      </c>
      <c r="N134" s="30"/>
      <c r="O134" s="30"/>
      <c r="P134" s="30"/>
      <c r="Q134" s="30"/>
      <c r="R134" s="30"/>
      <c r="S134" s="30">
        <v>1</v>
      </c>
      <c r="T134" s="26"/>
      <c r="U134" s="26"/>
      <c r="V134" s="26"/>
      <c r="W134" s="26"/>
      <c r="X134" s="26"/>
      <c r="Y134" s="26"/>
      <c r="Z134" s="26"/>
      <c r="AA134" s="26"/>
      <c r="AB134" s="26"/>
      <c r="AC134" s="26"/>
      <c r="AD134" s="26"/>
      <c r="AE134" s="26"/>
      <c r="AF134" s="26"/>
      <c r="AG134" s="26"/>
      <c r="AH134" s="26"/>
      <c r="AI134" s="26"/>
      <c r="AJ134" s="26"/>
      <c r="AK134" s="26"/>
      <c r="AL134" s="26"/>
      <c r="AM134" s="26"/>
      <c r="AN134" s="26"/>
      <c r="AO134" s="26"/>
      <c r="AP134" s="26"/>
      <c r="AQ134" s="26"/>
      <c r="AR134" s="26"/>
    </row>
    <row r="135" spans="1:44" ht="15.75" x14ac:dyDescent="0.25">
      <c r="A135" s="30"/>
      <c r="B135" s="13" t="s">
        <v>282</v>
      </c>
      <c r="C135" s="97" t="s">
        <v>283</v>
      </c>
      <c r="D135" s="5">
        <v>140938</v>
      </c>
      <c r="E135" s="6" t="s">
        <v>284</v>
      </c>
      <c r="F135" s="7" t="e">
        <f>G135+SUMIF('[1]mouvement clippeuse'!B:B,"=arbre",'[1]mouvement clippeuse'!G:G)</f>
        <v>#VALUE!</v>
      </c>
      <c r="G135" s="7">
        <v>0</v>
      </c>
      <c r="H135" s="6">
        <v>1</v>
      </c>
      <c r="I135" s="2" t="e">
        <f>IF(F135&lt;H135,"/!\","-")</f>
        <v>#VALUE!</v>
      </c>
      <c r="J135" s="11">
        <v>375.19</v>
      </c>
      <c r="K135" s="17" t="e">
        <f>F135*J135</f>
        <v>#VALUE!</v>
      </c>
      <c r="L135" s="30"/>
      <c r="M135" s="30"/>
      <c r="N135" s="30"/>
      <c r="O135" s="30"/>
      <c r="P135" s="30"/>
      <c r="Q135" s="30"/>
      <c r="R135" s="30"/>
      <c r="S135" s="30">
        <v>0</v>
      </c>
      <c r="T135" s="26"/>
      <c r="U135" s="26"/>
      <c r="V135" s="26"/>
      <c r="W135" s="26"/>
      <c r="X135" s="26"/>
      <c r="Y135" s="26"/>
      <c r="Z135" s="26"/>
      <c r="AA135" s="26"/>
      <c r="AB135" s="26"/>
      <c r="AC135" s="26"/>
      <c r="AD135" s="26"/>
      <c r="AE135" s="26"/>
      <c r="AF135" s="26"/>
      <c r="AG135" s="26"/>
      <c r="AH135" s="26"/>
      <c r="AI135" s="26"/>
      <c r="AJ135" s="26"/>
      <c r="AK135" s="26"/>
      <c r="AL135" s="26"/>
      <c r="AM135" s="26"/>
      <c r="AN135" s="26"/>
      <c r="AO135" s="26"/>
      <c r="AP135" s="26"/>
      <c r="AQ135" s="26"/>
      <c r="AR135" s="26"/>
    </row>
    <row r="136" spans="1:44" ht="15.75" x14ac:dyDescent="0.25">
      <c r="A136" s="30"/>
      <c r="B136" s="13" t="s">
        <v>282</v>
      </c>
      <c r="C136" s="14" t="s">
        <v>285</v>
      </c>
      <c r="D136" s="5">
        <v>104129</v>
      </c>
      <c r="E136" s="6" t="s">
        <v>284</v>
      </c>
      <c r="F136" s="7" t="e">
        <f>G136+SUMIF('[1]mouvement clippeuse'!B:B,"=CAPTEUR secu fca 3442",'[1]mouvement clippeuse'!G:G)</f>
        <v>#VALUE!</v>
      </c>
      <c r="G136" s="7">
        <v>1</v>
      </c>
      <c r="H136" s="6">
        <v>1</v>
      </c>
      <c r="I136" s="2" t="e">
        <f t="shared" ref="I136:I164" si="8">IF(F136&lt;H136,"/!\","-")</f>
        <v>#VALUE!</v>
      </c>
      <c r="J136" s="11">
        <v>104.06</v>
      </c>
      <c r="K136" s="17" t="e">
        <f t="shared" ref="K136:K164" si="9">F136*J136</f>
        <v>#VALUE!</v>
      </c>
      <c r="L136" s="30"/>
      <c r="M136" s="30"/>
      <c r="N136" s="30"/>
      <c r="O136" s="30"/>
      <c r="P136" s="30"/>
      <c r="Q136" s="30"/>
      <c r="R136" s="30"/>
      <c r="S136" s="30">
        <v>1</v>
      </c>
      <c r="T136" s="26"/>
      <c r="U136" s="26"/>
      <c r="V136" s="26"/>
      <c r="W136" s="26"/>
      <c r="X136" s="26"/>
      <c r="Y136" s="26"/>
      <c r="Z136" s="26"/>
      <c r="AA136" s="26"/>
      <c r="AB136" s="26"/>
      <c r="AC136" s="26"/>
      <c r="AD136" s="26"/>
      <c r="AE136" s="26"/>
      <c r="AF136" s="26"/>
      <c r="AG136" s="26"/>
      <c r="AH136" s="26"/>
      <c r="AI136" s="26"/>
      <c r="AJ136" s="26"/>
      <c r="AK136" s="26"/>
      <c r="AL136" s="26"/>
      <c r="AM136" s="26"/>
      <c r="AN136" s="26"/>
      <c r="AO136" s="26"/>
      <c r="AP136" s="26"/>
      <c r="AQ136" s="26"/>
      <c r="AR136" s="26"/>
    </row>
    <row r="137" spans="1:44" ht="15.75" x14ac:dyDescent="0.25">
      <c r="A137" s="30"/>
      <c r="B137" s="13" t="s">
        <v>282</v>
      </c>
      <c r="C137" s="14" t="s">
        <v>286</v>
      </c>
      <c r="D137" s="5">
        <v>56206</v>
      </c>
      <c r="E137" s="6" t="s">
        <v>284</v>
      </c>
      <c r="F137" s="7" t="e">
        <f>G137+SUMIF('[1]mouvement clippeuse'!B:B,"=chaîne intermédiaire",'[1]mouvement clippeuse'!G:G)</f>
        <v>#VALUE!</v>
      </c>
      <c r="G137" s="7">
        <v>0</v>
      </c>
      <c r="H137" s="6">
        <v>1</v>
      </c>
      <c r="I137" s="2" t="e">
        <f t="shared" si="8"/>
        <v>#VALUE!</v>
      </c>
      <c r="J137" s="11">
        <v>62.01</v>
      </c>
      <c r="K137" s="17" t="e">
        <f t="shared" si="9"/>
        <v>#VALUE!</v>
      </c>
      <c r="L137" s="30"/>
      <c r="M137" s="30"/>
      <c r="N137" s="30"/>
      <c r="O137" s="30"/>
      <c r="P137" s="30"/>
      <c r="Q137" s="30"/>
      <c r="R137" s="30"/>
      <c r="S137" s="30">
        <v>0</v>
      </c>
      <c r="T137" s="26"/>
      <c r="U137" s="26"/>
      <c r="V137" s="26"/>
      <c r="W137" s="26"/>
      <c r="X137" s="26"/>
      <c r="Y137" s="26"/>
      <c r="Z137" s="26"/>
      <c r="AA137" s="26"/>
      <c r="AB137" s="26"/>
      <c r="AC137" s="26"/>
      <c r="AD137" s="26"/>
      <c r="AE137" s="26"/>
      <c r="AF137" s="26"/>
      <c r="AG137" s="26"/>
      <c r="AH137" s="26"/>
      <c r="AI137" s="26"/>
      <c r="AJ137" s="26"/>
      <c r="AK137" s="26"/>
      <c r="AL137" s="26"/>
      <c r="AM137" s="26"/>
      <c r="AN137" s="26"/>
      <c r="AO137" s="26"/>
      <c r="AP137" s="26"/>
      <c r="AQ137" s="26"/>
      <c r="AR137" s="26"/>
    </row>
    <row r="138" spans="1:44" ht="15.75" x14ac:dyDescent="0.25">
      <c r="A138" s="30"/>
      <c r="B138" s="13" t="s">
        <v>282</v>
      </c>
      <c r="C138" s="14" t="s">
        <v>287</v>
      </c>
      <c r="D138" s="5">
        <v>56209</v>
      </c>
      <c r="E138" s="6" t="s">
        <v>284</v>
      </c>
      <c r="F138" s="7" t="e">
        <f>G138+SUMIF('[1]mouvement clippeuse'!B:B,"=CHAINES AVANCES AGRAFEE",'[1]mouvement clippeuse'!G:G)</f>
        <v>#VALUE!</v>
      </c>
      <c r="G138" s="7">
        <v>1</v>
      </c>
      <c r="H138" s="6">
        <v>1</v>
      </c>
      <c r="I138" s="2" t="e">
        <f t="shared" si="8"/>
        <v>#VALUE!</v>
      </c>
      <c r="J138" s="11">
        <v>63.3</v>
      </c>
      <c r="K138" s="17" t="e">
        <f t="shared" si="9"/>
        <v>#VALUE!</v>
      </c>
      <c r="L138" s="30"/>
      <c r="M138" s="30"/>
      <c r="N138" s="30"/>
      <c r="O138" s="30"/>
      <c r="P138" s="30"/>
      <c r="Q138" s="30"/>
      <c r="R138" s="30"/>
      <c r="S138" s="30">
        <v>1</v>
      </c>
      <c r="T138" s="26"/>
      <c r="U138" s="26"/>
      <c r="V138" s="26"/>
      <c r="W138" s="26"/>
      <c r="X138" s="26"/>
      <c r="Y138" s="26"/>
      <c r="Z138" s="26"/>
      <c r="AA138" s="26"/>
      <c r="AB138" s="26"/>
      <c r="AC138" s="26"/>
      <c r="AD138" s="26"/>
      <c r="AE138" s="26"/>
      <c r="AF138" s="26"/>
      <c r="AG138" s="26"/>
      <c r="AH138" s="26"/>
      <c r="AI138" s="26"/>
      <c r="AJ138" s="26"/>
      <c r="AK138" s="26"/>
      <c r="AL138" s="26"/>
      <c r="AM138" s="26"/>
      <c r="AN138" s="26"/>
      <c r="AO138" s="26"/>
      <c r="AP138" s="26"/>
      <c r="AQ138" s="26"/>
      <c r="AR138" s="26"/>
    </row>
    <row r="139" spans="1:44" ht="15.75" x14ac:dyDescent="0.25">
      <c r="A139" s="30"/>
      <c r="B139" s="13" t="s">
        <v>282</v>
      </c>
      <c r="C139" s="4" t="s">
        <v>288</v>
      </c>
      <c r="D139" s="5">
        <v>146497</v>
      </c>
      <c r="E139" s="6" t="s">
        <v>284</v>
      </c>
      <c r="F139" s="7" t="e">
        <f>G139+SUMIF('[1]mouvement clippeuse'!B:B,"=COURROIE ref: STD 800 S8M CXA marque Continental",'[1]mouvement clippeuse'!G:G)</f>
        <v>#VALUE!</v>
      </c>
      <c r="G139" s="7">
        <v>2</v>
      </c>
      <c r="H139" s="6">
        <v>1</v>
      </c>
      <c r="I139" s="2" t="e">
        <f t="shared" si="8"/>
        <v>#VALUE!</v>
      </c>
      <c r="J139" s="11">
        <v>116.81</v>
      </c>
      <c r="K139" s="17" t="e">
        <f t="shared" si="9"/>
        <v>#VALUE!</v>
      </c>
      <c r="L139" s="30"/>
      <c r="M139" s="30"/>
      <c r="N139" s="30"/>
      <c r="O139" s="30"/>
      <c r="P139" s="30"/>
      <c r="Q139" s="30"/>
      <c r="R139" s="30"/>
      <c r="S139" s="30">
        <v>1</v>
      </c>
      <c r="T139" s="26"/>
      <c r="U139" s="26"/>
      <c r="V139" s="26"/>
      <c r="W139" s="26"/>
      <c r="X139" s="26"/>
      <c r="Y139" s="26"/>
      <c r="Z139" s="26"/>
      <c r="AA139" s="26"/>
      <c r="AB139" s="26"/>
      <c r="AC139" s="26"/>
      <c r="AD139" s="26"/>
      <c r="AE139" s="26"/>
      <c r="AF139" s="26"/>
      <c r="AG139" s="26"/>
      <c r="AH139" s="26"/>
      <c r="AI139" s="26"/>
      <c r="AJ139" s="26"/>
      <c r="AK139" s="26"/>
      <c r="AL139" s="26"/>
      <c r="AM139" s="26"/>
      <c r="AN139" s="26"/>
      <c r="AO139" s="26"/>
      <c r="AP139" s="26"/>
      <c r="AQ139" s="26"/>
      <c r="AR139" s="26"/>
    </row>
    <row r="140" spans="1:44" ht="15.75" x14ac:dyDescent="0.25">
      <c r="A140" s="30"/>
      <c r="B140" s="13" t="s">
        <v>282</v>
      </c>
      <c r="C140" s="14" t="s">
        <v>289</v>
      </c>
      <c r="D140" s="5">
        <v>143082</v>
      </c>
      <c r="E140" s="6" t="s">
        <v>284</v>
      </c>
      <c r="F140" s="7" t="e">
        <f>G140+SUMIF('[1]mouvement clippeuse'!B:B,"=COUTEAU fca 3442",'[1]mouvement clippeuse'!G:G)</f>
        <v>#VALUE!</v>
      </c>
      <c r="G140" s="7">
        <v>0</v>
      </c>
      <c r="H140" s="6">
        <v>1</v>
      </c>
      <c r="I140" s="2" t="e">
        <f t="shared" si="8"/>
        <v>#VALUE!</v>
      </c>
      <c r="J140" s="11">
        <v>57.61</v>
      </c>
      <c r="K140" s="17" t="e">
        <f t="shared" si="9"/>
        <v>#VALUE!</v>
      </c>
      <c r="L140" s="30"/>
      <c r="M140" s="30"/>
      <c r="N140" s="30"/>
      <c r="O140" s="30"/>
      <c r="P140" s="30"/>
      <c r="Q140" s="30"/>
      <c r="R140" s="30"/>
      <c r="S140" s="30">
        <v>1</v>
      </c>
      <c r="T140" s="26"/>
      <c r="U140" s="26"/>
      <c r="V140" s="26"/>
      <c r="W140" s="26"/>
      <c r="X140" s="26"/>
      <c r="Y140" s="26"/>
      <c r="Z140" s="26"/>
      <c r="AA140" s="26"/>
      <c r="AB140" s="26"/>
      <c r="AC140" s="26"/>
      <c r="AD140" s="26"/>
      <c r="AE140" s="26"/>
      <c r="AF140" s="26"/>
      <c r="AG140" s="26"/>
      <c r="AH140" s="26"/>
      <c r="AI140" s="26"/>
      <c r="AJ140" s="26"/>
      <c r="AK140" s="26"/>
      <c r="AL140" s="26"/>
      <c r="AM140" s="26"/>
      <c r="AN140" s="26"/>
      <c r="AO140" s="26"/>
      <c r="AP140" s="26"/>
      <c r="AQ140" s="26"/>
      <c r="AR140" s="26"/>
    </row>
    <row r="141" spans="1:44" ht="15.75" x14ac:dyDescent="0.25">
      <c r="A141" s="30"/>
      <c r="B141" s="13" t="s">
        <v>282</v>
      </c>
      <c r="C141" s="14" t="s">
        <v>290</v>
      </c>
      <c r="D141" s="5">
        <v>17997</v>
      </c>
      <c r="E141" s="6" t="s">
        <v>284</v>
      </c>
      <c r="F141" s="7" t="e">
        <f>G141+SUMIF('[1]mouvement clippeuse'!B:B,"=Embout caoutchouc frein dévidoir",'[1]mouvement clippeuse'!G:G)</f>
        <v>#VALUE!</v>
      </c>
      <c r="G141" s="7">
        <v>2</v>
      </c>
      <c r="H141" s="6">
        <v>2</v>
      </c>
      <c r="I141" s="2" t="e">
        <f t="shared" si="8"/>
        <v>#VALUE!</v>
      </c>
      <c r="J141" s="69"/>
      <c r="K141" s="17" t="e">
        <f t="shared" si="9"/>
        <v>#VALUE!</v>
      </c>
      <c r="L141" s="30"/>
      <c r="M141" s="30"/>
      <c r="N141" s="30"/>
      <c r="O141" s="30"/>
      <c r="P141" s="30"/>
      <c r="Q141" s="30"/>
      <c r="R141" s="30"/>
      <c r="S141" s="30">
        <v>1</v>
      </c>
      <c r="T141" s="26"/>
      <c r="U141" s="26"/>
      <c r="V141" s="26"/>
      <c r="W141" s="26"/>
      <c r="X141" s="26"/>
      <c r="Y141" s="26"/>
      <c r="Z141" s="26"/>
      <c r="AA141" s="26"/>
      <c r="AB141" s="26"/>
      <c r="AC141" s="26"/>
      <c r="AD141" s="26"/>
      <c r="AE141" s="26"/>
      <c r="AF141" s="26"/>
      <c r="AG141" s="26"/>
      <c r="AH141" s="26"/>
      <c r="AI141" s="26"/>
      <c r="AJ141" s="26"/>
      <c r="AK141" s="26"/>
      <c r="AL141" s="26"/>
      <c r="AM141" s="26"/>
      <c r="AN141" s="26"/>
      <c r="AO141" s="26"/>
      <c r="AP141" s="26"/>
      <c r="AQ141" s="26"/>
      <c r="AR141" s="26"/>
    </row>
    <row r="142" spans="1:44" ht="15.75" x14ac:dyDescent="0.25">
      <c r="A142" s="30"/>
      <c r="B142" s="13" t="s">
        <v>282</v>
      </c>
      <c r="C142" s="14" t="s">
        <v>291</v>
      </c>
      <c r="D142" s="5">
        <v>140947</v>
      </c>
      <c r="E142" s="6" t="s">
        <v>284</v>
      </c>
      <c r="F142" s="7" t="e">
        <f>G142+SUMIF('[1]mouvement clippeuse'!B:B,"=galet d=26",'[1]mouvement clippeuse'!G:G)</f>
        <v>#VALUE!</v>
      </c>
      <c r="G142" s="7">
        <v>1</v>
      </c>
      <c r="H142" s="6">
        <v>1</v>
      </c>
      <c r="I142" s="2" t="e">
        <f t="shared" si="8"/>
        <v>#VALUE!</v>
      </c>
      <c r="J142" s="11">
        <v>140.77000000000001</v>
      </c>
      <c r="K142" s="17" t="e">
        <f t="shared" si="9"/>
        <v>#VALUE!</v>
      </c>
      <c r="L142" s="30"/>
      <c r="M142" s="30"/>
      <c r="N142" s="30"/>
      <c r="O142" s="30"/>
      <c r="P142" s="30"/>
      <c r="Q142" s="30"/>
      <c r="R142" s="30"/>
      <c r="S142" s="30">
        <v>1</v>
      </c>
      <c r="T142" s="26"/>
      <c r="U142" s="26"/>
      <c r="V142" s="26"/>
      <c r="W142" s="26"/>
      <c r="X142" s="26"/>
      <c r="Y142" s="26"/>
      <c r="Z142" s="26"/>
      <c r="AA142" s="26"/>
      <c r="AB142" s="26"/>
      <c r="AC142" s="26"/>
      <c r="AD142" s="26"/>
      <c r="AE142" s="26"/>
      <c r="AF142" s="26"/>
      <c r="AG142" s="26"/>
      <c r="AH142" s="26"/>
      <c r="AI142" s="26"/>
      <c r="AJ142" s="26"/>
      <c r="AK142" s="26"/>
      <c r="AL142" s="26"/>
      <c r="AM142" s="26"/>
      <c r="AN142" s="26"/>
      <c r="AO142" s="26"/>
      <c r="AP142" s="26"/>
      <c r="AQ142" s="26"/>
      <c r="AR142" s="26"/>
    </row>
    <row r="143" spans="1:44" ht="15.75" x14ac:dyDescent="0.25">
      <c r="A143" s="30"/>
      <c r="B143" s="13" t="s">
        <v>282</v>
      </c>
      <c r="C143" s="14" t="s">
        <v>292</v>
      </c>
      <c r="D143" s="5">
        <v>73132</v>
      </c>
      <c r="E143" s="6" t="s">
        <v>284</v>
      </c>
      <c r="F143" s="7" t="e">
        <f>G143+SUMIF('[1]mouvement clippeuse'!B:B,"=galet d=35",'[1]mouvement clippeuse'!G:G)</f>
        <v>#VALUE!</v>
      </c>
      <c r="G143" s="7">
        <v>2</v>
      </c>
      <c r="H143" s="6">
        <v>2</v>
      </c>
      <c r="I143" s="2" t="e">
        <f t="shared" si="8"/>
        <v>#VALUE!</v>
      </c>
      <c r="J143" s="11">
        <v>247.11</v>
      </c>
      <c r="K143" s="17" t="e">
        <f t="shared" si="9"/>
        <v>#VALUE!</v>
      </c>
      <c r="L143" s="30"/>
      <c r="M143" s="30"/>
      <c r="N143" s="30"/>
      <c r="O143" s="30"/>
      <c r="P143" s="30"/>
      <c r="Q143" s="30"/>
      <c r="R143" s="30"/>
      <c r="S143" s="30">
        <v>0</v>
      </c>
      <c r="T143" s="26"/>
      <c r="U143" s="26"/>
      <c r="V143" s="26"/>
      <c r="W143" s="26"/>
      <c r="X143" s="26"/>
      <c r="Y143" s="26"/>
      <c r="Z143" s="26"/>
      <c r="AA143" s="26"/>
      <c r="AB143" s="26"/>
      <c r="AC143" s="26"/>
      <c r="AD143" s="26"/>
      <c r="AE143" s="26"/>
      <c r="AF143" s="26"/>
      <c r="AG143" s="26"/>
      <c r="AH143" s="26"/>
      <c r="AI143" s="26"/>
      <c r="AJ143" s="26"/>
      <c r="AK143" s="26"/>
      <c r="AL143" s="26"/>
      <c r="AM143" s="26"/>
      <c r="AN143" s="26"/>
      <c r="AO143" s="26"/>
      <c r="AP143" s="26"/>
      <c r="AQ143" s="26"/>
      <c r="AR143" s="26"/>
    </row>
    <row r="144" spans="1:44" ht="15.75" x14ac:dyDescent="0.25">
      <c r="A144" s="30"/>
      <c r="B144" s="13" t="s">
        <v>282</v>
      </c>
      <c r="C144" s="14" t="s">
        <v>293</v>
      </c>
      <c r="D144" s="5">
        <v>141261</v>
      </c>
      <c r="E144" s="6" t="s">
        <v>284</v>
      </c>
      <c r="F144" s="7" t="e">
        <f>G144+SUMIF('[1]mouvement clippeuse'!B:B,"=guide agrafe 30 mm cpl",'[1]mouvement clippeuse'!G:G)</f>
        <v>#VALUE!</v>
      </c>
      <c r="G144" s="7">
        <v>1</v>
      </c>
      <c r="H144" s="6">
        <v>1</v>
      </c>
      <c r="I144" s="2" t="e">
        <f t="shared" si="8"/>
        <v>#VALUE!</v>
      </c>
      <c r="J144" s="11">
        <v>472.05</v>
      </c>
      <c r="K144" s="17" t="e">
        <f t="shared" si="9"/>
        <v>#VALUE!</v>
      </c>
      <c r="L144" s="30"/>
      <c r="M144" s="30"/>
      <c r="N144" s="30"/>
      <c r="O144" s="30"/>
      <c r="P144" s="30"/>
      <c r="Q144" s="30"/>
      <c r="R144" s="30"/>
      <c r="S144" s="30">
        <v>0</v>
      </c>
      <c r="T144" s="26"/>
      <c r="U144" s="26"/>
      <c r="V144" s="26"/>
      <c r="W144" s="26"/>
      <c r="X144" s="26"/>
      <c r="Y144" s="26"/>
      <c r="Z144" s="26"/>
      <c r="AA144" s="26"/>
      <c r="AB144" s="26"/>
      <c r="AC144" s="26"/>
      <c r="AD144" s="26"/>
      <c r="AE144" s="26"/>
      <c r="AF144" s="26"/>
      <c r="AG144" s="26"/>
      <c r="AH144" s="26"/>
      <c r="AI144" s="26"/>
      <c r="AJ144" s="26"/>
      <c r="AK144" s="26"/>
      <c r="AL144" s="26"/>
      <c r="AM144" s="26"/>
      <c r="AN144" s="26"/>
      <c r="AO144" s="26"/>
      <c r="AP144" s="26"/>
      <c r="AQ144" s="26"/>
      <c r="AR144" s="26"/>
    </row>
    <row r="145" spans="1:44" ht="15.75" x14ac:dyDescent="0.25">
      <c r="A145" s="30"/>
      <c r="B145" s="13" t="s">
        <v>282</v>
      </c>
      <c r="C145" s="14" t="s">
        <v>294</v>
      </c>
      <c r="D145" s="5">
        <v>12346</v>
      </c>
      <c r="E145" s="6" t="s">
        <v>284</v>
      </c>
      <c r="F145" s="7" t="e">
        <f>G145+SUMIF('[1]mouvement clippeuse'!B:B,"=RESSORT couteaux boyaux",'[1]mouvement clippeuse'!G:G)</f>
        <v>#VALUE!</v>
      </c>
      <c r="G145" s="7">
        <v>2</v>
      </c>
      <c r="H145" s="6">
        <v>1</v>
      </c>
      <c r="I145" s="2" t="e">
        <f t="shared" si="8"/>
        <v>#VALUE!</v>
      </c>
      <c r="J145" s="11">
        <v>28.46</v>
      </c>
      <c r="K145" s="17" t="e">
        <f t="shared" si="9"/>
        <v>#VALUE!</v>
      </c>
      <c r="L145" s="30"/>
      <c r="M145" s="30"/>
      <c r="N145" s="30"/>
      <c r="O145" s="30"/>
      <c r="P145" s="30"/>
      <c r="Q145" s="30"/>
      <c r="R145" s="30"/>
      <c r="S145" s="30">
        <v>0</v>
      </c>
      <c r="T145" s="26"/>
      <c r="U145" s="26"/>
      <c r="V145" s="26"/>
      <c r="W145" s="26"/>
      <c r="X145" s="26"/>
      <c r="Y145" s="26"/>
      <c r="Z145" s="26"/>
      <c r="AA145" s="26"/>
      <c r="AB145" s="26"/>
      <c r="AC145" s="26"/>
      <c r="AD145" s="26"/>
      <c r="AE145" s="26"/>
      <c r="AF145" s="26"/>
      <c r="AG145" s="26"/>
      <c r="AH145" s="26"/>
      <c r="AI145" s="26"/>
      <c r="AJ145" s="26"/>
      <c r="AK145" s="26"/>
      <c r="AL145" s="26"/>
      <c r="AM145" s="26"/>
      <c r="AN145" s="26"/>
      <c r="AO145" s="26"/>
      <c r="AP145" s="26"/>
      <c r="AQ145" s="26"/>
      <c r="AR145" s="26"/>
    </row>
    <row r="146" spans="1:44" ht="15.75" x14ac:dyDescent="0.25">
      <c r="A146" s="30"/>
      <c r="B146" s="13" t="s">
        <v>282</v>
      </c>
      <c r="C146" s="14" t="s">
        <v>295</v>
      </c>
      <c r="D146" s="5">
        <v>23679</v>
      </c>
      <c r="E146" s="6" t="s">
        <v>284</v>
      </c>
      <c r="F146" s="7" t="e">
        <f>G146+SUMIF('[1]mouvement clippeuse'!B:B,"=rotule de droite",'[1]mouvement clippeuse'!G:G)</f>
        <v>#VALUE!</v>
      </c>
      <c r="G146" s="7">
        <v>0</v>
      </c>
      <c r="H146" s="6">
        <v>1</v>
      </c>
      <c r="I146" s="2" t="e">
        <f t="shared" si="8"/>
        <v>#VALUE!</v>
      </c>
      <c r="J146" s="11">
        <v>103.49</v>
      </c>
      <c r="K146" s="17" t="e">
        <f t="shared" si="9"/>
        <v>#VALUE!</v>
      </c>
      <c r="L146" s="30"/>
      <c r="M146" s="30"/>
      <c r="N146" s="30"/>
      <c r="O146" s="30"/>
      <c r="P146" s="30"/>
      <c r="Q146" s="30"/>
      <c r="R146" s="30"/>
      <c r="S146" s="30">
        <v>1</v>
      </c>
      <c r="T146" s="26"/>
      <c r="U146" s="26"/>
      <c r="V146" s="26"/>
      <c r="W146" s="26"/>
      <c r="X146" s="26"/>
      <c r="Y146" s="26"/>
      <c r="Z146" s="26"/>
      <c r="AA146" s="26"/>
      <c r="AB146" s="26"/>
      <c r="AC146" s="26"/>
      <c r="AD146" s="26"/>
      <c r="AE146" s="26"/>
      <c r="AF146" s="26"/>
      <c r="AG146" s="26"/>
      <c r="AH146" s="26"/>
      <c r="AI146" s="26"/>
      <c r="AJ146" s="26"/>
      <c r="AK146" s="26"/>
      <c r="AL146" s="26"/>
      <c r="AM146" s="26"/>
      <c r="AN146" s="26"/>
      <c r="AO146" s="26"/>
      <c r="AP146" s="26"/>
      <c r="AQ146" s="26"/>
      <c r="AR146" s="26"/>
    </row>
    <row r="147" spans="1:44" ht="15.75" x14ac:dyDescent="0.25">
      <c r="A147" s="30"/>
      <c r="B147" s="13" t="s">
        <v>282</v>
      </c>
      <c r="C147" s="14" t="s">
        <v>296</v>
      </c>
      <c r="D147" s="5">
        <v>12139</v>
      </c>
      <c r="E147" s="6" t="s">
        <v>284</v>
      </c>
      <c r="F147" s="7" t="e">
        <f>G147+SUMIF('[1]mouvement clippeuse'!B:B,"=rotule de gauche",'[1]mouvement clippeuse'!G:G)</f>
        <v>#VALUE!</v>
      </c>
      <c r="G147" s="7">
        <v>0</v>
      </c>
      <c r="H147" s="6">
        <v>2</v>
      </c>
      <c r="I147" s="2" t="e">
        <f t="shared" si="8"/>
        <v>#VALUE!</v>
      </c>
      <c r="J147" s="11">
        <v>80.569999999999993</v>
      </c>
      <c r="K147" s="17" t="e">
        <f t="shared" si="9"/>
        <v>#VALUE!</v>
      </c>
      <c r="L147" s="30"/>
      <c r="M147" s="30"/>
      <c r="N147" s="30"/>
      <c r="O147" s="30"/>
      <c r="P147" s="30"/>
      <c r="Q147" s="30"/>
      <c r="R147" s="30"/>
      <c r="S147" s="30">
        <v>0</v>
      </c>
      <c r="T147" s="26"/>
      <c r="U147" s="26"/>
      <c r="V147" s="26"/>
      <c r="W147" s="26"/>
      <c r="X147" s="26"/>
      <c r="Y147" s="26"/>
      <c r="Z147" s="26"/>
      <c r="AA147" s="26"/>
      <c r="AB147" s="26"/>
      <c r="AC147" s="26"/>
      <c r="AD147" s="26"/>
      <c r="AE147" s="26"/>
      <c r="AF147" s="26"/>
      <c r="AG147" s="26"/>
      <c r="AH147" s="26"/>
      <c r="AI147" s="26"/>
      <c r="AJ147" s="26"/>
      <c r="AK147" s="26"/>
      <c r="AL147" s="26"/>
      <c r="AM147" s="26"/>
      <c r="AN147" s="26"/>
      <c r="AO147" s="26"/>
      <c r="AP147" s="26"/>
      <c r="AQ147" s="26"/>
      <c r="AR147" s="26"/>
    </row>
    <row r="148" spans="1:44" ht="15.75" x14ac:dyDescent="0.25">
      <c r="A148" s="30"/>
      <c r="B148" s="13" t="s">
        <v>282</v>
      </c>
      <c r="C148" s="14" t="s">
        <v>297</v>
      </c>
      <c r="D148" s="5">
        <v>12319</v>
      </c>
      <c r="E148" s="6" t="s">
        <v>284</v>
      </c>
      <c r="F148" s="7" t="e">
        <f>G148+SUMIF('[1]mouvement clippeuse'!B:B,"=rotule droit",'[1]mouvement clippeuse'!G:G)</f>
        <v>#VALUE!</v>
      </c>
      <c r="G148" s="7">
        <v>0</v>
      </c>
      <c r="H148" s="6">
        <v>1</v>
      </c>
      <c r="I148" s="2" t="e">
        <f t="shared" si="8"/>
        <v>#VALUE!</v>
      </c>
      <c r="J148" s="11">
        <v>80.569999999999993</v>
      </c>
      <c r="K148" s="17" t="e">
        <f t="shared" si="9"/>
        <v>#VALUE!</v>
      </c>
      <c r="L148" s="30"/>
      <c r="M148" s="30"/>
      <c r="N148" s="30"/>
      <c r="O148" s="30"/>
      <c r="P148" s="30"/>
      <c r="Q148" s="30"/>
      <c r="R148" s="30"/>
      <c r="S148" s="30">
        <v>1</v>
      </c>
      <c r="T148" s="26"/>
      <c r="U148" s="26"/>
      <c r="V148" s="26"/>
      <c r="W148" s="26"/>
      <c r="X148" s="26"/>
      <c r="Y148" s="26"/>
      <c r="Z148" s="26"/>
      <c r="AA148" s="26"/>
      <c r="AB148" s="26"/>
      <c r="AC148" s="26"/>
      <c r="AD148" s="26"/>
      <c r="AE148" s="26"/>
      <c r="AF148" s="26"/>
      <c r="AG148" s="26"/>
      <c r="AH148" s="26"/>
      <c r="AI148" s="26"/>
      <c r="AJ148" s="26"/>
      <c r="AK148" s="26"/>
      <c r="AL148" s="26"/>
      <c r="AM148" s="26"/>
      <c r="AN148" s="26"/>
      <c r="AO148" s="26"/>
      <c r="AP148" s="26"/>
      <c r="AQ148" s="26"/>
      <c r="AR148" s="26"/>
    </row>
    <row r="149" spans="1:44" ht="15.75" x14ac:dyDescent="0.25">
      <c r="A149" s="30"/>
      <c r="B149" s="13" t="s">
        <v>282</v>
      </c>
      <c r="C149" s="14" t="s">
        <v>298</v>
      </c>
      <c r="D149" s="5">
        <v>146395</v>
      </c>
      <c r="E149" s="6" t="s">
        <v>284</v>
      </c>
      <c r="F149" s="7" t="e">
        <f>G149+SUMIF('[1]mouvement clippeuse'!B:B,"=roulement 6301/2 RS",'[1]mouvement clippeuse'!G:G)</f>
        <v>#VALUE!</v>
      </c>
      <c r="G149" s="7">
        <v>0</v>
      </c>
      <c r="H149" s="6">
        <v>1</v>
      </c>
      <c r="I149" s="2" t="e">
        <f t="shared" si="8"/>
        <v>#VALUE!</v>
      </c>
      <c r="J149" s="11">
        <v>62.45</v>
      </c>
      <c r="K149" s="17" t="e">
        <f t="shared" si="9"/>
        <v>#VALUE!</v>
      </c>
      <c r="L149" s="30"/>
      <c r="M149" s="30"/>
      <c r="N149" s="30"/>
      <c r="O149" s="30"/>
      <c r="P149" s="30"/>
      <c r="Q149" s="30"/>
      <c r="R149" s="30"/>
      <c r="S149" s="30">
        <v>0</v>
      </c>
      <c r="T149" s="26"/>
      <c r="U149" s="26"/>
      <c r="V149" s="26"/>
      <c r="W149" s="26"/>
      <c r="X149" s="26"/>
      <c r="Y149" s="26"/>
      <c r="Z149" s="26"/>
      <c r="AA149" s="26"/>
      <c r="AB149" s="26"/>
      <c r="AC149" s="26"/>
      <c r="AD149" s="26"/>
      <c r="AE149" s="26"/>
      <c r="AF149" s="26"/>
      <c r="AG149" s="26"/>
      <c r="AH149" s="26"/>
      <c r="AI149" s="26"/>
      <c r="AJ149" s="26"/>
      <c r="AK149" s="26"/>
      <c r="AL149" s="26"/>
      <c r="AM149" s="26"/>
      <c r="AN149" s="26"/>
      <c r="AO149" s="26"/>
      <c r="AP149" s="26"/>
      <c r="AQ149" s="26"/>
      <c r="AR149" s="26"/>
    </row>
    <row r="150" spans="1:44" ht="15.75" x14ac:dyDescent="0.25">
      <c r="A150" s="30"/>
      <c r="B150" s="13" t="s">
        <v>282</v>
      </c>
      <c r="C150" s="14" t="s">
        <v>299</v>
      </c>
      <c r="D150" s="5">
        <v>12304</v>
      </c>
      <c r="E150" s="6" t="s">
        <v>284</v>
      </c>
      <c r="F150" s="7" t="e">
        <f>G150+SUMIF('[1]mouvement clippeuse'!B:B,"=roulement à aiguille (04)",'[1]mouvement clippeuse'!G:G)</f>
        <v>#VALUE!</v>
      </c>
      <c r="G150" s="7">
        <v>0</v>
      </c>
      <c r="H150" s="6">
        <v>2</v>
      </c>
      <c r="I150" s="2" t="e">
        <f t="shared" si="8"/>
        <v>#VALUE!</v>
      </c>
      <c r="J150" s="11">
        <v>53.7</v>
      </c>
      <c r="K150" s="17" t="e">
        <f t="shared" si="9"/>
        <v>#VALUE!</v>
      </c>
      <c r="L150" s="30"/>
      <c r="M150" s="30"/>
      <c r="N150" s="30"/>
      <c r="O150" s="30"/>
      <c r="P150" s="30"/>
      <c r="Q150" s="30"/>
      <c r="R150" s="30"/>
      <c r="S150" s="30">
        <v>1</v>
      </c>
      <c r="T150" s="26"/>
      <c r="U150" s="26"/>
      <c r="V150" s="26"/>
      <c r="W150" s="26"/>
      <c r="X150" s="26"/>
      <c r="Y150" s="26"/>
      <c r="Z150" s="26"/>
      <c r="AA150" s="26"/>
      <c r="AB150" s="26"/>
      <c r="AC150" s="26"/>
      <c r="AD150" s="26"/>
      <c r="AE150" s="26"/>
      <c r="AF150" s="26"/>
      <c r="AG150" s="26"/>
      <c r="AH150" s="26"/>
      <c r="AI150" s="26"/>
      <c r="AJ150" s="26"/>
      <c r="AK150" s="26"/>
      <c r="AL150" s="26"/>
      <c r="AM150" s="26"/>
      <c r="AN150" s="26"/>
      <c r="AO150" s="26"/>
      <c r="AP150" s="26"/>
      <c r="AQ150" s="26"/>
      <c r="AR150" s="26"/>
    </row>
    <row r="151" spans="1:44" ht="15.75" x14ac:dyDescent="0.25">
      <c r="A151" s="30"/>
      <c r="B151" s="13" t="s">
        <v>282</v>
      </c>
      <c r="C151" s="14" t="s">
        <v>300</v>
      </c>
      <c r="D151" s="5">
        <v>12352</v>
      </c>
      <c r="E151" s="6" t="s">
        <v>284</v>
      </c>
      <c r="F151" s="7" t="e">
        <f>G151+SUMIF('[1]mouvement clippeuse'!B:B,"=roulement à aiguille (52)",'[1]mouvement clippeuse'!G:G)</f>
        <v>#VALUE!</v>
      </c>
      <c r="G151" s="7">
        <v>0</v>
      </c>
      <c r="H151" s="6">
        <v>2</v>
      </c>
      <c r="I151" s="2" t="e">
        <f t="shared" si="8"/>
        <v>#VALUE!</v>
      </c>
      <c r="J151" s="11">
        <v>45.01</v>
      </c>
      <c r="K151" s="17" t="e">
        <f t="shared" si="9"/>
        <v>#VALUE!</v>
      </c>
      <c r="L151" s="30"/>
      <c r="M151" s="3" t="s">
        <v>282</v>
      </c>
      <c r="N151" s="30"/>
      <c r="O151" s="30"/>
      <c r="P151" s="30"/>
      <c r="Q151" s="30"/>
      <c r="R151" s="30"/>
      <c r="S151" s="30">
        <v>1</v>
      </c>
      <c r="T151" s="26"/>
      <c r="U151" s="26"/>
      <c r="V151" s="26"/>
      <c r="W151" s="26"/>
      <c r="X151" s="26"/>
      <c r="Y151" s="26"/>
      <c r="Z151" s="26"/>
      <c r="AA151" s="26"/>
      <c r="AB151" s="26"/>
      <c r="AC151" s="26"/>
      <c r="AD151" s="26"/>
      <c r="AE151" s="26"/>
      <c r="AF151" s="26"/>
      <c r="AG151" s="26"/>
      <c r="AH151" s="26"/>
      <c r="AI151" s="26"/>
      <c r="AJ151" s="26"/>
      <c r="AK151" s="26"/>
      <c r="AL151" s="26"/>
      <c r="AM151" s="26"/>
      <c r="AN151" s="26"/>
      <c r="AO151" s="26"/>
      <c r="AP151" s="26"/>
      <c r="AQ151" s="26"/>
      <c r="AR151" s="26"/>
    </row>
    <row r="152" spans="1:44" ht="15.75" x14ac:dyDescent="0.25">
      <c r="A152" s="30"/>
      <c r="B152" s="13" t="s">
        <v>282</v>
      </c>
      <c r="C152" s="14" t="s">
        <v>301</v>
      </c>
      <c r="D152" s="5">
        <v>146536</v>
      </c>
      <c r="E152" s="6" t="s">
        <v>284</v>
      </c>
      <c r="F152" s="7" t="e">
        <f>G152+SUMIF('[1]mouvement clippeuse'!B:B,"=Cable VEMAG R500",'[1]mouvement clippeuse'!G:G)</f>
        <v>#VALUE!</v>
      </c>
      <c r="G152" s="7">
        <v>0</v>
      </c>
      <c r="H152" s="6">
        <v>1</v>
      </c>
      <c r="I152" s="2" t="e">
        <f t="shared" si="8"/>
        <v>#VALUE!</v>
      </c>
      <c r="J152" s="11">
        <v>438.11</v>
      </c>
      <c r="K152" s="17" t="e">
        <f t="shared" si="9"/>
        <v>#VALUE!</v>
      </c>
      <c r="L152" s="30"/>
      <c r="M152" s="35" t="e">
        <f>SUM(K135:K152)</f>
        <v>#VALUE!</v>
      </c>
      <c r="N152" s="30"/>
      <c r="O152" s="30"/>
      <c r="P152" s="30"/>
      <c r="Q152" s="30"/>
      <c r="R152" s="30"/>
      <c r="S152" s="30">
        <v>1</v>
      </c>
      <c r="T152" s="26"/>
      <c r="U152" s="26"/>
      <c r="V152" s="26"/>
      <c r="W152" s="26"/>
      <c r="X152" s="26"/>
      <c r="Y152" s="26"/>
      <c r="Z152" s="26"/>
      <c r="AA152" s="26"/>
      <c r="AB152" s="26"/>
      <c r="AC152" s="26"/>
      <c r="AD152" s="26"/>
      <c r="AE152" s="26"/>
      <c r="AF152" s="26"/>
      <c r="AG152" s="26"/>
      <c r="AH152" s="26"/>
      <c r="AI152" s="26"/>
      <c r="AJ152" s="26"/>
      <c r="AK152" s="26"/>
      <c r="AL152" s="26"/>
      <c r="AM152" s="26"/>
      <c r="AN152" s="26"/>
      <c r="AO152" s="26"/>
      <c r="AP152" s="26"/>
      <c r="AQ152" s="26"/>
      <c r="AR152" s="26"/>
    </row>
    <row r="153" spans="1:44" ht="24" x14ac:dyDescent="0.25">
      <c r="A153" s="30"/>
      <c r="B153" s="13" t="s">
        <v>302</v>
      </c>
      <c r="C153" s="98" t="s">
        <v>303</v>
      </c>
      <c r="D153" s="5" t="s">
        <v>304</v>
      </c>
      <c r="E153" s="6" t="s">
        <v>305</v>
      </c>
      <c r="F153" s="7" t="e">
        <f>G153+SUMIF('[1]mouvement CEM'!B:B,"=Capteur photoélectrique, Cylindrique, Lumière rouge, LED, 0,05 → 7 m, NPN, 100 mA, Câble, IP67",'[1]mouvement CEM'!G:G)</f>
        <v>#VALUE!</v>
      </c>
      <c r="G153" s="7">
        <v>1</v>
      </c>
      <c r="H153" s="6">
        <v>1</v>
      </c>
      <c r="I153" s="2" t="e">
        <f t="shared" si="8"/>
        <v>#VALUE!</v>
      </c>
      <c r="J153" s="16">
        <v>61.24</v>
      </c>
      <c r="K153" s="17" t="e">
        <f t="shared" si="9"/>
        <v>#VALUE!</v>
      </c>
      <c r="L153" s="30"/>
      <c r="M153" s="30"/>
      <c r="N153" s="30"/>
      <c r="O153" s="30"/>
      <c r="P153" s="30"/>
      <c r="Q153" s="30"/>
      <c r="R153" s="30"/>
      <c r="S153" s="30">
        <v>1</v>
      </c>
      <c r="T153" s="26"/>
      <c r="U153" s="26"/>
      <c r="V153" s="26"/>
      <c r="W153" s="26"/>
      <c r="X153" s="26"/>
      <c r="Y153" s="26"/>
      <c r="Z153" s="26"/>
      <c r="AA153" s="26"/>
      <c r="AB153" s="26"/>
      <c r="AC153" s="26"/>
      <c r="AD153" s="26"/>
      <c r="AE153" s="26"/>
      <c r="AF153" s="26"/>
      <c r="AG153" s="26"/>
      <c r="AH153" s="26"/>
      <c r="AI153" s="26"/>
      <c r="AJ153" s="26"/>
      <c r="AK153" s="26"/>
      <c r="AL153" s="26"/>
      <c r="AM153" s="26"/>
      <c r="AN153" s="26"/>
      <c r="AO153" s="26"/>
      <c r="AP153" s="26"/>
      <c r="AQ153" s="26"/>
      <c r="AR153" s="26"/>
    </row>
    <row r="154" spans="1:44" ht="15.75" x14ac:dyDescent="0.25">
      <c r="A154" s="30"/>
      <c r="B154" s="13" t="s">
        <v>302</v>
      </c>
      <c r="C154" s="14" t="s">
        <v>306</v>
      </c>
      <c r="D154" s="5" t="s">
        <v>307</v>
      </c>
      <c r="E154" s="6" t="s">
        <v>305</v>
      </c>
      <c r="F154" s="7" t="e">
        <f>G154+SUMIF('[1]mouvement CEM'!B:B,"=courroie d'entrainement enrouleur glassine",'[1]mouvement CEM'!G:G)</f>
        <v>#VALUE!</v>
      </c>
      <c r="G154" s="7">
        <v>1</v>
      </c>
      <c r="H154" s="6">
        <v>1</v>
      </c>
      <c r="I154" s="2" t="e">
        <f t="shared" si="8"/>
        <v>#VALUE!</v>
      </c>
      <c r="J154" s="16">
        <v>31.95</v>
      </c>
      <c r="K154" s="17" t="e">
        <f t="shared" si="9"/>
        <v>#VALUE!</v>
      </c>
      <c r="L154" s="30"/>
      <c r="M154" s="30"/>
      <c r="N154" s="30"/>
      <c r="O154" s="30"/>
      <c r="P154" s="30"/>
      <c r="Q154" s="30"/>
      <c r="R154" s="30"/>
      <c r="S154" s="30">
        <v>1</v>
      </c>
      <c r="T154" s="26"/>
      <c r="U154" s="26"/>
      <c r="V154" s="26"/>
      <c r="W154" s="26"/>
      <c r="X154" s="26"/>
      <c r="Y154" s="26"/>
      <c r="Z154" s="26"/>
      <c r="AA154" s="26"/>
      <c r="AB154" s="26"/>
      <c r="AC154" s="26"/>
      <c r="AD154" s="26"/>
      <c r="AE154" s="26"/>
      <c r="AF154" s="26"/>
      <c r="AG154" s="26"/>
      <c r="AH154" s="26"/>
      <c r="AI154" s="26"/>
      <c r="AJ154" s="26"/>
      <c r="AK154" s="26"/>
      <c r="AL154" s="26"/>
      <c r="AM154" s="26"/>
      <c r="AN154" s="26"/>
      <c r="AO154" s="26"/>
      <c r="AP154" s="26"/>
      <c r="AQ154" s="26"/>
      <c r="AR154" s="26"/>
    </row>
    <row r="155" spans="1:44" ht="15.75" x14ac:dyDescent="0.25">
      <c r="A155" s="30"/>
      <c r="B155" s="13" t="s">
        <v>302</v>
      </c>
      <c r="C155" s="14" t="s">
        <v>308</v>
      </c>
      <c r="D155" s="5" t="s">
        <v>309</v>
      </c>
      <c r="E155" s="6" t="s">
        <v>305</v>
      </c>
      <c r="F155" s="7" t="e">
        <f>G155+SUMIF('[1]mouvement CEM'!B:B,"=fourche de détection capteur d'étiquettes (cellule BALLUFF)",'[1]mouvement CEM'!G:G)</f>
        <v>#VALUE!</v>
      </c>
      <c r="G155" s="7">
        <v>1</v>
      </c>
      <c r="H155" s="6">
        <v>1</v>
      </c>
      <c r="I155" s="2" t="e">
        <f t="shared" si="8"/>
        <v>#VALUE!</v>
      </c>
      <c r="J155" s="16">
        <v>197.55</v>
      </c>
      <c r="K155" s="17" t="e">
        <f t="shared" si="9"/>
        <v>#VALUE!</v>
      </c>
      <c r="L155" s="30"/>
      <c r="M155" s="30"/>
      <c r="N155" s="30"/>
      <c r="O155" s="30"/>
      <c r="P155" s="30"/>
      <c r="Q155" s="30"/>
      <c r="R155" s="30"/>
      <c r="S155" s="30">
        <v>0</v>
      </c>
      <c r="T155" s="26"/>
      <c r="U155" s="26"/>
      <c r="V155" s="26"/>
      <c r="W155" s="26"/>
      <c r="X155" s="26"/>
      <c r="Y155" s="26"/>
      <c r="Z155" s="26"/>
      <c r="AA155" s="26"/>
      <c r="AB155" s="26"/>
      <c r="AC155" s="26"/>
      <c r="AD155" s="26"/>
      <c r="AE155" s="26"/>
      <c r="AF155" s="26"/>
      <c r="AG155" s="26"/>
      <c r="AH155" s="26"/>
      <c r="AI155" s="26"/>
      <c r="AJ155" s="26"/>
      <c r="AK155" s="26"/>
      <c r="AL155" s="26"/>
      <c r="AM155" s="26"/>
      <c r="AN155" s="26"/>
      <c r="AO155" s="26"/>
      <c r="AP155" s="26"/>
      <c r="AQ155" s="26"/>
      <c r="AR155" s="26"/>
    </row>
    <row r="156" spans="1:44" ht="15.75" x14ac:dyDescent="0.25">
      <c r="A156" s="30"/>
      <c r="B156" s="13" t="s">
        <v>302</v>
      </c>
      <c r="C156" s="14" t="s">
        <v>310</v>
      </c>
      <c r="D156" s="5" t="s">
        <v>311</v>
      </c>
      <c r="E156" s="6" t="s">
        <v>305</v>
      </c>
      <c r="F156" s="7" t="e">
        <f>G156+SUMIF('[1]mouvement CEM'!B:B,"=rouleau finition collage",'[1]mouvement CEM'!G:G)</f>
        <v>#VALUE!</v>
      </c>
      <c r="G156" s="7">
        <v>10</v>
      </c>
      <c r="H156" s="6">
        <v>2</v>
      </c>
      <c r="I156" s="2" t="e">
        <f t="shared" si="8"/>
        <v>#VALUE!</v>
      </c>
      <c r="J156" s="16">
        <v>3.75</v>
      </c>
      <c r="K156" s="17" t="e">
        <f t="shared" si="9"/>
        <v>#VALUE!</v>
      </c>
      <c r="L156" s="30"/>
      <c r="M156" s="3" t="s">
        <v>312</v>
      </c>
      <c r="N156" s="30"/>
      <c r="O156" s="30"/>
      <c r="P156" s="30"/>
      <c r="Q156" s="30"/>
      <c r="R156" s="30"/>
      <c r="S156" s="30">
        <v>0</v>
      </c>
      <c r="T156" s="26"/>
      <c r="U156" s="26"/>
      <c r="V156" s="26"/>
      <c r="W156" s="26"/>
      <c r="X156" s="26"/>
      <c r="Y156" s="26"/>
      <c r="Z156" s="26"/>
      <c r="AA156" s="26"/>
      <c r="AB156" s="26"/>
      <c r="AC156" s="26"/>
      <c r="AD156" s="26"/>
      <c r="AE156" s="26"/>
      <c r="AF156" s="26"/>
      <c r="AG156" s="26"/>
      <c r="AH156" s="26"/>
      <c r="AI156" s="26"/>
      <c r="AJ156" s="26"/>
      <c r="AK156" s="26"/>
      <c r="AL156" s="26"/>
      <c r="AM156" s="26"/>
      <c r="AN156" s="26"/>
      <c r="AO156" s="26"/>
      <c r="AP156" s="26"/>
      <c r="AQ156" s="26"/>
      <c r="AR156" s="26"/>
    </row>
    <row r="157" spans="1:44" ht="15.75" x14ac:dyDescent="0.25">
      <c r="A157" s="30"/>
      <c r="B157" s="13" t="s">
        <v>302</v>
      </c>
      <c r="C157" s="14" t="s">
        <v>313</v>
      </c>
      <c r="D157" s="5" t="s">
        <v>314</v>
      </c>
      <c r="E157" s="6" t="s">
        <v>305</v>
      </c>
      <c r="F157" s="7" t="e">
        <f>G157+SUMIF('[1]mouvement CEM'!B:B,"=Cable connecteur",'[1]mouvement CEM'!G:G)</f>
        <v>#VALUE!</v>
      </c>
      <c r="G157" s="7">
        <v>3</v>
      </c>
      <c r="H157" s="6">
        <v>1</v>
      </c>
      <c r="I157" s="2" t="e">
        <f t="shared" si="8"/>
        <v>#VALUE!</v>
      </c>
      <c r="J157" s="11"/>
      <c r="K157" s="17" t="e">
        <f t="shared" si="9"/>
        <v>#VALUE!</v>
      </c>
      <c r="L157" s="30"/>
      <c r="M157" s="35" t="e">
        <f>SUM(K153:K157)</f>
        <v>#VALUE!</v>
      </c>
      <c r="N157" s="30"/>
      <c r="O157" s="30"/>
      <c r="P157" s="30"/>
      <c r="Q157" s="30"/>
      <c r="R157" s="30"/>
      <c r="S157" s="30">
        <v>0</v>
      </c>
      <c r="T157" s="26"/>
      <c r="U157" s="26"/>
      <c r="V157" s="26"/>
      <c r="W157" s="26"/>
      <c r="X157" s="26"/>
      <c r="Y157" s="26"/>
      <c r="Z157" s="26"/>
      <c r="AA157" s="26"/>
      <c r="AB157" s="26"/>
      <c r="AC157" s="26"/>
      <c r="AD157" s="26"/>
      <c r="AE157" s="26"/>
      <c r="AF157" s="26"/>
      <c r="AG157" s="26"/>
      <c r="AH157" s="26"/>
      <c r="AI157" s="26"/>
      <c r="AJ157" s="26"/>
      <c r="AK157" s="26"/>
      <c r="AL157" s="26"/>
      <c r="AM157" s="26"/>
      <c r="AN157" s="26"/>
      <c r="AO157" s="26"/>
      <c r="AP157" s="26"/>
      <c r="AQ157" s="26"/>
      <c r="AR157" s="26"/>
    </row>
    <row r="158" spans="1:44" ht="15.75" x14ac:dyDescent="0.25">
      <c r="A158" s="30"/>
      <c r="B158" s="13" t="s">
        <v>315</v>
      </c>
      <c r="C158" s="99" t="s">
        <v>316</v>
      </c>
      <c r="D158" s="100" t="s">
        <v>317</v>
      </c>
      <c r="E158" s="101" t="s">
        <v>318</v>
      </c>
      <c r="F158" s="7" t="e">
        <f>G158+SUMIF('[1]mouvement coupe légume'!B:B,"=Pilon",'[1]mouvement coupe légume'!G:G)</f>
        <v>#VALUE!</v>
      </c>
      <c r="G158" s="63">
        <v>1</v>
      </c>
      <c r="H158" s="63">
        <v>1</v>
      </c>
      <c r="I158" s="2" t="e">
        <f t="shared" si="8"/>
        <v>#VALUE!</v>
      </c>
      <c r="J158" s="66">
        <v>98.52</v>
      </c>
      <c r="K158" s="17" t="e">
        <f t="shared" si="9"/>
        <v>#VALUE!</v>
      </c>
      <c r="L158" s="30"/>
      <c r="M158" s="30"/>
      <c r="N158" s="30"/>
      <c r="O158" s="30"/>
      <c r="P158" s="30"/>
      <c r="Q158" s="30"/>
      <c r="R158" s="30"/>
      <c r="S158" s="30">
        <v>1</v>
      </c>
      <c r="T158" s="26"/>
      <c r="U158" s="26"/>
      <c r="V158" s="26"/>
      <c r="W158" s="26"/>
      <c r="X158" s="26"/>
      <c r="Y158" s="26"/>
      <c r="Z158" s="26"/>
      <c r="AA158" s="26"/>
      <c r="AB158" s="26"/>
      <c r="AC158" s="26"/>
      <c r="AD158" s="26"/>
      <c r="AE158" s="26"/>
      <c r="AF158" s="26"/>
      <c r="AG158" s="26"/>
      <c r="AH158" s="26"/>
      <c r="AI158" s="26"/>
      <c r="AJ158" s="26"/>
      <c r="AK158" s="26"/>
      <c r="AL158" s="26"/>
      <c r="AM158" s="26"/>
      <c r="AN158" s="26"/>
      <c r="AO158" s="26"/>
      <c r="AP158" s="26"/>
      <c r="AQ158" s="26"/>
      <c r="AR158" s="26"/>
    </row>
    <row r="159" spans="1:44" ht="15.75" x14ac:dyDescent="0.25">
      <c r="A159" s="30"/>
      <c r="B159" s="13" t="s">
        <v>315</v>
      </c>
      <c r="C159" s="102" t="s">
        <v>319</v>
      </c>
      <c r="D159" s="100" t="s">
        <v>320</v>
      </c>
      <c r="E159" s="101" t="s">
        <v>318</v>
      </c>
      <c r="F159" s="7" t="e">
        <f>G159+SUMIF('[1]mouvement coupe légume'!B:B,"=Bouton Noir",'[1]mouvement coupe légume'!G:G)</f>
        <v>#VALUE!</v>
      </c>
      <c r="G159" s="63">
        <v>1</v>
      </c>
      <c r="H159" s="63">
        <v>1</v>
      </c>
      <c r="I159" s="2" t="e">
        <f t="shared" si="8"/>
        <v>#VALUE!</v>
      </c>
      <c r="J159" s="66">
        <v>2.25</v>
      </c>
      <c r="K159" s="17" t="e">
        <f t="shared" si="9"/>
        <v>#VALUE!</v>
      </c>
      <c r="L159" s="30"/>
      <c r="M159" s="30"/>
      <c r="N159" s="30"/>
      <c r="O159" s="30"/>
      <c r="P159" s="30"/>
      <c r="Q159" s="30"/>
      <c r="R159" s="30"/>
      <c r="S159" s="30">
        <v>0</v>
      </c>
      <c r="T159" s="26"/>
      <c r="U159" s="26"/>
      <c r="V159" s="26"/>
      <c r="W159" s="26"/>
      <c r="X159" s="26"/>
      <c r="Y159" s="26"/>
      <c r="Z159" s="26"/>
      <c r="AA159" s="26"/>
      <c r="AB159" s="26"/>
      <c r="AC159" s="26"/>
      <c r="AD159" s="26"/>
      <c r="AE159" s="26"/>
      <c r="AF159" s="26"/>
      <c r="AG159" s="26"/>
      <c r="AH159" s="26"/>
      <c r="AI159" s="26"/>
      <c r="AJ159" s="26"/>
      <c r="AK159" s="26"/>
      <c r="AL159" s="26"/>
      <c r="AM159" s="26"/>
      <c r="AN159" s="26"/>
      <c r="AO159" s="26"/>
      <c r="AP159" s="26"/>
      <c r="AQ159" s="26"/>
      <c r="AR159" s="26"/>
    </row>
    <row r="160" spans="1:44" ht="15.75" x14ac:dyDescent="0.25">
      <c r="A160" s="30"/>
      <c r="B160" s="13" t="s">
        <v>315</v>
      </c>
      <c r="C160" s="102" t="s">
        <v>321</v>
      </c>
      <c r="D160" s="100" t="s">
        <v>322</v>
      </c>
      <c r="E160" s="101" t="s">
        <v>318</v>
      </c>
      <c r="F160" s="7" t="e">
        <f>G160+SUMIF('[1]mouvement coupe légume'!B:B,"=Verrou",'[1]mouvement coupe légume'!G:G)</f>
        <v>#VALUE!</v>
      </c>
      <c r="G160" s="63">
        <v>1</v>
      </c>
      <c r="H160" s="63">
        <v>1</v>
      </c>
      <c r="I160" s="2" t="e">
        <f t="shared" si="8"/>
        <v>#VALUE!</v>
      </c>
      <c r="J160" s="66">
        <v>50.21</v>
      </c>
      <c r="K160" s="17" t="e">
        <f t="shared" si="9"/>
        <v>#VALUE!</v>
      </c>
      <c r="L160" s="30"/>
      <c r="M160" s="30"/>
      <c r="N160" s="30"/>
      <c r="O160" s="30"/>
      <c r="P160" s="30"/>
      <c r="Q160" s="30"/>
      <c r="R160" s="30"/>
      <c r="S160" s="30">
        <v>1</v>
      </c>
      <c r="T160" s="26"/>
      <c r="U160" s="26"/>
      <c r="V160" s="26"/>
      <c r="W160" s="26"/>
      <c r="X160" s="26"/>
      <c r="Y160" s="26"/>
      <c r="Z160" s="26"/>
      <c r="AA160" s="26"/>
      <c r="AB160" s="26"/>
      <c r="AC160" s="26"/>
      <c r="AD160" s="26"/>
      <c r="AE160" s="26"/>
      <c r="AF160" s="26"/>
      <c r="AG160" s="26"/>
      <c r="AH160" s="26"/>
      <c r="AI160" s="26"/>
      <c r="AJ160" s="26"/>
      <c r="AK160" s="26"/>
      <c r="AL160" s="26"/>
      <c r="AM160" s="26"/>
      <c r="AN160" s="26"/>
      <c r="AO160" s="26"/>
      <c r="AP160" s="26"/>
      <c r="AQ160" s="26"/>
      <c r="AR160" s="26"/>
    </row>
    <row r="161" spans="1:44" ht="15.75" x14ac:dyDescent="0.25">
      <c r="A161" s="30"/>
      <c r="B161" s="13" t="s">
        <v>315</v>
      </c>
      <c r="C161" s="102" t="s">
        <v>323</v>
      </c>
      <c r="D161" s="100" t="s">
        <v>324</v>
      </c>
      <c r="E161" s="101" t="s">
        <v>318</v>
      </c>
      <c r="F161" s="7" t="e">
        <f>G161+SUMIF('[1]mouvement coupe légume'!B:B,"=Goupilles",'[1]mouvement coupe légume'!G:G)</f>
        <v>#VALUE!</v>
      </c>
      <c r="G161" s="63">
        <v>1</v>
      </c>
      <c r="H161" s="63">
        <v>1</v>
      </c>
      <c r="I161" s="2" t="e">
        <f t="shared" si="8"/>
        <v>#VALUE!</v>
      </c>
      <c r="J161" s="66">
        <v>26.36</v>
      </c>
      <c r="K161" s="17" t="e">
        <f t="shared" si="9"/>
        <v>#VALUE!</v>
      </c>
      <c r="L161" s="30"/>
      <c r="M161" s="30"/>
      <c r="N161" s="30"/>
      <c r="O161" s="30"/>
      <c r="P161" s="30"/>
      <c r="Q161" s="30"/>
      <c r="R161" s="30"/>
      <c r="S161" s="30">
        <v>0</v>
      </c>
      <c r="T161" s="26"/>
      <c r="U161" s="26"/>
      <c r="V161" s="26"/>
      <c r="W161" s="26"/>
      <c r="X161" s="26"/>
      <c r="Y161" s="26"/>
      <c r="Z161" s="26"/>
      <c r="AA161" s="26"/>
      <c r="AB161" s="26"/>
      <c r="AC161" s="26"/>
      <c r="AD161" s="26"/>
      <c r="AE161" s="26"/>
      <c r="AF161" s="26"/>
      <c r="AG161" s="26"/>
      <c r="AH161" s="26"/>
      <c r="AI161" s="26"/>
      <c r="AJ161" s="26"/>
      <c r="AK161" s="26"/>
      <c r="AL161" s="26"/>
      <c r="AM161" s="26"/>
      <c r="AN161" s="26"/>
      <c r="AO161" s="26"/>
      <c r="AP161" s="26"/>
      <c r="AQ161" s="26"/>
      <c r="AR161" s="26"/>
    </row>
    <row r="162" spans="1:44" ht="15.75" x14ac:dyDescent="0.25">
      <c r="A162" s="30"/>
      <c r="B162" s="13" t="s">
        <v>315</v>
      </c>
      <c r="C162" s="102" t="s">
        <v>325</v>
      </c>
      <c r="D162" s="100" t="s">
        <v>326</v>
      </c>
      <c r="E162" s="101" t="s">
        <v>318</v>
      </c>
      <c r="F162" s="7" t="e">
        <f>G162+SUMIF('[1]mouvement coupe légume'!B:B,"=Butées plastique",'[1]mouvement coupe légume'!G:G)</f>
        <v>#VALUE!</v>
      </c>
      <c r="G162" s="63">
        <v>1</v>
      </c>
      <c r="H162" s="63">
        <v>1</v>
      </c>
      <c r="I162" s="2" t="e">
        <f t="shared" si="8"/>
        <v>#VALUE!</v>
      </c>
      <c r="J162" s="66">
        <v>37.1</v>
      </c>
      <c r="K162" s="17" t="e">
        <f t="shared" si="9"/>
        <v>#VALUE!</v>
      </c>
      <c r="L162" s="30"/>
      <c r="M162" s="30"/>
      <c r="N162" s="30"/>
      <c r="O162" s="30"/>
      <c r="P162" s="30"/>
      <c r="Q162" s="30"/>
      <c r="R162" s="30"/>
      <c r="S162" s="30">
        <v>1</v>
      </c>
      <c r="T162" s="26"/>
      <c r="U162" s="26"/>
      <c r="V162" s="26"/>
      <c r="W162" s="26"/>
      <c r="X162" s="26"/>
      <c r="Y162" s="26"/>
      <c r="Z162" s="26"/>
      <c r="AA162" s="26"/>
      <c r="AB162" s="26"/>
      <c r="AC162" s="26"/>
      <c r="AD162" s="26"/>
      <c r="AE162" s="26"/>
      <c r="AF162" s="26"/>
      <c r="AG162" s="26"/>
      <c r="AH162" s="26"/>
      <c r="AI162" s="26"/>
      <c r="AJ162" s="26"/>
      <c r="AK162" s="26"/>
      <c r="AL162" s="26"/>
      <c r="AM162" s="26"/>
      <c r="AN162" s="26"/>
      <c r="AO162" s="26"/>
      <c r="AP162" s="26"/>
      <c r="AQ162" s="26"/>
      <c r="AR162" s="26"/>
    </row>
    <row r="163" spans="1:44" ht="15.75" x14ac:dyDescent="0.25">
      <c r="A163" s="30"/>
      <c r="B163" s="13" t="s">
        <v>315</v>
      </c>
      <c r="C163" s="102" t="s">
        <v>327</v>
      </c>
      <c r="D163" s="100" t="s">
        <v>328</v>
      </c>
      <c r="E163" s="101" t="s">
        <v>318</v>
      </c>
      <c r="F163" s="7" t="e">
        <f>G163+SUMIF('[1]mouvement coupe légume'!B:B,"=Bague Articulée",'[1]mouvement coupe légume'!G:G)</f>
        <v>#VALUE!</v>
      </c>
      <c r="G163" s="63">
        <v>3</v>
      </c>
      <c r="H163" s="63">
        <v>1</v>
      </c>
      <c r="I163" s="2" t="e">
        <f t="shared" si="8"/>
        <v>#VALUE!</v>
      </c>
      <c r="J163" s="66">
        <v>22.84</v>
      </c>
      <c r="K163" s="17" t="e">
        <f t="shared" si="9"/>
        <v>#VALUE!</v>
      </c>
      <c r="L163" s="30"/>
      <c r="M163" s="3" t="s">
        <v>329</v>
      </c>
      <c r="N163" s="30"/>
      <c r="O163" s="30"/>
      <c r="P163" s="30"/>
      <c r="Q163" s="30"/>
      <c r="R163" s="30"/>
      <c r="S163" s="30">
        <v>1</v>
      </c>
      <c r="T163" s="26"/>
      <c r="U163" s="26"/>
      <c r="V163" s="26"/>
      <c r="W163" s="26"/>
      <c r="X163" s="26"/>
      <c r="Y163" s="26"/>
      <c r="Z163" s="26"/>
      <c r="AA163" s="26"/>
      <c r="AB163" s="26"/>
      <c r="AC163" s="26"/>
      <c r="AD163" s="26"/>
      <c r="AE163" s="26"/>
      <c r="AF163" s="26"/>
      <c r="AG163" s="26"/>
      <c r="AH163" s="26"/>
      <c r="AI163" s="26"/>
      <c r="AJ163" s="26"/>
      <c r="AK163" s="26"/>
      <c r="AL163" s="26"/>
      <c r="AM163" s="26"/>
      <c r="AN163" s="26"/>
      <c r="AO163" s="26"/>
      <c r="AP163" s="26"/>
      <c r="AQ163" s="26"/>
      <c r="AR163" s="26"/>
    </row>
    <row r="164" spans="1:44" ht="15.75" x14ac:dyDescent="0.25">
      <c r="A164" s="30"/>
      <c r="B164" s="13" t="s">
        <v>315</v>
      </c>
      <c r="C164" s="102" t="s">
        <v>330</v>
      </c>
      <c r="D164" s="100" t="s">
        <v>331</v>
      </c>
      <c r="E164" s="101" t="s">
        <v>318</v>
      </c>
      <c r="F164" s="7" t="e">
        <f>G164+SUMIF('[1]mouvement coupe légume'!B:B,"=Bagues",'[1]mouvement coupe légume'!G:G)</f>
        <v>#VALUE!</v>
      </c>
      <c r="G164" s="63">
        <v>1</v>
      </c>
      <c r="H164" s="63">
        <v>1</v>
      </c>
      <c r="I164" s="2" t="e">
        <f t="shared" si="8"/>
        <v>#VALUE!</v>
      </c>
      <c r="J164" s="66">
        <v>20</v>
      </c>
      <c r="K164" s="17" t="e">
        <f t="shared" si="9"/>
        <v>#VALUE!</v>
      </c>
      <c r="L164" s="30"/>
      <c r="M164" s="35" t="e">
        <f>SUM(K158:K164)</f>
        <v>#VALUE!</v>
      </c>
      <c r="N164" s="30"/>
      <c r="O164" s="30"/>
      <c r="P164" s="30"/>
      <c r="Q164" s="30"/>
      <c r="R164" s="30"/>
      <c r="S164" s="30">
        <v>1</v>
      </c>
      <c r="T164" s="26"/>
      <c r="U164" s="26"/>
      <c r="V164" s="26"/>
      <c r="W164" s="26"/>
      <c r="X164" s="26"/>
      <c r="Y164" s="26"/>
      <c r="Z164" s="26"/>
      <c r="AA164" s="26"/>
      <c r="AB164" s="26"/>
      <c r="AC164" s="26"/>
      <c r="AD164" s="26"/>
      <c r="AE164" s="26"/>
      <c r="AF164" s="26"/>
      <c r="AG164" s="26"/>
      <c r="AH164" s="26"/>
      <c r="AI164" s="26"/>
      <c r="AJ164" s="26"/>
      <c r="AK164" s="26"/>
      <c r="AL164" s="26"/>
      <c r="AM164" s="26"/>
      <c r="AN164" s="26"/>
      <c r="AO164" s="26"/>
      <c r="AP164" s="26"/>
      <c r="AQ164" s="26"/>
      <c r="AR164" s="26"/>
    </row>
    <row r="165" spans="1:44" ht="15.75" x14ac:dyDescent="0.25">
      <c r="A165" s="30"/>
      <c r="B165" s="103" t="s">
        <v>332</v>
      </c>
      <c r="C165" s="104" t="s">
        <v>333</v>
      </c>
      <c r="D165" s="105" t="s">
        <v>334</v>
      </c>
      <c r="E165" s="105" t="s">
        <v>335</v>
      </c>
      <c r="F165" s="106" t="e">
        <f>G165+SUMIF('[1]mouvement crepiere'!B:B,"=JOINT TORIQUE SEPHAT (59)",'[1]mouvement crepiere'!G:G)</f>
        <v>#VALUE!</v>
      </c>
      <c r="G165" s="106">
        <v>7</v>
      </c>
      <c r="H165" s="101">
        <v>1</v>
      </c>
      <c r="I165" s="107" t="e">
        <f>IF(F165&lt;H165,"/!\","-")</f>
        <v>#VALUE!</v>
      </c>
      <c r="J165" s="101">
        <v>0</v>
      </c>
      <c r="K165" s="108" t="e">
        <f>F165*J165</f>
        <v>#VALUE!</v>
      </c>
      <c r="L165" s="30"/>
      <c r="M165" s="30"/>
      <c r="N165" s="30"/>
      <c r="O165" s="30"/>
      <c r="P165" s="30"/>
      <c r="Q165" s="30"/>
      <c r="R165" s="30"/>
      <c r="S165" s="30">
        <v>1</v>
      </c>
      <c r="T165" s="26"/>
      <c r="U165" s="26"/>
      <c r="V165" s="26"/>
      <c r="W165" s="26"/>
      <c r="X165" s="26"/>
      <c r="Y165" s="26"/>
      <c r="Z165" s="26"/>
      <c r="AA165" s="26"/>
      <c r="AB165" s="26"/>
      <c r="AC165" s="26"/>
      <c r="AD165" s="26"/>
      <c r="AE165" s="26"/>
      <c r="AF165" s="26"/>
      <c r="AG165" s="26"/>
      <c r="AH165" s="26"/>
      <c r="AI165" s="26"/>
      <c r="AJ165" s="26"/>
      <c r="AK165" s="26"/>
      <c r="AL165" s="26"/>
      <c r="AM165" s="26"/>
      <c r="AN165" s="26"/>
      <c r="AO165" s="26"/>
      <c r="AP165" s="26"/>
      <c r="AQ165" s="26"/>
      <c r="AR165" s="26"/>
    </row>
    <row r="166" spans="1:44" ht="15.75" x14ac:dyDescent="0.25">
      <c r="A166" s="30"/>
      <c r="B166" s="103" t="s">
        <v>332</v>
      </c>
      <c r="C166" s="109" t="s">
        <v>336</v>
      </c>
      <c r="D166" s="105" t="s">
        <v>337</v>
      </c>
      <c r="E166" s="105" t="s">
        <v>335</v>
      </c>
      <c r="F166" s="106" t="e">
        <f>G166+SUMIF('[1]mouvement crepiere'!B:B,"=JOINT TORIQUE SEPHAT (19)",'[1]mouvement crepiere'!G:G)</f>
        <v>#VALUE!</v>
      </c>
      <c r="G166" s="106">
        <v>0</v>
      </c>
      <c r="H166" s="101">
        <v>1</v>
      </c>
      <c r="I166" s="107" t="e">
        <f t="shared" ref="I166:I205" si="10">IF(F166&lt;H166,"/!\","-")</f>
        <v>#VALUE!</v>
      </c>
      <c r="J166" s="101">
        <v>0</v>
      </c>
      <c r="K166" s="108" t="e">
        <f t="shared" ref="K166:K201" si="11">F166*J166</f>
        <v>#VALUE!</v>
      </c>
      <c r="L166" s="30"/>
      <c r="M166" s="30"/>
      <c r="N166" s="30"/>
      <c r="O166" s="30"/>
      <c r="P166" s="30"/>
      <c r="Q166" s="30"/>
      <c r="R166" s="30"/>
      <c r="S166" s="30">
        <v>1</v>
      </c>
      <c r="T166" s="26"/>
      <c r="U166" s="26"/>
      <c r="V166" s="26"/>
      <c r="W166" s="26"/>
      <c r="X166" s="26"/>
      <c r="Y166" s="26"/>
      <c r="Z166" s="26"/>
      <c r="AA166" s="26"/>
      <c r="AB166" s="26"/>
      <c r="AC166" s="26"/>
      <c r="AD166" s="26"/>
      <c r="AE166" s="26"/>
      <c r="AF166" s="26"/>
      <c r="AG166" s="26"/>
      <c r="AH166" s="26"/>
      <c r="AI166" s="26"/>
      <c r="AJ166" s="26"/>
      <c r="AK166" s="26"/>
      <c r="AL166" s="26"/>
      <c r="AM166" s="26"/>
      <c r="AN166" s="26"/>
      <c r="AO166" s="26"/>
      <c r="AP166" s="26"/>
      <c r="AQ166" s="26"/>
      <c r="AR166" s="26"/>
    </row>
    <row r="167" spans="1:44" ht="15.75" x14ac:dyDescent="0.25">
      <c r="A167" s="30"/>
      <c r="B167" s="103" t="s">
        <v>332</v>
      </c>
      <c r="C167" s="109" t="s">
        <v>338</v>
      </c>
      <c r="D167" s="105" t="s">
        <v>339</v>
      </c>
      <c r="E167" s="105" t="s">
        <v>340</v>
      </c>
      <c r="F167" s="106" t="e">
        <f>G167+SUMIF('[1]mouvement crepiere'!B:B,"=VERIN METAL WORK",'[1]mouvement crepiere'!G:G)</f>
        <v>#VALUE!</v>
      </c>
      <c r="G167" s="106">
        <v>2</v>
      </c>
      <c r="H167" s="101">
        <v>1</v>
      </c>
      <c r="I167" s="107" t="e">
        <f t="shared" si="10"/>
        <v>#VALUE!</v>
      </c>
      <c r="J167" s="101">
        <v>111.66</v>
      </c>
      <c r="K167" s="108" t="e">
        <f t="shared" si="11"/>
        <v>#VALUE!</v>
      </c>
      <c r="L167" s="30"/>
      <c r="M167" s="30"/>
      <c r="N167" s="30"/>
      <c r="O167" s="30"/>
      <c r="P167" s="30"/>
      <c r="Q167" s="30"/>
      <c r="R167" s="30"/>
      <c r="S167" s="30">
        <v>0</v>
      </c>
      <c r="T167" s="26"/>
      <c r="U167" s="26"/>
      <c r="V167" s="26"/>
      <c r="W167" s="26"/>
      <c r="X167" s="26"/>
      <c r="Y167" s="26"/>
      <c r="Z167" s="26"/>
      <c r="AA167" s="26"/>
      <c r="AB167" s="26"/>
      <c r="AC167" s="26"/>
      <c r="AD167" s="26"/>
      <c r="AE167" s="26"/>
      <c r="AF167" s="26"/>
      <c r="AG167" s="26"/>
      <c r="AH167" s="26"/>
      <c r="AI167" s="26"/>
      <c r="AJ167" s="26"/>
      <c r="AK167" s="26"/>
      <c r="AL167" s="26"/>
      <c r="AM167" s="26"/>
      <c r="AN167" s="26"/>
      <c r="AO167" s="26"/>
      <c r="AP167" s="26"/>
      <c r="AQ167" s="26"/>
      <c r="AR167" s="26"/>
    </row>
    <row r="168" spans="1:44" ht="15.75" x14ac:dyDescent="0.25">
      <c r="A168" s="30"/>
      <c r="B168" s="103" t="s">
        <v>332</v>
      </c>
      <c r="C168" s="110" t="s">
        <v>341</v>
      </c>
      <c r="D168" s="105" t="s">
        <v>342</v>
      </c>
      <c r="E168" s="105" t="s">
        <v>343</v>
      </c>
      <c r="F168" s="106" t="e">
        <f>G168+SUMIF('[1]mouvement crepiere'!B:B,"=COUROIE TEXROPE 13x1700 LI170 PP (A67/13 01730/)",'[1]mouvement crepiere'!G:G)</f>
        <v>#VALUE!</v>
      </c>
      <c r="G168" s="106">
        <v>-1</v>
      </c>
      <c r="H168" s="101">
        <v>1</v>
      </c>
      <c r="I168" s="107" t="e">
        <f t="shared" si="10"/>
        <v>#VALUE!</v>
      </c>
      <c r="J168" s="101">
        <v>9.23</v>
      </c>
      <c r="K168" s="108" t="e">
        <f t="shared" si="11"/>
        <v>#VALUE!</v>
      </c>
      <c r="L168" s="30"/>
      <c r="M168" s="30"/>
      <c r="N168" s="30"/>
      <c r="O168" s="30"/>
      <c r="P168" s="30"/>
      <c r="Q168" s="30"/>
      <c r="R168" s="30"/>
      <c r="S168" s="30">
        <v>0</v>
      </c>
      <c r="T168" s="26"/>
      <c r="U168" s="26"/>
      <c r="V168" s="26"/>
      <c r="W168" s="26"/>
      <c r="X168" s="26"/>
      <c r="Y168" s="26"/>
      <c r="Z168" s="26"/>
      <c r="AA168" s="26"/>
      <c r="AB168" s="26"/>
      <c r="AC168" s="26"/>
      <c r="AD168" s="26"/>
      <c r="AE168" s="26"/>
      <c r="AF168" s="26"/>
      <c r="AG168" s="26"/>
      <c r="AH168" s="26"/>
      <c r="AI168" s="26"/>
      <c r="AJ168" s="26"/>
      <c r="AK168" s="26"/>
      <c r="AL168" s="26"/>
      <c r="AM168" s="26"/>
      <c r="AN168" s="26"/>
      <c r="AO168" s="26"/>
      <c r="AP168" s="26"/>
      <c r="AQ168" s="26"/>
      <c r="AR168" s="26"/>
    </row>
    <row r="169" spans="1:44" ht="15.75" x14ac:dyDescent="0.25">
      <c r="A169" s="30"/>
      <c r="B169" s="103" t="s">
        <v>332</v>
      </c>
      <c r="C169" s="109" t="s">
        <v>344</v>
      </c>
      <c r="D169" s="105" t="s">
        <v>345</v>
      </c>
      <c r="E169" s="105" t="s">
        <v>346</v>
      </c>
      <c r="F169" s="106" t="e">
        <f>G169+SUMIF('[1]mouvement crepiere'!B:B,"=CONTACTEUR DE CHAUFFE SIEMMENS",'[1]mouvement crepiere'!G:G)</f>
        <v>#VALUE!</v>
      </c>
      <c r="G169" s="106">
        <v>0</v>
      </c>
      <c r="H169" s="101">
        <v>1</v>
      </c>
      <c r="I169" s="107" t="e">
        <f t="shared" si="10"/>
        <v>#VALUE!</v>
      </c>
      <c r="J169" s="101"/>
      <c r="K169" s="108" t="e">
        <f t="shared" si="11"/>
        <v>#VALUE!</v>
      </c>
      <c r="L169" s="30"/>
      <c r="M169" s="30"/>
      <c r="N169" s="30"/>
      <c r="O169" s="30"/>
      <c r="P169" s="30"/>
      <c r="Q169" s="30"/>
      <c r="R169" s="30"/>
      <c r="S169" s="30">
        <v>0</v>
      </c>
      <c r="T169" s="26"/>
      <c r="U169" s="26"/>
      <c r="V169" s="26"/>
      <c r="W169" s="26"/>
      <c r="X169" s="26"/>
      <c r="Y169" s="26"/>
      <c r="Z169" s="26"/>
      <c r="AA169" s="26"/>
      <c r="AB169" s="26"/>
      <c r="AC169" s="26"/>
      <c r="AD169" s="26"/>
      <c r="AE169" s="26"/>
      <c r="AF169" s="26"/>
      <c r="AG169" s="26"/>
      <c r="AH169" s="26"/>
      <c r="AI169" s="26"/>
      <c r="AJ169" s="26"/>
      <c r="AK169" s="26"/>
      <c r="AL169" s="26"/>
      <c r="AM169" s="26"/>
      <c r="AN169" s="26"/>
      <c r="AO169" s="26"/>
      <c r="AP169" s="26"/>
      <c r="AQ169" s="26"/>
      <c r="AR169" s="26"/>
    </row>
    <row r="170" spans="1:44" ht="15.75" x14ac:dyDescent="0.25">
      <c r="A170" s="30"/>
      <c r="B170" s="103" t="s">
        <v>332</v>
      </c>
      <c r="C170" s="109" t="s">
        <v>347</v>
      </c>
      <c r="D170" s="105" t="s">
        <v>348</v>
      </c>
      <c r="E170" s="105" t="s">
        <v>26</v>
      </c>
      <c r="F170" s="106" t="e">
        <f>G170+SUMIF('[1]mouvement crepiere'!B:B,"=arret d'urgence",'[1]mouvement crepiere'!G:G)</f>
        <v>#VALUE!</v>
      </c>
      <c r="G170" s="106">
        <v>1</v>
      </c>
      <c r="H170" s="101">
        <v>1</v>
      </c>
      <c r="I170" s="107" t="e">
        <f t="shared" si="10"/>
        <v>#VALUE!</v>
      </c>
      <c r="J170" s="111">
        <v>33.9</v>
      </c>
      <c r="K170" s="108" t="e">
        <f t="shared" si="11"/>
        <v>#VALUE!</v>
      </c>
      <c r="L170" s="30"/>
      <c r="M170" s="30"/>
      <c r="N170" s="30"/>
      <c r="O170" s="30"/>
      <c r="P170" s="30"/>
      <c r="Q170" s="30"/>
      <c r="R170" s="30"/>
      <c r="S170" s="30">
        <v>1</v>
      </c>
      <c r="T170" s="26"/>
      <c r="U170" s="26"/>
      <c r="V170" s="26"/>
      <c r="W170" s="26"/>
      <c r="X170" s="26"/>
      <c r="Y170" s="26"/>
      <c r="Z170" s="26"/>
      <c r="AA170" s="26"/>
      <c r="AB170" s="26"/>
      <c r="AC170" s="26"/>
      <c r="AD170" s="26"/>
      <c r="AE170" s="26"/>
      <c r="AF170" s="26"/>
      <c r="AG170" s="26"/>
      <c r="AH170" s="26"/>
      <c r="AI170" s="26"/>
      <c r="AJ170" s="26"/>
      <c r="AK170" s="26"/>
      <c r="AL170" s="26"/>
      <c r="AM170" s="26"/>
      <c r="AN170" s="26"/>
      <c r="AO170" s="26"/>
      <c r="AP170" s="26"/>
      <c r="AQ170" s="26"/>
      <c r="AR170" s="26"/>
    </row>
    <row r="171" spans="1:44" ht="15.75" x14ac:dyDescent="0.25">
      <c r="A171" s="30"/>
      <c r="B171" s="112" t="s">
        <v>332</v>
      </c>
      <c r="C171" s="113" t="s">
        <v>349</v>
      </c>
      <c r="D171" s="114" t="s">
        <v>350</v>
      </c>
      <c r="E171" s="101" t="s">
        <v>26</v>
      </c>
      <c r="F171" s="106" t="e">
        <f>G171+SUMIF('[1]mouvement crepiere'!B:B,"=DISTRIBUTEUR JOUCOMATIC 5/2",'[1]mouvement crepiere'!G:G)</f>
        <v>#VALUE!</v>
      </c>
      <c r="G171" s="106">
        <v>0</v>
      </c>
      <c r="H171" s="101">
        <v>1</v>
      </c>
      <c r="I171" s="107" t="e">
        <f t="shared" si="10"/>
        <v>#VALUE!</v>
      </c>
      <c r="J171" s="111">
        <v>120.7</v>
      </c>
      <c r="K171" s="108" t="e">
        <f t="shared" si="11"/>
        <v>#VALUE!</v>
      </c>
      <c r="L171" s="30"/>
      <c r="M171" s="30"/>
      <c r="N171" s="30"/>
      <c r="O171" s="30"/>
      <c r="P171" s="30"/>
      <c r="Q171" s="30"/>
      <c r="R171" s="30"/>
      <c r="S171" s="30">
        <v>0</v>
      </c>
      <c r="T171" s="26"/>
      <c r="U171" s="26"/>
      <c r="V171" s="26"/>
      <c r="W171" s="26"/>
      <c r="X171" s="26"/>
      <c r="Y171" s="26"/>
      <c r="Z171" s="26"/>
      <c r="AA171" s="26"/>
      <c r="AB171" s="26"/>
      <c r="AC171" s="26"/>
      <c r="AD171" s="26"/>
      <c r="AE171" s="26"/>
      <c r="AF171" s="26"/>
      <c r="AG171" s="26"/>
      <c r="AH171" s="26"/>
      <c r="AI171" s="26"/>
      <c r="AJ171" s="26"/>
      <c r="AK171" s="26"/>
      <c r="AL171" s="26"/>
      <c r="AM171" s="26"/>
      <c r="AN171" s="26"/>
      <c r="AO171" s="26"/>
      <c r="AP171" s="26"/>
      <c r="AQ171" s="26"/>
      <c r="AR171" s="26"/>
    </row>
    <row r="172" spans="1:44" ht="24" x14ac:dyDescent="0.25">
      <c r="A172" s="30"/>
      <c r="B172" s="103" t="s">
        <v>332</v>
      </c>
      <c r="C172" s="110" t="s">
        <v>351</v>
      </c>
      <c r="D172" s="105" t="s">
        <v>352</v>
      </c>
      <c r="E172" s="105" t="s">
        <v>22</v>
      </c>
      <c r="F172" s="106" t="e">
        <f>G172+SUMIF('[1]mouvement crepiere'!B:B,"=I.H.M siemens doseuse à crêpes, API - Extension d'écran Siemens TP 177micro 6AV6640-0CA11-0AX1 320 x 240 pix 1 pc(s)",'[1]mouvement crepiere'!G:G)</f>
        <v>#VALUE!</v>
      </c>
      <c r="G172" s="106">
        <v>1</v>
      </c>
      <c r="H172" s="101">
        <v>1</v>
      </c>
      <c r="I172" s="107" t="e">
        <f t="shared" si="10"/>
        <v>#VALUE!</v>
      </c>
      <c r="J172" s="111">
        <v>1099</v>
      </c>
      <c r="K172" s="108" t="e">
        <f t="shared" si="11"/>
        <v>#VALUE!</v>
      </c>
      <c r="L172" s="30"/>
      <c r="M172" s="30"/>
      <c r="N172" s="30"/>
      <c r="O172" s="30"/>
      <c r="P172" s="30"/>
      <c r="Q172" s="30"/>
      <c r="R172" s="30"/>
      <c r="S172" s="30">
        <v>1</v>
      </c>
      <c r="T172" s="26"/>
      <c r="U172" s="26"/>
      <c r="V172" s="26"/>
      <c r="W172" s="26"/>
      <c r="X172" s="26"/>
      <c r="Y172" s="26"/>
      <c r="Z172" s="26"/>
      <c r="AA172" s="26"/>
      <c r="AB172" s="26"/>
      <c r="AC172" s="26"/>
      <c r="AD172" s="26"/>
      <c r="AE172" s="26"/>
      <c r="AF172" s="26"/>
      <c r="AG172" s="26"/>
      <c r="AH172" s="26"/>
      <c r="AI172" s="26"/>
      <c r="AJ172" s="26"/>
      <c r="AK172" s="26"/>
      <c r="AL172" s="26"/>
      <c r="AM172" s="26"/>
      <c r="AN172" s="26"/>
      <c r="AO172" s="26"/>
      <c r="AP172" s="26"/>
      <c r="AQ172" s="26"/>
      <c r="AR172" s="26"/>
    </row>
    <row r="173" spans="1:44" ht="15.75" x14ac:dyDescent="0.25">
      <c r="A173" s="30"/>
      <c r="B173" s="103" t="s">
        <v>332</v>
      </c>
      <c r="C173" s="109" t="s">
        <v>353</v>
      </c>
      <c r="D173" s="105" t="s">
        <v>354</v>
      </c>
      <c r="E173" s="105" t="s">
        <v>343</v>
      </c>
      <c r="F173" s="106" t="e">
        <f>G173+SUMIF('[1]mouvement crepiere'!B:B,"=corps de clapet dosage",'[1]mouvement crepiere'!G:G)</f>
        <v>#VALUE!</v>
      </c>
      <c r="G173" s="106">
        <v>2</v>
      </c>
      <c r="H173" s="101">
        <v>4</v>
      </c>
      <c r="I173" s="107" t="e">
        <f t="shared" si="10"/>
        <v>#VALUE!</v>
      </c>
      <c r="J173" s="111">
        <v>88.02</v>
      </c>
      <c r="K173" s="108" t="e">
        <f t="shared" si="11"/>
        <v>#VALUE!</v>
      </c>
      <c r="L173" s="30"/>
      <c r="M173" s="30"/>
      <c r="N173" s="30"/>
      <c r="O173" s="30"/>
      <c r="P173" s="30"/>
      <c r="Q173" s="30"/>
      <c r="R173" s="30"/>
      <c r="S173" s="30">
        <v>0</v>
      </c>
      <c r="T173" s="26"/>
      <c r="U173" s="26"/>
      <c r="V173" s="26"/>
      <c r="W173" s="26"/>
      <c r="X173" s="26"/>
      <c r="Y173" s="26"/>
      <c r="Z173" s="26"/>
      <c r="AA173" s="26"/>
      <c r="AB173" s="26"/>
      <c r="AC173" s="26"/>
      <c r="AD173" s="26"/>
      <c r="AE173" s="26"/>
      <c r="AF173" s="26"/>
      <c r="AG173" s="26"/>
      <c r="AH173" s="26"/>
      <c r="AI173" s="26"/>
      <c r="AJ173" s="26"/>
      <c r="AK173" s="26"/>
      <c r="AL173" s="26"/>
      <c r="AM173" s="26"/>
      <c r="AN173" s="26"/>
      <c r="AO173" s="26"/>
      <c r="AP173" s="26"/>
      <c r="AQ173" s="26"/>
      <c r="AR173" s="26"/>
    </row>
    <row r="174" spans="1:44" ht="15.75" x14ac:dyDescent="0.25">
      <c r="A174" s="30"/>
      <c r="B174" s="103" t="s">
        <v>332</v>
      </c>
      <c r="C174" s="109" t="s">
        <v>355</v>
      </c>
      <c r="D174" s="105" t="s">
        <v>356</v>
      </c>
      <c r="E174" s="105" t="s">
        <v>343</v>
      </c>
      <c r="F174" s="106" t="e">
        <f>G174+SUMIF('[1]mouvement crepiere'!B:B,"=Axe clapet de dosage",'[1]mouvement crepiere'!G:G)</f>
        <v>#VALUE!</v>
      </c>
      <c r="G174" s="106">
        <v>2</v>
      </c>
      <c r="H174" s="101">
        <v>4</v>
      </c>
      <c r="I174" s="107" t="e">
        <f t="shared" si="10"/>
        <v>#VALUE!</v>
      </c>
      <c r="J174" s="111">
        <v>26.08</v>
      </c>
      <c r="K174" s="108" t="e">
        <f t="shared" si="11"/>
        <v>#VALUE!</v>
      </c>
      <c r="L174" s="30"/>
      <c r="M174" s="30"/>
      <c r="N174" s="30"/>
      <c r="O174" s="30"/>
      <c r="P174" s="30"/>
      <c r="Q174" s="30"/>
      <c r="R174" s="30"/>
      <c r="S174" s="30">
        <v>1</v>
      </c>
      <c r="T174" s="26"/>
      <c r="U174" s="26"/>
      <c r="V174" s="26"/>
      <c r="W174" s="26"/>
      <c r="X174" s="26"/>
      <c r="Y174" s="26"/>
      <c r="Z174" s="26"/>
      <c r="AA174" s="26"/>
      <c r="AB174" s="26"/>
      <c r="AC174" s="26"/>
      <c r="AD174" s="26"/>
      <c r="AE174" s="26"/>
      <c r="AF174" s="26"/>
      <c r="AG174" s="26"/>
      <c r="AH174" s="26"/>
      <c r="AI174" s="26"/>
      <c r="AJ174" s="26"/>
      <c r="AK174" s="26"/>
      <c r="AL174" s="26"/>
      <c r="AM174" s="26"/>
      <c r="AN174" s="26"/>
      <c r="AO174" s="26"/>
      <c r="AP174" s="26"/>
      <c r="AQ174" s="26"/>
      <c r="AR174" s="26"/>
    </row>
    <row r="175" spans="1:44" ht="15.75" x14ac:dyDescent="0.25">
      <c r="A175" s="30"/>
      <c r="B175" s="103" t="s">
        <v>332</v>
      </c>
      <c r="C175" s="109" t="s">
        <v>357</v>
      </c>
      <c r="D175" s="105" t="s">
        <v>358</v>
      </c>
      <c r="E175" s="105" t="s">
        <v>343</v>
      </c>
      <c r="F175" s="63" t="e">
        <f>G175+SUMIF('[1]mouvement crepiere'!B:B,"=galets",'[1]mouvement crepiere'!G:G)</f>
        <v>#VALUE!</v>
      </c>
      <c r="G175" s="63">
        <v>8</v>
      </c>
      <c r="H175" s="101">
        <v>4</v>
      </c>
      <c r="I175" s="107" t="e">
        <f t="shared" si="10"/>
        <v>#VALUE!</v>
      </c>
      <c r="J175" s="111">
        <v>9.41</v>
      </c>
      <c r="K175" s="108" t="e">
        <f t="shared" si="11"/>
        <v>#VALUE!</v>
      </c>
      <c r="L175" s="30"/>
      <c r="M175" s="30"/>
      <c r="N175" s="30"/>
      <c r="O175" s="30"/>
      <c r="P175" s="30"/>
      <c r="Q175" s="30"/>
      <c r="R175" s="30"/>
      <c r="S175" s="30">
        <v>1</v>
      </c>
      <c r="T175" s="26"/>
      <c r="U175" s="26"/>
      <c r="V175" s="26"/>
      <c r="W175" s="26"/>
      <c r="X175" s="26"/>
      <c r="Y175" s="26"/>
      <c r="Z175" s="26"/>
      <c r="AA175" s="26"/>
      <c r="AB175" s="26"/>
      <c r="AC175" s="26"/>
      <c r="AD175" s="26"/>
      <c r="AE175" s="26"/>
      <c r="AF175" s="26"/>
      <c r="AG175" s="26"/>
      <c r="AH175" s="26"/>
      <c r="AI175" s="26"/>
      <c r="AJ175" s="26"/>
      <c r="AK175" s="26"/>
      <c r="AL175" s="26"/>
      <c r="AM175" s="26"/>
      <c r="AN175" s="26"/>
      <c r="AO175" s="26"/>
      <c r="AP175" s="26"/>
      <c r="AQ175" s="26"/>
      <c r="AR175" s="26"/>
    </row>
    <row r="176" spans="1:44" ht="15.75" x14ac:dyDescent="0.25">
      <c r="A176" s="30"/>
      <c r="B176" s="103" t="s">
        <v>332</v>
      </c>
      <c r="C176" s="109" t="s">
        <v>359</v>
      </c>
      <c r="D176" s="105" t="s">
        <v>360</v>
      </c>
      <c r="E176" s="105" t="s">
        <v>343</v>
      </c>
      <c r="F176" s="63" t="e">
        <f>G176+SUMIF('[1]mouvement crepiere'!B:B,"=Pince d'accrochage",'[1]mouvement crepiere'!G:G)</f>
        <v>#VALUE!</v>
      </c>
      <c r="G176" s="63">
        <v>2</v>
      </c>
      <c r="H176" s="101">
        <v>1</v>
      </c>
      <c r="I176" s="107" t="e">
        <f t="shared" si="10"/>
        <v>#VALUE!</v>
      </c>
      <c r="J176" s="111">
        <v>19.559999999999999</v>
      </c>
      <c r="K176" s="108" t="e">
        <f t="shared" si="11"/>
        <v>#VALUE!</v>
      </c>
      <c r="L176" s="30"/>
      <c r="M176" s="30"/>
      <c r="N176" s="30"/>
      <c r="O176" s="30"/>
      <c r="P176" s="30"/>
      <c r="Q176" s="30"/>
      <c r="R176" s="30"/>
      <c r="S176" s="30">
        <v>1</v>
      </c>
      <c r="T176" s="26"/>
      <c r="U176" s="26"/>
      <c r="V176" s="26"/>
      <c r="W176" s="26"/>
      <c r="X176" s="26"/>
      <c r="Y176" s="26"/>
      <c r="Z176" s="26"/>
      <c r="AA176" s="26"/>
      <c r="AB176" s="26"/>
      <c r="AC176" s="26"/>
      <c r="AD176" s="26"/>
      <c r="AE176" s="26"/>
      <c r="AF176" s="26"/>
      <c r="AG176" s="26"/>
      <c r="AH176" s="26"/>
      <c r="AI176" s="26"/>
      <c r="AJ176" s="26"/>
      <c r="AK176" s="26"/>
      <c r="AL176" s="26"/>
      <c r="AM176" s="26"/>
      <c r="AN176" s="26"/>
      <c r="AO176" s="26"/>
      <c r="AP176" s="26"/>
      <c r="AQ176" s="26"/>
      <c r="AR176" s="26"/>
    </row>
    <row r="177" spans="1:44" ht="15.75" x14ac:dyDescent="0.25">
      <c r="A177" s="30"/>
      <c r="B177" s="103" t="s">
        <v>332</v>
      </c>
      <c r="C177" s="109" t="s">
        <v>361</v>
      </c>
      <c r="D177" s="105" t="s">
        <v>362</v>
      </c>
      <c r="E177" s="105" t="s">
        <v>343</v>
      </c>
      <c r="F177" s="106" t="e">
        <f>G177+SUMIF('[1]mouvement crepiere'!B:B,"=bagues hd levier clapet",'[1]mouvement crepiere'!G:G)</f>
        <v>#VALUE!</v>
      </c>
      <c r="G177" s="106">
        <v>8</v>
      </c>
      <c r="H177" s="101">
        <v>4</v>
      </c>
      <c r="I177" s="107" t="e">
        <f t="shared" si="10"/>
        <v>#VALUE!</v>
      </c>
      <c r="J177" s="111">
        <v>6.19</v>
      </c>
      <c r="K177" s="108" t="e">
        <f t="shared" si="11"/>
        <v>#VALUE!</v>
      </c>
      <c r="L177" s="30"/>
      <c r="M177" s="30"/>
      <c r="N177" s="30"/>
      <c r="O177" s="30"/>
      <c r="P177" s="30"/>
      <c r="Q177" s="30"/>
      <c r="R177" s="30"/>
      <c r="S177" s="30">
        <v>1</v>
      </c>
      <c r="T177" s="26"/>
      <c r="U177" s="26"/>
      <c r="V177" s="26"/>
      <c r="W177" s="26"/>
      <c r="X177" s="26"/>
      <c r="Y177" s="26"/>
      <c r="Z177" s="26"/>
      <c r="AA177" s="26"/>
      <c r="AB177" s="26"/>
      <c r="AC177" s="26"/>
      <c r="AD177" s="26"/>
      <c r="AE177" s="26"/>
      <c r="AF177" s="26"/>
      <c r="AG177" s="26"/>
      <c r="AH177" s="26"/>
      <c r="AI177" s="26"/>
      <c r="AJ177" s="26"/>
      <c r="AK177" s="26"/>
      <c r="AL177" s="26"/>
      <c r="AM177" s="26"/>
      <c r="AN177" s="26"/>
      <c r="AO177" s="26"/>
      <c r="AP177" s="26"/>
      <c r="AQ177" s="26"/>
      <c r="AR177" s="26"/>
    </row>
    <row r="178" spans="1:44" ht="15.75" x14ac:dyDescent="0.25">
      <c r="A178" s="30"/>
      <c r="B178" s="103" t="s">
        <v>332</v>
      </c>
      <c r="C178" s="109" t="s">
        <v>363</v>
      </c>
      <c r="D178" s="105" t="s">
        <v>364</v>
      </c>
      <c r="E178" s="105" t="s">
        <v>343</v>
      </c>
      <c r="F178" s="106" t="e">
        <f>G178+SUMIF('[1]mouvement crepiere'!B:B,"=Tête de dosage",'[1]mouvement crepiere'!G:G)</f>
        <v>#VALUE!</v>
      </c>
      <c r="G178" s="106">
        <v>2</v>
      </c>
      <c r="H178" s="101">
        <v>3</v>
      </c>
      <c r="I178" s="107" t="e">
        <f t="shared" si="10"/>
        <v>#VALUE!</v>
      </c>
      <c r="J178" s="111">
        <v>45.64</v>
      </c>
      <c r="K178" s="108" t="e">
        <f t="shared" si="11"/>
        <v>#VALUE!</v>
      </c>
      <c r="L178" s="30"/>
      <c r="M178" s="30"/>
      <c r="N178" s="30"/>
      <c r="O178" s="30"/>
      <c r="P178" s="30"/>
      <c r="Q178" s="30"/>
      <c r="R178" s="30"/>
      <c r="S178" s="30">
        <v>1</v>
      </c>
      <c r="T178" s="26"/>
      <c r="U178" s="26"/>
      <c r="V178" s="26"/>
      <c r="W178" s="26"/>
      <c r="X178" s="26"/>
      <c r="Y178" s="26"/>
      <c r="Z178" s="26"/>
      <c r="AA178" s="26"/>
      <c r="AB178" s="26"/>
      <c r="AC178" s="26"/>
      <c r="AD178" s="26"/>
      <c r="AE178" s="26"/>
      <c r="AF178" s="26"/>
      <c r="AG178" s="26"/>
      <c r="AH178" s="26"/>
      <c r="AI178" s="26"/>
      <c r="AJ178" s="26"/>
      <c r="AK178" s="26"/>
      <c r="AL178" s="26"/>
      <c r="AM178" s="26"/>
      <c r="AN178" s="26"/>
      <c r="AO178" s="26"/>
      <c r="AP178" s="26"/>
      <c r="AQ178" s="26"/>
      <c r="AR178" s="26"/>
    </row>
    <row r="179" spans="1:44" ht="15.75" x14ac:dyDescent="0.25">
      <c r="A179" s="30"/>
      <c r="B179" s="103" t="s">
        <v>332</v>
      </c>
      <c r="C179" s="109" t="s">
        <v>365</v>
      </c>
      <c r="D179" s="105" t="s">
        <v>366</v>
      </c>
      <c r="E179" s="105" t="s">
        <v>343</v>
      </c>
      <c r="F179" s="106" t="e">
        <f>G179+SUMIF('[1]mouvement crepiere'!B:B,"=Rondelles dessus piston",'[1]mouvement crepiere'!G:G)</f>
        <v>#VALUE!</v>
      </c>
      <c r="G179" s="106">
        <v>0</v>
      </c>
      <c r="H179" s="101">
        <v>4</v>
      </c>
      <c r="I179" s="107" t="e">
        <f t="shared" si="10"/>
        <v>#VALUE!</v>
      </c>
      <c r="J179" s="111">
        <v>8.15</v>
      </c>
      <c r="K179" s="108" t="e">
        <f t="shared" si="11"/>
        <v>#VALUE!</v>
      </c>
      <c r="L179" s="30"/>
      <c r="M179" s="30"/>
      <c r="N179" s="30"/>
      <c r="O179" s="30"/>
      <c r="P179" s="30"/>
      <c r="Q179" s="30"/>
      <c r="R179" s="30"/>
      <c r="S179" s="30">
        <v>0</v>
      </c>
      <c r="T179" s="26"/>
      <c r="U179" s="26"/>
      <c r="V179" s="26"/>
      <c r="W179" s="26"/>
      <c r="X179" s="26"/>
      <c r="Y179" s="26"/>
      <c r="Z179" s="26"/>
      <c r="AA179" s="26"/>
      <c r="AB179" s="26"/>
      <c r="AC179" s="26"/>
      <c r="AD179" s="26"/>
      <c r="AE179" s="26"/>
      <c r="AF179" s="26"/>
      <c r="AG179" s="26"/>
      <c r="AH179" s="26"/>
      <c r="AI179" s="26"/>
      <c r="AJ179" s="26"/>
      <c r="AK179" s="26"/>
      <c r="AL179" s="26"/>
      <c r="AM179" s="26"/>
      <c r="AN179" s="26"/>
      <c r="AO179" s="26"/>
      <c r="AP179" s="26"/>
      <c r="AQ179" s="26"/>
      <c r="AR179" s="26"/>
    </row>
    <row r="180" spans="1:44" ht="15.75" x14ac:dyDescent="0.25">
      <c r="A180" s="30"/>
      <c r="B180" s="103" t="s">
        <v>332</v>
      </c>
      <c r="C180" s="109" t="s">
        <v>367</v>
      </c>
      <c r="D180" s="105" t="s">
        <v>368</v>
      </c>
      <c r="E180" s="105" t="s">
        <v>343</v>
      </c>
      <c r="F180" s="106" t="e">
        <f>G180+SUMIF('[1]mouvement crepiere'!B:B,"=Pistons dosage",'[1]mouvement crepiere'!G:G)</f>
        <v>#VALUE!</v>
      </c>
      <c r="G180" s="106">
        <v>0</v>
      </c>
      <c r="H180" s="101">
        <v>4</v>
      </c>
      <c r="I180" s="107" t="e">
        <f t="shared" si="10"/>
        <v>#VALUE!</v>
      </c>
      <c r="J180" s="111">
        <v>11.41</v>
      </c>
      <c r="K180" s="108" t="e">
        <f t="shared" si="11"/>
        <v>#VALUE!</v>
      </c>
      <c r="L180" s="30"/>
      <c r="M180" s="30"/>
      <c r="N180" s="30"/>
      <c r="O180" s="30"/>
      <c r="P180" s="30"/>
      <c r="Q180" s="30"/>
      <c r="R180" s="30"/>
      <c r="S180" s="30">
        <v>0</v>
      </c>
      <c r="T180" s="26"/>
      <c r="U180" s="26"/>
      <c r="V180" s="26"/>
      <c r="W180" s="26"/>
      <c r="X180" s="26"/>
      <c r="Y180" s="26"/>
      <c r="Z180" s="26"/>
      <c r="AA180" s="26"/>
      <c r="AB180" s="26"/>
      <c r="AC180" s="26"/>
      <c r="AD180" s="26"/>
      <c r="AE180" s="26"/>
      <c r="AF180" s="26"/>
      <c r="AG180" s="26"/>
      <c r="AH180" s="26"/>
      <c r="AI180" s="26"/>
      <c r="AJ180" s="26"/>
      <c r="AK180" s="26"/>
      <c r="AL180" s="26"/>
      <c r="AM180" s="26"/>
      <c r="AN180" s="26"/>
      <c r="AO180" s="26"/>
      <c r="AP180" s="26"/>
      <c r="AQ180" s="26"/>
      <c r="AR180" s="26"/>
    </row>
    <row r="181" spans="1:44" ht="15.75" x14ac:dyDescent="0.25">
      <c r="A181" s="30"/>
      <c r="B181" s="103" t="s">
        <v>332</v>
      </c>
      <c r="C181" s="109" t="s">
        <v>369</v>
      </c>
      <c r="D181" s="105" t="s">
        <v>370</v>
      </c>
      <c r="E181" s="105" t="s">
        <v>343</v>
      </c>
      <c r="F181" s="106" t="e">
        <f>G181+SUMIF('[1]mouvement crepiere'!B:B,"=DEMI-TENDEUR",'[1]mouvement crepiere'!G:G)</f>
        <v>#VALUE!</v>
      </c>
      <c r="G181" s="106">
        <v>1</v>
      </c>
      <c r="H181" s="101">
        <v>2</v>
      </c>
      <c r="I181" s="107" t="e">
        <f t="shared" si="10"/>
        <v>#VALUE!</v>
      </c>
      <c r="J181" s="101">
        <v>54.12</v>
      </c>
      <c r="K181" s="108" t="e">
        <f t="shared" si="11"/>
        <v>#VALUE!</v>
      </c>
      <c r="L181" s="30"/>
      <c r="M181" s="30"/>
      <c r="N181" s="30"/>
      <c r="O181" s="30"/>
      <c r="P181" s="30"/>
      <c r="Q181" s="30"/>
      <c r="R181" s="30"/>
      <c r="S181" s="30">
        <v>0</v>
      </c>
      <c r="T181" s="26"/>
      <c r="U181" s="26"/>
      <c r="V181" s="26"/>
      <c r="W181" s="26"/>
      <c r="X181" s="26"/>
      <c r="Y181" s="26"/>
      <c r="Z181" s="26"/>
      <c r="AA181" s="26"/>
      <c r="AB181" s="26"/>
      <c r="AC181" s="26"/>
      <c r="AD181" s="26"/>
      <c r="AE181" s="26"/>
      <c r="AF181" s="26"/>
      <c r="AG181" s="26"/>
      <c r="AH181" s="26"/>
      <c r="AI181" s="26"/>
      <c r="AJ181" s="26"/>
      <c r="AK181" s="26"/>
      <c r="AL181" s="26"/>
      <c r="AM181" s="26"/>
      <c r="AN181" s="26"/>
      <c r="AO181" s="26"/>
      <c r="AP181" s="26"/>
      <c r="AQ181" s="26"/>
      <c r="AR181" s="26"/>
    </row>
    <row r="182" spans="1:44" ht="15.75" x14ac:dyDescent="0.25">
      <c r="A182" s="30"/>
      <c r="B182" s="103" t="s">
        <v>332</v>
      </c>
      <c r="C182" s="109" t="s">
        <v>371</v>
      </c>
      <c r="D182" s="105" t="s">
        <v>372</v>
      </c>
      <c r="E182" s="105" t="s">
        <v>26</v>
      </c>
      <c r="F182" s="106" t="e">
        <f>G182+SUMIF('[1]mouvement crepiere'!B:B,"=filtre SMC",'[1]mouvement crepiere'!G:G)</f>
        <v>#VALUE!</v>
      </c>
      <c r="G182" s="106">
        <v>1</v>
      </c>
      <c r="H182" s="101">
        <v>1</v>
      </c>
      <c r="I182" s="107" t="e">
        <f t="shared" si="10"/>
        <v>#VALUE!</v>
      </c>
      <c r="J182" s="111">
        <v>107</v>
      </c>
      <c r="K182" s="108" t="e">
        <f t="shared" si="11"/>
        <v>#VALUE!</v>
      </c>
      <c r="L182" s="30"/>
      <c r="M182" s="30"/>
      <c r="N182" s="30"/>
      <c r="O182" s="30"/>
      <c r="P182" s="30"/>
      <c r="Q182" s="30"/>
      <c r="R182" s="30"/>
      <c r="S182" s="30">
        <v>1</v>
      </c>
      <c r="T182" s="26"/>
      <c r="U182" s="26"/>
      <c r="V182" s="26"/>
      <c r="W182" s="26"/>
      <c r="X182" s="26"/>
      <c r="Y182" s="26"/>
      <c r="Z182" s="26"/>
      <c r="AA182" s="26"/>
      <c r="AB182" s="26"/>
      <c r="AC182" s="26"/>
      <c r="AD182" s="26"/>
      <c r="AE182" s="26"/>
      <c r="AF182" s="26"/>
      <c r="AG182" s="26"/>
      <c r="AH182" s="26"/>
      <c r="AI182" s="26"/>
      <c r="AJ182" s="26"/>
      <c r="AK182" s="26"/>
      <c r="AL182" s="26"/>
      <c r="AM182" s="26"/>
      <c r="AN182" s="26"/>
      <c r="AO182" s="26"/>
      <c r="AP182" s="26"/>
      <c r="AQ182" s="26"/>
      <c r="AR182" s="26"/>
    </row>
    <row r="183" spans="1:44" ht="15.75" x14ac:dyDescent="0.25">
      <c r="A183" s="30"/>
      <c r="B183" s="103" t="s">
        <v>332</v>
      </c>
      <c r="C183" s="109" t="s">
        <v>373</v>
      </c>
      <c r="D183" s="105" t="s">
        <v>374</v>
      </c>
      <c r="E183" s="105" t="s">
        <v>26</v>
      </c>
      <c r="F183" s="106" t="e">
        <f>G183+SUMIF('[1]mouvement crepiere'!B:B,"=VERIN SMC 20-250-B",'[1]mouvement crepiere'!G:G)</f>
        <v>#VALUE!</v>
      </c>
      <c r="G183" s="106">
        <v>1</v>
      </c>
      <c r="H183" s="101">
        <v>1</v>
      </c>
      <c r="I183" s="107" t="e">
        <f t="shared" si="10"/>
        <v>#VALUE!</v>
      </c>
      <c r="J183" s="111">
        <v>59.2</v>
      </c>
      <c r="K183" s="108" t="e">
        <f t="shared" si="11"/>
        <v>#VALUE!</v>
      </c>
      <c r="L183" s="30"/>
      <c r="M183" s="30"/>
      <c r="N183" s="30"/>
      <c r="O183" s="30"/>
      <c r="P183" s="30"/>
      <c r="Q183" s="30"/>
      <c r="R183" s="30"/>
      <c r="S183" s="30">
        <v>0</v>
      </c>
      <c r="T183" s="26"/>
      <c r="U183" s="26"/>
      <c r="V183" s="26"/>
      <c r="W183" s="26"/>
      <c r="X183" s="26"/>
      <c r="Y183" s="26"/>
      <c r="Z183" s="26"/>
      <c r="AA183" s="26"/>
      <c r="AB183" s="26"/>
      <c r="AC183" s="26"/>
      <c r="AD183" s="26"/>
      <c r="AE183" s="26"/>
      <c r="AF183" s="26"/>
      <c r="AG183" s="26"/>
      <c r="AH183" s="26"/>
      <c r="AI183" s="26"/>
      <c r="AJ183" s="26"/>
      <c r="AK183" s="26"/>
      <c r="AL183" s="26"/>
      <c r="AM183" s="26"/>
      <c r="AN183" s="26"/>
      <c r="AO183" s="26"/>
      <c r="AP183" s="26"/>
      <c r="AQ183" s="26"/>
      <c r="AR183" s="26"/>
    </row>
    <row r="184" spans="1:44" ht="15.75" x14ac:dyDescent="0.25">
      <c r="A184" s="30"/>
      <c r="B184" s="103" t="s">
        <v>332</v>
      </c>
      <c r="C184" s="109" t="s">
        <v>375</v>
      </c>
      <c r="D184" s="105" t="s">
        <v>376</v>
      </c>
      <c r="E184" s="105" t="s">
        <v>26</v>
      </c>
      <c r="F184" s="106" t="e">
        <f>G184+SUMIF('[1]mouvement crepiere'!B:B,"=VERIN SMC 20-25-B",'[1]mouvement crepiere'!G:G)</f>
        <v>#VALUE!</v>
      </c>
      <c r="G184" s="106">
        <v>0</v>
      </c>
      <c r="H184" s="101">
        <v>1</v>
      </c>
      <c r="I184" s="107" t="e">
        <f t="shared" si="10"/>
        <v>#VALUE!</v>
      </c>
      <c r="J184" s="111">
        <v>44.1</v>
      </c>
      <c r="K184" s="108" t="e">
        <f t="shared" si="11"/>
        <v>#VALUE!</v>
      </c>
      <c r="L184" s="30"/>
      <c r="M184" s="30"/>
      <c r="N184" s="30"/>
      <c r="O184" s="30"/>
      <c r="P184" s="30"/>
      <c r="Q184" s="30"/>
      <c r="R184" s="30"/>
      <c r="S184" s="30">
        <v>1</v>
      </c>
      <c r="T184" s="26"/>
      <c r="U184" s="26"/>
      <c r="V184" s="26"/>
      <c r="W184" s="26"/>
      <c r="X184" s="26"/>
      <c r="Y184" s="26"/>
      <c r="Z184" s="26"/>
      <c r="AA184" s="26"/>
      <c r="AB184" s="26"/>
      <c r="AC184" s="26"/>
      <c r="AD184" s="26"/>
      <c r="AE184" s="26"/>
      <c r="AF184" s="26"/>
      <c r="AG184" s="26"/>
      <c r="AH184" s="26"/>
      <c r="AI184" s="26"/>
      <c r="AJ184" s="26"/>
      <c r="AK184" s="26"/>
      <c r="AL184" s="26"/>
      <c r="AM184" s="26"/>
      <c r="AN184" s="26"/>
      <c r="AO184" s="26"/>
      <c r="AP184" s="26"/>
      <c r="AQ184" s="26"/>
      <c r="AR184" s="26"/>
    </row>
    <row r="185" spans="1:44" ht="15.75" x14ac:dyDescent="0.25">
      <c r="A185" s="30"/>
      <c r="B185" s="103" t="s">
        <v>332</v>
      </c>
      <c r="C185" s="109" t="s">
        <v>377</v>
      </c>
      <c r="D185" s="105" t="s">
        <v>378</v>
      </c>
      <c r="E185" s="105" t="s">
        <v>26</v>
      </c>
      <c r="F185" s="106" t="e">
        <f>G185+SUMIF('[1]mouvement crepiere'!B:B,"=VERIN SMC 25-50C-B",'[1]mouvement crepiere'!G:G)</f>
        <v>#VALUE!</v>
      </c>
      <c r="G185" s="106">
        <v>0</v>
      </c>
      <c r="H185" s="101">
        <v>1</v>
      </c>
      <c r="I185" s="107" t="e">
        <f t="shared" si="10"/>
        <v>#VALUE!</v>
      </c>
      <c r="J185" s="111">
        <v>64.599999999999994</v>
      </c>
      <c r="K185" s="108" t="e">
        <f t="shared" si="11"/>
        <v>#VALUE!</v>
      </c>
      <c r="L185" s="30"/>
      <c r="M185" s="30"/>
      <c r="N185" s="30"/>
      <c r="O185" s="30"/>
      <c r="P185" s="30"/>
      <c r="Q185" s="30"/>
      <c r="R185" s="30"/>
      <c r="S185" s="30">
        <v>0</v>
      </c>
      <c r="T185" s="26"/>
      <c r="U185" s="26"/>
      <c r="V185" s="26"/>
      <c r="W185" s="26"/>
      <c r="X185" s="26"/>
      <c r="Y185" s="26"/>
      <c r="Z185" s="26"/>
      <c r="AA185" s="26"/>
      <c r="AB185" s="26"/>
      <c r="AC185" s="26"/>
      <c r="AD185" s="26"/>
      <c r="AE185" s="26"/>
      <c r="AF185" s="26"/>
      <c r="AG185" s="26"/>
      <c r="AH185" s="26"/>
      <c r="AI185" s="26"/>
      <c r="AJ185" s="26"/>
      <c r="AK185" s="26"/>
      <c r="AL185" s="26"/>
      <c r="AM185" s="26"/>
      <c r="AN185" s="26"/>
      <c r="AO185" s="26"/>
      <c r="AP185" s="26"/>
      <c r="AQ185" s="26"/>
      <c r="AR185" s="26"/>
    </row>
    <row r="186" spans="1:44" ht="15.75" x14ac:dyDescent="0.25">
      <c r="A186" s="30"/>
      <c r="B186" s="103" t="s">
        <v>332</v>
      </c>
      <c r="C186" s="109" t="s">
        <v>379</v>
      </c>
      <c r="D186" s="105" t="s">
        <v>380</v>
      </c>
      <c r="E186" s="105" t="s">
        <v>26</v>
      </c>
      <c r="F186" s="106" t="e">
        <f>G186+SUMIF('[1]mouvement crepiere'!B:B,"=CAPTEUR ILS SMC",'[1]mouvement crepiere'!G:G)</f>
        <v>#VALUE!</v>
      </c>
      <c r="G186" s="106">
        <v>0</v>
      </c>
      <c r="H186" s="101">
        <v>1</v>
      </c>
      <c r="I186" s="107" t="e">
        <f t="shared" si="10"/>
        <v>#VALUE!</v>
      </c>
      <c r="J186" s="111">
        <v>27.4</v>
      </c>
      <c r="K186" s="108" t="e">
        <f t="shared" si="11"/>
        <v>#VALUE!</v>
      </c>
      <c r="L186" s="30"/>
      <c r="M186" s="30"/>
      <c r="N186" s="30"/>
      <c r="O186" s="30"/>
      <c r="P186" s="30"/>
      <c r="Q186" s="30"/>
      <c r="R186" s="30"/>
      <c r="S186" s="30">
        <v>1</v>
      </c>
      <c r="T186" s="26"/>
      <c r="U186" s="26"/>
      <c r="V186" s="26"/>
      <c r="W186" s="26"/>
      <c r="X186" s="26"/>
      <c r="Y186" s="26"/>
      <c r="Z186" s="26"/>
      <c r="AA186" s="26"/>
      <c r="AB186" s="26"/>
      <c r="AC186" s="26"/>
      <c r="AD186" s="26"/>
      <c r="AE186" s="26"/>
      <c r="AF186" s="26"/>
      <c r="AG186" s="26"/>
      <c r="AH186" s="26"/>
      <c r="AI186" s="26"/>
      <c r="AJ186" s="26"/>
      <c r="AK186" s="26"/>
      <c r="AL186" s="26"/>
      <c r="AM186" s="26"/>
      <c r="AN186" s="26"/>
      <c r="AO186" s="26"/>
      <c r="AP186" s="26"/>
      <c r="AQ186" s="26"/>
      <c r="AR186" s="26"/>
    </row>
    <row r="187" spans="1:44" ht="15.75" x14ac:dyDescent="0.25">
      <c r="A187" s="30"/>
      <c r="B187" s="103" t="s">
        <v>332</v>
      </c>
      <c r="C187" s="109" t="s">
        <v>381</v>
      </c>
      <c r="D187" s="105" t="s">
        <v>382</v>
      </c>
      <c r="E187" s="105" t="s">
        <v>343</v>
      </c>
      <c r="F187" s="106" t="e">
        <f>G187+SUMIF('[1]mouvement crepiere'!B:B,"= BANDE COTON POUR GRAISSEURS",'[1]mouvement crepiere'!G:G)</f>
        <v>#VALUE!</v>
      </c>
      <c r="G187" s="106">
        <v>120</v>
      </c>
      <c r="H187" s="101">
        <v>21</v>
      </c>
      <c r="I187" s="107" t="e">
        <f t="shared" si="10"/>
        <v>#VALUE!</v>
      </c>
      <c r="J187" s="111">
        <v>0.43</v>
      </c>
      <c r="K187" s="108" t="e">
        <f t="shared" si="11"/>
        <v>#VALUE!</v>
      </c>
      <c r="L187" s="30"/>
      <c r="M187" s="30"/>
      <c r="N187" s="30"/>
      <c r="O187" s="30"/>
      <c r="P187" s="30"/>
      <c r="Q187" s="30"/>
      <c r="R187" s="30"/>
      <c r="S187" s="30">
        <v>1</v>
      </c>
      <c r="T187" s="26"/>
      <c r="U187" s="26"/>
      <c r="V187" s="26"/>
      <c r="W187" s="26"/>
      <c r="X187" s="26"/>
      <c r="Y187" s="26"/>
      <c r="Z187" s="26"/>
      <c r="AA187" s="26"/>
      <c r="AB187" s="26"/>
      <c r="AC187" s="26"/>
      <c r="AD187" s="26"/>
      <c r="AE187" s="26"/>
      <c r="AF187" s="26"/>
      <c r="AG187" s="26"/>
      <c r="AH187" s="26"/>
      <c r="AI187" s="26"/>
      <c r="AJ187" s="26"/>
      <c r="AK187" s="26"/>
      <c r="AL187" s="26"/>
      <c r="AM187" s="26"/>
      <c r="AN187" s="26"/>
      <c r="AO187" s="26"/>
      <c r="AP187" s="26"/>
      <c r="AQ187" s="26"/>
      <c r="AR187" s="26"/>
    </row>
    <row r="188" spans="1:44" ht="15.75" x14ac:dyDescent="0.25">
      <c r="A188" s="30"/>
      <c r="B188" s="103" t="s">
        <v>332</v>
      </c>
      <c r="C188" s="109" t="s">
        <v>383</v>
      </c>
      <c r="D188" s="105" t="s">
        <v>384</v>
      </c>
      <c r="E188" s="105" t="s">
        <v>343</v>
      </c>
      <c r="F188" s="106" t="e">
        <f>G188+SUMIF('[1]mouvement crepiere'!B:B,"=bague en bronze",'[1]mouvement crepiere'!G:G)</f>
        <v>#VALUE!</v>
      </c>
      <c r="G188" s="106">
        <v>2</v>
      </c>
      <c r="H188" s="101">
        <v>2</v>
      </c>
      <c r="I188" s="107" t="e">
        <f t="shared" si="10"/>
        <v>#VALUE!</v>
      </c>
      <c r="J188" s="111">
        <v>1.08</v>
      </c>
      <c r="K188" s="108" t="e">
        <f t="shared" si="11"/>
        <v>#VALUE!</v>
      </c>
      <c r="L188" s="30"/>
      <c r="M188" s="30"/>
      <c r="N188" s="30"/>
      <c r="O188" s="30"/>
      <c r="P188" s="30"/>
      <c r="Q188" s="30"/>
      <c r="R188" s="30"/>
      <c r="S188" s="30">
        <v>1</v>
      </c>
      <c r="T188" s="26"/>
      <c r="U188" s="26"/>
      <c r="V188" s="26"/>
      <c r="W188" s="26"/>
      <c r="X188" s="26"/>
      <c r="Y188" s="26"/>
      <c r="Z188" s="26"/>
      <c r="AA188" s="26"/>
      <c r="AB188" s="26"/>
      <c r="AC188" s="26"/>
      <c r="AD188" s="26"/>
      <c r="AE188" s="26"/>
      <c r="AF188" s="26"/>
      <c r="AG188" s="26"/>
      <c r="AH188" s="26"/>
      <c r="AI188" s="26"/>
      <c r="AJ188" s="26"/>
      <c r="AK188" s="26"/>
      <c r="AL188" s="26"/>
      <c r="AM188" s="26"/>
      <c r="AN188" s="26"/>
      <c r="AO188" s="26"/>
      <c r="AP188" s="26"/>
      <c r="AQ188" s="26"/>
      <c r="AR188" s="26"/>
    </row>
    <row r="189" spans="1:44" ht="15.75" x14ac:dyDescent="0.25">
      <c r="A189" s="30"/>
      <c r="B189" s="103" t="s">
        <v>332</v>
      </c>
      <c r="C189" s="109" t="s">
        <v>385</v>
      </c>
      <c r="D189" s="105" t="s">
        <v>386</v>
      </c>
      <c r="E189" s="105" t="s">
        <v>343</v>
      </c>
      <c r="F189" s="106" t="e">
        <f>G189+SUMIF('[1]mouvement crepiere'!B:B,"=joints de pistons",'[1]mouvement crepiere'!G:G)</f>
        <v>#VALUE!</v>
      </c>
      <c r="G189" s="106">
        <v>14</v>
      </c>
      <c r="H189" s="101">
        <v>4</v>
      </c>
      <c r="I189" s="107" t="e">
        <f t="shared" si="10"/>
        <v>#VALUE!</v>
      </c>
      <c r="J189" s="111">
        <v>22.46</v>
      </c>
      <c r="K189" s="108" t="e">
        <f t="shared" si="11"/>
        <v>#VALUE!</v>
      </c>
      <c r="L189" s="30"/>
      <c r="M189" s="30"/>
      <c r="N189" s="30"/>
      <c r="O189" s="30"/>
      <c r="P189" s="30"/>
      <c r="Q189" s="30"/>
      <c r="R189" s="30"/>
      <c r="S189" s="30">
        <v>1</v>
      </c>
      <c r="T189" s="26"/>
      <c r="U189" s="26"/>
      <c r="V189" s="26"/>
      <c r="W189" s="26"/>
      <c r="X189" s="26"/>
      <c r="Y189" s="26"/>
      <c r="Z189" s="26"/>
      <c r="AA189" s="26"/>
      <c r="AB189" s="26"/>
      <c r="AC189" s="26"/>
      <c r="AD189" s="26"/>
      <c r="AE189" s="26"/>
      <c r="AF189" s="26"/>
      <c r="AG189" s="26"/>
      <c r="AH189" s="26"/>
      <c r="AI189" s="26"/>
      <c r="AJ189" s="26"/>
      <c r="AK189" s="26"/>
      <c r="AL189" s="26"/>
      <c r="AM189" s="26"/>
      <c r="AN189" s="26"/>
      <c r="AO189" s="26"/>
      <c r="AP189" s="26"/>
      <c r="AQ189" s="26"/>
      <c r="AR189" s="26"/>
    </row>
    <row r="190" spans="1:44" ht="15.75" x14ac:dyDescent="0.25">
      <c r="A190" s="30"/>
      <c r="B190" s="103" t="s">
        <v>332</v>
      </c>
      <c r="C190" s="109" t="s">
        <v>387</v>
      </c>
      <c r="D190" s="105" t="s">
        <v>388</v>
      </c>
      <c r="E190" s="105" t="s">
        <v>343</v>
      </c>
      <c r="F190" s="106" t="e">
        <f>G190+SUMIF('[1]mouvement crepiere'!B:B,"=Joint",'[1]mouvement crepiere'!G:G)</f>
        <v>#VALUE!</v>
      </c>
      <c r="G190" s="106">
        <v>8</v>
      </c>
      <c r="H190" s="101">
        <v>4</v>
      </c>
      <c r="I190" s="107" t="e">
        <f t="shared" si="10"/>
        <v>#VALUE!</v>
      </c>
      <c r="J190" s="111">
        <v>1.81</v>
      </c>
      <c r="K190" s="108" t="e">
        <f t="shared" si="11"/>
        <v>#VALUE!</v>
      </c>
      <c r="L190" s="30"/>
      <c r="M190" s="30"/>
      <c r="N190" s="30"/>
      <c r="O190" s="30"/>
      <c r="P190" s="30"/>
      <c r="Q190" s="30"/>
      <c r="R190" s="30"/>
      <c r="S190" s="30">
        <v>1</v>
      </c>
      <c r="T190" s="26"/>
      <c r="U190" s="26"/>
      <c r="V190" s="26"/>
      <c r="W190" s="26"/>
      <c r="X190" s="26"/>
      <c r="Y190" s="26"/>
      <c r="Z190" s="26"/>
      <c r="AA190" s="26"/>
      <c r="AB190" s="26"/>
      <c r="AC190" s="26"/>
      <c r="AD190" s="26"/>
      <c r="AE190" s="26"/>
      <c r="AF190" s="26"/>
      <c r="AG190" s="26"/>
      <c r="AH190" s="26"/>
      <c r="AI190" s="26"/>
      <c r="AJ190" s="26"/>
      <c r="AK190" s="26"/>
      <c r="AL190" s="26"/>
      <c r="AM190" s="26"/>
      <c r="AN190" s="26"/>
      <c r="AO190" s="26"/>
      <c r="AP190" s="26"/>
      <c r="AQ190" s="26"/>
      <c r="AR190" s="26"/>
    </row>
    <row r="191" spans="1:44" ht="15.75" x14ac:dyDescent="0.25">
      <c r="A191" s="30"/>
      <c r="B191" s="103" t="s">
        <v>332</v>
      </c>
      <c r="C191" s="109" t="s">
        <v>389</v>
      </c>
      <c r="D191" s="105" t="s">
        <v>390</v>
      </c>
      <c r="E191" s="105" t="s">
        <v>343</v>
      </c>
      <c r="F191" s="106" t="e">
        <f>G191+SUMIF('[1]mouvement crepiere'!B:B,"=roue vis sans fin Delrin",'[1]mouvement crepiere'!G:G)</f>
        <v>#VALUE!</v>
      </c>
      <c r="G191" s="106">
        <v>1</v>
      </c>
      <c r="H191" s="101">
        <v>1</v>
      </c>
      <c r="I191" s="107" t="e">
        <f t="shared" si="10"/>
        <v>#VALUE!</v>
      </c>
      <c r="J191" s="111">
        <v>264.63</v>
      </c>
      <c r="K191" s="108" t="e">
        <f t="shared" si="11"/>
        <v>#VALUE!</v>
      </c>
      <c r="L191" s="30"/>
      <c r="M191" s="30"/>
      <c r="N191" s="30"/>
      <c r="O191" s="30"/>
      <c r="P191" s="30"/>
      <c r="Q191" s="30"/>
      <c r="R191" s="30"/>
      <c r="S191" s="30">
        <v>0</v>
      </c>
      <c r="T191" s="26"/>
      <c r="U191" s="26"/>
      <c r="V191" s="26"/>
      <c r="W191" s="26"/>
      <c r="X191" s="26"/>
      <c r="Y191" s="26"/>
      <c r="Z191" s="26"/>
      <c r="AA191" s="26"/>
      <c r="AB191" s="26"/>
      <c r="AC191" s="26"/>
      <c r="AD191" s="26"/>
      <c r="AE191" s="26"/>
      <c r="AF191" s="26"/>
      <c r="AG191" s="26"/>
      <c r="AH191" s="26"/>
      <c r="AI191" s="26"/>
      <c r="AJ191" s="26"/>
      <c r="AK191" s="26"/>
      <c r="AL191" s="26"/>
      <c r="AM191" s="26"/>
      <c r="AN191" s="26"/>
      <c r="AO191" s="26"/>
      <c r="AP191" s="26"/>
      <c r="AQ191" s="26"/>
      <c r="AR191" s="26"/>
    </row>
    <row r="192" spans="1:44" ht="15.75" x14ac:dyDescent="0.25">
      <c r="A192" s="30"/>
      <c r="B192" s="103" t="s">
        <v>332</v>
      </c>
      <c r="C192" s="109" t="s">
        <v>391</v>
      </c>
      <c r="D192" s="105" t="s">
        <v>392</v>
      </c>
      <c r="E192" s="105" t="s">
        <v>343</v>
      </c>
      <c r="F192" s="106" t="e">
        <f>G192+SUMIF('[1]mouvement crepiere'!B:B,"=tuyau doseuse(tubelait)",'[1]mouvement crepiere'!G:G)</f>
        <v>#VALUE!</v>
      </c>
      <c r="G192" s="106">
        <v>1</v>
      </c>
      <c r="H192" s="101">
        <v>5</v>
      </c>
      <c r="I192" s="107" t="e">
        <f t="shared" si="10"/>
        <v>#VALUE!</v>
      </c>
      <c r="J192" s="101">
        <v>5.43</v>
      </c>
      <c r="K192" s="108" t="e">
        <f t="shared" si="11"/>
        <v>#VALUE!</v>
      </c>
      <c r="L192" s="30"/>
      <c r="M192" s="30"/>
      <c r="N192" s="30"/>
      <c r="O192" s="30"/>
      <c r="P192" s="30"/>
      <c r="Q192" s="30"/>
      <c r="R192" s="30"/>
      <c r="S192" s="30">
        <v>0</v>
      </c>
      <c r="T192" s="26"/>
      <c r="U192" s="26"/>
      <c r="V192" s="26"/>
      <c r="W192" s="26"/>
      <c r="X192" s="26"/>
      <c r="Y192" s="26"/>
      <c r="Z192" s="26"/>
      <c r="AA192" s="26"/>
      <c r="AB192" s="26"/>
      <c r="AC192" s="26"/>
      <c r="AD192" s="26"/>
      <c r="AE192" s="26"/>
      <c r="AF192" s="26"/>
      <c r="AG192" s="26"/>
      <c r="AH192" s="26"/>
      <c r="AI192" s="26"/>
      <c r="AJ192" s="26"/>
      <c r="AK192" s="26"/>
      <c r="AL192" s="26"/>
      <c r="AM192" s="26"/>
      <c r="AN192" s="26"/>
      <c r="AO192" s="26"/>
      <c r="AP192" s="26"/>
      <c r="AQ192" s="26"/>
      <c r="AR192" s="26"/>
    </row>
    <row r="193" spans="1:44" ht="15.75" x14ac:dyDescent="0.25">
      <c r="A193" s="30"/>
      <c r="B193" s="103" t="s">
        <v>332</v>
      </c>
      <c r="C193" s="109" t="s">
        <v>393</v>
      </c>
      <c r="D193" s="105" t="s">
        <v>394</v>
      </c>
      <c r="E193" s="105" t="s">
        <v>343</v>
      </c>
      <c r="F193" s="106" t="e">
        <f>G193+SUMIF('[1]mouvement crepiere'!B:B,"=vis sans fin delrin",'[1]mouvement crepiere'!G:G)</f>
        <v>#VALUE!</v>
      </c>
      <c r="G193" s="106">
        <v>1</v>
      </c>
      <c r="H193" s="101">
        <v>1</v>
      </c>
      <c r="I193" s="107" t="e">
        <f t="shared" si="10"/>
        <v>#VALUE!</v>
      </c>
      <c r="J193" s="111">
        <v>50.49</v>
      </c>
      <c r="K193" s="108" t="e">
        <f t="shared" si="11"/>
        <v>#VALUE!</v>
      </c>
      <c r="L193" s="30"/>
      <c r="M193" s="30"/>
      <c r="N193" s="30"/>
      <c r="O193" s="30"/>
      <c r="P193" s="30"/>
      <c r="Q193" s="30"/>
      <c r="R193" s="30"/>
      <c r="S193" s="30">
        <v>0</v>
      </c>
      <c r="T193" s="26"/>
      <c r="U193" s="26"/>
      <c r="V193" s="26"/>
      <c r="W193" s="26"/>
      <c r="X193" s="26"/>
      <c r="Y193" s="26"/>
      <c r="Z193" s="26"/>
      <c r="AA193" s="26"/>
      <c r="AB193" s="26"/>
      <c r="AC193" s="26"/>
      <c r="AD193" s="26"/>
      <c r="AE193" s="26"/>
      <c r="AF193" s="26"/>
      <c r="AG193" s="26"/>
      <c r="AH193" s="26"/>
      <c r="AI193" s="26"/>
      <c r="AJ193" s="26"/>
      <c r="AK193" s="26"/>
      <c r="AL193" s="26"/>
      <c r="AM193" s="26"/>
      <c r="AN193" s="26"/>
      <c r="AO193" s="26"/>
      <c r="AP193" s="26"/>
      <c r="AQ193" s="26"/>
      <c r="AR193" s="26"/>
    </row>
    <row r="194" spans="1:44" ht="15.75" x14ac:dyDescent="0.25">
      <c r="A194" s="30"/>
      <c r="B194" s="103" t="s">
        <v>332</v>
      </c>
      <c r="C194" s="109" t="s">
        <v>395</v>
      </c>
      <c r="D194" s="105" t="s">
        <v>396</v>
      </c>
      <c r="E194" s="105" t="s">
        <v>340</v>
      </c>
      <c r="F194" s="106" t="e">
        <f>G194+SUMIF('[1]mouvement crepiere'!B:B,"=VERIN PARKER (MINI)",'[1]mouvement crepiere'!G:G)</f>
        <v>#VALUE!</v>
      </c>
      <c r="G194" s="106">
        <v>2</v>
      </c>
      <c r="H194" s="101">
        <v>8</v>
      </c>
      <c r="I194" s="107" t="e">
        <f t="shared" si="10"/>
        <v>#VALUE!</v>
      </c>
      <c r="J194" s="111">
        <v>109.84</v>
      </c>
      <c r="K194" s="108" t="e">
        <f t="shared" si="11"/>
        <v>#VALUE!</v>
      </c>
      <c r="L194" s="30"/>
      <c r="M194" s="30"/>
      <c r="N194" s="30"/>
      <c r="O194" s="30"/>
      <c r="P194" s="30"/>
      <c r="Q194" s="30"/>
      <c r="R194" s="30"/>
      <c r="S194" s="30">
        <v>1</v>
      </c>
      <c r="T194" s="26"/>
      <c r="U194" s="26"/>
      <c r="V194" s="26"/>
      <c r="W194" s="26"/>
      <c r="X194" s="26"/>
      <c r="Y194" s="26"/>
      <c r="Z194" s="26"/>
      <c r="AA194" s="26"/>
      <c r="AB194" s="26"/>
      <c r="AC194" s="26"/>
      <c r="AD194" s="26"/>
      <c r="AE194" s="26"/>
      <c r="AF194" s="26"/>
      <c r="AG194" s="26"/>
      <c r="AH194" s="26"/>
      <c r="AI194" s="26"/>
      <c r="AJ194" s="26"/>
      <c r="AK194" s="26"/>
      <c r="AL194" s="26"/>
      <c r="AM194" s="26"/>
      <c r="AN194" s="26"/>
      <c r="AO194" s="26"/>
      <c r="AP194" s="26"/>
      <c r="AQ194" s="26"/>
      <c r="AR194" s="26"/>
    </row>
    <row r="195" spans="1:44" ht="15.75" x14ac:dyDescent="0.25">
      <c r="A195" s="30"/>
      <c r="B195" s="103" t="s">
        <v>332</v>
      </c>
      <c r="C195" s="109" t="s">
        <v>397</v>
      </c>
      <c r="D195" s="105" t="s">
        <v>398</v>
      </c>
      <c r="E195" s="105" t="s">
        <v>26</v>
      </c>
      <c r="F195" s="106" t="e">
        <f>G195+SUMIF('[1]mouvement crepiere'!B:B,"=carte elec pompe graisseur",'[1]mouvement crepiere'!G:G)</f>
        <v>#VALUE!</v>
      </c>
      <c r="G195" s="106">
        <v>2</v>
      </c>
      <c r="H195" s="101">
        <v>1</v>
      </c>
      <c r="I195" s="107" t="e">
        <f t="shared" si="10"/>
        <v>#VALUE!</v>
      </c>
      <c r="J195" s="111">
        <v>193.1</v>
      </c>
      <c r="K195" s="108" t="e">
        <f t="shared" si="11"/>
        <v>#VALUE!</v>
      </c>
      <c r="L195" s="30"/>
      <c r="M195" s="30"/>
      <c r="N195" s="30"/>
      <c r="O195" s="30"/>
      <c r="P195" s="30"/>
      <c r="Q195" s="30"/>
      <c r="R195" s="30"/>
      <c r="S195" s="30">
        <v>0</v>
      </c>
      <c r="T195" s="26"/>
      <c r="U195" s="26"/>
      <c r="V195" s="26"/>
      <c r="W195" s="26"/>
      <c r="X195" s="26"/>
      <c r="Y195" s="26"/>
      <c r="Z195" s="26"/>
      <c r="AA195" s="26"/>
      <c r="AB195" s="26"/>
      <c r="AC195" s="26"/>
      <c r="AD195" s="26"/>
      <c r="AE195" s="26"/>
      <c r="AF195" s="26"/>
      <c r="AG195" s="26"/>
      <c r="AH195" s="26"/>
      <c r="AI195" s="26"/>
      <c r="AJ195" s="26"/>
      <c r="AK195" s="26"/>
      <c r="AL195" s="26"/>
      <c r="AM195" s="26"/>
      <c r="AN195" s="26"/>
      <c r="AO195" s="26"/>
      <c r="AP195" s="26"/>
      <c r="AQ195" s="26"/>
      <c r="AR195" s="26"/>
    </row>
    <row r="196" spans="1:44" ht="15.75" x14ac:dyDescent="0.25">
      <c r="A196" s="30"/>
      <c r="B196" s="103" t="s">
        <v>332</v>
      </c>
      <c r="C196" s="109" t="s">
        <v>399</v>
      </c>
      <c r="D196" s="105" t="s">
        <v>400</v>
      </c>
      <c r="E196" s="105"/>
      <c r="F196" s="106" t="e">
        <f>G196+SUMIF('[1]mouvement crepiere'!B:B,"=Mano 0-10bars R 1/8",'[1]mouvement crepiere'!G:G)</f>
        <v>#VALUE!</v>
      </c>
      <c r="G196" s="106">
        <v>0</v>
      </c>
      <c r="H196" s="101">
        <v>1</v>
      </c>
      <c r="I196" s="107" t="e">
        <f t="shared" si="10"/>
        <v>#VALUE!</v>
      </c>
      <c r="J196" s="111">
        <v>13.64</v>
      </c>
      <c r="K196" s="108" t="e">
        <f t="shared" si="11"/>
        <v>#VALUE!</v>
      </c>
      <c r="L196" s="30"/>
      <c r="M196" s="30"/>
      <c r="N196" s="30"/>
      <c r="O196" s="30"/>
      <c r="P196" s="30"/>
      <c r="Q196" s="30"/>
      <c r="R196" s="30"/>
      <c r="S196" s="30">
        <v>1</v>
      </c>
      <c r="T196" s="26"/>
      <c r="U196" s="26"/>
      <c r="V196" s="26"/>
      <c r="W196" s="26"/>
      <c r="X196" s="26"/>
      <c r="Y196" s="26"/>
      <c r="Z196" s="26"/>
      <c r="AA196" s="26"/>
      <c r="AB196" s="26"/>
      <c r="AC196" s="26"/>
      <c r="AD196" s="26"/>
      <c r="AE196" s="26"/>
      <c r="AF196" s="26"/>
      <c r="AG196" s="26"/>
      <c r="AH196" s="26"/>
      <c r="AI196" s="26"/>
      <c r="AJ196" s="26"/>
      <c r="AK196" s="26"/>
      <c r="AL196" s="26"/>
      <c r="AM196" s="26"/>
      <c r="AN196" s="26"/>
      <c r="AO196" s="26"/>
      <c r="AP196" s="26"/>
      <c r="AQ196" s="26"/>
      <c r="AR196" s="26"/>
    </row>
    <row r="197" spans="1:44" ht="15.75" x14ac:dyDescent="0.25">
      <c r="A197" s="30"/>
      <c r="B197" s="103" t="s">
        <v>332</v>
      </c>
      <c r="C197" s="109" t="s">
        <v>401</v>
      </c>
      <c r="D197" s="115" t="s">
        <v>402</v>
      </c>
      <c r="E197" s="105" t="s">
        <v>26</v>
      </c>
      <c r="F197" s="106" t="e">
        <f>G197+SUMIF('[1]mouvement crepiere'!B:B,"=TUYAU D'HUILE POMPE",'[1]mouvement crepiere'!G:G)</f>
        <v>#VALUE!</v>
      </c>
      <c r="G197" s="106">
        <v>1</v>
      </c>
      <c r="H197" s="101">
        <v>1</v>
      </c>
      <c r="I197" s="107" t="e">
        <f t="shared" si="10"/>
        <v>#VALUE!</v>
      </c>
      <c r="J197" s="111">
        <v>5.3010000000000002</v>
      </c>
      <c r="K197" s="108" t="e">
        <f t="shared" si="11"/>
        <v>#VALUE!</v>
      </c>
      <c r="L197" s="30"/>
      <c r="M197" s="30"/>
      <c r="N197" s="30"/>
      <c r="O197" s="30"/>
      <c r="P197" s="30"/>
      <c r="Q197" s="30"/>
      <c r="R197" s="30"/>
      <c r="S197" s="30">
        <v>0</v>
      </c>
      <c r="T197" s="26"/>
      <c r="U197" s="26"/>
      <c r="V197" s="26"/>
      <c r="W197" s="26"/>
      <c r="X197" s="26"/>
      <c r="Y197" s="26"/>
      <c r="Z197" s="26"/>
      <c r="AA197" s="26"/>
      <c r="AB197" s="26"/>
      <c r="AC197" s="26"/>
      <c r="AD197" s="26"/>
      <c r="AE197" s="26"/>
      <c r="AF197" s="26"/>
      <c r="AG197" s="26"/>
      <c r="AH197" s="26"/>
      <c r="AI197" s="26"/>
      <c r="AJ197" s="26"/>
      <c r="AK197" s="26"/>
      <c r="AL197" s="26"/>
      <c r="AM197" s="26"/>
      <c r="AN197" s="26"/>
      <c r="AO197" s="26"/>
      <c r="AP197" s="26"/>
      <c r="AQ197" s="26"/>
      <c r="AR197" s="26"/>
    </row>
    <row r="198" spans="1:44" ht="24" x14ac:dyDescent="0.25">
      <c r="A198" s="30"/>
      <c r="B198" s="103" t="s">
        <v>332</v>
      </c>
      <c r="C198" s="109" t="s">
        <v>403</v>
      </c>
      <c r="D198" s="115" t="s">
        <v>404</v>
      </c>
      <c r="E198" s="105" t="s">
        <v>26</v>
      </c>
      <c r="F198" s="106" t="e">
        <f>G198+SUMIF('[1]mouvement crepiere'!B:B,"=TUYAU POMPE graisseurs",'[1]mouvement crepiere'!G:G)</f>
        <v>#VALUE!</v>
      </c>
      <c r="G198" s="106">
        <v>4</v>
      </c>
      <c r="H198" s="101">
        <v>1</v>
      </c>
      <c r="I198" s="107" t="e">
        <f t="shared" si="10"/>
        <v>#VALUE!</v>
      </c>
      <c r="J198" s="111">
        <v>5.3010000000000002</v>
      </c>
      <c r="K198" s="108" t="e">
        <f t="shared" si="11"/>
        <v>#VALUE!</v>
      </c>
      <c r="L198" s="30"/>
      <c r="M198" s="30"/>
      <c r="N198" s="30"/>
      <c r="O198" s="30"/>
      <c r="P198" s="30"/>
      <c r="Q198" s="30"/>
      <c r="R198" s="30"/>
      <c r="S198" s="30">
        <v>1</v>
      </c>
      <c r="T198" s="26"/>
      <c r="U198" s="26"/>
      <c r="V198" s="26"/>
      <c r="W198" s="26"/>
      <c r="X198" s="26"/>
      <c r="Y198" s="26"/>
      <c r="Z198" s="26"/>
      <c r="AA198" s="26"/>
      <c r="AB198" s="26"/>
      <c r="AC198" s="26"/>
      <c r="AD198" s="26"/>
      <c r="AE198" s="26"/>
      <c r="AF198" s="26"/>
      <c r="AG198" s="26"/>
      <c r="AH198" s="26"/>
      <c r="AI198" s="26"/>
      <c r="AJ198" s="26"/>
      <c r="AK198" s="26"/>
      <c r="AL198" s="26"/>
      <c r="AM198" s="26"/>
      <c r="AN198" s="26"/>
      <c r="AO198" s="26"/>
      <c r="AP198" s="26"/>
      <c r="AQ198" s="26"/>
      <c r="AR198" s="26"/>
    </row>
    <row r="199" spans="1:44" ht="15.75" x14ac:dyDescent="0.25">
      <c r="A199" s="30"/>
      <c r="B199" s="103" t="s">
        <v>332</v>
      </c>
      <c r="C199" s="109" t="s">
        <v>405</v>
      </c>
      <c r="D199" s="105" t="s">
        <v>22</v>
      </c>
      <c r="E199" s="105" t="s">
        <v>22</v>
      </c>
      <c r="F199" s="106" t="e">
        <f>G199+SUMIF('[1]mouvement crepiere'!B:B,"=chaine spocket",'[1]mouvement crepiere'!G:G)</f>
        <v>#VALUE!</v>
      </c>
      <c r="G199" s="106">
        <v>0</v>
      </c>
      <c r="H199" s="101">
        <v>1</v>
      </c>
      <c r="I199" s="107" t="e">
        <f t="shared" si="10"/>
        <v>#VALUE!</v>
      </c>
      <c r="J199" s="101">
        <v>66.180000000000007</v>
      </c>
      <c r="K199" s="108" t="e">
        <f t="shared" si="11"/>
        <v>#VALUE!</v>
      </c>
      <c r="L199" s="30"/>
      <c r="M199" s="30"/>
      <c r="N199" s="30"/>
      <c r="O199" s="30"/>
      <c r="P199" s="30"/>
      <c r="Q199" s="30"/>
      <c r="R199" s="30"/>
      <c r="S199" s="30">
        <v>1</v>
      </c>
      <c r="T199" s="26"/>
      <c r="U199" s="26"/>
      <c r="V199" s="26"/>
      <c r="W199" s="26"/>
      <c r="X199" s="26"/>
      <c r="Y199" s="26"/>
      <c r="Z199" s="26"/>
      <c r="AA199" s="26"/>
      <c r="AB199" s="26"/>
      <c r="AC199" s="26"/>
      <c r="AD199" s="26"/>
      <c r="AE199" s="26"/>
      <c r="AF199" s="26"/>
      <c r="AG199" s="26"/>
      <c r="AH199" s="26"/>
      <c r="AI199" s="26"/>
      <c r="AJ199" s="26"/>
      <c r="AK199" s="26"/>
      <c r="AL199" s="26"/>
      <c r="AM199" s="26"/>
      <c r="AN199" s="26"/>
      <c r="AO199" s="26"/>
      <c r="AP199" s="26"/>
      <c r="AQ199" s="26"/>
      <c r="AR199" s="26"/>
    </row>
    <row r="200" spans="1:44" ht="15.75" x14ac:dyDescent="0.25">
      <c r="A200" s="30"/>
      <c r="B200" s="103" t="s">
        <v>332</v>
      </c>
      <c r="C200" s="109" t="s">
        <v>406</v>
      </c>
      <c r="D200" s="105" t="s">
        <v>22</v>
      </c>
      <c r="E200" s="105" t="s">
        <v>22</v>
      </c>
      <c r="F200" s="106" t="e">
        <f>G200+SUMIF('[1]mouvement crepiere'!B:B,"=palier lisse",'[1]mouvement crepiere'!G:G)</f>
        <v>#VALUE!</v>
      </c>
      <c r="G200" s="106">
        <v>2</v>
      </c>
      <c r="H200" s="101">
        <v>1</v>
      </c>
      <c r="I200" s="107" t="e">
        <f t="shared" si="10"/>
        <v>#VALUE!</v>
      </c>
      <c r="J200" s="101">
        <v>14.86</v>
      </c>
      <c r="K200" s="108" t="e">
        <f t="shared" si="11"/>
        <v>#VALUE!</v>
      </c>
      <c r="L200" s="30"/>
      <c r="M200" s="30"/>
      <c r="N200" s="30"/>
      <c r="O200" s="30"/>
      <c r="P200" s="30"/>
      <c r="Q200" s="30"/>
      <c r="R200" s="30"/>
      <c r="S200" s="30">
        <v>1</v>
      </c>
      <c r="T200" s="26"/>
      <c r="U200" s="26"/>
      <c r="V200" s="26"/>
      <c r="W200" s="26"/>
      <c r="X200" s="26"/>
      <c r="Y200" s="26"/>
      <c r="Z200" s="26"/>
      <c r="AA200" s="26"/>
      <c r="AB200" s="26"/>
      <c r="AC200" s="26"/>
      <c r="AD200" s="26"/>
      <c r="AE200" s="26"/>
      <c r="AF200" s="26"/>
      <c r="AG200" s="26"/>
      <c r="AH200" s="26"/>
      <c r="AI200" s="26"/>
      <c r="AJ200" s="26"/>
      <c r="AK200" s="26"/>
      <c r="AL200" s="26"/>
      <c r="AM200" s="26"/>
      <c r="AN200" s="26"/>
      <c r="AO200" s="26"/>
      <c r="AP200" s="26"/>
      <c r="AQ200" s="26"/>
      <c r="AR200" s="26"/>
    </row>
    <row r="201" spans="1:44" ht="15.75" x14ac:dyDescent="0.25">
      <c r="A201" s="30"/>
      <c r="B201" s="103" t="s">
        <v>332</v>
      </c>
      <c r="C201" s="116" t="s">
        <v>407</v>
      </c>
      <c r="D201" s="117" t="s">
        <v>408</v>
      </c>
      <c r="E201" s="117" t="s">
        <v>343</v>
      </c>
      <c r="F201" s="106" t="e">
        <f>G201+SUMIF('[1]mouvement crepiere'!B:B,"=motoreducteur à vis sans fin",'[1]mouvement crepiere'!G:G)</f>
        <v>#VALUE!</v>
      </c>
      <c r="G201" s="29">
        <v>-1</v>
      </c>
      <c r="H201" s="29">
        <v>1</v>
      </c>
      <c r="I201" s="29" t="e">
        <f t="shared" si="10"/>
        <v>#VALUE!</v>
      </c>
      <c r="J201" s="29">
        <v>589.85</v>
      </c>
      <c r="K201" s="29" t="e">
        <f t="shared" si="11"/>
        <v>#VALUE!</v>
      </c>
      <c r="L201" s="30"/>
      <c r="M201" s="30"/>
      <c r="N201" s="30"/>
      <c r="O201" s="30"/>
      <c r="P201" s="30"/>
      <c r="Q201" s="30"/>
      <c r="R201" s="30"/>
      <c r="S201" s="30">
        <v>1</v>
      </c>
      <c r="T201" s="26"/>
      <c r="U201" s="26"/>
      <c r="V201" s="26"/>
      <c r="W201" s="26"/>
      <c r="X201" s="26"/>
      <c r="Y201" s="26"/>
      <c r="Z201" s="26"/>
      <c r="AA201" s="26"/>
      <c r="AB201" s="26"/>
      <c r="AC201" s="26"/>
      <c r="AD201" s="26"/>
      <c r="AE201" s="26"/>
      <c r="AF201" s="26"/>
      <c r="AG201" s="26"/>
      <c r="AH201" s="26"/>
      <c r="AI201" s="26"/>
      <c r="AJ201" s="26"/>
      <c r="AK201" s="26"/>
      <c r="AL201" s="26"/>
      <c r="AM201" s="26"/>
      <c r="AN201" s="26"/>
      <c r="AO201" s="26"/>
      <c r="AP201" s="26"/>
      <c r="AQ201" s="26"/>
      <c r="AR201" s="26"/>
    </row>
    <row r="202" spans="1:44" ht="15.75" x14ac:dyDescent="0.25">
      <c r="A202" s="30"/>
      <c r="B202" s="103" t="s">
        <v>332</v>
      </c>
      <c r="C202" s="116" t="s">
        <v>409</v>
      </c>
      <c r="D202" s="117" t="s">
        <v>410</v>
      </c>
      <c r="E202" s="117" t="s">
        <v>343</v>
      </c>
      <c r="F202" s="106" t="e">
        <f>G202+SUMIF('[1]mouvement crepiere'!B:B,"=poulie a moyeu amovible",'[1]mouvement crepiere'!G:G)</f>
        <v>#VALUE!</v>
      </c>
      <c r="G202" s="29">
        <v>-1</v>
      </c>
      <c r="H202" s="29">
        <v>1</v>
      </c>
      <c r="I202" s="29" t="e">
        <f t="shared" si="10"/>
        <v>#VALUE!</v>
      </c>
      <c r="J202" s="29">
        <v>5.4</v>
      </c>
      <c r="K202" s="29" t="e">
        <f>J202*F202</f>
        <v>#VALUE!</v>
      </c>
      <c r="L202" s="30"/>
      <c r="M202" s="30"/>
      <c r="N202" s="30"/>
      <c r="O202" s="30"/>
      <c r="P202" s="30"/>
      <c r="Q202" s="30"/>
      <c r="R202" s="30"/>
      <c r="S202" s="30">
        <v>1</v>
      </c>
      <c r="T202" s="26"/>
      <c r="U202" s="26"/>
      <c r="V202" s="26"/>
      <c r="W202" s="26"/>
      <c r="X202" s="26"/>
      <c r="Y202" s="26"/>
      <c r="Z202" s="26"/>
      <c r="AA202" s="26"/>
      <c r="AB202" s="26"/>
      <c r="AC202" s="26"/>
      <c r="AD202" s="26"/>
      <c r="AE202" s="26"/>
      <c r="AF202" s="26"/>
      <c r="AG202" s="26"/>
      <c r="AH202" s="26"/>
      <c r="AI202" s="26"/>
      <c r="AJ202" s="26"/>
      <c r="AK202" s="26"/>
      <c r="AL202" s="26"/>
      <c r="AM202" s="26"/>
      <c r="AN202" s="26"/>
      <c r="AO202" s="26"/>
      <c r="AP202" s="26"/>
      <c r="AQ202" s="26"/>
      <c r="AR202" s="26"/>
    </row>
    <row r="203" spans="1:44" ht="15.75" x14ac:dyDescent="0.25">
      <c r="A203" s="30"/>
      <c r="B203" s="103" t="s">
        <v>332</v>
      </c>
      <c r="C203" s="116" t="s">
        <v>411</v>
      </c>
      <c r="D203" s="117" t="s">
        <v>412</v>
      </c>
      <c r="E203" s="117" t="s">
        <v>343</v>
      </c>
      <c r="F203" s="106" t="e">
        <f>G203+SUMIF('[1]mouvement crepiere'!B:B,"=moyeu amovible",'[1]mouvement crepiere'!G:G)</f>
        <v>#VALUE!</v>
      </c>
      <c r="G203" s="29">
        <v>1</v>
      </c>
      <c r="H203" s="29">
        <v>1</v>
      </c>
      <c r="I203" s="29" t="e">
        <f t="shared" si="10"/>
        <v>#VALUE!</v>
      </c>
      <c r="J203" s="29">
        <v>3.9</v>
      </c>
      <c r="K203" s="29" t="e">
        <f>J203*F203</f>
        <v>#VALUE!</v>
      </c>
      <c r="L203" s="30"/>
      <c r="M203" s="30"/>
      <c r="N203" s="30"/>
      <c r="O203" s="30"/>
      <c r="P203" s="30"/>
      <c r="Q203" s="30"/>
      <c r="R203" s="30"/>
      <c r="S203" s="30">
        <v>0</v>
      </c>
      <c r="T203" s="26"/>
      <c r="U203" s="26"/>
      <c r="V203" s="26"/>
      <c r="W203" s="26"/>
      <c r="X203" s="26"/>
      <c r="Y203" s="26"/>
      <c r="Z203" s="26"/>
      <c r="AA203" s="26"/>
      <c r="AB203" s="26"/>
      <c r="AC203" s="26"/>
      <c r="AD203" s="26"/>
      <c r="AE203" s="26"/>
      <c r="AF203" s="26"/>
      <c r="AG203" s="26"/>
      <c r="AH203" s="26"/>
      <c r="AI203" s="26"/>
      <c r="AJ203" s="26"/>
      <c r="AK203" s="26"/>
      <c r="AL203" s="26"/>
      <c r="AM203" s="26"/>
      <c r="AN203" s="26"/>
      <c r="AO203" s="26"/>
      <c r="AP203" s="26"/>
      <c r="AQ203" s="26"/>
      <c r="AR203" s="26"/>
    </row>
    <row r="204" spans="1:44" ht="15.75" x14ac:dyDescent="0.25">
      <c r="A204" s="30"/>
      <c r="B204" s="103" t="s">
        <v>332</v>
      </c>
      <c r="C204" s="116" t="s">
        <v>413</v>
      </c>
      <c r="D204" s="117">
        <v>333411000</v>
      </c>
      <c r="E204" s="117"/>
      <c r="F204" s="106" t="e">
        <f>G204+SUMIF('[1]mouvement crepiere'!B:B,"=pompe a gallet",'[1]mouvement crepiere'!G:G)</f>
        <v>#VALUE!</v>
      </c>
      <c r="G204" s="29">
        <v>1</v>
      </c>
      <c r="H204" s="29">
        <v>1</v>
      </c>
      <c r="I204" s="29" t="e">
        <f t="shared" si="10"/>
        <v>#VALUE!</v>
      </c>
      <c r="J204" s="29"/>
      <c r="K204" s="29"/>
      <c r="L204" s="30"/>
      <c r="M204" s="3" t="s">
        <v>332</v>
      </c>
      <c r="N204" s="30"/>
      <c r="O204" s="30"/>
      <c r="P204" s="30"/>
      <c r="Q204" s="30"/>
      <c r="R204" s="30"/>
      <c r="S204" s="30">
        <v>0</v>
      </c>
      <c r="T204" s="26"/>
      <c r="U204" s="26"/>
      <c r="V204" s="26"/>
      <c r="W204" s="26"/>
      <c r="X204" s="26"/>
      <c r="Y204" s="26"/>
      <c r="Z204" s="26"/>
      <c r="AA204" s="26"/>
      <c r="AB204" s="26"/>
      <c r="AC204" s="26"/>
      <c r="AD204" s="26"/>
      <c r="AE204" s="26"/>
      <c r="AF204" s="26"/>
      <c r="AG204" s="26"/>
      <c r="AH204" s="26"/>
      <c r="AI204" s="26"/>
      <c r="AJ204" s="26"/>
      <c r="AK204" s="26"/>
      <c r="AL204" s="26"/>
      <c r="AM204" s="26"/>
      <c r="AN204" s="26"/>
      <c r="AO204" s="26"/>
      <c r="AP204" s="26"/>
      <c r="AQ204" s="26"/>
      <c r="AR204" s="26"/>
    </row>
    <row r="205" spans="1:44" ht="15.75" x14ac:dyDescent="0.25">
      <c r="A205" s="30"/>
      <c r="B205" s="103" t="s">
        <v>332</v>
      </c>
      <c r="C205" s="116" t="s">
        <v>414</v>
      </c>
      <c r="D205" s="117" t="s">
        <v>415</v>
      </c>
      <c r="E205" s="117" t="s">
        <v>416</v>
      </c>
      <c r="F205" s="106" t="e">
        <f>G205+SUMIF('[1]mouvement crepiere'!B:B,"=FRL asco numatics",'[1]mouvement crepiere'!G:G)</f>
        <v>#VALUE!</v>
      </c>
      <c r="G205" s="29">
        <v>0</v>
      </c>
      <c r="H205" s="29">
        <v>0</v>
      </c>
      <c r="I205" s="29" t="e">
        <f t="shared" si="10"/>
        <v>#VALUE!</v>
      </c>
      <c r="J205" s="29"/>
      <c r="K205" s="29"/>
      <c r="L205" s="30"/>
      <c r="M205" s="35" t="e">
        <f>SUM(K165:K205)</f>
        <v>#VALUE!</v>
      </c>
      <c r="N205" s="30"/>
      <c r="O205" s="30"/>
      <c r="P205" s="30"/>
      <c r="Q205" s="30"/>
      <c r="R205" s="30"/>
      <c r="S205" s="30">
        <v>0</v>
      </c>
      <c r="T205" s="26"/>
      <c r="U205" s="26"/>
      <c r="V205" s="26"/>
      <c r="W205" s="26"/>
      <c r="X205" s="26"/>
      <c r="Y205" s="26"/>
      <c r="Z205" s="26"/>
      <c r="AA205" s="26"/>
      <c r="AB205" s="26"/>
      <c r="AC205" s="26"/>
      <c r="AD205" s="26"/>
      <c r="AE205" s="26"/>
      <c r="AF205" s="26"/>
      <c r="AG205" s="26"/>
      <c r="AH205" s="26"/>
      <c r="AI205" s="26"/>
      <c r="AJ205" s="26"/>
      <c r="AK205" s="26"/>
      <c r="AL205" s="26"/>
      <c r="AM205" s="26"/>
      <c r="AN205" s="26"/>
      <c r="AO205" s="26"/>
      <c r="AP205" s="26"/>
      <c r="AQ205" s="26"/>
      <c r="AR205" s="26"/>
    </row>
    <row r="206" spans="1:44" ht="15.75" x14ac:dyDescent="0.25">
      <c r="A206" s="30"/>
      <c r="B206" s="13" t="s">
        <v>417</v>
      </c>
      <c r="C206" s="14" t="s">
        <v>418</v>
      </c>
      <c r="D206" s="5">
        <v>10211102</v>
      </c>
      <c r="E206" s="6" t="s">
        <v>305</v>
      </c>
      <c r="F206" s="7" t="e">
        <f>G206+SUMIF('[1]mouvement CTA'!B:B,"=filtres F7 287x592x48 CTA",'[1]mouvement CTA'!G:G)</f>
        <v>#VALUE!</v>
      </c>
      <c r="G206" s="7">
        <v>4</v>
      </c>
      <c r="H206" s="6">
        <v>4</v>
      </c>
      <c r="I206" s="2" t="e">
        <f>IF(F206&lt;H206,"/!\","-")</f>
        <v>#VALUE!</v>
      </c>
      <c r="J206" s="11">
        <v>34.31</v>
      </c>
      <c r="K206" s="17" t="e">
        <f>F206*J206</f>
        <v>#VALUE!</v>
      </c>
      <c r="L206" s="30"/>
      <c r="M206" s="30"/>
      <c r="N206" s="30"/>
      <c r="O206" s="30"/>
      <c r="P206" s="30"/>
      <c r="Q206" s="30"/>
      <c r="R206" s="30"/>
      <c r="S206" s="30">
        <v>1</v>
      </c>
      <c r="T206" s="26"/>
      <c r="U206" s="26"/>
      <c r="V206" s="26"/>
      <c r="W206" s="26"/>
      <c r="X206" s="26"/>
      <c r="Y206" s="26"/>
      <c r="Z206" s="26"/>
      <c r="AA206" s="26"/>
      <c r="AB206" s="26"/>
      <c r="AC206" s="26"/>
      <c r="AD206" s="26"/>
      <c r="AE206" s="26"/>
      <c r="AF206" s="26"/>
      <c r="AG206" s="26"/>
      <c r="AH206" s="26"/>
      <c r="AI206" s="26"/>
      <c r="AJ206" s="26"/>
      <c r="AK206" s="26"/>
      <c r="AL206" s="26"/>
      <c r="AM206" s="26"/>
      <c r="AN206" s="26"/>
      <c r="AO206" s="26"/>
      <c r="AP206" s="26"/>
      <c r="AQ206" s="26"/>
      <c r="AR206" s="26"/>
    </row>
    <row r="207" spans="1:44" ht="15.75" x14ac:dyDescent="0.25">
      <c r="A207" s="30"/>
      <c r="B207" s="13" t="s">
        <v>417</v>
      </c>
      <c r="C207" s="14" t="s">
        <v>419</v>
      </c>
      <c r="D207" s="5">
        <v>10211125</v>
      </c>
      <c r="E207" s="6" t="s">
        <v>305</v>
      </c>
      <c r="F207" s="7" t="e">
        <f>G207+SUMIF('[1]mouvement CTA'!B:B,"=filtres F7 598X498X48 CTA",'[1]mouvement CTA'!G:G)</f>
        <v>#VALUE!</v>
      </c>
      <c r="G207" s="7">
        <v>8</v>
      </c>
      <c r="H207" s="6">
        <v>8</v>
      </c>
      <c r="I207" s="2" t="e">
        <f t="shared" ref="I207:I226" si="12">IF(F207&lt;H207,"/!\","-")</f>
        <v>#VALUE!</v>
      </c>
      <c r="J207" s="11">
        <v>43.46</v>
      </c>
      <c r="K207" s="17" t="e">
        <f t="shared" ref="K207:K225" si="13">F207*J207</f>
        <v>#VALUE!</v>
      </c>
      <c r="L207" s="30"/>
      <c r="M207" s="30"/>
      <c r="N207" s="30"/>
      <c r="O207" s="30"/>
      <c r="P207" s="30"/>
      <c r="Q207" s="30"/>
      <c r="R207" s="30"/>
      <c r="S207" s="30">
        <v>0</v>
      </c>
      <c r="T207" s="26"/>
      <c r="U207" s="26"/>
      <c r="V207" s="26"/>
      <c r="W207" s="26"/>
      <c r="X207" s="26"/>
      <c r="Y207" s="26"/>
      <c r="Z207" s="26"/>
      <c r="AA207" s="26"/>
      <c r="AB207" s="26"/>
      <c r="AC207" s="26"/>
      <c r="AD207" s="26"/>
      <c r="AE207" s="26"/>
      <c r="AF207" s="26"/>
      <c r="AG207" s="26"/>
      <c r="AH207" s="26"/>
      <c r="AI207" s="26"/>
      <c r="AJ207" s="26"/>
      <c r="AK207" s="26"/>
      <c r="AL207" s="26"/>
      <c r="AM207" s="26"/>
      <c r="AN207" s="26"/>
      <c r="AO207" s="26"/>
      <c r="AP207" s="26"/>
      <c r="AQ207" s="26"/>
      <c r="AR207" s="26"/>
    </row>
    <row r="208" spans="1:44" ht="15.75" x14ac:dyDescent="0.25">
      <c r="A208" s="30"/>
      <c r="B208" s="13" t="s">
        <v>417</v>
      </c>
      <c r="C208" s="14" t="s">
        <v>420</v>
      </c>
      <c r="D208" s="5">
        <v>10485000</v>
      </c>
      <c r="E208" s="6" t="s">
        <v>305</v>
      </c>
      <c r="F208" s="7" t="e">
        <f>G208+SUMIF('[1]mouvement CTA'!B:B,"=filres G4 287x592x48 CTA",'[1]mouvement CTA'!G:G)</f>
        <v>#VALUE!</v>
      </c>
      <c r="G208" s="7">
        <v>6</v>
      </c>
      <c r="H208" s="6">
        <v>4</v>
      </c>
      <c r="I208" s="2" t="e">
        <f t="shared" si="12"/>
        <v>#VALUE!</v>
      </c>
      <c r="J208" s="11">
        <v>8.9499999999999993</v>
      </c>
      <c r="K208" s="17" t="e">
        <f t="shared" si="13"/>
        <v>#VALUE!</v>
      </c>
      <c r="L208" s="30"/>
      <c r="M208" s="30"/>
      <c r="N208" s="30"/>
      <c r="O208" s="30"/>
      <c r="P208" s="30"/>
      <c r="Q208" s="30"/>
      <c r="R208" s="30"/>
      <c r="S208" s="30">
        <v>1</v>
      </c>
      <c r="T208" s="26"/>
      <c r="U208" s="26"/>
      <c r="V208" s="26"/>
      <c r="W208" s="26"/>
      <c r="X208" s="26"/>
      <c r="Y208" s="26"/>
      <c r="Z208" s="26"/>
      <c r="AA208" s="26"/>
      <c r="AB208" s="26"/>
      <c r="AC208" s="26"/>
      <c r="AD208" s="26"/>
      <c r="AE208" s="26"/>
      <c r="AF208" s="26"/>
      <c r="AG208" s="26"/>
      <c r="AH208" s="26"/>
      <c r="AI208" s="26"/>
      <c r="AJ208" s="26"/>
      <c r="AK208" s="26"/>
      <c r="AL208" s="26"/>
      <c r="AM208" s="26"/>
      <c r="AN208" s="26"/>
      <c r="AO208" s="26"/>
      <c r="AP208" s="26"/>
      <c r="AQ208" s="26"/>
      <c r="AR208" s="26"/>
    </row>
    <row r="209" spans="1:44" ht="15.75" x14ac:dyDescent="0.25">
      <c r="A209" s="30"/>
      <c r="B209" s="13" t="s">
        <v>417</v>
      </c>
      <c r="C209" s="14" t="s">
        <v>421</v>
      </c>
      <c r="D209" s="5">
        <v>10485015</v>
      </c>
      <c r="E209" s="6" t="s">
        <v>305</v>
      </c>
      <c r="F209" s="7" t="e">
        <f>G209+SUMIF('[1]mouvement CTA'!B:B,"=filtres G4 598x498x48 CTA",'[1]mouvement CTA'!G:G)</f>
        <v>#VALUE!</v>
      </c>
      <c r="G209" s="7">
        <v>8</v>
      </c>
      <c r="H209" s="6">
        <v>8</v>
      </c>
      <c r="I209" s="2" t="e">
        <f t="shared" si="12"/>
        <v>#VALUE!</v>
      </c>
      <c r="J209" s="11">
        <v>13.13</v>
      </c>
      <c r="K209" s="17" t="e">
        <f t="shared" si="13"/>
        <v>#VALUE!</v>
      </c>
      <c r="L209" s="30"/>
      <c r="M209" s="30"/>
      <c r="N209" s="30"/>
      <c r="O209" s="30"/>
      <c r="P209" s="30"/>
      <c r="Q209" s="30"/>
      <c r="R209" s="30"/>
      <c r="S209" s="30">
        <v>0</v>
      </c>
      <c r="T209" s="26"/>
      <c r="U209" s="26"/>
      <c r="V209" s="26"/>
      <c r="W209" s="26"/>
      <c r="X209" s="26"/>
      <c r="Y209" s="26"/>
      <c r="Z209" s="26"/>
      <c r="AA209" s="26"/>
      <c r="AB209" s="26"/>
      <c r="AC209" s="26"/>
      <c r="AD209" s="26"/>
      <c r="AE209" s="26"/>
      <c r="AF209" s="26"/>
      <c r="AG209" s="26"/>
      <c r="AH209" s="26"/>
      <c r="AI209" s="26"/>
      <c r="AJ209" s="26"/>
      <c r="AK209" s="26"/>
      <c r="AL209" s="26"/>
      <c r="AM209" s="26"/>
      <c r="AN209" s="26"/>
      <c r="AO209" s="26"/>
      <c r="AP209" s="26"/>
      <c r="AQ209" s="26"/>
      <c r="AR209" s="26"/>
    </row>
    <row r="210" spans="1:44" ht="15.75" x14ac:dyDescent="0.25">
      <c r="A210" s="30"/>
      <c r="B210" s="13" t="s">
        <v>417</v>
      </c>
      <c r="C210" s="14" t="s">
        <v>422</v>
      </c>
      <c r="D210" s="5">
        <v>10485001</v>
      </c>
      <c r="E210" s="6" t="s">
        <v>305</v>
      </c>
      <c r="F210" s="7" t="e">
        <f>G210+SUMIF('[1]mouvement CTA'!B:B,"=filtres G4 592x592x48 WOLF/ROOFTOP",'[1]mouvement CTA'!G:G)</f>
        <v>#VALUE!</v>
      </c>
      <c r="G210" s="7">
        <v>8</v>
      </c>
      <c r="H210" s="6">
        <v>7</v>
      </c>
      <c r="I210" s="2" t="e">
        <f t="shared" si="12"/>
        <v>#VALUE!</v>
      </c>
      <c r="J210" s="11">
        <v>13.52</v>
      </c>
      <c r="K210" s="17" t="e">
        <f t="shared" si="13"/>
        <v>#VALUE!</v>
      </c>
      <c r="L210" s="30"/>
      <c r="M210" s="30"/>
      <c r="N210" s="30"/>
      <c r="O210" s="30"/>
      <c r="P210" s="30"/>
      <c r="Q210" s="30"/>
      <c r="R210" s="30"/>
      <c r="S210" s="30">
        <v>1</v>
      </c>
      <c r="T210" s="26"/>
      <c r="U210" s="26"/>
      <c r="V210" s="26"/>
      <c r="W210" s="26"/>
      <c r="X210" s="26"/>
      <c r="Y210" s="26"/>
      <c r="Z210" s="26"/>
      <c r="AA210" s="26"/>
      <c r="AB210" s="26"/>
      <c r="AC210" s="26"/>
      <c r="AD210" s="26"/>
      <c r="AE210" s="26"/>
      <c r="AF210" s="26"/>
      <c r="AG210" s="26"/>
      <c r="AH210" s="26"/>
      <c r="AI210" s="26"/>
      <c r="AJ210" s="26"/>
      <c r="AK210" s="26"/>
      <c r="AL210" s="26"/>
      <c r="AM210" s="26"/>
      <c r="AN210" s="26"/>
      <c r="AO210" s="26"/>
      <c r="AP210" s="26"/>
      <c r="AQ210" s="26"/>
      <c r="AR210" s="26"/>
    </row>
    <row r="211" spans="1:44" ht="15.75" x14ac:dyDescent="0.25">
      <c r="A211" s="30"/>
      <c r="B211" s="13" t="s">
        <v>417</v>
      </c>
      <c r="C211" s="14" t="s">
        <v>423</v>
      </c>
      <c r="D211" s="5">
        <v>10211103</v>
      </c>
      <c r="E211" s="6" t="s">
        <v>305</v>
      </c>
      <c r="F211" s="7" t="e">
        <f>G211+SUMIF('[1]mouvement CTA'!B:B,"=filtres F7 592x592x48 WOLF/ROOFTOP",'[1]mouvement CTA'!G:G)</f>
        <v>#VALUE!</v>
      </c>
      <c r="G211" s="7">
        <v>8</v>
      </c>
      <c r="H211" s="6">
        <v>7</v>
      </c>
      <c r="I211" s="2" t="e">
        <f t="shared" si="12"/>
        <v>#VALUE!</v>
      </c>
      <c r="J211" s="11">
        <v>49.9</v>
      </c>
      <c r="K211" s="17" t="e">
        <f t="shared" si="13"/>
        <v>#VALUE!</v>
      </c>
      <c r="L211" s="30"/>
      <c r="M211" s="30"/>
      <c r="N211" s="30"/>
      <c r="O211" s="30"/>
      <c r="P211" s="30"/>
      <c r="Q211" s="30"/>
      <c r="R211" s="30"/>
      <c r="S211" s="30">
        <v>1</v>
      </c>
      <c r="T211" s="26"/>
      <c r="U211" s="26"/>
      <c r="V211" s="26"/>
      <c r="W211" s="26"/>
      <c r="X211" s="26"/>
      <c r="Y211" s="26"/>
      <c r="Z211" s="26"/>
      <c r="AA211" s="26"/>
      <c r="AB211" s="26"/>
      <c r="AC211" s="26"/>
      <c r="AD211" s="26"/>
      <c r="AE211" s="26"/>
      <c r="AF211" s="26"/>
      <c r="AG211" s="26"/>
      <c r="AH211" s="26"/>
      <c r="AI211" s="26"/>
      <c r="AJ211" s="26"/>
      <c r="AK211" s="26"/>
      <c r="AL211" s="26"/>
      <c r="AM211" s="26"/>
      <c r="AN211" s="26"/>
      <c r="AO211" s="26"/>
      <c r="AP211" s="26"/>
      <c r="AQ211" s="26"/>
      <c r="AR211" s="26"/>
    </row>
    <row r="212" spans="1:44" ht="15.75" x14ac:dyDescent="0.25">
      <c r="A212" s="30"/>
      <c r="B212" s="13" t="s">
        <v>417</v>
      </c>
      <c r="C212" s="14" t="s">
        <v>424</v>
      </c>
      <c r="D212" s="5" t="s">
        <v>22</v>
      </c>
      <c r="E212" s="6" t="s">
        <v>425</v>
      </c>
      <c r="F212" s="7" t="e">
        <f>G212+SUMIF('[1]mouvement CTA'!B:B,"=gaine textile spirale",'[1]mouvement CTA'!G:G)</f>
        <v>#VALUE!</v>
      </c>
      <c r="G212" s="7">
        <v>1</v>
      </c>
      <c r="H212" s="6">
        <v>1</v>
      </c>
      <c r="I212" s="2" t="e">
        <f t="shared" si="12"/>
        <v>#VALUE!</v>
      </c>
      <c r="J212" s="11">
        <v>2482.4</v>
      </c>
      <c r="K212" s="17" t="e">
        <f t="shared" si="13"/>
        <v>#VALUE!</v>
      </c>
      <c r="L212" s="30"/>
      <c r="M212" s="3" t="s">
        <v>417</v>
      </c>
      <c r="N212" s="30"/>
      <c r="O212" s="30"/>
      <c r="P212" s="30"/>
      <c r="Q212" s="30"/>
      <c r="R212" s="30"/>
      <c r="S212" s="30">
        <v>1</v>
      </c>
      <c r="T212" s="26"/>
      <c r="U212" s="26"/>
      <c r="V212" s="26"/>
      <c r="W212" s="26"/>
      <c r="X212" s="26"/>
      <c r="Y212" s="26"/>
      <c r="Z212" s="26"/>
      <c r="AA212" s="26"/>
      <c r="AB212" s="26"/>
      <c r="AC212" s="26"/>
      <c r="AD212" s="26"/>
      <c r="AE212" s="26"/>
      <c r="AF212" s="26"/>
      <c r="AG212" s="26"/>
      <c r="AH212" s="26"/>
      <c r="AI212" s="26"/>
      <c r="AJ212" s="26"/>
      <c r="AK212" s="26"/>
      <c r="AL212" s="26"/>
      <c r="AM212" s="26"/>
      <c r="AN212" s="26"/>
      <c r="AO212" s="26"/>
      <c r="AP212" s="26"/>
      <c r="AQ212" s="26"/>
      <c r="AR212" s="26"/>
    </row>
    <row r="213" spans="1:44" ht="15.75" x14ac:dyDescent="0.25">
      <c r="A213" s="30"/>
      <c r="B213" s="13" t="s">
        <v>417</v>
      </c>
      <c r="C213" s="14" t="s">
        <v>426</v>
      </c>
      <c r="D213" s="118" t="s">
        <v>22</v>
      </c>
      <c r="E213" s="6" t="s">
        <v>425</v>
      </c>
      <c r="F213" s="7" t="e">
        <f>G213+SUMIF('[1]mouvement CTA'!B:B,"=gaine textile salle jaune",'[1]mouvement CTA'!G:G)</f>
        <v>#VALUE!</v>
      </c>
      <c r="G213" s="7">
        <v>2</v>
      </c>
      <c r="H213" s="6">
        <v>2</v>
      </c>
      <c r="I213" s="2" t="e">
        <f t="shared" si="12"/>
        <v>#VALUE!</v>
      </c>
      <c r="J213" s="11">
        <v>864.2</v>
      </c>
      <c r="K213" s="17" t="e">
        <f t="shared" si="13"/>
        <v>#VALUE!</v>
      </c>
      <c r="L213" s="30"/>
      <c r="M213" s="35" t="e">
        <f>SUM(K206:K213)</f>
        <v>#VALUE!</v>
      </c>
      <c r="N213" s="30"/>
      <c r="O213" s="30"/>
      <c r="P213" s="30"/>
      <c r="Q213" s="30"/>
      <c r="R213" s="30"/>
      <c r="S213" s="30">
        <v>1</v>
      </c>
      <c r="T213" s="26"/>
      <c r="U213" s="26"/>
      <c r="V213" s="26"/>
      <c r="W213" s="26"/>
      <c r="X213" s="26"/>
      <c r="Y213" s="26"/>
      <c r="Z213" s="26"/>
      <c r="AA213" s="26"/>
      <c r="AB213" s="26"/>
      <c r="AC213" s="26"/>
      <c r="AD213" s="26"/>
      <c r="AE213" s="26"/>
      <c r="AF213" s="26"/>
      <c r="AG213" s="26"/>
      <c r="AH213" s="26"/>
      <c r="AI213" s="26"/>
      <c r="AJ213" s="26"/>
      <c r="AK213" s="26"/>
      <c r="AL213" s="26"/>
      <c r="AM213" s="26"/>
      <c r="AN213" s="26"/>
      <c r="AO213" s="26"/>
      <c r="AP213" s="26"/>
      <c r="AQ213" s="26"/>
      <c r="AR213" s="26"/>
    </row>
    <row r="214" spans="1:44" ht="15.75" x14ac:dyDescent="0.25">
      <c r="A214" s="30"/>
      <c r="B214" s="13" t="s">
        <v>427</v>
      </c>
      <c r="C214" s="14" t="s">
        <v>428</v>
      </c>
      <c r="D214" s="5" t="s">
        <v>22</v>
      </c>
      <c r="E214" s="6" t="s">
        <v>22</v>
      </c>
      <c r="F214" s="7" t="e">
        <f>G214+SUMIF('[1]mouvement DDM'!B:B,"=cellule barrière détection métaux",'[1]mouvement DDM'!G:G)</f>
        <v>#VALUE!</v>
      </c>
      <c r="G214" s="7">
        <v>0</v>
      </c>
      <c r="H214" s="6">
        <v>1</v>
      </c>
      <c r="I214" s="2" t="e">
        <f t="shared" si="12"/>
        <v>#VALUE!</v>
      </c>
      <c r="J214" s="11">
        <v>0</v>
      </c>
      <c r="K214" s="17" t="e">
        <f t="shared" si="13"/>
        <v>#VALUE!</v>
      </c>
      <c r="L214" s="30"/>
      <c r="M214" s="30"/>
      <c r="N214" s="30"/>
      <c r="O214" s="30"/>
      <c r="P214" s="30"/>
      <c r="Q214" s="30"/>
      <c r="R214" s="30"/>
      <c r="S214" s="30">
        <v>1</v>
      </c>
      <c r="T214" s="26"/>
      <c r="U214" s="26"/>
      <c r="V214" s="26"/>
      <c r="W214" s="26"/>
      <c r="X214" s="26"/>
      <c r="Y214" s="26"/>
      <c r="Z214" s="26"/>
      <c r="AA214" s="26"/>
      <c r="AB214" s="26"/>
      <c r="AC214" s="26"/>
      <c r="AD214" s="26"/>
      <c r="AE214" s="26"/>
      <c r="AF214" s="26"/>
      <c r="AG214" s="26"/>
      <c r="AH214" s="26"/>
      <c r="AI214" s="26"/>
      <c r="AJ214" s="26"/>
      <c r="AK214" s="26"/>
      <c r="AL214" s="26"/>
      <c r="AM214" s="26"/>
      <c r="AN214" s="26"/>
      <c r="AO214" s="26"/>
      <c r="AP214" s="26"/>
      <c r="AQ214" s="26"/>
      <c r="AR214" s="26"/>
    </row>
    <row r="215" spans="1:44" ht="15.75" x14ac:dyDescent="0.25">
      <c r="A215" s="30"/>
      <c r="B215" s="13" t="s">
        <v>427</v>
      </c>
      <c r="C215" s="14" t="s">
        <v>429</v>
      </c>
      <c r="D215" s="5" t="s">
        <v>22</v>
      </c>
      <c r="E215" s="6" t="s">
        <v>22</v>
      </c>
      <c r="F215" s="7" t="e">
        <f>G215+SUMIF('[1]mouvement DDM'!B:B,"=cellule barrière balance pondérale",'[1]mouvement DDM'!G:G)</f>
        <v>#VALUE!</v>
      </c>
      <c r="G215" s="7">
        <v>0</v>
      </c>
      <c r="H215" s="6">
        <v>1</v>
      </c>
      <c r="I215" s="2" t="e">
        <f t="shared" si="12"/>
        <v>#VALUE!</v>
      </c>
      <c r="J215" s="11">
        <v>0</v>
      </c>
      <c r="K215" s="17" t="e">
        <f t="shared" si="13"/>
        <v>#VALUE!</v>
      </c>
      <c r="L215" s="30"/>
      <c r="M215" s="30"/>
      <c r="N215" s="30"/>
      <c r="O215" s="30"/>
      <c r="P215" s="30"/>
      <c r="Q215" s="30"/>
      <c r="R215" s="30"/>
      <c r="S215" s="30">
        <v>0</v>
      </c>
      <c r="T215" s="26"/>
      <c r="U215" s="26"/>
      <c r="V215" s="26"/>
      <c r="W215" s="26"/>
      <c r="X215" s="26"/>
      <c r="Y215" s="26"/>
      <c r="Z215" s="26"/>
      <c r="AA215" s="26"/>
      <c r="AB215" s="26"/>
      <c r="AC215" s="26"/>
      <c r="AD215" s="26"/>
      <c r="AE215" s="26"/>
      <c r="AF215" s="26"/>
      <c r="AG215" s="26"/>
      <c r="AH215" s="26"/>
      <c r="AI215" s="26"/>
      <c r="AJ215" s="26"/>
      <c r="AK215" s="26"/>
      <c r="AL215" s="26"/>
      <c r="AM215" s="26"/>
      <c r="AN215" s="26"/>
      <c r="AO215" s="26"/>
      <c r="AP215" s="26"/>
      <c r="AQ215" s="26"/>
      <c r="AR215" s="26"/>
    </row>
    <row r="216" spans="1:44" ht="15.75" x14ac:dyDescent="0.25">
      <c r="A216" s="30"/>
      <c r="B216" s="13" t="s">
        <v>427</v>
      </c>
      <c r="C216" s="14" t="s">
        <v>430</v>
      </c>
      <c r="D216" s="5" t="s">
        <v>22</v>
      </c>
      <c r="E216" s="6" t="s">
        <v>22</v>
      </c>
      <c r="F216" s="7" t="e">
        <f>G216+SUMIF('[1]mouvement DDM'!B:B,"=Courroie crantée (10T5 / 185DIN 7721 KEV)",'[1]mouvement DDM'!G:G)</f>
        <v>#VALUE!</v>
      </c>
      <c r="G216" s="7">
        <v>4</v>
      </c>
      <c r="H216" s="6">
        <v>1</v>
      </c>
      <c r="I216" s="2" t="e">
        <f t="shared" si="12"/>
        <v>#VALUE!</v>
      </c>
      <c r="J216" s="11">
        <v>6.73</v>
      </c>
      <c r="K216" s="17" t="e">
        <f t="shared" si="13"/>
        <v>#VALUE!</v>
      </c>
      <c r="L216" s="30"/>
      <c r="M216" s="30"/>
      <c r="N216" s="30"/>
      <c r="O216" s="30"/>
      <c r="P216" s="30"/>
      <c r="Q216" s="30"/>
      <c r="R216" s="30"/>
      <c r="S216" s="30">
        <v>0</v>
      </c>
      <c r="T216" s="26"/>
      <c r="U216" s="26"/>
      <c r="V216" s="26"/>
      <c r="W216" s="26"/>
      <c r="X216" s="26"/>
      <c r="Y216" s="26"/>
      <c r="Z216" s="26"/>
      <c r="AA216" s="26"/>
      <c r="AB216" s="26"/>
      <c r="AC216" s="26"/>
      <c r="AD216" s="26"/>
      <c r="AE216" s="26"/>
      <c r="AF216" s="26"/>
      <c r="AG216" s="26"/>
      <c r="AH216" s="26"/>
      <c r="AI216" s="26"/>
      <c r="AJ216" s="26"/>
      <c r="AK216" s="26"/>
      <c r="AL216" s="26"/>
      <c r="AM216" s="26"/>
      <c r="AN216" s="26"/>
      <c r="AO216" s="26"/>
      <c r="AP216" s="26"/>
      <c r="AQ216" s="26"/>
      <c r="AR216" s="26"/>
    </row>
    <row r="217" spans="1:44" ht="15.75" x14ac:dyDescent="0.25">
      <c r="A217" s="30"/>
      <c r="B217" s="13" t="s">
        <v>427</v>
      </c>
      <c r="C217" s="14" t="s">
        <v>431</v>
      </c>
      <c r="D217" s="5" t="s">
        <v>22</v>
      </c>
      <c r="E217" s="6" t="s">
        <v>22</v>
      </c>
      <c r="F217" s="7" t="e">
        <f>G217+SUMIF('[1]mouvement DDM'!B:B,"=electrovanne 5/2 24VDC",'[1]mouvement DDM'!G:G)</f>
        <v>#VALUE!</v>
      </c>
      <c r="G217" s="7">
        <v>0</v>
      </c>
      <c r="H217" s="6">
        <v>1</v>
      </c>
      <c r="I217" s="2" t="e">
        <f t="shared" si="12"/>
        <v>#VALUE!</v>
      </c>
      <c r="J217" s="11">
        <v>0</v>
      </c>
      <c r="K217" s="17" t="e">
        <f t="shared" si="13"/>
        <v>#VALUE!</v>
      </c>
      <c r="L217" s="30"/>
      <c r="M217" s="30"/>
      <c r="N217" s="30"/>
      <c r="O217" s="30"/>
      <c r="P217" s="30"/>
      <c r="Q217" s="30"/>
      <c r="R217" s="30"/>
      <c r="S217" s="30">
        <v>0</v>
      </c>
      <c r="T217" s="26"/>
      <c r="U217" s="26"/>
      <c r="V217" s="26"/>
      <c r="W217" s="26"/>
      <c r="X217" s="26"/>
      <c r="Y217" s="26"/>
      <c r="Z217" s="26"/>
      <c r="AA217" s="26"/>
      <c r="AB217" s="26"/>
      <c r="AC217" s="26"/>
      <c r="AD217" s="26"/>
      <c r="AE217" s="26"/>
      <c r="AF217" s="26"/>
      <c r="AG217" s="26"/>
      <c r="AH217" s="26"/>
      <c r="AI217" s="26"/>
      <c r="AJ217" s="26"/>
      <c r="AK217" s="26"/>
      <c r="AL217" s="26"/>
      <c r="AM217" s="26"/>
      <c r="AN217" s="26"/>
      <c r="AO217" s="26"/>
      <c r="AP217" s="26"/>
      <c r="AQ217" s="26"/>
      <c r="AR217" s="26"/>
    </row>
    <row r="218" spans="1:44" ht="15.75" x14ac:dyDescent="0.25">
      <c r="A218" s="30"/>
      <c r="B218" s="13" t="s">
        <v>427</v>
      </c>
      <c r="C218" s="14" t="s">
        <v>432</v>
      </c>
      <c r="D218" s="5" t="s">
        <v>433</v>
      </c>
      <c r="E218" s="6" t="s">
        <v>22</v>
      </c>
      <c r="F218" s="7" t="e">
        <f>G218+SUMIF('[1]mouvement DDM'!B:B,"=Vérin 25/200 dw ISO 6432",'[1]mouvement DDM'!G:G)</f>
        <v>#VALUE!</v>
      </c>
      <c r="G218" s="7">
        <v>1</v>
      </c>
      <c r="H218" s="6">
        <v>1</v>
      </c>
      <c r="I218" s="2" t="e">
        <f t="shared" si="12"/>
        <v>#VALUE!</v>
      </c>
      <c r="J218" s="11">
        <v>175</v>
      </c>
      <c r="K218" s="17" t="e">
        <f t="shared" si="13"/>
        <v>#VALUE!</v>
      </c>
      <c r="L218" s="30"/>
      <c r="M218" s="13" t="s">
        <v>427</v>
      </c>
      <c r="N218" s="30"/>
      <c r="O218" s="30"/>
      <c r="P218" s="30"/>
      <c r="Q218" s="30"/>
      <c r="R218" s="30"/>
      <c r="S218" s="30">
        <v>1</v>
      </c>
      <c r="T218" s="26"/>
      <c r="U218" s="26"/>
      <c r="V218" s="26"/>
      <c r="W218" s="26"/>
      <c r="X218" s="26"/>
      <c r="Y218" s="26"/>
      <c r="Z218" s="26"/>
      <c r="AA218" s="26"/>
      <c r="AB218" s="26"/>
      <c r="AC218" s="26"/>
      <c r="AD218" s="26"/>
      <c r="AE218" s="26"/>
      <c r="AF218" s="26"/>
      <c r="AG218" s="26"/>
      <c r="AH218" s="26"/>
      <c r="AI218" s="26"/>
      <c r="AJ218" s="26"/>
      <c r="AK218" s="26"/>
      <c r="AL218" s="26"/>
      <c r="AM218" s="26"/>
      <c r="AN218" s="26"/>
      <c r="AO218" s="26"/>
      <c r="AP218" s="26"/>
      <c r="AQ218" s="26"/>
      <c r="AR218" s="26"/>
    </row>
    <row r="219" spans="1:44" ht="15.75" x14ac:dyDescent="0.25">
      <c r="A219" s="30"/>
      <c r="B219" s="13" t="s">
        <v>427</v>
      </c>
      <c r="C219" s="14" t="s">
        <v>434</v>
      </c>
      <c r="D219" s="5" t="s">
        <v>435</v>
      </c>
      <c r="E219" s="3" t="s">
        <v>22</v>
      </c>
      <c r="F219" s="7" t="e">
        <f>G219+SUMIF('[1]mouvement DDM'!B:B,"=Alimentation 150w 24vCC",'[1]mouvement DDM'!G:G)</f>
        <v>#VALUE!</v>
      </c>
      <c r="G219" s="7">
        <v>0</v>
      </c>
      <c r="H219" s="6">
        <v>1</v>
      </c>
      <c r="I219" s="2" t="e">
        <f t="shared" si="12"/>
        <v>#VALUE!</v>
      </c>
      <c r="J219" s="11">
        <v>41.7</v>
      </c>
      <c r="K219" s="17" t="e">
        <f t="shared" si="13"/>
        <v>#VALUE!</v>
      </c>
      <c r="L219" s="30"/>
      <c r="M219" s="35" t="e">
        <f>SUM(K214:K219)</f>
        <v>#VALUE!</v>
      </c>
      <c r="N219" s="30"/>
      <c r="O219" s="30"/>
      <c r="P219" s="30"/>
      <c r="Q219" s="30"/>
      <c r="R219" s="30"/>
      <c r="S219" s="30">
        <v>0</v>
      </c>
      <c r="T219" s="26"/>
      <c r="U219" s="26"/>
      <c r="V219" s="26"/>
      <c r="W219" s="26"/>
      <c r="X219" s="26"/>
      <c r="Y219" s="26"/>
      <c r="Z219" s="26"/>
      <c r="AA219" s="26"/>
      <c r="AB219" s="26"/>
      <c r="AC219" s="26"/>
      <c r="AD219" s="26"/>
      <c r="AE219" s="26"/>
      <c r="AF219" s="26"/>
      <c r="AG219" s="26"/>
      <c r="AH219" s="26"/>
      <c r="AI219" s="26"/>
      <c r="AJ219" s="26"/>
      <c r="AK219" s="26"/>
      <c r="AL219" s="26"/>
      <c r="AM219" s="26"/>
      <c r="AN219" s="26"/>
      <c r="AO219" s="26"/>
      <c r="AP219" s="26"/>
      <c r="AQ219" s="26"/>
      <c r="AR219" s="26"/>
    </row>
    <row r="220" spans="1:44" ht="15.75" x14ac:dyDescent="0.25">
      <c r="A220" s="30"/>
      <c r="B220" s="13" t="s">
        <v>436</v>
      </c>
      <c r="C220" s="97" t="s">
        <v>437</v>
      </c>
      <c r="D220" s="119" t="s">
        <v>438</v>
      </c>
      <c r="E220" s="120" t="s">
        <v>26</v>
      </c>
      <c r="F220" s="7" t="e">
        <f>G220+SUMIF('[1]mouvement desinsectiseur'!B:B,"=Néon anti insectes",'[1]mouvement desinsectiseur'!G:G)</f>
        <v>#VALUE!</v>
      </c>
      <c r="G220" s="7">
        <v>4</v>
      </c>
      <c r="H220" s="6">
        <v>2</v>
      </c>
      <c r="I220" s="1" t="e">
        <f t="shared" si="12"/>
        <v>#VALUE!</v>
      </c>
      <c r="J220" s="121">
        <v>10.58</v>
      </c>
      <c r="K220" s="12" t="e">
        <f t="shared" si="13"/>
        <v>#VALUE!</v>
      </c>
      <c r="L220" s="30"/>
      <c r="M220" s="13" t="s">
        <v>436</v>
      </c>
      <c r="N220" s="30"/>
      <c r="O220" s="30"/>
      <c r="P220" s="30"/>
      <c r="Q220" s="30"/>
      <c r="R220" s="30"/>
      <c r="S220" s="30">
        <v>1</v>
      </c>
      <c r="T220" s="26"/>
      <c r="U220" s="26"/>
      <c r="V220" s="26"/>
      <c r="W220" s="26"/>
      <c r="X220" s="26"/>
      <c r="Y220" s="26"/>
      <c r="Z220" s="26"/>
      <c r="AA220" s="26"/>
      <c r="AB220" s="26"/>
      <c r="AC220" s="26"/>
      <c r="AD220" s="26"/>
      <c r="AE220" s="26"/>
      <c r="AF220" s="26"/>
      <c r="AG220" s="26"/>
      <c r="AH220" s="26"/>
      <c r="AI220" s="26"/>
      <c r="AJ220" s="26"/>
      <c r="AK220" s="26"/>
      <c r="AL220" s="26"/>
      <c r="AM220" s="26"/>
      <c r="AN220" s="26"/>
      <c r="AO220" s="26"/>
      <c r="AP220" s="26"/>
      <c r="AQ220" s="26"/>
      <c r="AR220" s="26"/>
    </row>
    <row r="221" spans="1:44" ht="15.75" x14ac:dyDescent="0.25">
      <c r="A221" s="30"/>
      <c r="B221" s="13" t="s">
        <v>436</v>
      </c>
      <c r="C221" s="14" t="s">
        <v>439</v>
      </c>
      <c r="D221" s="119" t="s">
        <v>440</v>
      </c>
      <c r="E221" s="120" t="s">
        <v>26</v>
      </c>
      <c r="F221" s="7" t="e">
        <f>G221+SUMIF('[1]mouvement desinsectiseur'!B:B,"=Starter 151 pour néons anti insectes",'[1]mouvement desinsectiseur'!G:G)</f>
        <v>#VALUE!</v>
      </c>
      <c r="G221" s="7">
        <v>8</v>
      </c>
      <c r="H221" s="6">
        <v>2</v>
      </c>
      <c r="I221" s="1" t="e">
        <f t="shared" si="12"/>
        <v>#VALUE!</v>
      </c>
      <c r="J221" s="121">
        <v>0.53200000000000003</v>
      </c>
      <c r="K221" s="12" t="e">
        <f t="shared" si="13"/>
        <v>#VALUE!</v>
      </c>
      <c r="L221" s="30"/>
      <c r="M221" s="35" t="e">
        <f>SUM(K220:K221)</f>
        <v>#VALUE!</v>
      </c>
      <c r="N221" s="30"/>
      <c r="O221" s="30"/>
      <c r="P221" s="30"/>
      <c r="Q221" s="30"/>
      <c r="R221" s="30"/>
      <c r="S221" s="30">
        <v>0</v>
      </c>
      <c r="T221" s="26"/>
      <c r="U221" s="26"/>
      <c r="V221" s="26"/>
      <c r="W221" s="26"/>
      <c r="X221" s="26"/>
      <c r="Y221" s="26"/>
      <c r="Z221" s="26"/>
      <c r="AA221" s="26"/>
      <c r="AB221" s="26"/>
      <c r="AC221" s="26"/>
      <c r="AD221" s="26"/>
      <c r="AE221" s="26"/>
      <c r="AF221" s="26"/>
      <c r="AG221" s="26"/>
      <c r="AH221" s="26"/>
      <c r="AI221" s="26"/>
      <c r="AJ221" s="26"/>
      <c r="AK221" s="26"/>
      <c r="AL221" s="26"/>
      <c r="AM221" s="26"/>
      <c r="AN221" s="26"/>
      <c r="AO221" s="26"/>
      <c r="AP221" s="26"/>
      <c r="AQ221" s="26"/>
      <c r="AR221" s="26"/>
    </row>
    <row r="222" spans="1:44" ht="15.75" x14ac:dyDescent="0.25">
      <c r="A222" s="30"/>
      <c r="B222" s="13" t="s">
        <v>441</v>
      </c>
      <c r="C222" s="97" t="s">
        <v>442</v>
      </c>
      <c r="D222" s="119" t="s">
        <v>443</v>
      </c>
      <c r="E222" s="118" t="s">
        <v>444</v>
      </c>
      <c r="F222" s="7" t="e">
        <f>G222+SUMIF('[1]mouvement doseur d''eau'!B:B,"=façade sorema",'[1]mouvement doseur d''eau'!G:G)</f>
        <v>#VALUE!</v>
      </c>
      <c r="G222" s="7">
        <v>0</v>
      </c>
      <c r="H222" s="6">
        <v>1</v>
      </c>
      <c r="I222" s="2" t="e">
        <f t="shared" si="12"/>
        <v>#VALUE!</v>
      </c>
      <c r="J222" s="11">
        <v>40.4</v>
      </c>
      <c r="K222" s="17" t="e">
        <f t="shared" si="13"/>
        <v>#VALUE!</v>
      </c>
      <c r="L222" s="30"/>
      <c r="M222" s="30"/>
      <c r="N222" s="30"/>
      <c r="O222" s="30"/>
      <c r="P222" s="30"/>
      <c r="Q222" s="30"/>
      <c r="R222" s="30"/>
      <c r="S222" s="30">
        <v>1</v>
      </c>
      <c r="T222" s="26"/>
      <c r="U222" s="26"/>
      <c r="V222" s="26"/>
      <c r="W222" s="26"/>
      <c r="X222" s="26"/>
      <c r="Y222" s="26"/>
      <c r="Z222" s="26"/>
      <c r="AA222" s="26"/>
      <c r="AB222" s="26"/>
      <c r="AC222" s="26"/>
      <c r="AD222" s="26"/>
      <c r="AE222" s="26"/>
      <c r="AF222" s="26"/>
      <c r="AG222" s="26"/>
      <c r="AH222" s="26"/>
      <c r="AI222" s="26"/>
      <c r="AJ222" s="26"/>
      <c r="AK222" s="26"/>
      <c r="AL222" s="26"/>
      <c r="AM222" s="26"/>
      <c r="AN222" s="26"/>
      <c r="AO222" s="26"/>
      <c r="AP222" s="26"/>
      <c r="AQ222" s="26"/>
      <c r="AR222" s="26"/>
    </row>
    <row r="223" spans="1:44" ht="15.75" x14ac:dyDescent="0.25">
      <c r="A223" s="30"/>
      <c r="B223" s="13" t="s">
        <v>441</v>
      </c>
      <c r="C223" s="14" t="s">
        <v>445</v>
      </c>
      <c r="D223" s="119" t="s">
        <v>446</v>
      </c>
      <c r="E223" s="118" t="s">
        <v>444</v>
      </c>
      <c r="F223" s="7" t="e">
        <f>G223+SUMIF('[1]mouvement doseur d''eau'!B:B,"=pastilles double face facade carte",'[1]mouvement doseur d''eau'!G:G)</f>
        <v>#VALUE!</v>
      </c>
      <c r="G223" s="7">
        <v>0</v>
      </c>
      <c r="H223" s="6">
        <v>4</v>
      </c>
      <c r="I223" s="2" t="e">
        <f t="shared" si="12"/>
        <v>#VALUE!</v>
      </c>
      <c r="J223" s="11">
        <v>2.5</v>
      </c>
      <c r="K223" s="17" t="e">
        <f t="shared" si="13"/>
        <v>#VALUE!</v>
      </c>
      <c r="L223" s="30"/>
      <c r="M223" s="30"/>
      <c r="N223" s="30"/>
      <c r="O223" s="30"/>
      <c r="P223" s="30"/>
      <c r="Q223" s="30"/>
      <c r="R223" s="30"/>
      <c r="S223" s="30">
        <v>1</v>
      </c>
      <c r="T223" s="26"/>
      <c r="U223" s="26"/>
      <c r="V223" s="26"/>
      <c r="W223" s="26"/>
      <c r="X223" s="26"/>
      <c r="Y223" s="26"/>
      <c r="Z223" s="26"/>
      <c r="AA223" s="26"/>
      <c r="AB223" s="26"/>
      <c r="AC223" s="26"/>
      <c r="AD223" s="26"/>
      <c r="AE223" s="26"/>
      <c r="AF223" s="26"/>
      <c r="AG223" s="26"/>
      <c r="AH223" s="26"/>
      <c r="AI223" s="26"/>
      <c r="AJ223" s="26"/>
      <c r="AK223" s="26"/>
      <c r="AL223" s="26"/>
      <c r="AM223" s="26"/>
      <c r="AN223" s="26"/>
      <c r="AO223" s="26"/>
      <c r="AP223" s="26"/>
      <c r="AQ223" s="26"/>
      <c r="AR223" s="26"/>
    </row>
    <row r="224" spans="1:44" ht="15.75" x14ac:dyDescent="0.25">
      <c r="A224" s="30"/>
      <c r="B224" s="13" t="s">
        <v>441</v>
      </c>
      <c r="C224" s="14" t="s">
        <v>447</v>
      </c>
      <c r="D224" s="119" t="s">
        <v>448</v>
      </c>
      <c r="E224" s="118" t="s">
        <v>444</v>
      </c>
      <c r="F224" s="7" t="e">
        <f>G224+SUMIF('[1]mouvement doseur d''eau'!B:B,"=réducteur de pression",'[1]mouvement doseur d''eau'!G:G)</f>
        <v>#VALUE!</v>
      </c>
      <c r="G224" s="7">
        <v>1</v>
      </c>
      <c r="H224" s="6">
        <v>1</v>
      </c>
      <c r="I224" s="2" t="e">
        <f t="shared" si="12"/>
        <v>#VALUE!</v>
      </c>
      <c r="J224" s="11">
        <v>57.38</v>
      </c>
      <c r="K224" s="17" t="e">
        <f t="shared" si="13"/>
        <v>#VALUE!</v>
      </c>
      <c r="L224" s="30"/>
      <c r="M224" s="30"/>
      <c r="N224" s="30"/>
      <c r="O224" s="30"/>
      <c r="P224" s="30"/>
      <c r="Q224" s="30"/>
      <c r="R224" s="30"/>
      <c r="S224" s="30">
        <v>1</v>
      </c>
      <c r="T224" s="26"/>
      <c r="U224" s="26"/>
      <c r="V224" s="26"/>
      <c r="W224" s="26"/>
      <c r="X224" s="26"/>
      <c r="Y224" s="26"/>
      <c r="Z224" s="26"/>
      <c r="AA224" s="26"/>
      <c r="AB224" s="26"/>
      <c r="AC224" s="26"/>
      <c r="AD224" s="26"/>
      <c r="AE224" s="26"/>
      <c r="AF224" s="26"/>
      <c r="AG224" s="26"/>
      <c r="AH224" s="26"/>
      <c r="AI224" s="26"/>
      <c r="AJ224" s="26"/>
      <c r="AK224" s="26"/>
      <c r="AL224" s="26"/>
      <c r="AM224" s="26"/>
      <c r="AN224" s="26"/>
      <c r="AO224" s="26"/>
      <c r="AP224" s="26"/>
      <c r="AQ224" s="26"/>
      <c r="AR224" s="26"/>
    </row>
    <row r="225" spans="1:44" ht="15.75" x14ac:dyDescent="0.25">
      <c r="A225" s="30"/>
      <c r="B225" s="13" t="s">
        <v>441</v>
      </c>
      <c r="C225" s="14" t="s">
        <v>449</v>
      </c>
      <c r="D225" s="119" t="s">
        <v>450</v>
      </c>
      <c r="E225" s="118" t="s">
        <v>444</v>
      </c>
      <c r="F225" s="7" t="e">
        <f>G225+SUMIF('[1]mouvement doseur d''eau'!B:B,"=manette régulateur de t°",'[1]mouvement doseur d''eau'!G:G)</f>
        <v>#VALUE!</v>
      </c>
      <c r="G225" s="7">
        <v>1</v>
      </c>
      <c r="H225" s="6">
        <v>1</v>
      </c>
      <c r="I225" s="2" t="e">
        <f t="shared" si="12"/>
        <v>#VALUE!</v>
      </c>
      <c r="J225" s="11">
        <v>47.85</v>
      </c>
      <c r="K225" s="17" t="e">
        <f t="shared" si="13"/>
        <v>#VALUE!</v>
      </c>
      <c r="L225" s="30"/>
      <c r="M225" s="13" t="s">
        <v>441</v>
      </c>
      <c r="N225" s="30"/>
      <c r="O225" s="30"/>
      <c r="P225" s="30"/>
      <c r="Q225" s="30"/>
      <c r="R225" s="30"/>
      <c r="S225" s="30">
        <v>1</v>
      </c>
      <c r="T225" s="26"/>
      <c r="U225" s="26"/>
      <c r="V225" s="26"/>
      <c r="W225" s="26"/>
      <c r="X225" s="26"/>
      <c r="Y225" s="26"/>
      <c r="Z225" s="26"/>
      <c r="AA225" s="26"/>
      <c r="AB225" s="26"/>
      <c r="AC225" s="26"/>
      <c r="AD225" s="26"/>
      <c r="AE225" s="26"/>
      <c r="AF225" s="26"/>
      <c r="AG225" s="26"/>
      <c r="AH225" s="26"/>
      <c r="AI225" s="26"/>
      <c r="AJ225" s="26"/>
      <c r="AK225" s="26"/>
      <c r="AL225" s="26"/>
      <c r="AM225" s="26"/>
      <c r="AN225" s="26"/>
      <c r="AO225" s="26"/>
      <c r="AP225" s="26"/>
      <c r="AQ225" s="26"/>
      <c r="AR225" s="26"/>
    </row>
    <row r="226" spans="1:44" ht="15.75" x14ac:dyDescent="0.25">
      <c r="A226" s="30"/>
      <c r="B226" s="52" t="s">
        <v>441</v>
      </c>
      <c r="C226" s="122" t="s">
        <v>451</v>
      </c>
      <c r="D226" s="123">
        <v>8163165</v>
      </c>
      <c r="E226" s="123"/>
      <c r="F226" s="7" t="e">
        <f>G226+SUMIF('[1]mouvement doseur d''eau'!B:B,"=electrovanne 230v",'[1]mouvement doseur d''eau'!G:G)</f>
        <v>#VALUE!</v>
      </c>
      <c r="G226" s="3">
        <v>1</v>
      </c>
      <c r="H226" s="3">
        <v>1</v>
      </c>
      <c r="I226" s="2" t="e">
        <f t="shared" si="12"/>
        <v>#VALUE!</v>
      </c>
      <c r="J226" s="3"/>
      <c r="K226" s="3"/>
      <c r="L226" s="30"/>
      <c r="M226" s="35" t="e">
        <f>SUM(K222:K226)</f>
        <v>#VALUE!</v>
      </c>
      <c r="N226" s="30"/>
      <c r="O226" s="30"/>
      <c r="P226" s="30"/>
      <c r="Q226" s="30"/>
      <c r="R226" s="30"/>
      <c r="S226" s="30">
        <v>1</v>
      </c>
      <c r="T226" s="26"/>
      <c r="U226" s="26"/>
      <c r="V226" s="26"/>
      <c r="W226" s="26"/>
      <c r="X226" s="26"/>
      <c r="Y226" s="26"/>
      <c r="Z226" s="26"/>
      <c r="AA226" s="26"/>
      <c r="AB226" s="26"/>
      <c r="AC226" s="26"/>
      <c r="AD226" s="26"/>
      <c r="AE226" s="26"/>
      <c r="AF226" s="26"/>
      <c r="AG226" s="26"/>
      <c r="AH226" s="26"/>
      <c r="AI226" s="26"/>
      <c r="AJ226" s="26"/>
      <c r="AK226" s="26"/>
      <c r="AL226" s="26"/>
      <c r="AM226" s="26"/>
      <c r="AN226" s="26"/>
      <c r="AO226" s="26"/>
      <c r="AP226" s="26"/>
      <c r="AQ226" s="26"/>
      <c r="AR226" s="26"/>
    </row>
    <row r="227" spans="1:44" ht="15.75" x14ac:dyDescent="0.25">
      <c r="A227" s="30"/>
      <c r="B227" s="13" t="s">
        <v>452</v>
      </c>
      <c r="C227" s="124" t="s">
        <v>453</v>
      </c>
      <c r="D227" s="5" t="s">
        <v>454</v>
      </c>
      <c r="E227" s="3" t="s">
        <v>22</v>
      </c>
      <c r="F227" s="7" t="e">
        <f>G227+SUMIF('[1]mouvement doseur d''eau'!B:B,"=Amortisseur/verin pneumatique inox",'[1]mouvement doseur d''eau'!G:G)</f>
        <v>#VALUE!</v>
      </c>
      <c r="G227" s="7">
        <v>2</v>
      </c>
      <c r="H227" s="6">
        <v>2</v>
      </c>
      <c r="I227" s="1" t="e">
        <f>IF(F227&lt;H227,"/!\","-")</f>
        <v>#VALUE!</v>
      </c>
      <c r="J227" s="21"/>
      <c r="K227" s="12" t="e">
        <f>F227*J227</f>
        <v>#VALUE!</v>
      </c>
      <c r="L227" s="30"/>
      <c r="M227" s="13" t="s">
        <v>452</v>
      </c>
      <c r="N227" s="30"/>
      <c r="O227" s="30"/>
      <c r="P227" s="30"/>
      <c r="Q227" s="30"/>
      <c r="R227" s="30"/>
      <c r="S227" s="30">
        <v>0</v>
      </c>
      <c r="T227" s="26"/>
      <c r="U227" s="26"/>
      <c r="V227" s="26"/>
      <c r="W227" s="26"/>
      <c r="X227" s="26"/>
      <c r="Y227" s="26"/>
      <c r="Z227" s="26"/>
      <c r="AA227" s="26"/>
      <c r="AB227" s="26"/>
      <c r="AC227" s="26"/>
      <c r="AD227" s="26"/>
      <c r="AE227" s="26"/>
      <c r="AF227" s="26"/>
      <c r="AG227" s="26"/>
      <c r="AH227" s="26"/>
      <c r="AI227" s="26"/>
      <c r="AJ227" s="26"/>
      <c r="AK227" s="26"/>
      <c r="AL227" s="26"/>
      <c r="AM227" s="26"/>
      <c r="AN227" s="26"/>
      <c r="AO227" s="26"/>
      <c r="AP227" s="26"/>
      <c r="AQ227" s="26"/>
      <c r="AR227" s="26"/>
    </row>
    <row r="228" spans="1:44" ht="24" x14ac:dyDescent="0.25">
      <c r="A228" s="30"/>
      <c r="B228" s="13" t="s">
        <v>452</v>
      </c>
      <c r="C228" s="125" t="s">
        <v>455</v>
      </c>
      <c r="D228" s="126" t="s">
        <v>455</v>
      </c>
      <c r="E228" s="3" t="s">
        <v>22</v>
      </c>
      <c r="F228" s="7" t="e">
        <f>G228+SUMIF('[1]mouvement égoutoir autoclave'!B:B,"=Roue polyamide diam 60mm/épais21mm/perçage à l'axe 10mm",'[1]mouvement égoutoir autoclave'!G:G)</f>
        <v>#VALUE!</v>
      </c>
      <c r="G228" s="7">
        <v>0</v>
      </c>
      <c r="H228" s="6">
        <v>2</v>
      </c>
      <c r="I228" s="1" t="e">
        <f>IF(F228&lt;H228,"/!\","-")</f>
        <v>#VALUE!</v>
      </c>
      <c r="J228" s="16">
        <v>7</v>
      </c>
      <c r="K228" s="12" t="e">
        <f>F228*J228</f>
        <v>#VALUE!</v>
      </c>
      <c r="L228" s="30"/>
      <c r="M228" s="35" t="e">
        <f>SUM(K227:K228)</f>
        <v>#VALUE!</v>
      </c>
      <c r="N228" s="30"/>
      <c r="O228" s="30"/>
      <c r="P228" s="30"/>
      <c r="Q228" s="30"/>
      <c r="R228" s="30"/>
      <c r="S228" s="30">
        <v>0</v>
      </c>
      <c r="T228" s="26"/>
      <c r="U228" s="26"/>
      <c r="V228" s="26"/>
      <c r="W228" s="26"/>
      <c r="X228" s="26"/>
      <c r="Y228" s="26"/>
      <c r="Z228" s="26"/>
      <c r="AA228" s="26"/>
      <c r="AB228" s="26"/>
      <c r="AC228" s="26"/>
      <c r="AD228" s="26"/>
      <c r="AE228" s="26"/>
      <c r="AF228" s="26"/>
      <c r="AG228" s="26"/>
      <c r="AH228" s="26"/>
      <c r="AI228" s="26"/>
      <c r="AJ228" s="26"/>
      <c r="AK228" s="26"/>
      <c r="AL228" s="26"/>
      <c r="AM228" s="26"/>
      <c r="AN228" s="26"/>
      <c r="AO228" s="26"/>
      <c r="AP228" s="26"/>
      <c r="AQ228" s="26"/>
      <c r="AR228" s="26"/>
    </row>
    <row r="229" spans="1:44" ht="15.75" x14ac:dyDescent="0.25">
      <c r="A229" s="30"/>
      <c r="B229" s="13" t="s">
        <v>456</v>
      </c>
      <c r="C229" s="18" t="s">
        <v>457</v>
      </c>
      <c r="D229" s="126" t="s">
        <v>458</v>
      </c>
      <c r="E229" s="3" t="s">
        <v>22</v>
      </c>
      <c r="F229" s="7" t="e">
        <f>G229+SUMIF('[1]mouvement élévateur VMI'!B:B,"=Capteur inductif de proximité Barillet M30 x 1,5, portée 15mm",'[1]mouvement élévateur VMI'!G:G)</f>
        <v>#VALUE!</v>
      </c>
      <c r="G229" s="7">
        <v>3</v>
      </c>
      <c r="H229" s="7">
        <v>1</v>
      </c>
      <c r="I229" s="2" t="e">
        <f>IF(F229&lt;H229,"/!\","-")</f>
        <v>#VALUE!</v>
      </c>
      <c r="J229" s="21">
        <v>66.88</v>
      </c>
      <c r="K229" s="17" t="e">
        <f>F229*J229</f>
        <v>#VALUE!</v>
      </c>
      <c r="L229" s="30"/>
      <c r="M229" s="30"/>
      <c r="N229" s="30"/>
      <c r="O229" s="30"/>
      <c r="P229" s="30"/>
      <c r="Q229" s="30"/>
      <c r="R229" s="30"/>
      <c r="S229" s="30">
        <v>0</v>
      </c>
      <c r="T229" s="26"/>
      <c r="U229" s="26"/>
      <c r="V229" s="26"/>
      <c r="W229" s="26"/>
      <c r="X229" s="26"/>
      <c r="Y229" s="26"/>
      <c r="Z229" s="26"/>
      <c r="AA229" s="26"/>
      <c r="AB229" s="26"/>
      <c r="AC229" s="26"/>
      <c r="AD229" s="26"/>
      <c r="AE229" s="26"/>
      <c r="AF229" s="26"/>
      <c r="AG229" s="26"/>
      <c r="AH229" s="26"/>
      <c r="AI229" s="26"/>
      <c r="AJ229" s="26"/>
      <c r="AK229" s="26"/>
      <c r="AL229" s="26"/>
      <c r="AM229" s="26"/>
      <c r="AN229" s="26"/>
      <c r="AO229" s="26"/>
      <c r="AP229" s="26"/>
      <c r="AQ229" s="26"/>
      <c r="AR229" s="26"/>
    </row>
    <row r="230" spans="1:44" ht="15.75" x14ac:dyDescent="0.25">
      <c r="A230" s="30"/>
      <c r="B230" s="13" t="s">
        <v>456</v>
      </c>
      <c r="C230" s="18" t="s">
        <v>459</v>
      </c>
      <c r="D230" s="20" t="s">
        <v>460</v>
      </c>
      <c r="E230" s="25" t="s">
        <v>22</v>
      </c>
      <c r="F230" s="7" t="e">
        <f>G230+SUMIF('[1]mouvement élévateur VMI'!B:B,"=galets cylindriques 5/2 polyamide blanc",'[1]mouvement élévateur VMI'!G:G)</f>
        <v>#VALUE!</v>
      </c>
      <c r="G230" s="7">
        <v>7</v>
      </c>
      <c r="H230" s="7">
        <v>2</v>
      </c>
      <c r="I230" s="2" t="e">
        <f t="shared" ref="I230:I249" si="14">IF(F230&lt;H230,"/!\","-")</f>
        <v>#VALUE!</v>
      </c>
      <c r="J230" s="21">
        <v>19.7</v>
      </c>
      <c r="K230" s="17" t="e">
        <f t="shared" ref="K230:K249" si="15">F230*J230</f>
        <v>#VALUE!</v>
      </c>
      <c r="L230" s="30"/>
      <c r="M230" s="30"/>
      <c r="N230" s="30"/>
      <c r="O230" s="30"/>
      <c r="P230" s="30"/>
      <c r="Q230" s="30"/>
      <c r="R230" s="30"/>
      <c r="S230" s="30">
        <v>1</v>
      </c>
      <c r="T230" s="26"/>
      <c r="U230" s="26"/>
      <c r="V230" s="26"/>
      <c r="W230" s="26"/>
      <c r="X230" s="26"/>
      <c r="Y230" s="26"/>
      <c r="Z230" s="26"/>
      <c r="AA230" s="26"/>
      <c r="AB230" s="26"/>
      <c r="AC230" s="26"/>
      <c r="AD230" s="26"/>
      <c r="AE230" s="26"/>
      <c r="AF230" s="26"/>
      <c r="AG230" s="26"/>
      <c r="AH230" s="26"/>
      <c r="AI230" s="26"/>
      <c r="AJ230" s="26"/>
      <c r="AK230" s="26"/>
      <c r="AL230" s="26"/>
      <c r="AM230" s="26"/>
      <c r="AN230" s="26"/>
      <c r="AO230" s="26"/>
      <c r="AP230" s="26"/>
      <c r="AQ230" s="26"/>
      <c r="AR230" s="26"/>
    </row>
    <row r="231" spans="1:44" ht="15.75" x14ac:dyDescent="0.25">
      <c r="A231" s="30"/>
      <c r="B231" s="13" t="s">
        <v>456</v>
      </c>
      <c r="C231" s="18" t="s">
        <v>461</v>
      </c>
      <c r="D231" s="20" t="s">
        <v>462</v>
      </c>
      <c r="E231" s="25" t="s">
        <v>22</v>
      </c>
      <c r="F231" s="7" t="e">
        <f>G231+SUMIF('[1]mouvement élévateur VMI'!B:B,"=galets de rechange 82mm marron (roue avant)",'[1]mouvement élévateur VMI'!G:G)</f>
        <v>#VALUE!</v>
      </c>
      <c r="G231" s="7">
        <v>0</v>
      </c>
      <c r="H231" s="7">
        <v>1</v>
      </c>
      <c r="I231" s="2" t="e">
        <f t="shared" si="14"/>
        <v>#VALUE!</v>
      </c>
      <c r="J231" s="21">
        <v>23.69</v>
      </c>
      <c r="K231" s="17" t="e">
        <f t="shared" si="15"/>
        <v>#VALUE!</v>
      </c>
      <c r="L231" s="30"/>
      <c r="M231" s="30"/>
      <c r="N231" s="30"/>
      <c r="O231" s="30"/>
      <c r="P231" s="30"/>
      <c r="Q231" s="30"/>
      <c r="R231" s="30"/>
      <c r="S231" s="30">
        <v>0</v>
      </c>
      <c r="T231" s="26"/>
      <c r="U231" s="26"/>
      <c r="V231" s="26"/>
      <c r="W231" s="26"/>
      <c r="X231" s="26"/>
      <c r="Y231" s="26"/>
      <c r="Z231" s="26"/>
      <c r="AA231" s="26"/>
      <c r="AB231" s="26"/>
      <c r="AC231" s="26"/>
      <c r="AD231" s="26"/>
      <c r="AE231" s="26"/>
      <c r="AF231" s="26"/>
      <c r="AG231" s="26"/>
      <c r="AH231" s="26"/>
      <c r="AI231" s="26"/>
      <c r="AJ231" s="26"/>
      <c r="AK231" s="26"/>
      <c r="AL231" s="26"/>
      <c r="AM231" s="26"/>
      <c r="AN231" s="26"/>
      <c r="AO231" s="26"/>
      <c r="AP231" s="26"/>
      <c r="AQ231" s="26"/>
      <c r="AR231" s="26"/>
    </row>
    <row r="232" spans="1:44" ht="15.75" x14ac:dyDescent="0.25">
      <c r="A232" s="30"/>
      <c r="B232" s="13" t="s">
        <v>456</v>
      </c>
      <c r="C232" s="18" t="s">
        <v>463</v>
      </c>
      <c r="D232" s="20" t="s">
        <v>464</v>
      </c>
      <c r="E232" s="25" t="s">
        <v>22</v>
      </c>
      <c r="F232" s="7" t="e">
        <f>G232+SUMIF('[1]mouvement élévateur VMI'!B:B,"=ressort elevateur",'[1]mouvement élévateur VMI'!G:G)</f>
        <v>#VALUE!</v>
      </c>
      <c r="G232" s="7">
        <v>5</v>
      </c>
      <c r="H232" s="7">
        <v>2</v>
      </c>
      <c r="I232" s="2" t="e">
        <f t="shared" si="14"/>
        <v>#VALUE!</v>
      </c>
      <c r="J232" s="21">
        <v>36</v>
      </c>
      <c r="K232" s="17" t="e">
        <f t="shared" si="15"/>
        <v>#VALUE!</v>
      </c>
      <c r="L232" s="30"/>
      <c r="M232" s="30"/>
      <c r="N232" s="30"/>
      <c r="O232" s="30"/>
      <c r="P232" s="30"/>
      <c r="Q232" s="30"/>
      <c r="R232" s="30"/>
      <c r="S232" s="30">
        <v>1</v>
      </c>
      <c r="T232" s="26"/>
      <c r="U232" s="26"/>
      <c r="V232" s="26"/>
      <c r="W232" s="26"/>
      <c r="X232" s="26"/>
      <c r="Y232" s="26"/>
      <c r="Z232" s="26"/>
      <c r="AA232" s="26"/>
      <c r="AB232" s="26"/>
      <c r="AC232" s="26"/>
      <c r="AD232" s="26"/>
      <c r="AE232" s="26"/>
      <c r="AF232" s="26"/>
      <c r="AG232" s="26"/>
      <c r="AH232" s="26"/>
      <c r="AI232" s="26"/>
      <c r="AJ232" s="26"/>
      <c r="AK232" s="26"/>
      <c r="AL232" s="26"/>
      <c r="AM232" s="26"/>
      <c r="AN232" s="26"/>
      <c r="AO232" s="26"/>
      <c r="AP232" s="26"/>
      <c r="AQ232" s="26"/>
      <c r="AR232" s="26"/>
    </row>
    <row r="233" spans="1:44" ht="15.75" x14ac:dyDescent="0.25">
      <c r="A233" s="30"/>
      <c r="B233" s="13" t="s">
        <v>456</v>
      </c>
      <c r="C233" s="18" t="s">
        <v>465</v>
      </c>
      <c r="D233" s="20" t="s">
        <v>466</v>
      </c>
      <c r="E233" s="25" t="s">
        <v>22</v>
      </c>
      <c r="F233" s="7" t="e">
        <f>G233+SUMIF('[1]mouvement élévateur VMI'!B:B,"=roue arriere élevateur",'[1]mouvement élévateur VMI'!G:G)</f>
        <v>#VALUE!</v>
      </c>
      <c r="G233" s="7">
        <v>2</v>
      </c>
      <c r="H233" s="7">
        <v>2</v>
      </c>
      <c r="I233" s="2" t="e">
        <f t="shared" si="14"/>
        <v>#VALUE!</v>
      </c>
      <c r="J233" s="21">
        <v>30.22</v>
      </c>
      <c r="K233" s="17" t="e">
        <f t="shared" si="15"/>
        <v>#VALUE!</v>
      </c>
      <c r="L233" s="30"/>
      <c r="M233" s="30"/>
      <c r="N233" s="30"/>
      <c r="O233" s="30"/>
      <c r="P233" s="30"/>
      <c r="Q233" s="30"/>
      <c r="R233" s="30"/>
      <c r="S233" s="30">
        <v>0</v>
      </c>
      <c r="T233" s="26"/>
      <c r="U233" s="26"/>
      <c r="V233" s="26"/>
      <c r="W233" s="26"/>
      <c r="X233" s="26"/>
      <c r="Y233" s="26"/>
      <c r="Z233" s="26"/>
      <c r="AA233" s="26"/>
      <c r="AB233" s="26"/>
      <c r="AC233" s="26"/>
      <c r="AD233" s="26"/>
      <c r="AE233" s="26"/>
      <c r="AF233" s="26"/>
      <c r="AG233" s="26"/>
      <c r="AH233" s="26"/>
      <c r="AI233" s="26"/>
      <c r="AJ233" s="26"/>
      <c r="AK233" s="26"/>
      <c r="AL233" s="26"/>
      <c r="AM233" s="26"/>
      <c r="AN233" s="26"/>
      <c r="AO233" s="26"/>
      <c r="AP233" s="26"/>
      <c r="AQ233" s="26"/>
      <c r="AR233" s="26"/>
    </row>
    <row r="234" spans="1:44" ht="15.75" x14ac:dyDescent="0.25">
      <c r="A234" s="30"/>
      <c r="B234" s="13" t="s">
        <v>456</v>
      </c>
      <c r="C234" s="18" t="s">
        <v>467</v>
      </c>
      <c r="D234" s="20" t="s">
        <v>468</v>
      </c>
      <c r="E234" s="6" t="s">
        <v>22</v>
      </c>
      <c r="F234" s="7" t="e">
        <f>G234+SUMIF('[1]mouvement élévateur VMI'!B:B,"=axe de pivotement",'[1]mouvement élévateur VMI'!G:G)</f>
        <v>#VALUE!</v>
      </c>
      <c r="G234" s="7">
        <v>2</v>
      </c>
      <c r="H234" s="7">
        <v>1</v>
      </c>
      <c r="I234" s="2" t="e">
        <f t="shared" si="14"/>
        <v>#VALUE!</v>
      </c>
      <c r="J234" s="21">
        <v>0</v>
      </c>
      <c r="K234" s="17" t="e">
        <f t="shared" si="15"/>
        <v>#VALUE!</v>
      </c>
      <c r="L234" s="30"/>
      <c r="M234" s="30"/>
      <c r="N234" s="30"/>
      <c r="O234" s="30"/>
      <c r="P234" s="30"/>
      <c r="Q234" s="30"/>
      <c r="R234" s="30"/>
      <c r="S234" s="30">
        <v>1</v>
      </c>
      <c r="T234" s="26"/>
      <c r="U234" s="26"/>
      <c r="V234" s="26"/>
      <c r="W234" s="26"/>
      <c r="X234" s="26"/>
      <c r="Y234" s="26"/>
      <c r="Z234" s="26"/>
      <c r="AA234" s="26"/>
      <c r="AB234" s="26"/>
      <c r="AC234" s="26"/>
      <c r="AD234" s="26"/>
      <c r="AE234" s="26"/>
      <c r="AF234" s="26"/>
      <c r="AG234" s="26"/>
      <c r="AH234" s="26"/>
      <c r="AI234" s="26"/>
      <c r="AJ234" s="26"/>
      <c r="AK234" s="26"/>
      <c r="AL234" s="26"/>
      <c r="AM234" s="26"/>
      <c r="AN234" s="26"/>
      <c r="AO234" s="26"/>
      <c r="AP234" s="26"/>
      <c r="AQ234" s="26"/>
      <c r="AR234" s="26"/>
    </row>
    <row r="235" spans="1:44" ht="15.75" x14ac:dyDescent="0.25">
      <c r="A235" s="30"/>
      <c r="B235" s="13" t="s">
        <v>456</v>
      </c>
      <c r="C235" s="18" t="s">
        <v>469</v>
      </c>
      <c r="D235" s="20" t="s">
        <v>470</v>
      </c>
      <c r="E235" s="6" t="s">
        <v>22</v>
      </c>
      <c r="F235" s="7" t="e">
        <f>G235+SUMIF('[1]mouvement élévateur VMI'!B:B,"=palier de déversement",'[1]mouvement élévateur VMI'!G:G)</f>
        <v>#VALUE!</v>
      </c>
      <c r="G235" s="7">
        <v>2</v>
      </c>
      <c r="H235" s="7">
        <v>1</v>
      </c>
      <c r="I235" s="2" t="e">
        <f t="shared" si="14"/>
        <v>#VALUE!</v>
      </c>
      <c r="J235" s="21">
        <v>0</v>
      </c>
      <c r="K235" s="17" t="e">
        <f t="shared" si="15"/>
        <v>#VALUE!</v>
      </c>
      <c r="L235" s="30"/>
      <c r="M235" s="30"/>
      <c r="N235" s="30"/>
      <c r="O235" s="30"/>
      <c r="P235" s="30"/>
      <c r="Q235" s="30"/>
      <c r="R235" s="30"/>
      <c r="S235" s="30">
        <v>1</v>
      </c>
      <c r="T235" s="26"/>
      <c r="U235" s="26"/>
      <c r="V235" s="26"/>
      <c r="W235" s="26"/>
      <c r="X235" s="26"/>
      <c r="Y235" s="26"/>
      <c r="Z235" s="26"/>
      <c r="AA235" s="26"/>
      <c r="AB235" s="26"/>
      <c r="AC235" s="26"/>
      <c r="AD235" s="26"/>
      <c r="AE235" s="26"/>
      <c r="AF235" s="26"/>
      <c r="AG235" s="26"/>
      <c r="AH235" s="26"/>
      <c r="AI235" s="26"/>
      <c r="AJ235" s="26"/>
      <c r="AK235" s="26"/>
      <c r="AL235" s="26"/>
      <c r="AM235" s="26"/>
      <c r="AN235" s="26"/>
      <c r="AO235" s="26"/>
      <c r="AP235" s="26"/>
      <c r="AQ235" s="26"/>
      <c r="AR235" s="26"/>
    </row>
    <row r="236" spans="1:44" ht="15.75" x14ac:dyDescent="0.25">
      <c r="A236" s="30"/>
      <c r="B236" s="13" t="s">
        <v>456</v>
      </c>
      <c r="C236" s="18" t="s">
        <v>471</v>
      </c>
      <c r="D236" s="20" t="s">
        <v>472</v>
      </c>
      <c r="E236" s="6" t="s">
        <v>22</v>
      </c>
      <c r="F236" s="7" t="e">
        <f>G236+SUMIF('[1]mouvement élévateur VMI'!B:B,"=Kit fdc rotation cuve",'[1]mouvement élévateur VMI'!G:G)</f>
        <v>#VALUE!</v>
      </c>
      <c r="G236" s="7">
        <v>1</v>
      </c>
      <c r="H236" s="7">
        <v>1</v>
      </c>
      <c r="I236" s="2" t="e">
        <f t="shared" si="14"/>
        <v>#VALUE!</v>
      </c>
      <c r="J236" s="21">
        <v>0</v>
      </c>
      <c r="K236" s="17" t="e">
        <f t="shared" si="15"/>
        <v>#VALUE!</v>
      </c>
      <c r="L236" s="30"/>
      <c r="M236" s="30"/>
      <c r="N236" s="30"/>
      <c r="O236" s="30"/>
      <c r="P236" s="30"/>
      <c r="Q236" s="30"/>
      <c r="R236" s="30"/>
      <c r="S236" s="30">
        <v>1</v>
      </c>
      <c r="T236" s="26"/>
      <c r="U236" s="26"/>
      <c r="V236" s="26"/>
      <c r="W236" s="26"/>
      <c r="X236" s="26"/>
      <c r="Y236" s="26"/>
      <c r="Z236" s="26"/>
      <c r="AA236" s="26"/>
      <c r="AB236" s="26"/>
      <c r="AC236" s="26"/>
      <c r="AD236" s="26"/>
      <c r="AE236" s="26"/>
      <c r="AF236" s="26"/>
      <c r="AG236" s="26"/>
      <c r="AH236" s="26"/>
      <c r="AI236" s="26"/>
      <c r="AJ236" s="26"/>
      <c r="AK236" s="26"/>
      <c r="AL236" s="26"/>
      <c r="AM236" s="26"/>
      <c r="AN236" s="26"/>
      <c r="AO236" s="26"/>
      <c r="AP236" s="26"/>
      <c r="AQ236" s="26"/>
      <c r="AR236" s="26"/>
    </row>
    <row r="237" spans="1:44" ht="15.75" x14ac:dyDescent="0.25">
      <c r="A237" s="30"/>
      <c r="B237" s="13" t="s">
        <v>456</v>
      </c>
      <c r="C237" s="18" t="s">
        <v>473</v>
      </c>
      <c r="D237" s="20" t="s">
        <v>474</v>
      </c>
      <c r="E237" s="6" t="s">
        <v>22</v>
      </c>
      <c r="F237" s="7" t="e">
        <f>G237+SUMIF('[1]mouvement élévateur VMI'!B:B,"=Platine Axe de rotation",'[1]mouvement élévateur VMI'!G:G)</f>
        <v>#VALUE!</v>
      </c>
      <c r="G237" s="7">
        <v>1</v>
      </c>
      <c r="H237" s="7">
        <v>1</v>
      </c>
      <c r="I237" s="2" t="e">
        <f t="shared" si="14"/>
        <v>#VALUE!</v>
      </c>
      <c r="J237" s="21">
        <v>0</v>
      </c>
      <c r="K237" s="17" t="e">
        <f t="shared" si="15"/>
        <v>#VALUE!</v>
      </c>
      <c r="L237" s="30"/>
      <c r="M237" s="30"/>
      <c r="N237" s="30"/>
      <c r="O237" s="30"/>
      <c r="P237" s="30"/>
      <c r="Q237" s="30"/>
      <c r="R237" s="30"/>
      <c r="S237" s="30">
        <v>1</v>
      </c>
      <c r="T237" s="26"/>
      <c r="U237" s="26"/>
      <c r="V237" s="26"/>
      <c r="W237" s="26"/>
      <c r="X237" s="26"/>
      <c r="Y237" s="26"/>
      <c r="Z237" s="26"/>
      <c r="AA237" s="26"/>
      <c r="AB237" s="26"/>
      <c r="AC237" s="26"/>
      <c r="AD237" s="26"/>
      <c r="AE237" s="26"/>
      <c r="AF237" s="26"/>
      <c r="AG237" s="26"/>
      <c r="AH237" s="26"/>
      <c r="AI237" s="26"/>
      <c r="AJ237" s="26"/>
      <c r="AK237" s="26"/>
      <c r="AL237" s="26"/>
      <c r="AM237" s="26"/>
      <c r="AN237" s="26"/>
      <c r="AO237" s="26"/>
      <c r="AP237" s="26"/>
      <c r="AQ237" s="26"/>
      <c r="AR237" s="26"/>
    </row>
    <row r="238" spans="1:44" ht="15.75" x14ac:dyDescent="0.25">
      <c r="A238" s="30"/>
      <c r="B238" s="13" t="s">
        <v>456</v>
      </c>
      <c r="C238" s="18" t="s">
        <v>475</v>
      </c>
      <c r="D238" s="20" t="s">
        <v>476</v>
      </c>
      <c r="E238" s="6" t="s">
        <v>22</v>
      </c>
      <c r="F238" s="7" t="e">
        <f>G238+SUMIF('[1]mouvement élévateur VMI'!B:B,"=Bague bronze",'[1]mouvement élévateur VMI'!G:G)</f>
        <v>#VALUE!</v>
      </c>
      <c r="G238" s="7">
        <v>5</v>
      </c>
      <c r="H238" s="7">
        <v>2</v>
      </c>
      <c r="I238" s="2" t="e">
        <f t="shared" si="14"/>
        <v>#VALUE!</v>
      </c>
      <c r="J238" s="21">
        <v>0</v>
      </c>
      <c r="K238" s="17" t="e">
        <f t="shared" si="15"/>
        <v>#VALUE!</v>
      </c>
      <c r="L238" s="30"/>
      <c r="M238" s="30"/>
      <c r="N238" s="30"/>
      <c r="O238" s="30"/>
      <c r="P238" s="30"/>
      <c r="Q238" s="30"/>
      <c r="R238" s="30"/>
      <c r="S238" s="30">
        <v>1</v>
      </c>
      <c r="T238" s="26"/>
      <c r="U238" s="26"/>
      <c r="V238" s="26"/>
      <c r="W238" s="26"/>
      <c r="X238" s="26"/>
      <c r="Y238" s="26"/>
      <c r="Z238" s="26"/>
      <c r="AA238" s="26"/>
      <c r="AB238" s="26"/>
      <c r="AC238" s="26"/>
      <c r="AD238" s="26"/>
      <c r="AE238" s="26"/>
      <c r="AF238" s="26"/>
      <c r="AG238" s="26"/>
      <c r="AH238" s="26"/>
      <c r="AI238" s="26"/>
      <c r="AJ238" s="26"/>
      <c r="AK238" s="26"/>
      <c r="AL238" s="26"/>
      <c r="AM238" s="26"/>
      <c r="AN238" s="26"/>
      <c r="AO238" s="26"/>
      <c r="AP238" s="26"/>
      <c r="AQ238" s="26"/>
      <c r="AR238" s="26"/>
    </row>
    <row r="239" spans="1:44" ht="15.75" x14ac:dyDescent="0.25">
      <c r="A239" s="30"/>
      <c r="B239" s="13" t="s">
        <v>456</v>
      </c>
      <c r="C239" s="18" t="s">
        <v>477</v>
      </c>
      <c r="D239" s="20" t="s">
        <v>478</v>
      </c>
      <c r="E239" s="6" t="s">
        <v>22</v>
      </c>
      <c r="F239" s="7" t="e">
        <f>G239+SUMIF('[1]mouvement élévateur VMI'!B:B,"=Palier ECLB acier",'[1]mouvement élévateur VMI'!G:G)</f>
        <v>#VALUE!</v>
      </c>
      <c r="G239" s="7">
        <v>1</v>
      </c>
      <c r="H239" s="7">
        <v>1</v>
      </c>
      <c r="I239" s="2" t="e">
        <f t="shared" si="14"/>
        <v>#VALUE!</v>
      </c>
      <c r="J239" s="21">
        <v>0</v>
      </c>
      <c r="K239" s="17" t="e">
        <f t="shared" si="15"/>
        <v>#VALUE!</v>
      </c>
      <c r="L239" s="30"/>
      <c r="M239" s="30"/>
      <c r="N239" s="30"/>
      <c r="O239" s="30"/>
      <c r="P239" s="30"/>
      <c r="Q239" s="30"/>
      <c r="R239" s="30"/>
      <c r="S239" s="30">
        <v>0</v>
      </c>
      <c r="T239" s="26"/>
      <c r="U239" s="26"/>
      <c r="V239" s="26"/>
      <c r="W239" s="26"/>
      <c r="X239" s="26"/>
      <c r="Y239" s="26"/>
      <c r="Z239" s="26"/>
      <c r="AA239" s="26"/>
      <c r="AB239" s="26"/>
      <c r="AC239" s="26"/>
      <c r="AD239" s="26"/>
      <c r="AE239" s="26"/>
      <c r="AF239" s="26"/>
      <c r="AG239" s="26"/>
      <c r="AH239" s="26"/>
      <c r="AI239" s="26"/>
      <c r="AJ239" s="26"/>
      <c r="AK239" s="26"/>
      <c r="AL239" s="26"/>
      <c r="AM239" s="26"/>
      <c r="AN239" s="26"/>
      <c r="AO239" s="26"/>
      <c r="AP239" s="26"/>
      <c r="AQ239" s="26"/>
      <c r="AR239" s="26"/>
    </row>
    <row r="240" spans="1:44" ht="15.75" x14ac:dyDescent="0.25">
      <c r="A240" s="30"/>
      <c r="B240" s="13" t="s">
        <v>456</v>
      </c>
      <c r="C240" s="18" t="s">
        <v>479</v>
      </c>
      <c r="D240" s="20" t="s">
        <v>480</v>
      </c>
      <c r="E240" s="6" t="s">
        <v>22</v>
      </c>
      <c r="F240" s="7" t="e">
        <f>G240+SUMIF('[1]mouvement élévateur VMI'!B:B,"=Clavette forme A",'[1]mouvement élévateur VMI'!G:G)</f>
        <v>#VALUE!</v>
      </c>
      <c r="G240" s="7">
        <v>2</v>
      </c>
      <c r="H240" s="7">
        <v>1</v>
      </c>
      <c r="I240" s="2" t="e">
        <f t="shared" si="14"/>
        <v>#VALUE!</v>
      </c>
      <c r="J240" s="21">
        <v>0</v>
      </c>
      <c r="K240" s="17" t="e">
        <f t="shared" si="15"/>
        <v>#VALUE!</v>
      </c>
      <c r="L240" s="30"/>
      <c r="M240" s="30"/>
      <c r="N240" s="30"/>
      <c r="O240" s="30"/>
      <c r="P240" s="30"/>
      <c r="Q240" s="30"/>
      <c r="R240" s="30"/>
      <c r="S240" s="30">
        <v>0</v>
      </c>
      <c r="T240" s="26"/>
      <c r="U240" s="26"/>
      <c r="V240" s="26"/>
      <c r="W240" s="26"/>
      <c r="X240" s="26"/>
      <c r="Y240" s="26"/>
      <c r="Z240" s="26"/>
      <c r="AA240" s="26"/>
      <c r="AB240" s="26"/>
      <c r="AC240" s="26"/>
      <c r="AD240" s="26"/>
      <c r="AE240" s="26"/>
      <c r="AF240" s="26"/>
      <c r="AG240" s="26"/>
      <c r="AH240" s="26"/>
      <c r="AI240" s="26"/>
      <c r="AJ240" s="26"/>
      <c r="AK240" s="26"/>
      <c r="AL240" s="26"/>
      <c r="AM240" s="26"/>
      <c r="AN240" s="26"/>
      <c r="AO240" s="26"/>
      <c r="AP240" s="26"/>
      <c r="AQ240" s="26"/>
      <c r="AR240" s="26"/>
    </row>
    <row r="241" spans="1:44" ht="15.75" x14ac:dyDescent="0.25">
      <c r="A241" s="30"/>
      <c r="B241" s="13" t="s">
        <v>456</v>
      </c>
      <c r="C241" s="18" t="s">
        <v>481</v>
      </c>
      <c r="D241" s="20" t="s">
        <v>482</v>
      </c>
      <c r="E241" s="6" t="s">
        <v>22</v>
      </c>
      <c r="F241" s="7" t="e">
        <f>G241+SUMIF('[1]mouvement élévateur VMI'!B:B,"=Came pivotement ECLB acier",'[1]mouvement élévateur VMI'!G:G)</f>
        <v>#VALUE!</v>
      </c>
      <c r="G241" s="7">
        <v>1</v>
      </c>
      <c r="H241" s="7">
        <v>1</v>
      </c>
      <c r="I241" s="2" t="e">
        <f t="shared" si="14"/>
        <v>#VALUE!</v>
      </c>
      <c r="J241" s="21">
        <v>0</v>
      </c>
      <c r="K241" s="17" t="e">
        <f t="shared" si="15"/>
        <v>#VALUE!</v>
      </c>
      <c r="L241" s="30"/>
      <c r="M241" s="30"/>
      <c r="N241" s="30"/>
      <c r="O241" s="30"/>
      <c r="P241" s="30"/>
      <c r="Q241" s="30"/>
      <c r="R241" s="30"/>
      <c r="S241" s="30">
        <v>0</v>
      </c>
      <c r="T241" s="26"/>
      <c r="U241" s="26"/>
      <c r="V241" s="26"/>
      <c r="W241" s="26"/>
      <c r="X241" s="26"/>
      <c r="Y241" s="26"/>
      <c r="Z241" s="26"/>
      <c r="AA241" s="26"/>
      <c r="AB241" s="26"/>
      <c r="AC241" s="26"/>
      <c r="AD241" s="26"/>
      <c r="AE241" s="26"/>
      <c r="AF241" s="26"/>
      <c r="AG241" s="26"/>
      <c r="AH241" s="26"/>
      <c r="AI241" s="26"/>
      <c r="AJ241" s="26"/>
      <c r="AK241" s="26"/>
      <c r="AL241" s="26"/>
      <c r="AM241" s="26"/>
      <c r="AN241" s="26"/>
      <c r="AO241" s="26"/>
      <c r="AP241" s="26"/>
      <c r="AQ241" s="26"/>
      <c r="AR241" s="26"/>
    </row>
    <row r="242" spans="1:44" ht="15.75" x14ac:dyDescent="0.25">
      <c r="A242" s="30"/>
      <c r="B242" s="13" t="s">
        <v>456</v>
      </c>
      <c r="C242" s="18" t="s">
        <v>483</v>
      </c>
      <c r="D242" s="20" t="s">
        <v>484</v>
      </c>
      <c r="E242" s="6" t="s">
        <v>22</v>
      </c>
      <c r="F242" s="7" t="e">
        <f>G242+SUMIF('[1]mouvement élévateur VMI'!B:B,"=M14 borgne",'[1]mouvement élévateur VMI'!G:G)</f>
        <v>#VALUE!</v>
      </c>
      <c r="G242" s="7">
        <v>3</v>
      </c>
      <c r="H242" s="7">
        <v>1</v>
      </c>
      <c r="I242" s="2" t="e">
        <f t="shared" si="14"/>
        <v>#VALUE!</v>
      </c>
      <c r="J242" s="21">
        <v>0</v>
      </c>
      <c r="K242" s="17" t="e">
        <f t="shared" si="15"/>
        <v>#VALUE!</v>
      </c>
      <c r="L242" s="30"/>
      <c r="M242" s="30"/>
      <c r="N242" s="30"/>
      <c r="O242" s="30"/>
      <c r="P242" s="30"/>
      <c r="Q242" s="30"/>
      <c r="R242" s="30"/>
      <c r="S242" s="30">
        <v>1</v>
      </c>
      <c r="T242" s="26"/>
      <c r="U242" s="26"/>
      <c r="V242" s="26"/>
      <c r="W242" s="26"/>
      <c r="X242" s="26"/>
      <c r="Y242" s="26"/>
      <c r="Z242" s="26"/>
      <c r="AA242" s="26"/>
      <c r="AB242" s="26"/>
      <c r="AC242" s="26"/>
      <c r="AD242" s="26"/>
      <c r="AE242" s="26"/>
      <c r="AF242" s="26"/>
      <c r="AG242" s="26"/>
      <c r="AH242" s="26"/>
      <c r="AI242" s="26"/>
      <c r="AJ242" s="26"/>
      <c r="AK242" s="26"/>
      <c r="AL242" s="26"/>
      <c r="AM242" s="26"/>
      <c r="AN242" s="26"/>
      <c r="AO242" s="26"/>
      <c r="AP242" s="26"/>
      <c r="AQ242" s="26"/>
      <c r="AR242" s="26"/>
    </row>
    <row r="243" spans="1:44" ht="15.75" x14ac:dyDescent="0.25">
      <c r="A243" s="30"/>
      <c r="B243" s="13" t="s">
        <v>456</v>
      </c>
      <c r="C243" s="18" t="s">
        <v>485</v>
      </c>
      <c r="D243" s="20" t="s">
        <v>486</v>
      </c>
      <c r="E243" s="6" t="s">
        <v>22</v>
      </c>
      <c r="F243" s="7" t="e">
        <f>G243+SUMIF('[1]mouvement élévateur VMI'!B:B,"=bouchon mécanindus diam 72 type E",'[1]mouvement élévateur VMI'!G:G)</f>
        <v>#VALUE!</v>
      </c>
      <c r="G243" s="7">
        <v>2</v>
      </c>
      <c r="H243" s="7">
        <v>1</v>
      </c>
      <c r="I243" s="2" t="e">
        <f t="shared" si="14"/>
        <v>#VALUE!</v>
      </c>
      <c r="J243" s="21">
        <v>0</v>
      </c>
      <c r="K243" s="17" t="e">
        <f t="shared" si="15"/>
        <v>#VALUE!</v>
      </c>
      <c r="L243" s="30"/>
      <c r="M243" s="30"/>
      <c r="N243" s="30"/>
      <c r="O243" s="30"/>
      <c r="P243" s="30"/>
      <c r="Q243" s="30"/>
      <c r="R243" s="30"/>
      <c r="S243" s="30">
        <v>0</v>
      </c>
      <c r="T243" s="26"/>
      <c r="U243" s="26"/>
      <c r="V243" s="26"/>
      <c r="W243" s="26"/>
      <c r="X243" s="26"/>
      <c r="Y243" s="26"/>
      <c r="Z243" s="26"/>
      <c r="AA243" s="26"/>
      <c r="AB243" s="26"/>
      <c r="AC243" s="26"/>
      <c r="AD243" s="26"/>
      <c r="AE243" s="26"/>
      <c r="AF243" s="26"/>
      <c r="AG243" s="26"/>
      <c r="AH243" s="26"/>
      <c r="AI243" s="26"/>
      <c r="AJ243" s="26"/>
      <c r="AK243" s="26"/>
      <c r="AL243" s="26"/>
      <c r="AM243" s="26"/>
      <c r="AN243" s="26"/>
      <c r="AO243" s="26"/>
      <c r="AP243" s="26"/>
      <c r="AQ243" s="26"/>
      <c r="AR243" s="26"/>
    </row>
    <row r="244" spans="1:44" ht="15.75" x14ac:dyDescent="0.25">
      <c r="A244" s="30"/>
      <c r="B244" s="13" t="s">
        <v>456</v>
      </c>
      <c r="C244" s="18" t="s">
        <v>487</v>
      </c>
      <c r="D244" s="20" t="s">
        <v>488</v>
      </c>
      <c r="E244" s="6" t="s">
        <v>22</v>
      </c>
      <c r="F244" s="7" t="e">
        <f>G244+SUMIF('[1]mouvement élévateur VMI'!B:B,"=axe diam 20 l=107",'[1]mouvement élévateur VMI'!G:G)</f>
        <v>#VALUE!</v>
      </c>
      <c r="G244" s="7">
        <v>2</v>
      </c>
      <c r="H244" s="7">
        <v>1</v>
      </c>
      <c r="I244" s="2" t="e">
        <f t="shared" si="14"/>
        <v>#VALUE!</v>
      </c>
      <c r="J244" s="21">
        <v>0</v>
      </c>
      <c r="K244" s="17" t="e">
        <f t="shared" si="15"/>
        <v>#VALUE!</v>
      </c>
      <c r="L244" s="30"/>
      <c r="M244" s="30"/>
      <c r="N244" s="30"/>
      <c r="O244" s="30"/>
      <c r="P244" s="30"/>
      <c r="Q244" s="30"/>
      <c r="R244" s="30"/>
      <c r="S244" s="30">
        <v>1</v>
      </c>
      <c r="T244" s="26"/>
      <c r="U244" s="26"/>
      <c r="V244" s="26"/>
      <c r="W244" s="26"/>
      <c r="X244" s="26"/>
      <c r="Y244" s="26"/>
      <c r="Z244" s="26"/>
      <c r="AA244" s="26"/>
      <c r="AB244" s="26"/>
      <c r="AC244" s="26"/>
      <c r="AD244" s="26"/>
      <c r="AE244" s="26"/>
      <c r="AF244" s="26"/>
      <c r="AG244" s="26"/>
      <c r="AH244" s="26"/>
      <c r="AI244" s="26"/>
      <c r="AJ244" s="26"/>
      <c r="AK244" s="26"/>
      <c r="AL244" s="26"/>
      <c r="AM244" s="26"/>
      <c r="AN244" s="26"/>
      <c r="AO244" s="26"/>
      <c r="AP244" s="26"/>
      <c r="AQ244" s="26"/>
      <c r="AR244" s="26"/>
    </row>
    <row r="245" spans="1:44" ht="15.75" x14ac:dyDescent="0.25">
      <c r="A245" s="30"/>
      <c r="B245" s="13" t="s">
        <v>456</v>
      </c>
      <c r="C245" s="18" t="s">
        <v>489</v>
      </c>
      <c r="D245" s="20" t="s">
        <v>490</v>
      </c>
      <c r="E245" s="6" t="s">
        <v>22</v>
      </c>
      <c r="F245" s="7" t="e">
        <f>G245+SUMIF('[1]mouvement élévateur VMI'!B:B,"=Circlips int 80",'[1]mouvement élévateur VMI'!G:G)</f>
        <v>#VALUE!</v>
      </c>
      <c r="G245" s="7">
        <v>3</v>
      </c>
      <c r="H245" s="7">
        <v>3</v>
      </c>
      <c r="I245" s="2" t="e">
        <f t="shared" si="14"/>
        <v>#VALUE!</v>
      </c>
      <c r="J245" s="21">
        <v>0</v>
      </c>
      <c r="K245" s="17" t="e">
        <f t="shared" si="15"/>
        <v>#VALUE!</v>
      </c>
      <c r="L245" s="30"/>
      <c r="M245" s="30"/>
      <c r="N245" s="30"/>
      <c r="O245" s="30"/>
      <c r="P245" s="30"/>
      <c r="Q245" s="30"/>
      <c r="R245" s="30"/>
      <c r="S245" s="30">
        <v>0</v>
      </c>
      <c r="T245" s="26"/>
      <c r="U245" s="26"/>
      <c r="V245" s="26"/>
      <c r="W245" s="26"/>
      <c r="X245" s="26"/>
      <c r="Y245" s="26"/>
      <c r="Z245" s="26"/>
      <c r="AA245" s="26"/>
      <c r="AB245" s="26"/>
      <c r="AC245" s="26"/>
      <c r="AD245" s="26"/>
      <c r="AE245" s="26"/>
      <c r="AF245" s="26"/>
      <c r="AG245" s="26"/>
      <c r="AH245" s="26"/>
      <c r="AI245" s="26"/>
      <c r="AJ245" s="26"/>
      <c r="AK245" s="26"/>
      <c r="AL245" s="26"/>
      <c r="AM245" s="26"/>
      <c r="AN245" s="26"/>
      <c r="AO245" s="26"/>
      <c r="AP245" s="26"/>
      <c r="AQ245" s="26"/>
      <c r="AR245" s="26"/>
    </row>
    <row r="246" spans="1:44" ht="15.75" x14ac:dyDescent="0.25">
      <c r="A246" s="30"/>
      <c r="B246" s="13" t="s">
        <v>456</v>
      </c>
      <c r="C246" s="18" t="s">
        <v>491</v>
      </c>
      <c r="D246" s="20" t="s">
        <v>492</v>
      </c>
      <c r="E246" s="6" t="s">
        <v>22</v>
      </c>
      <c r="F246" s="7" t="e">
        <f>G246+SUMIF('[1]mouvement élévateur VMI'!B:B,"=Circlips int 72",'[1]mouvement élévateur VMI'!G:G)</f>
        <v>#VALUE!</v>
      </c>
      <c r="G246" s="7">
        <v>6</v>
      </c>
      <c r="H246" s="7">
        <v>3</v>
      </c>
      <c r="I246" s="2" t="e">
        <f t="shared" si="14"/>
        <v>#VALUE!</v>
      </c>
      <c r="J246" s="21">
        <v>0</v>
      </c>
      <c r="K246" s="17" t="e">
        <f t="shared" si="15"/>
        <v>#VALUE!</v>
      </c>
      <c r="L246" s="30"/>
      <c r="M246" s="30"/>
      <c r="N246" s="30"/>
      <c r="O246" s="30"/>
      <c r="P246" s="30"/>
      <c r="Q246" s="30"/>
      <c r="R246" s="30"/>
      <c r="S246" s="30">
        <v>1</v>
      </c>
      <c r="T246" s="26"/>
      <c r="U246" s="26"/>
      <c r="V246" s="26"/>
      <c r="W246" s="26"/>
      <c r="X246" s="26"/>
      <c r="Y246" s="26"/>
      <c r="Z246" s="26"/>
      <c r="AA246" s="26"/>
      <c r="AB246" s="26"/>
      <c r="AC246" s="26"/>
      <c r="AD246" s="26"/>
      <c r="AE246" s="26"/>
      <c r="AF246" s="26"/>
      <c r="AG246" s="26"/>
      <c r="AH246" s="26"/>
      <c r="AI246" s="26"/>
      <c r="AJ246" s="26"/>
      <c r="AK246" s="26"/>
      <c r="AL246" s="26"/>
      <c r="AM246" s="26"/>
      <c r="AN246" s="26"/>
      <c r="AO246" s="26"/>
      <c r="AP246" s="26"/>
      <c r="AQ246" s="26"/>
      <c r="AR246" s="26"/>
    </row>
    <row r="247" spans="1:44" ht="15.75" x14ac:dyDescent="0.25">
      <c r="A247" s="30"/>
      <c r="B247" s="13" t="s">
        <v>456</v>
      </c>
      <c r="C247" s="18" t="s">
        <v>493</v>
      </c>
      <c r="D247" s="20" t="s">
        <v>494</v>
      </c>
      <c r="E247" s="6" t="s">
        <v>22</v>
      </c>
      <c r="F247" s="7" t="e">
        <f>G247+SUMIF('[1]mouvement élévateur VMI'!B:B,"=Circlips ext 35",'[1]mouvement élévateur VMI'!G:G)</f>
        <v>#VALUE!</v>
      </c>
      <c r="G247" s="7">
        <v>6</v>
      </c>
      <c r="H247" s="7">
        <v>3</v>
      </c>
      <c r="I247" s="2" t="e">
        <f t="shared" si="14"/>
        <v>#VALUE!</v>
      </c>
      <c r="J247" s="21">
        <v>0</v>
      </c>
      <c r="K247" s="17" t="e">
        <f t="shared" si="15"/>
        <v>#VALUE!</v>
      </c>
      <c r="L247" s="30"/>
      <c r="M247" s="30"/>
      <c r="N247" s="30"/>
      <c r="O247" s="30"/>
      <c r="P247" s="30"/>
      <c r="Q247" s="30"/>
      <c r="R247" s="30"/>
      <c r="S247" s="30">
        <v>1</v>
      </c>
      <c r="T247" s="26"/>
      <c r="U247" s="26"/>
      <c r="V247" s="26"/>
      <c r="W247" s="26"/>
      <c r="X247" s="26"/>
      <c r="Y247" s="26"/>
      <c r="Z247" s="26"/>
      <c r="AA247" s="26"/>
      <c r="AB247" s="26"/>
      <c r="AC247" s="26"/>
      <c r="AD247" s="26"/>
      <c r="AE247" s="26"/>
      <c r="AF247" s="26"/>
      <c r="AG247" s="26"/>
      <c r="AH247" s="26"/>
      <c r="AI247" s="26"/>
      <c r="AJ247" s="26"/>
      <c r="AK247" s="26"/>
      <c r="AL247" s="26"/>
      <c r="AM247" s="26"/>
      <c r="AN247" s="26"/>
      <c r="AO247" s="26"/>
      <c r="AP247" s="26"/>
      <c r="AQ247" s="26"/>
      <c r="AR247" s="26"/>
    </row>
    <row r="248" spans="1:44" ht="15.75" x14ac:dyDescent="0.25">
      <c r="A248" s="30"/>
      <c r="B248" s="13" t="s">
        <v>456</v>
      </c>
      <c r="C248" s="18" t="s">
        <v>495</v>
      </c>
      <c r="D248" s="20" t="s">
        <v>496</v>
      </c>
      <c r="E248" s="6" t="s">
        <v>22</v>
      </c>
      <c r="F248" s="7" t="e">
        <f>G248+SUMIF('[1]mouvement élévateur VMI'!B:B,"=Entretoise D44,2/56 EP54",'[1]mouvement élévateur VMI'!G:G)</f>
        <v>#VALUE!</v>
      </c>
      <c r="G248" s="7">
        <v>1</v>
      </c>
      <c r="H248" s="7">
        <v>1</v>
      </c>
      <c r="I248" s="2" t="e">
        <f t="shared" si="14"/>
        <v>#VALUE!</v>
      </c>
      <c r="J248" s="21">
        <v>0</v>
      </c>
      <c r="K248" s="17" t="e">
        <f t="shared" si="15"/>
        <v>#VALUE!</v>
      </c>
      <c r="L248" s="30"/>
      <c r="M248" s="13" t="s">
        <v>456</v>
      </c>
      <c r="N248" s="30"/>
      <c r="O248" s="30"/>
      <c r="P248" s="30"/>
      <c r="Q248" s="30"/>
      <c r="R248" s="30"/>
      <c r="S248" s="30">
        <v>1</v>
      </c>
      <c r="T248" s="26"/>
      <c r="U248" s="26"/>
      <c r="V248" s="26"/>
      <c r="W248" s="26"/>
      <c r="X248" s="26"/>
      <c r="Y248" s="26"/>
      <c r="Z248" s="26"/>
      <c r="AA248" s="26"/>
      <c r="AB248" s="26"/>
      <c r="AC248" s="26"/>
      <c r="AD248" s="26"/>
      <c r="AE248" s="26"/>
      <c r="AF248" s="26"/>
      <c r="AG248" s="26"/>
      <c r="AH248" s="26"/>
      <c r="AI248" s="26"/>
      <c r="AJ248" s="26"/>
      <c r="AK248" s="26"/>
      <c r="AL248" s="26"/>
      <c r="AM248" s="26"/>
      <c r="AN248" s="26"/>
      <c r="AO248" s="26"/>
      <c r="AP248" s="26"/>
      <c r="AQ248" s="26"/>
      <c r="AR248" s="26"/>
    </row>
    <row r="249" spans="1:44" ht="15.75" x14ac:dyDescent="0.25">
      <c r="A249" s="30"/>
      <c r="B249" s="13" t="s">
        <v>456</v>
      </c>
      <c r="C249" s="18" t="s">
        <v>497</v>
      </c>
      <c r="D249" s="20" t="s">
        <v>498</v>
      </c>
      <c r="E249" s="6" t="s">
        <v>22</v>
      </c>
      <c r="F249" s="7" t="e">
        <f>G249+SUMIF('[1]mouvement élévateur VMI'!B:B,"=Joint à lèvre 55-90-10",'[1]mouvement élévateur VMI'!G:G)</f>
        <v>#VALUE!</v>
      </c>
      <c r="G249" s="7">
        <v>3</v>
      </c>
      <c r="H249" s="7">
        <v>2</v>
      </c>
      <c r="I249" s="2" t="e">
        <f t="shared" si="14"/>
        <v>#VALUE!</v>
      </c>
      <c r="J249" s="21">
        <v>0</v>
      </c>
      <c r="K249" s="17" t="e">
        <f t="shared" si="15"/>
        <v>#VALUE!</v>
      </c>
      <c r="L249" s="30"/>
      <c r="M249" s="35" t="e">
        <f>SUM(K229:K249)</f>
        <v>#VALUE!</v>
      </c>
      <c r="N249" s="30"/>
      <c r="O249" s="30"/>
      <c r="P249" s="30"/>
      <c r="Q249" s="30"/>
      <c r="R249" s="30"/>
      <c r="S249" s="30">
        <v>1</v>
      </c>
      <c r="T249" s="26"/>
      <c r="U249" s="26"/>
      <c r="V249" s="26"/>
      <c r="W249" s="26"/>
      <c r="X249" s="26"/>
      <c r="Y249" s="26"/>
      <c r="Z249" s="26"/>
      <c r="AA249" s="26"/>
      <c r="AB249" s="26"/>
      <c r="AC249" s="26"/>
      <c r="AD249" s="26"/>
      <c r="AE249" s="26"/>
      <c r="AF249" s="26"/>
      <c r="AG249" s="26"/>
      <c r="AH249" s="26"/>
      <c r="AI249" s="26"/>
      <c r="AJ249" s="26"/>
      <c r="AK249" s="26"/>
      <c r="AL249" s="26"/>
      <c r="AM249" s="26"/>
      <c r="AN249" s="26"/>
      <c r="AO249" s="26"/>
      <c r="AP249" s="26"/>
      <c r="AQ249" s="26"/>
      <c r="AR249" s="26"/>
    </row>
    <row r="250" spans="1:44" ht="15.75" x14ac:dyDescent="0.25">
      <c r="A250" s="30"/>
      <c r="B250" s="13" t="s">
        <v>499</v>
      </c>
      <c r="C250" s="4" t="s">
        <v>500</v>
      </c>
      <c r="D250" s="126"/>
      <c r="E250" s="6" t="s">
        <v>22</v>
      </c>
      <c r="F250" s="7" t="e">
        <f>G250+SUMIF('[1]mouvement élévateur VMI'!B:B,"=Capteur inductif de proximité Barillet M30 x 1,5, portée 15mm",'[1]mouvement élévateur VMI'!G:G)</f>
        <v>#VALUE!</v>
      </c>
      <c r="G250" s="7">
        <v>0</v>
      </c>
      <c r="H250" s="6">
        <v>1</v>
      </c>
      <c r="I250" s="1" t="e">
        <f>IF(F250&lt;H250,"/!\","-")</f>
        <v>#VALUE!</v>
      </c>
      <c r="J250" s="11">
        <v>880</v>
      </c>
      <c r="K250" s="12" t="e">
        <f>F250*J250</f>
        <v>#VALUE!</v>
      </c>
      <c r="L250" s="30"/>
      <c r="M250" s="30"/>
      <c r="N250" s="30"/>
      <c r="O250" s="30"/>
      <c r="P250" s="30"/>
      <c r="Q250" s="30"/>
      <c r="R250" s="30"/>
      <c r="S250" s="30">
        <v>1</v>
      </c>
      <c r="T250" s="26"/>
      <c r="U250" s="26"/>
      <c r="V250" s="26"/>
      <c r="W250" s="26"/>
      <c r="X250" s="26"/>
      <c r="Y250" s="26"/>
      <c r="Z250" s="26"/>
      <c r="AA250" s="26"/>
      <c r="AB250" s="26"/>
      <c r="AC250" s="26"/>
      <c r="AD250" s="26"/>
      <c r="AE250" s="26"/>
      <c r="AF250" s="26"/>
      <c r="AG250" s="26"/>
      <c r="AH250" s="26"/>
      <c r="AI250" s="26"/>
      <c r="AJ250" s="26"/>
      <c r="AK250" s="26"/>
      <c r="AL250" s="26"/>
      <c r="AM250" s="26"/>
      <c r="AN250" s="26"/>
      <c r="AO250" s="26"/>
      <c r="AP250" s="26"/>
      <c r="AQ250" s="26"/>
      <c r="AR250" s="26"/>
    </row>
    <row r="251" spans="1:44" ht="15.75" x14ac:dyDescent="0.25">
      <c r="A251" s="30"/>
      <c r="B251" s="13" t="s">
        <v>499</v>
      </c>
      <c r="C251" s="4" t="s">
        <v>501</v>
      </c>
      <c r="D251" s="126" t="s">
        <v>502</v>
      </c>
      <c r="E251" s="6" t="s">
        <v>22</v>
      </c>
      <c r="F251" s="7" t="e">
        <f>G251+SUMIF('[1]mouvement élévateur VMI'!B:B,"=galets cylindriques 5/2 polyamide blanc",'[1]mouvement élévateur VMI'!G:G)</f>
        <v>#VALUE!</v>
      </c>
      <c r="G251" s="7">
        <v>1</v>
      </c>
      <c r="H251" s="6">
        <v>1</v>
      </c>
      <c r="I251" s="1" t="e">
        <f t="shared" ref="I251:I261" si="16">IF(F251&lt;H251,"/!\","-")</f>
        <v>#VALUE!</v>
      </c>
      <c r="J251" s="11">
        <v>135</v>
      </c>
      <c r="K251" s="12" t="e">
        <f t="shared" ref="K251:K261" si="17">F251*J251</f>
        <v>#VALUE!</v>
      </c>
      <c r="L251" s="30"/>
      <c r="M251" s="30"/>
      <c r="N251" s="30"/>
      <c r="O251" s="30"/>
      <c r="P251" s="30"/>
      <c r="Q251" s="30"/>
      <c r="R251" s="30"/>
      <c r="S251" s="30">
        <v>0</v>
      </c>
      <c r="T251" s="26"/>
      <c r="U251" s="26"/>
      <c r="V251" s="26"/>
      <c r="W251" s="26"/>
      <c r="X251" s="26"/>
      <c r="Y251" s="26"/>
      <c r="Z251" s="26"/>
      <c r="AA251" s="26"/>
      <c r="AB251" s="26"/>
      <c r="AC251" s="26"/>
      <c r="AD251" s="26"/>
      <c r="AE251" s="26"/>
      <c r="AF251" s="26"/>
      <c r="AG251" s="26"/>
      <c r="AH251" s="26"/>
      <c r="AI251" s="26"/>
      <c r="AJ251" s="26"/>
      <c r="AK251" s="26"/>
      <c r="AL251" s="26"/>
      <c r="AM251" s="26"/>
      <c r="AN251" s="26"/>
      <c r="AO251" s="26"/>
      <c r="AP251" s="26"/>
      <c r="AQ251" s="26"/>
      <c r="AR251" s="26"/>
    </row>
    <row r="252" spans="1:44" ht="15.75" x14ac:dyDescent="0.25">
      <c r="A252" s="30"/>
      <c r="B252" s="13" t="s">
        <v>499</v>
      </c>
      <c r="C252" s="4" t="s">
        <v>503</v>
      </c>
      <c r="D252" s="126" t="s">
        <v>504</v>
      </c>
      <c r="E252" s="127" t="s">
        <v>505</v>
      </c>
      <c r="F252" s="7" t="e">
        <f>G252+SUMIF('[1]mouvement élévateur VMI'!B:B,"=galets de rechange 82mm marron",'[1]mouvement élévateur VMI'!G:G)</f>
        <v>#VALUE!</v>
      </c>
      <c r="G252" s="7">
        <v>0</v>
      </c>
      <c r="H252" s="6">
        <v>1</v>
      </c>
      <c r="I252" s="1" t="e">
        <f t="shared" si="16"/>
        <v>#VALUE!</v>
      </c>
      <c r="J252" s="16">
        <v>34</v>
      </c>
      <c r="K252" s="12" t="e">
        <f t="shared" si="17"/>
        <v>#VALUE!</v>
      </c>
      <c r="L252" s="30"/>
      <c r="M252" s="30"/>
      <c r="N252" s="30"/>
      <c r="O252" s="30"/>
      <c r="P252" s="30"/>
      <c r="Q252" s="30"/>
      <c r="R252" s="30"/>
      <c r="S252" s="30">
        <v>0</v>
      </c>
      <c r="T252" s="26"/>
      <c r="U252" s="26"/>
      <c r="V252" s="26"/>
      <c r="W252" s="26"/>
      <c r="X252" s="26"/>
      <c r="Y252" s="26"/>
      <c r="Z252" s="26"/>
      <c r="AA252" s="26"/>
      <c r="AB252" s="26"/>
      <c r="AC252" s="26"/>
      <c r="AD252" s="26"/>
      <c r="AE252" s="26"/>
      <c r="AF252" s="26"/>
      <c r="AG252" s="26"/>
      <c r="AH252" s="26"/>
      <c r="AI252" s="26"/>
      <c r="AJ252" s="26"/>
      <c r="AK252" s="26"/>
      <c r="AL252" s="26"/>
      <c r="AM252" s="26"/>
      <c r="AN252" s="26"/>
      <c r="AO252" s="26"/>
      <c r="AP252" s="26"/>
      <c r="AQ252" s="26"/>
      <c r="AR252" s="26"/>
    </row>
    <row r="253" spans="1:44" ht="15.75" x14ac:dyDescent="0.25">
      <c r="A253" s="30"/>
      <c r="B253" s="13" t="s">
        <v>499</v>
      </c>
      <c r="C253" s="4" t="s">
        <v>506</v>
      </c>
      <c r="D253" s="126" t="s">
        <v>507</v>
      </c>
      <c r="E253" s="25" t="s">
        <v>22</v>
      </c>
      <c r="F253" s="7" t="e">
        <f>G253+SUMIF('[1]mouvement élévateur VMI'!B:B,"=ressort elevateur",'[1]mouvement élévateur VMI'!G:G)</f>
        <v>#VALUE!</v>
      </c>
      <c r="G253" s="7">
        <v>0</v>
      </c>
      <c r="H253" s="6">
        <v>1</v>
      </c>
      <c r="I253" s="1" t="e">
        <f t="shared" si="16"/>
        <v>#VALUE!</v>
      </c>
      <c r="J253" s="16">
        <v>36</v>
      </c>
      <c r="K253" s="12" t="e">
        <f t="shared" si="17"/>
        <v>#VALUE!</v>
      </c>
      <c r="L253" s="30"/>
      <c r="M253" s="30"/>
      <c r="N253" s="30"/>
      <c r="O253" s="30"/>
      <c r="P253" s="30"/>
      <c r="Q253" s="30"/>
      <c r="R253" s="30"/>
      <c r="S253" s="30">
        <v>0</v>
      </c>
      <c r="T253" s="26"/>
      <c r="U253" s="26"/>
      <c r="V253" s="26"/>
      <c r="W253" s="26"/>
      <c r="X253" s="26"/>
      <c r="Y253" s="26"/>
      <c r="Z253" s="26"/>
      <c r="AA253" s="26"/>
      <c r="AB253" s="26"/>
      <c r="AC253" s="26"/>
      <c r="AD253" s="26"/>
      <c r="AE253" s="26"/>
      <c r="AF253" s="26"/>
      <c r="AG253" s="26"/>
      <c r="AH253" s="26"/>
      <c r="AI253" s="26"/>
      <c r="AJ253" s="26"/>
      <c r="AK253" s="26"/>
      <c r="AL253" s="26"/>
      <c r="AM253" s="26"/>
      <c r="AN253" s="26"/>
      <c r="AO253" s="26"/>
      <c r="AP253" s="26"/>
      <c r="AQ253" s="26"/>
      <c r="AR253" s="26"/>
    </row>
    <row r="254" spans="1:44" ht="15.75" x14ac:dyDescent="0.25">
      <c r="A254" s="30"/>
      <c r="B254" s="13" t="s">
        <v>499</v>
      </c>
      <c r="C254" s="4" t="s">
        <v>508</v>
      </c>
      <c r="D254" s="126" t="s">
        <v>509</v>
      </c>
      <c r="E254" s="6" t="s">
        <v>22</v>
      </c>
      <c r="F254" s="7" t="e">
        <f>G254+SUMIF('[1]mouvement élévateur VMI'!B:B,"=roue arriere élevateur",'[1]mouvement élévateur VMI'!G:G)</f>
        <v>#VALUE!</v>
      </c>
      <c r="G254" s="7">
        <v>1</v>
      </c>
      <c r="H254" s="6">
        <v>1</v>
      </c>
      <c r="I254" s="1" t="e">
        <f t="shared" si="16"/>
        <v>#VALUE!</v>
      </c>
      <c r="J254" s="11">
        <v>2.1800000000000002</v>
      </c>
      <c r="K254" s="12" t="e">
        <f t="shared" si="17"/>
        <v>#VALUE!</v>
      </c>
      <c r="L254" s="30"/>
      <c r="M254" s="30"/>
      <c r="N254" s="30"/>
      <c r="O254" s="30"/>
      <c r="P254" s="30"/>
      <c r="Q254" s="30"/>
      <c r="R254" s="30"/>
      <c r="S254" s="30">
        <v>1</v>
      </c>
      <c r="T254" s="26"/>
      <c r="U254" s="26"/>
      <c r="V254" s="26"/>
      <c r="W254" s="26"/>
      <c r="X254" s="26"/>
      <c r="Y254" s="26"/>
      <c r="Z254" s="26"/>
      <c r="AA254" s="26"/>
      <c r="AB254" s="26"/>
      <c r="AC254" s="26"/>
      <c r="AD254" s="26"/>
      <c r="AE254" s="26"/>
      <c r="AF254" s="26"/>
      <c r="AG254" s="26"/>
      <c r="AH254" s="26"/>
      <c r="AI254" s="26"/>
      <c r="AJ254" s="26"/>
      <c r="AK254" s="26"/>
      <c r="AL254" s="26"/>
      <c r="AM254" s="26"/>
      <c r="AN254" s="26"/>
      <c r="AO254" s="26"/>
      <c r="AP254" s="26"/>
      <c r="AQ254" s="26"/>
      <c r="AR254" s="26"/>
    </row>
    <row r="255" spans="1:44" ht="15.75" x14ac:dyDescent="0.25">
      <c r="A255" s="30"/>
      <c r="B255" s="13" t="s">
        <v>499</v>
      </c>
      <c r="C255" s="4" t="s">
        <v>510</v>
      </c>
      <c r="D255" s="126" t="s">
        <v>511</v>
      </c>
      <c r="E255" s="6" t="s">
        <v>22</v>
      </c>
      <c r="F255" s="7" t="e">
        <f>G255+SUMIF('[1]mouvement élévateur VMI'!B:B,"=axe de pivotement",'[1]mouvement élévateur VMI'!G:G)</f>
        <v>#VALUE!</v>
      </c>
      <c r="G255" s="7">
        <v>1</v>
      </c>
      <c r="H255" s="6">
        <v>1</v>
      </c>
      <c r="I255" s="1" t="e">
        <f t="shared" si="16"/>
        <v>#VALUE!</v>
      </c>
      <c r="J255" s="11">
        <v>5.43</v>
      </c>
      <c r="K255" s="12" t="e">
        <f t="shared" si="17"/>
        <v>#VALUE!</v>
      </c>
      <c r="L255" s="30"/>
      <c r="M255" s="30"/>
      <c r="N255" s="30"/>
      <c r="O255" s="30"/>
      <c r="P255" s="30"/>
      <c r="Q255" s="30"/>
      <c r="R255" s="30"/>
      <c r="S255" s="30">
        <v>0</v>
      </c>
      <c r="T255" s="26"/>
      <c r="U255" s="26"/>
      <c r="V255" s="26"/>
      <c r="W255" s="26"/>
      <c r="X255" s="26"/>
      <c r="Y255" s="26"/>
      <c r="Z255" s="26"/>
      <c r="AA255" s="26"/>
      <c r="AB255" s="26"/>
      <c r="AC255" s="26"/>
      <c r="AD255" s="26"/>
      <c r="AE255" s="26"/>
      <c r="AF255" s="26"/>
      <c r="AG255" s="26"/>
      <c r="AH255" s="26"/>
      <c r="AI255" s="26"/>
      <c r="AJ255" s="26"/>
      <c r="AK255" s="26"/>
      <c r="AL255" s="26"/>
      <c r="AM255" s="26"/>
      <c r="AN255" s="26"/>
      <c r="AO255" s="26"/>
      <c r="AP255" s="26"/>
      <c r="AQ255" s="26"/>
      <c r="AR255" s="26"/>
    </row>
    <row r="256" spans="1:44" ht="15.75" x14ac:dyDescent="0.25">
      <c r="A256" s="30"/>
      <c r="B256" s="13" t="s">
        <v>499</v>
      </c>
      <c r="C256" s="4" t="s">
        <v>512</v>
      </c>
      <c r="D256" s="126" t="s">
        <v>513</v>
      </c>
      <c r="E256" s="25" t="s">
        <v>22</v>
      </c>
      <c r="F256" s="7" t="e">
        <f>G256+SUMIF('[1]mouvement élévateur VMI'!B:B,"=palier de déversement",'[1]mouvement élévateur VMI'!G:G)</f>
        <v>#VALUE!</v>
      </c>
      <c r="G256" s="7">
        <v>2</v>
      </c>
      <c r="H256" s="6">
        <v>2</v>
      </c>
      <c r="I256" s="1" t="e">
        <f t="shared" si="16"/>
        <v>#VALUE!</v>
      </c>
      <c r="J256" s="16">
        <v>20</v>
      </c>
      <c r="K256" s="12" t="e">
        <f t="shared" si="17"/>
        <v>#VALUE!</v>
      </c>
      <c r="L256" s="30"/>
      <c r="M256" s="30"/>
      <c r="N256" s="30"/>
      <c r="O256" s="30"/>
      <c r="P256" s="30"/>
      <c r="Q256" s="30"/>
      <c r="R256" s="30"/>
      <c r="S256" s="30">
        <v>1</v>
      </c>
      <c r="T256" s="26"/>
      <c r="U256" s="26"/>
      <c r="V256" s="26"/>
      <c r="W256" s="26"/>
      <c r="X256" s="26"/>
      <c r="Y256" s="26"/>
      <c r="Z256" s="26"/>
      <c r="AA256" s="26"/>
      <c r="AB256" s="26"/>
      <c r="AC256" s="26"/>
      <c r="AD256" s="26"/>
      <c r="AE256" s="26"/>
      <c r="AF256" s="26"/>
      <c r="AG256" s="26"/>
      <c r="AH256" s="26"/>
      <c r="AI256" s="26"/>
      <c r="AJ256" s="26"/>
      <c r="AK256" s="26"/>
      <c r="AL256" s="26"/>
      <c r="AM256" s="26"/>
      <c r="AN256" s="26"/>
      <c r="AO256" s="26"/>
      <c r="AP256" s="26"/>
      <c r="AQ256" s="26"/>
      <c r="AR256" s="26"/>
    </row>
    <row r="257" spans="1:44" ht="15.75" x14ac:dyDescent="0.25">
      <c r="A257" s="30"/>
      <c r="B257" s="13" t="s">
        <v>499</v>
      </c>
      <c r="C257" s="4" t="s">
        <v>514</v>
      </c>
      <c r="D257" s="126" t="s">
        <v>515</v>
      </c>
      <c r="E257" s="25" t="s">
        <v>22</v>
      </c>
      <c r="F257" s="7" t="e">
        <f>G257+SUMIF('[1]mouvement élévateur VMI'!B:B,"=Kit fdc rotation cuve",'[1]mouvement élévateur VMI'!G:G)</f>
        <v>#VALUE!</v>
      </c>
      <c r="G257" s="7">
        <v>0</v>
      </c>
      <c r="H257" s="6">
        <v>0</v>
      </c>
      <c r="I257" s="1" t="e">
        <f t="shared" si="16"/>
        <v>#VALUE!</v>
      </c>
      <c r="J257" s="16">
        <v>545</v>
      </c>
      <c r="K257" s="12" t="e">
        <f t="shared" si="17"/>
        <v>#VALUE!</v>
      </c>
      <c r="L257" s="30"/>
      <c r="M257" s="30"/>
      <c r="N257" s="30"/>
      <c r="O257" s="30"/>
      <c r="P257" s="30"/>
      <c r="Q257" s="30"/>
      <c r="R257" s="30"/>
      <c r="S257" s="30">
        <v>0</v>
      </c>
      <c r="T257" s="26"/>
      <c r="U257" s="26"/>
      <c r="V257" s="26"/>
      <c r="W257" s="26"/>
      <c r="X257" s="26"/>
      <c r="Y257" s="26"/>
      <c r="Z257" s="26"/>
      <c r="AA257" s="26"/>
      <c r="AB257" s="26"/>
      <c r="AC257" s="26"/>
      <c r="AD257" s="26"/>
      <c r="AE257" s="26"/>
      <c r="AF257" s="26"/>
      <c r="AG257" s="26"/>
      <c r="AH257" s="26"/>
      <c r="AI257" s="26"/>
      <c r="AJ257" s="26"/>
      <c r="AK257" s="26"/>
      <c r="AL257" s="26"/>
      <c r="AM257" s="26"/>
      <c r="AN257" s="26"/>
      <c r="AO257" s="26"/>
      <c r="AP257" s="26"/>
      <c r="AQ257" s="26"/>
      <c r="AR257" s="26"/>
    </row>
    <row r="258" spans="1:44" ht="15.75" x14ac:dyDescent="0.25">
      <c r="A258" s="30"/>
      <c r="B258" s="13" t="s">
        <v>499</v>
      </c>
      <c r="C258" s="4" t="s">
        <v>516</v>
      </c>
      <c r="D258" s="20" t="s">
        <v>517</v>
      </c>
      <c r="E258" s="6" t="s">
        <v>22</v>
      </c>
      <c r="F258" s="7" t="e">
        <f>G258+SUMIF('[1]mouvement élévateur VMI'!B:B,"=Platine Axe de rotation",'[1]mouvement élévateur VMI'!G:G)</f>
        <v>#VALUE!</v>
      </c>
      <c r="G258" s="7">
        <v>0</v>
      </c>
      <c r="H258" s="6">
        <v>0</v>
      </c>
      <c r="I258" s="1" t="e">
        <f t="shared" si="16"/>
        <v>#VALUE!</v>
      </c>
      <c r="J258" s="11">
        <v>952</v>
      </c>
      <c r="K258" s="12" t="e">
        <f t="shared" si="17"/>
        <v>#VALUE!</v>
      </c>
      <c r="L258" s="30"/>
      <c r="M258" s="30"/>
      <c r="N258" s="30"/>
      <c r="O258" s="30"/>
      <c r="P258" s="30"/>
      <c r="Q258" s="30"/>
      <c r="R258" s="30"/>
      <c r="S258" s="30">
        <v>1</v>
      </c>
      <c r="T258" s="26"/>
      <c r="U258" s="26"/>
      <c r="V258" s="26"/>
      <c r="W258" s="26"/>
      <c r="X258" s="26"/>
      <c r="Y258" s="26"/>
      <c r="Z258" s="26"/>
      <c r="AA258" s="26"/>
      <c r="AB258" s="26"/>
      <c r="AC258" s="26"/>
      <c r="AD258" s="26"/>
      <c r="AE258" s="26"/>
      <c r="AF258" s="26"/>
      <c r="AG258" s="26"/>
      <c r="AH258" s="26"/>
      <c r="AI258" s="26"/>
      <c r="AJ258" s="26"/>
      <c r="AK258" s="26"/>
      <c r="AL258" s="26"/>
      <c r="AM258" s="26"/>
      <c r="AN258" s="26"/>
      <c r="AO258" s="26"/>
      <c r="AP258" s="26"/>
      <c r="AQ258" s="26"/>
      <c r="AR258" s="26"/>
    </row>
    <row r="259" spans="1:44" ht="15.75" x14ac:dyDescent="0.25">
      <c r="A259" s="30"/>
      <c r="B259" s="13" t="s">
        <v>499</v>
      </c>
      <c r="C259" s="4" t="s">
        <v>518</v>
      </c>
      <c r="D259" s="20" t="s">
        <v>519</v>
      </c>
      <c r="E259" s="25" t="s">
        <v>22</v>
      </c>
      <c r="F259" s="7" t="e">
        <f>G259+SUMIF('[1]mouvement élévateur VMI'!B:B,"=Bague bronze",'[1]mouvement élévateur VMI'!G:G)</f>
        <v>#VALUE!</v>
      </c>
      <c r="G259" s="7">
        <v>2</v>
      </c>
      <c r="H259" s="6">
        <v>2</v>
      </c>
      <c r="I259" s="1" t="e">
        <f t="shared" si="16"/>
        <v>#VALUE!</v>
      </c>
      <c r="J259" s="16">
        <v>23</v>
      </c>
      <c r="K259" s="12" t="e">
        <f t="shared" si="17"/>
        <v>#VALUE!</v>
      </c>
      <c r="L259" s="30"/>
      <c r="M259" s="30"/>
      <c r="N259" s="30"/>
      <c r="O259" s="30"/>
      <c r="P259" s="30"/>
      <c r="Q259" s="30"/>
      <c r="R259" s="30"/>
      <c r="S259" s="30">
        <v>1</v>
      </c>
      <c r="T259" s="26"/>
      <c r="U259" s="26"/>
      <c r="V259" s="26"/>
      <c r="W259" s="26"/>
      <c r="X259" s="26"/>
      <c r="Y259" s="26"/>
      <c r="Z259" s="26"/>
      <c r="AA259" s="26"/>
      <c r="AB259" s="26"/>
      <c r="AC259" s="26"/>
      <c r="AD259" s="26"/>
      <c r="AE259" s="26"/>
      <c r="AF259" s="26"/>
      <c r="AG259" s="26"/>
      <c r="AH259" s="26"/>
      <c r="AI259" s="26"/>
      <c r="AJ259" s="26"/>
      <c r="AK259" s="26"/>
      <c r="AL259" s="26"/>
      <c r="AM259" s="26"/>
      <c r="AN259" s="26"/>
      <c r="AO259" s="26"/>
      <c r="AP259" s="26"/>
      <c r="AQ259" s="26"/>
      <c r="AR259" s="26"/>
    </row>
    <row r="260" spans="1:44" ht="15.75" x14ac:dyDescent="0.25">
      <c r="A260" s="30"/>
      <c r="B260" s="13" t="s">
        <v>499</v>
      </c>
      <c r="C260" s="4" t="s">
        <v>520</v>
      </c>
      <c r="D260" s="126" t="s">
        <v>521</v>
      </c>
      <c r="E260" s="6" t="s">
        <v>22</v>
      </c>
      <c r="F260" s="7" t="e">
        <f>G260+SUMIF('[1]mouvement élévateur VMI'!B:B,"=Palier ECLB acier",'[1]mouvement élévateur VMI'!G:G)</f>
        <v>#VALUE!</v>
      </c>
      <c r="G260" s="7">
        <v>0</v>
      </c>
      <c r="H260" s="6">
        <v>0</v>
      </c>
      <c r="I260" s="1" t="e">
        <f t="shared" si="16"/>
        <v>#VALUE!</v>
      </c>
      <c r="J260" s="11">
        <v>538</v>
      </c>
      <c r="K260" s="12" t="e">
        <f t="shared" si="17"/>
        <v>#VALUE!</v>
      </c>
      <c r="L260" s="30"/>
      <c r="M260" s="13" t="s">
        <v>499</v>
      </c>
      <c r="N260" s="30"/>
      <c r="O260" s="30"/>
      <c r="P260" s="30"/>
      <c r="Q260" s="30"/>
      <c r="R260" s="30"/>
      <c r="S260" s="30">
        <v>1</v>
      </c>
      <c r="T260" s="26"/>
      <c r="U260" s="26"/>
      <c r="V260" s="26"/>
      <c r="W260" s="26"/>
      <c r="X260" s="26"/>
      <c r="Y260" s="26"/>
      <c r="Z260" s="26"/>
      <c r="AA260" s="26"/>
      <c r="AB260" s="26"/>
      <c r="AC260" s="26"/>
      <c r="AD260" s="26"/>
      <c r="AE260" s="26"/>
      <c r="AF260" s="26"/>
      <c r="AG260" s="26"/>
      <c r="AH260" s="26"/>
      <c r="AI260" s="26"/>
      <c r="AJ260" s="26"/>
      <c r="AK260" s="26"/>
      <c r="AL260" s="26"/>
      <c r="AM260" s="26"/>
      <c r="AN260" s="26"/>
      <c r="AO260" s="26"/>
      <c r="AP260" s="26"/>
      <c r="AQ260" s="26"/>
      <c r="AR260" s="26"/>
    </row>
    <row r="261" spans="1:44" ht="15.75" x14ac:dyDescent="0.25">
      <c r="A261" s="30"/>
      <c r="B261" s="13" t="s">
        <v>499</v>
      </c>
      <c r="C261" s="4" t="s">
        <v>522</v>
      </c>
      <c r="D261" s="126" t="s">
        <v>523</v>
      </c>
      <c r="E261" s="6" t="s">
        <v>22</v>
      </c>
      <c r="F261" s="7" t="e">
        <f>G261+SUMIF('[1]mouvement élévateur VMI'!B:B,"=Roulement 2202RS",'[1]mouvement élévateur VMI'!G:G)</f>
        <v>#VALUE!</v>
      </c>
      <c r="G261" s="7">
        <v>4</v>
      </c>
      <c r="H261" s="6">
        <v>2</v>
      </c>
      <c r="I261" s="1" t="e">
        <f t="shared" si="16"/>
        <v>#VALUE!</v>
      </c>
      <c r="J261" s="11">
        <v>19.48</v>
      </c>
      <c r="K261" s="12" t="e">
        <f t="shared" si="17"/>
        <v>#VALUE!</v>
      </c>
      <c r="L261" s="30"/>
      <c r="M261" s="35" t="e">
        <f>SUM(K250:K261)</f>
        <v>#VALUE!</v>
      </c>
      <c r="N261" s="30"/>
      <c r="O261" s="30"/>
      <c r="P261" s="30"/>
      <c r="Q261" s="30"/>
      <c r="R261" s="30"/>
      <c r="S261" s="30">
        <v>1</v>
      </c>
      <c r="T261" s="26"/>
      <c r="U261" s="26"/>
      <c r="V261" s="26"/>
      <c r="W261" s="26"/>
      <c r="X261" s="26"/>
      <c r="Y261" s="26"/>
      <c r="Z261" s="26"/>
      <c r="AA261" s="26"/>
      <c r="AB261" s="26"/>
      <c r="AC261" s="26"/>
      <c r="AD261" s="26"/>
      <c r="AE261" s="26"/>
      <c r="AF261" s="26"/>
      <c r="AG261" s="26"/>
      <c r="AH261" s="26"/>
      <c r="AI261" s="26"/>
      <c r="AJ261" s="26"/>
      <c r="AK261" s="26"/>
      <c r="AL261" s="26"/>
      <c r="AM261" s="26"/>
      <c r="AN261" s="26"/>
      <c r="AO261" s="26"/>
      <c r="AP261" s="26"/>
      <c r="AQ261" s="26"/>
      <c r="AR261" s="26"/>
    </row>
    <row r="262" spans="1:44" ht="15.75" x14ac:dyDescent="0.25">
      <c r="A262" s="30"/>
      <c r="B262" s="13" t="s">
        <v>524</v>
      </c>
      <c r="C262" s="128" t="s">
        <v>525</v>
      </c>
      <c r="D262" s="6">
        <v>200150003</v>
      </c>
      <c r="E262" s="7" t="s">
        <v>526</v>
      </c>
      <c r="F262" s="7" t="e">
        <f>G262+SUMIF('[1]mouvement MRR240'!B:B,"=(levier) patins de blocage du papier",'[1]mouvement MRR240'!G:G)</f>
        <v>#VALUE!</v>
      </c>
      <c r="G262" s="7">
        <v>2</v>
      </c>
      <c r="H262" s="6">
        <v>2</v>
      </c>
      <c r="I262" s="1" t="e">
        <f>IF(F262&lt;H262,"/!\","-")</f>
        <v>#VALUE!</v>
      </c>
      <c r="J262" s="20">
        <v>76.16</v>
      </c>
      <c r="K262" s="12" t="e">
        <f>F262*J262</f>
        <v>#VALUE!</v>
      </c>
      <c r="L262" s="30"/>
      <c r="M262" s="30"/>
      <c r="N262" s="30"/>
      <c r="O262" s="30"/>
      <c r="P262" s="30"/>
      <c r="Q262" s="30"/>
      <c r="R262" s="30"/>
      <c r="S262" s="30">
        <v>1</v>
      </c>
      <c r="T262" s="26"/>
      <c r="U262" s="26"/>
      <c r="V262" s="26"/>
      <c r="W262" s="26"/>
      <c r="X262" s="26"/>
      <c r="Y262" s="26"/>
      <c r="Z262" s="26"/>
      <c r="AA262" s="26"/>
      <c r="AB262" s="26"/>
      <c r="AC262" s="26"/>
      <c r="AD262" s="26"/>
      <c r="AE262" s="26"/>
      <c r="AF262" s="26"/>
      <c r="AG262" s="26"/>
      <c r="AH262" s="26"/>
      <c r="AI262" s="26"/>
      <c r="AJ262" s="26"/>
      <c r="AK262" s="26"/>
      <c r="AL262" s="26"/>
      <c r="AM262" s="26"/>
      <c r="AN262" s="26"/>
      <c r="AO262" s="26"/>
      <c r="AP262" s="26"/>
      <c r="AQ262" s="26"/>
      <c r="AR262" s="26"/>
    </row>
    <row r="263" spans="1:44" ht="15.75" x14ac:dyDescent="0.25">
      <c r="A263" s="30"/>
      <c r="B263" s="13" t="s">
        <v>524</v>
      </c>
      <c r="C263" s="18" t="s">
        <v>527</v>
      </c>
      <c r="D263" s="6">
        <v>81141806524</v>
      </c>
      <c r="E263" s="7" t="s">
        <v>526</v>
      </c>
      <c r="F263" s="7" t="e">
        <f>G263+SUMIF('[1]mouvement MRR240'!B:B,"=bague d'etanchéité",'[1]mouvement MRR240'!G:G)</f>
        <v>#VALUE!</v>
      </c>
      <c r="G263" s="7">
        <v>2</v>
      </c>
      <c r="H263" s="20">
        <v>2</v>
      </c>
      <c r="I263" s="1" t="e">
        <f t="shared" ref="I263:I305" si="18">IF(F263&lt;H263,"/!\","-")</f>
        <v>#VALUE!</v>
      </c>
      <c r="J263" s="69">
        <v>0.28000000000000003</v>
      </c>
      <c r="K263" s="12" t="e">
        <f t="shared" ref="K263:K305" si="19">F263*J263</f>
        <v>#VALUE!</v>
      </c>
      <c r="L263" s="30"/>
      <c r="M263" s="30"/>
      <c r="N263" s="30"/>
      <c r="O263" s="30"/>
      <c r="P263" s="30"/>
      <c r="Q263" s="30"/>
      <c r="R263" s="30"/>
      <c r="S263" s="30">
        <v>0</v>
      </c>
      <c r="T263" s="26"/>
      <c r="U263" s="26"/>
      <c r="V263" s="26"/>
      <c r="W263" s="26"/>
      <c r="X263" s="26"/>
      <c r="Y263" s="26"/>
      <c r="Z263" s="26"/>
      <c r="AA263" s="26"/>
      <c r="AB263" s="26"/>
      <c r="AC263" s="26"/>
      <c r="AD263" s="26"/>
      <c r="AE263" s="26"/>
      <c r="AF263" s="26"/>
      <c r="AG263" s="26"/>
      <c r="AH263" s="26"/>
      <c r="AI263" s="26"/>
      <c r="AJ263" s="26"/>
      <c r="AK263" s="26"/>
      <c r="AL263" s="26"/>
      <c r="AM263" s="26"/>
      <c r="AN263" s="26"/>
      <c r="AO263" s="26"/>
      <c r="AP263" s="26"/>
      <c r="AQ263" s="26"/>
      <c r="AR263" s="26"/>
    </row>
    <row r="264" spans="1:44" ht="15.75" x14ac:dyDescent="0.25">
      <c r="A264" s="30"/>
      <c r="B264" s="13" t="s">
        <v>524</v>
      </c>
      <c r="C264" s="18" t="s">
        <v>528</v>
      </c>
      <c r="D264" s="6">
        <v>200155074</v>
      </c>
      <c r="E264" s="120" t="s">
        <v>526</v>
      </c>
      <c r="F264" s="7" t="e">
        <f>G264+SUMIF('[1]mouvement MRR240'!B:B,"=arète ou bord de distribution",'[1]mouvement MRR240'!G:G)</f>
        <v>#VALUE!</v>
      </c>
      <c r="G264" s="7">
        <v>0</v>
      </c>
      <c r="H264" s="20">
        <v>1</v>
      </c>
      <c r="I264" s="1" t="e">
        <f t="shared" si="18"/>
        <v>#VALUE!</v>
      </c>
      <c r="J264" s="11">
        <v>590.28</v>
      </c>
      <c r="K264" s="12" t="e">
        <f t="shared" si="19"/>
        <v>#VALUE!</v>
      </c>
      <c r="L264" s="30"/>
      <c r="M264" s="30"/>
      <c r="N264" s="30"/>
      <c r="O264" s="30"/>
      <c r="P264" s="30"/>
      <c r="Q264" s="30"/>
      <c r="R264" s="30"/>
      <c r="S264" s="30">
        <v>0</v>
      </c>
      <c r="T264" s="26"/>
      <c r="U264" s="26"/>
      <c r="V264" s="26"/>
      <c r="W264" s="26"/>
      <c r="X264" s="26"/>
      <c r="Y264" s="26"/>
      <c r="Z264" s="26"/>
      <c r="AA264" s="26"/>
      <c r="AB264" s="26"/>
      <c r="AC264" s="26"/>
      <c r="AD264" s="26"/>
      <c r="AE264" s="26"/>
      <c r="AF264" s="26"/>
      <c r="AG264" s="26"/>
      <c r="AH264" s="26"/>
      <c r="AI264" s="26"/>
      <c r="AJ264" s="26"/>
      <c r="AK264" s="26"/>
      <c r="AL264" s="26"/>
      <c r="AM264" s="26"/>
      <c r="AN264" s="26"/>
      <c r="AO264" s="26"/>
      <c r="AP264" s="26"/>
      <c r="AQ264" s="26"/>
      <c r="AR264" s="26"/>
    </row>
    <row r="265" spans="1:44" ht="15.75" x14ac:dyDescent="0.25">
      <c r="A265" s="30"/>
      <c r="B265" s="13" t="s">
        <v>524</v>
      </c>
      <c r="C265" s="18" t="s">
        <v>529</v>
      </c>
      <c r="D265" s="6" t="s">
        <v>530</v>
      </c>
      <c r="E265" s="6" t="s">
        <v>526</v>
      </c>
      <c r="F265" s="7" t="e">
        <f>G265+SUMIF('[1]mouvement MRR240'!B:B,"=cable (nape) connection pour tête impression 53mm",'[1]mouvement MRR240'!G:G)</f>
        <v>#VALUE!</v>
      </c>
      <c r="G265" s="7">
        <v>0</v>
      </c>
      <c r="H265" s="20">
        <v>1</v>
      </c>
      <c r="I265" s="1" t="e">
        <f t="shared" si="18"/>
        <v>#VALUE!</v>
      </c>
      <c r="J265" s="69">
        <v>0</v>
      </c>
      <c r="K265" s="12" t="e">
        <f t="shared" si="19"/>
        <v>#VALUE!</v>
      </c>
      <c r="L265" s="30"/>
      <c r="M265" s="30"/>
      <c r="N265" s="30"/>
      <c r="O265" s="30"/>
      <c r="P265" s="30"/>
      <c r="Q265" s="30"/>
      <c r="R265" s="30"/>
      <c r="S265" s="30">
        <v>0</v>
      </c>
      <c r="T265" s="26"/>
      <c r="U265" s="26"/>
      <c r="V265" s="26"/>
      <c r="W265" s="26"/>
      <c r="X265" s="26"/>
      <c r="Y265" s="26"/>
      <c r="Z265" s="26"/>
      <c r="AA265" s="26"/>
      <c r="AB265" s="26"/>
      <c r="AC265" s="26"/>
      <c r="AD265" s="26"/>
      <c r="AE265" s="26"/>
      <c r="AF265" s="26"/>
      <c r="AG265" s="26"/>
      <c r="AH265" s="26"/>
      <c r="AI265" s="26"/>
      <c r="AJ265" s="26"/>
      <c r="AK265" s="26"/>
      <c r="AL265" s="26"/>
      <c r="AM265" s="26"/>
      <c r="AN265" s="26"/>
      <c r="AO265" s="26"/>
      <c r="AP265" s="26"/>
      <c r="AQ265" s="26"/>
      <c r="AR265" s="26"/>
    </row>
    <row r="266" spans="1:44" ht="15.75" x14ac:dyDescent="0.25">
      <c r="A266" s="30"/>
      <c r="B266" s="13" t="s">
        <v>524</v>
      </c>
      <c r="C266" s="18" t="s">
        <v>531</v>
      </c>
      <c r="D266" s="6" t="s">
        <v>532</v>
      </c>
      <c r="E266" s="7" t="s">
        <v>22</v>
      </c>
      <c r="F266" s="7" t="e">
        <f>G266+SUMIF('[1]mouvement MRR240'!B:B,"=capteur d'etiquettes",'[1]mouvement MRR240'!G:G)</f>
        <v>#VALUE!</v>
      </c>
      <c r="G266" s="7">
        <v>3</v>
      </c>
      <c r="H266" s="20">
        <v>1</v>
      </c>
      <c r="I266" s="1" t="e">
        <f t="shared" si="18"/>
        <v>#VALUE!</v>
      </c>
      <c r="J266" s="69">
        <v>349.55</v>
      </c>
      <c r="K266" s="12" t="e">
        <f t="shared" si="19"/>
        <v>#VALUE!</v>
      </c>
      <c r="L266" s="30"/>
      <c r="M266" s="30"/>
      <c r="N266" s="30"/>
      <c r="O266" s="30"/>
      <c r="P266" s="30"/>
      <c r="Q266" s="30"/>
      <c r="R266" s="30"/>
      <c r="S266" s="30">
        <v>1</v>
      </c>
      <c r="T266" s="26"/>
      <c r="U266" s="26"/>
      <c r="V266" s="26"/>
      <c r="W266" s="26"/>
      <c r="X266" s="26"/>
      <c r="Y266" s="26"/>
      <c r="Z266" s="26"/>
      <c r="AA266" s="26"/>
      <c r="AB266" s="26"/>
      <c r="AC266" s="26"/>
      <c r="AD266" s="26"/>
      <c r="AE266" s="26"/>
      <c r="AF266" s="26"/>
      <c r="AG266" s="26"/>
      <c r="AH266" s="26"/>
      <c r="AI266" s="26"/>
      <c r="AJ266" s="26"/>
      <c r="AK266" s="26"/>
      <c r="AL266" s="26"/>
      <c r="AM266" s="26"/>
      <c r="AN266" s="26"/>
      <c r="AO266" s="26"/>
      <c r="AP266" s="26"/>
      <c r="AQ266" s="26"/>
      <c r="AR266" s="26"/>
    </row>
    <row r="267" spans="1:44" ht="15.75" x14ac:dyDescent="0.25">
      <c r="A267" s="30"/>
      <c r="B267" s="13" t="s">
        <v>524</v>
      </c>
      <c r="C267" s="18" t="s">
        <v>533</v>
      </c>
      <c r="D267" s="6">
        <v>105796170</v>
      </c>
      <c r="E267" s="7" t="s">
        <v>526</v>
      </c>
      <c r="F267" s="7" t="e">
        <f>G267+SUMIF('[1]mouvement MRR240'!B:B,"=capteur d'etiquettes capacitif",'[1]mouvement MRR240'!G:G)</f>
        <v>#VALUE!</v>
      </c>
      <c r="G267" s="7">
        <v>0</v>
      </c>
      <c r="H267" s="20">
        <v>1</v>
      </c>
      <c r="I267" s="1" t="e">
        <f t="shared" si="18"/>
        <v>#VALUE!</v>
      </c>
      <c r="J267" s="69">
        <v>725.78</v>
      </c>
      <c r="K267" s="12" t="e">
        <f t="shared" si="19"/>
        <v>#VALUE!</v>
      </c>
      <c r="L267" s="30"/>
      <c r="M267" s="30"/>
      <c r="N267" s="30"/>
      <c r="O267" s="30"/>
      <c r="P267" s="30"/>
      <c r="Q267" s="30"/>
      <c r="R267" s="30"/>
      <c r="S267" s="30">
        <v>0</v>
      </c>
      <c r="T267" s="26"/>
      <c r="U267" s="26"/>
      <c r="V267" s="26"/>
      <c r="W267" s="26"/>
      <c r="X267" s="26"/>
      <c r="Y267" s="26"/>
      <c r="Z267" s="26"/>
      <c r="AA267" s="26"/>
      <c r="AB267" s="26"/>
      <c r="AC267" s="26"/>
      <c r="AD267" s="26"/>
      <c r="AE267" s="26"/>
      <c r="AF267" s="26"/>
      <c r="AG267" s="26"/>
      <c r="AH267" s="26"/>
      <c r="AI267" s="26"/>
      <c r="AJ267" s="26"/>
      <c r="AK267" s="26"/>
      <c r="AL267" s="26"/>
      <c r="AM267" s="26"/>
      <c r="AN267" s="26"/>
      <c r="AO267" s="26"/>
      <c r="AP267" s="26"/>
      <c r="AQ267" s="26"/>
      <c r="AR267" s="26"/>
    </row>
    <row r="268" spans="1:44" ht="15.75" x14ac:dyDescent="0.25">
      <c r="A268" s="30"/>
      <c r="B268" s="13" t="s">
        <v>524</v>
      </c>
      <c r="C268" s="18" t="s">
        <v>534</v>
      </c>
      <c r="D268" s="6" t="s">
        <v>535</v>
      </c>
      <c r="E268" s="120" t="s">
        <v>526</v>
      </c>
      <c r="F268" s="7" t="e">
        <f>G268+SUMIF('[1]mouvement MRR240'!B:B,"=coffret mural L1=74 B1=24(embase prise harting)",'[1]mouvement MRR240'!G:G)</f>
        <v>#VALUE!</v>
      </c>
      <c r="G268" s="7">
        <v>1</v>
      </c>
      <c r="H268" s="20">
        <v>1</v>
      </c>
      <c r="I268" s="1" t="e">
        <f t="shared" si="18"/>
        <v>#VALUE!</v>
      </c>
      <c r="J268" s="11">
        <v>39.1</v>
      </c>
      <c r="K268" s="12" t="e">
        <f t="shared" si="19"/>
        <v>#VALUE!</v>
      </c>
      <c r="L268" s="30"/>
      <c r="M268" s="30"/>
      <c r="N268" s="30"/>
      <c r="O268" s="30"/>
      <c r="P268" s="30"/>
      <c r="Q268" s="30"/>
      <c r="R268" s="30"/>
      <c r="S268" s="30">
        <v>1</v>
      </c>
      <c r="T268" s="26"/>
      <c r="U268" s="26"/>
      <c r="V268" s="26"/>
      <c r="W268" s="26"/>
      <c r="X268" s="26"/>
      <c r="Y268" s="26"/>
      <c r="Z268" s="26"/>
      <c r="AA268" s="26"/>
      <c r="AB268" s="26"/>
      <c r="AC268" s="26"/>
      <c r="AD268" s="26"/>
      <c r="AE268" s="26"/>
      <c r="AF268" s="26"/>
      <c r="AG268" s="26"/>
      <c r="AH268" s="26"/>
      <c r="AI268" s="26"/>
      <c r="AJ268" s="26"/>
      <c r="AK268" s="26"/>
      <c r="AL268" s="26"/>
      <c r="AM268" s="26"/>
      <c r="AN268" s="26"/>
      <c r="AO268" s="26"/>
      <c r="AP268" s="26"/>
      <c r="AQ268" s="26"/>
      <c r="AR268" s="26"/>
    </row>
    <row r="269" spans="1:44" ht="15.75" x14ac:dyDescent="0.25">
      <c r="A269" s="30"/>
      <c r="B269" s="13" t="s">
        <v>524</v>
      </c>
      <c r="C269" s="18" t="s">
        <v>536</v>
      </c>
      <c r="D269" s="6">
        <v>200150583</v>
      </c>
      <c r="E269" s="7" t="s">
        <v>526</v>
      </c>
      <c r="F269" s="7" t="e">
        <f>G269+SUMIF('[1]mouvement MRR240'!B:B,"=couroie b1:15/l1:425 htd 5m",'[1]mouvement MRR240'!G:G)</f>
        <v>#VALUE!</v>
      </c>
      <c r="G269" s="7">
        <v>2</v>
      </c>
      <c r="H269" s="20">
        <v>1</v>
      </c>
      <c r="I269" s="1" t="e">
        <f t="shared" si="18"/>
        <v>#VALUE!</v>
      </c>
      <c r="J269" s="69">
        <v>24.8</v>
      </c>
      <c r="K269" s="12" t="e">
        <f t="shared" si="19"/>
        <v>#VALUE!</v>
      </c>
      <c r="L269" s="30"/>
      <c r="M269" s="30"/>
      <c r="N269" s="30"/>
      <c r="O269" s="30"/>
      <c r="P269" s="30"/>
      <c r="Q269" s="30"/>
      <c r="R269" s="30"/>
      <c r="S269" s="30">
        <v>0</v>
      </c>
      <c r="T269" s="26"/>
      <c r="U269" s="26"/>
      <c r="V269" s="26"/>
      <c r="W269" s="26"/>
      <c r="X269" s="26"/>
      <c r="Y269" s="26"/>
      <c r="Z269" s="26"/>
      <c r="AA269" s="26"/>
      <c r="AB269" s="26"/>
      <c r="AC269" s="26"/>
      <c r="AD269" s="26"/>
      <c r="AE269" s="26"/>
      <c r="AF269" s="26"/>
      <c r="AG269" s="26"/>
      <c r="AH269" s="26"/>
      <c r="AI269" s="26"/>
      <c r="AJ269" s="26"/>
      <c r="AK269" s="26"/>
      <c r="AL269" s="26"/>
      <c r="AM269" s="26"/>
      <c r="AN269" s="26"/>
      <c r="AO269" s="26"/>
      <c r="AP269" s="26"/>
      <c r="AQ269" s="26"/>
      <c r="AR269" s="26"/>
    </row>
    <row r="270" spans="1:44" ht="15.75" x14ac:dyDescent="0.25">
      <c r="A270" s="30"/>
      <c r="B270" s="13" t="s">
        <v>524</v>
      </c>
      <c r="C270" s="18" t="s">
        <v>537</v>
      </c>
      <c r="D270" s="6">
        <v>200150569</v>
      </c>
      <c r="E270" s="7" t="s">
        <v>526</v>
      </c>
      <c r="F270" s="7" t="e">
        <f>G270+SUMIF('[1]mouvement MRR240'!B:B,"=couroie crant b1=9,53  l1=254 XL",'[1]mouvement MRR240'!G:G)</f>
        <v>#VALUE!</v>
      </c>
      <c r="G270" s="7">
        <v>1</v>
      </c>
      <c r="H270" s="20">
        <v>1</v>
      </c>
      <c r="I270" s="1" t="e">
        <f t="shared" si="18"/>
        <v>#VALUE!</v>
      </c>
      <c r="J270" s="69">
        <v>23.54</v>
      </c>
      <c r="K270" s="12" t="e">
        <f t="shared" si="19"/>
        <v>#VALUE!</v>
      </c>
      <c r="L270" s="30"/>
      <c r="M270" s="30"/>
      <c r="N270" s="30"/>
      <c r="O270" s="30"/>
      <c r="P270" s="30"/>
      <c r="Q270" s="30"/>
      <c r="R270" s="30"/>
      <c r="S270" s="30">
        <v>1</v>
      </c>
      <c r="T270" s="26"/>
      <c r="U270" s="26"/>
      <c r="V270" s="26"/>
      <c r="W270" s="26"/>
      <c r="X270" s="26"/>
      <c r="Y270" s="26"/>
      <c r="Z270" s="26"/>
      <c r="AA270" s="26"/>
      <c r="AB270" s="26"/>
      <c r="AC270" s="26"/>
      <c r="AD270" s="26"/>
      <c r="AE270" s="26"/>
      <c r="AF270" s="26"/>
      <c r="AG270" s="26"/>
      <c r="AH270" s="26"/>
      <c r="AI270" s="26"/>
      <c r="AJ270" s="26"/>
      <c r="AK270" s="26"/>
      <c r="AL270" s="26"/>
      <c r="AM270" s="26"/>
      <c r="AN270" s="26"/>
      <c r="AO270" s="26"/>
      <c r="AP270" s="26"/>
      <c r="AQ270" s="26"/>
      <c r="AR270" s="26"/>
    </row>
    <row r="271" spans="1:44" ht="15.75" x14ac:dyDescent="0.25">
      <c r="A271" s="30"/>
      <c r="B271" s="13" t="s">
        <v>524</v>
      </c>
      <c r="C271" s="18" t="s">
        <v>538</v>
      </c>
      <c r="D271" s="6">
        <v>200155227</v>
      </c>
      <c r="E271" s="7" t="s">
        <v>526</v>
      </c>
      <c r="F271" s="7" t="e">
        <f>G271+SUMIF('[1]mouvement MRR240'!B:B,"=courroie b1:25 / l1:1150 ",'[1]mouvement MRR240'!G:G)</f>
        <v>#VALUE!</v>
      </c>
      <c r="G271" s="7">
        <v>1</v>
      </c>
      <c r="H271" s="20">
        <v>1</v>
      </c>
      <c r="I271" s="1" t="e">
        <f t="shared" si="18"/>
        <v>#VALUE!</v>
      </c>
      <c r="J271" s="69">
        <v>42.14</v>
      </c>
      <c r="K271" s="12" t="e">
        <f t="shared" si="19"/>
        <v>#VALUE!</v>
      </c>
      <c r="L271" s="30"/>
      <c r="M271" s="30"/>
      <c r="N271" s="30"/>
      <c r="O271" s="30"/>
      <c r="P271" s="30"/>
      <c r="Q271" s="30"/>
      <c r="R271" s="30"/>
      <c r="S271" s="30">
        <v>1</v>
      </c>
      <c r="T271" s="26"/>
      <c r="U271" s="26"/>
      <c r="V271" s="26"/>
      <c r="W271" s="26"/>
      <c r="X271" s="26"/>
      <c r="Y271" s="26"/>
      <c r="Z271" s="26"/>
      <c r="AA271" s="26"/>
      <c r="AB271" s="26"/>
      <c r="AC271" s="26"/>
      <c r="AD271" s="26"/>
      <c r="AE271" s="26"/>
      <c r="AF271" s="26"/>
      <c r="AG271" s="26"/>
      <c r="AH271" s="26"/>
      <c r="AI271" s="26"/>
      <c r="AJ271" s="26"/>
      <c r="AK271" s="26"/>
      <c r="AL271" s="26"/>
      <c r="AM271" s="26"/>
      <c r="AN271" s="26"/>
      <c r="AO271" s="26"/>
      <c r="AP271" s="26"/>
      <c r="AQ271" s="26"/>
      <c r="AR271" s="26"/>
    </row>
    <row r="272" spans="1:44" ht="15.75" x14ac:dyDescent="0.25">
      <c r="A272" s="30"/>
      <c r="B272" s="13" t="s">
        <v>524</v>
      </c>
      <c r="C272" s="18" t="s">
        <v>539</v>
      </c>
      <c r="D272" s="6">
        <v>200150583</v>
      </c>
      <c r="E272" s="120" t="s">
        <v>526</v>
      </c>
      <c r="F272" s="7" t="e">
        <f>G272+SUMIF('[1]mouvement MRR240'!B:B,"=courroie B1=15L1=425htd5m",'[1]mouvement MRR240'!G:G)</f>
        <v>#VALUE!</v>
      </c>
      <c r="G272" s="7">
        <v>1</v>
      </c>
      <c r="H272" s="20">
        <v>1</v>
      </c>
      <c r="I272" s="1" t="e">
        <f t="shared" si="18"/>
        <v>#VALUE!</v>
      </c>
      <c r="J272" s="11">
        <v>25.57</v>
      </c>
      <c r="K272" s="12" t="e">
        <f t="shared" si="19"/>
        <v>#VALUE!</v>
      </c>
      <c r="L272" s="30"/>
      <c r="M272" s="30"/>
      <c r="N272" s="30"/>
      <c r="O272" s="30"/>
      <c r="P272" s="30"/>
      <c r="Q272" s="30"/>
      <c r="R272" s="30"/>
      <c r="S272" s="30">
        <v>1</v>
      </c>
      <c r="T272" s="26"/>
      <c r="U272" s="26"/>
      <c r="V272" s="26"/>
      <c r="W272" s="26"/>
      <c r="X272" s="26"/>
      <c r="Y272" s="26"/>
      <c r="Z272" s="26"/>
      <c r="AA272" s="26"/>
      <c r="AB272" s="26"/>
      <c r="AC272" s="26"/>
      <c r="AD272" s="26"/>
      <c r="AE272" s="26"/>
      <c r="AF272" s="26"/>
      <c r="AG272" s="26"/>
      <c r="AH272" s="26"/>
      <c r="AI272" s="26"/>
      <c r="AJ272" s="26"/>
      <c r="AK272" s="26"/>
      <c r="AL272" s="26"/>
      <c r="AM272" s="26"/>
      <c r="AN272" s="26"/>
      <c r="AO272" s="26"/>
      <c r="AP272" s="26"/>
      <c r="AQ272" s="26"/>
      <c r="AR272" s="26"/>
    </row>
    <row r="273" spans="1:44" ht="15.75" x14ac:dyDescent="0.25">
      <c r="A273" s="30"/>
      <c r="B273" s="13" t="s">
        <v>524</v>
      </c>
      <c r="C273" s="18" t="s">
        <v>540</v>
      </c>
      <c r="D273" s="6" t="s">
        <v>541</v>
      </c>
      <c r="E273" s="7" t="s">
        <v>26</v>
      </c>
      <c r="F273" s="7" t="e">
        <f>G273+SUMIF('[1]mouvement MRR240'!B:B,"=courroie crant T2,5-330",'[1]mouvement MRR240'!G:G)</f>
        <v>#VALUE!</v>
      </c>
      <c r="G273" s="7">
        <v>4</v>
      </c>
      <c r="H273" s="20">
        <v>1</v>
      </c>
      <c r="I273" s="1" t="e">
        <f t="shared" si="18"/>
        <v>#VALUE!</v>
      </c>
      <c r="J273" s="69">
        <v>5.27</v>
      </c>
      <c r="K273" s="12" t="e">
        <f t="shared" si="19"/>
        <v>#VALUE!</v>
      </c>
      <c r="L273" s="30"/>
      <c r="M273" s="30"/>
      <c r="N273" s="30"/>
      <c r="O273" s="30"/>
      <c r="P273" s="30"/>
      <c r="Q273" s="30"/>
      <c r="R273" s="30"/>
      <c r="S273" s="30">
        <v>1</v>
      </c>
      <c r="T273" s="26"/>
      <c r="U273" s="26"/>
      <c r="V273" s="26"/>
      <c r="W273" s="26"/>
      <c r="X273" s="26"/>
      <c r="Y273" s="26"/>
      <c r="Z273" s="26"/>
      <c r="AA273" s="26"/>
      <c r="AB273" s="26"/>
      <c r="AC273" s="26"/>
      <c r="AD273" s="26"/>
      <c r="AE273" s="26"/>
      <c r="AF273" s="26"/>
      <c r="AG273" s="26"/>
      <c r="AH273" s="26"/>
      <c r="AI273" s="26"/>
      <c r="AJ273" s="26"/>
      <c r="AK273" s="26"/>
      <c r="AL273" s="26"/>
      <c r="AM273" s="26"/>
      <c r="AN273" s="26"/>
      <c r="AO273" s="26"/>
      <c r="AP273" s="26"/>
      <c r="AQ273" s="26"/>
      <c r="AR273" s="26"/>
    </row>
    <row r="274" spans="1:44" ht="15.75" x14ac:dyDescent="0.25">
      <c r="A274" s="30"/>
      <c r="B274" s="13" t="s">
        <v>524</v>
      </c>
      <c r="C274" s="18" t="s">
        <v>542</v>
      </c>
      <c r="D274" s="6" t="s">
        <v>543</v>
      </c>
      <c r="E274" s="7" t="s">
        <v>26</v>
      </c>
      <c r="F274" s="7" t="e">
        <f>G274+SUMIF('[1]mouvement MRR240'!B:B,"=courroie crant entrainement enrouleur glassine",'[1]mouvement MRR240'!G:G)</f>
        <v>#VALUE!</v>
      </c>
      <c r="G274" s="7">
        <v>4</v>
      </c>
      <c r="H274" s="20">
        <v>1</v>
      </c>
      <c r="I274" s="1" t="e">
        <f t="shared" si="18"/>
        <v>#VALUE!</v>
      </c>
      <c r="J274" s="69">
        <v>8.89</v>
      </c>
      <c r="K274" s="12" t="e">
        <f t="shared" si="19"/>
        <v>#VALUE!</v>
      </c>
      <c r="L274" s="30"/>
      <c r="M274" s="30"/>
      <c r="N274" s="30"/>
      <c r="O274" s="30"/>
      <c r="P274" s="30"/>
      <c r="Q274" s="30"/>
      <c r="R274" s="30"/>
      <c r="S274" s="30">
        <v>1</v>
      </c>
      <c r="T274" s="26"/>
      <c r="U274" s="26"/>
      <c r="V274" s="26"/>
      <c r="W274" s="26"/>
      <c r="X274" s="26"/>
      <c r="Y274" s="26"/>
      <c r="Z274" s="26"/>
      <c r="AA274" s="26"/>
      <c r="AB274" s="26"/>
      <c r="AC274" s="26"/>
      <c r="AD274" s="26"/>
      <c r="AE274" s="26"/>
      <c r="AF274" s="26"/>
      <c r="AG274" s="26"/>
      <c r="AH274" s="26"/>
      <c r="AI274" s="26"/>
      <c r="AJ274" s="26"/>
      <c r="AK274" s="26"/>
      <c r="AL274" s="26"/>
      <c r="AM274" s="26"/>
      <c r="AN274" s="26"/>
      <c r="AO274" s="26"/>
      <c r="AP274" s="26"/>
      <c r="AQ274" s="26"/>
      <c r="AR274" s="26"/>
    </row>
    <row r="275" spans="1:44" ht="15.75" x14ac:dyDescent="0.25">
      <c r="A275" s="30"/>
      <c r="B275" s="13" t="s">
        <v>524</v>
      </c>
      <c r="C275" s="18" t="s">
        <v>544</v>
      </c>
      <c r="D275" s="6">
        <v>200150699</v>
      </c>
      <c r="E275" s="120" t="s">
        <v>526</v>
      </c>
      <c r="F275" s="7" t="e">
        <f>G275+SUMIF('[1]mouvement MRR240'!B:B,"=courroie plate",'[1]mouvement MRR240'!G:G)</f>
        <v>#VALUE!</v>
      </c>
      <c r="G275" s="7">
        <v>10</v>
      </c>
      <c r="H275" s="20">
        <v>1</v>
      </c>
      <c r="I275" s="1" t="e">
        <f t="shared" si="18"/>
        <v>#VALUE!</v>
      </c>
      <c r="J275" s="69">
        <v>17.25</v>
      </c>
      <c r="K275" s="12" t="e">
        <f t="shared" si="19"/>
        <v>#VALUE!</v>
      </c>
      <c r="L275" s="30"/>
      <c r="M275" s="30"/>
      <c r="N275" s="30"/>
      <c r="O275" s="30"/>
      <c r="P275" s="30"/>
      <c r="Q275" s="30"/>
      <c r="R275" s="30"/>
      <c r="S275" s="30">
        <v>0</v>
      </c>
      <c r="T275" s="26"/>
      <c r="U275" s="26"/>
      <c r="V275" s="26"/>
      <c r="W275" s="26"/>
      <c r="X275" s="26"/>
      <c r="Y275" s="26"/>
      <c r="Z275" s="26"/>
      <c r="AA275" s="26"/>
      <c r="AB275" s="26"/>
      <c r="AC275" s="26"/>
      <c r="AD275" s="26"/>
      <c r="AE275" s="26"/>
      <c r="AF275" s="26"/>
      <c r="AG275" s="26"/>
      <c r="AH275" s="26"/>
      <c r="AI275" s="26"/>
      <c r="AJ275" s="26"/>
      <c r="AK275" s="26"/>
      <c r="AL275" s="26"/>
      <c r="AM275" s="26"/>
      <c r="AN275" s="26"/>
      <c r="AO275" s="26"/>
      <c r="AP275" s="26"/>
      <c r="AQ275" s="26"/>
      <c r="AR275" s="26"/>
    </row>
    <row r="276" spans="1:44" ht="15.75" x14ac:dyDescent="0.25">
      <c r="A276" s="30"/>
      <c r="B276" s="13" t="s">
        <v>524</v>
      </c>
      <c r="C276" s="18" t="s">
        <v>545</v>
      </c>
      <c r="D276" s="6">
        <v>212808</v>
      </c>
      <c r="E276" s="7" t="s">
        <v>526</v>
      </c>
      <c r="F276" s="7" t="e">
        <f>G276+SUMIF('[1]mouvement MRR240'!B:B,"=disque embrayage enrouleur de glassine",'[1]mouvement MRR240'!G:G)</f>
        <v>#VALUE!</v>
      </c>
      <c r="G276" s="7">
        <v>1</v>
      </c>
      <c r="H276" s="20">
        <v>1</v>
      </c>
      <c r="I276" s="1" t="e">
        <f t="shared" si="18"/>
        <v>#VALUE!</v>
      </c>
      <c r="J276" s="69">
        <v>0</v>
      </c>
      <c r="K276" s="12" t="e">
        <f t="shared" si="19"/>
        <v>#VALUE!</v>
      </c>
      <c r="L276" s="30"/>
      <c r="M276" s="30"/>
      <c r="N276" s="30"/>
      <c r="O276" s="30"/>
      <c r="P276" s="30"/>
      <c r="Q276" s="30"/>
      <c r="R276" s="30"/>
      <c r="S276" s="30">
        <v>0</v>
      </c>
      <c r="T276" s="26"/>
      <c r="U276" s="26"/>
      <c r="V276" s="26"/>
      <c r="W276" s="26"/>
      <c r="X276" s="26"/>
      <c r="Y276" s="26"/>
      <c r="Z276" s="26"/>
      <c r="AA276" s="26"/>
      <c r="AB276" s="26"/>
      <c r="AC276" s="26"/>
      <c r="AD276" s="26"/>
      <c r="AE276" s="26"/>
      <c r="AF276" s="26"/>
      <c r="AG276" s="26"/>
      <c r="AH276" s="26"/>
      <c r="AI276" s="26"/>
      <c r="AJ276" s="26"/>
      <c r="AK276" s="26"/>
      <c r="AL276" s="26"/>
      <c r="AM276" s="26"/>
      <c r="AN276" s="26"/>
      <c r="AO276" s="26"/>
      <c r="AP276" s="26"/>
      <c r="AQ276" s="26"/>
      <c r="AR276" s="26"/>
    </row>
    <row r="277" spans="1:44" ht="15.75" x14ac:dyDescent="0.25">
      <c r="A277" s="30"/>
      <c r="B277" s="13" t="s">
        <v>524</v>
      </c>
      <c r="C277" s="18" t="s">
        <v>546</v>
      </c>
      <c r="D277" s="6" t="s">
        <v>547</v>
      </c>
      <c r="E277" s="7" t="s">
        <v>526</v>
      </c>
      <c r="F277" s="7" t="e">
        <f>G277+SUMIF('[1]mouvement MRR240'!B:B,"=distributeur etiqueuse 3/2, festo CPE14-M1BH-30L-1/8",'[1]mouvement MRR240'!G:G)</f>
        <v>#VALUE!</v>
      </c>
      <c r="G277" s="7">
        <v>2</v>
      </c>
      <c r="H277" s="20">
        <v>2</v>
      </c>
      <c r="I277" s="1" t="e">
        <f t="shared" si="18"/>
        <v>#VALUE!</v>
      </c>
      <c r="J277" s="69">
        <v>116.7</v>
      </c>
      <c r="K277" s="12" t="e">
        <f t="shared" si="19"/>
        <v>#VALUE!</v>
      </c>
      <c r="L277" s="30"/>
      <c r="M277" s="30"/>
      <c r="N277" s="30"/>
      <c r="O277" s="30"/>
      <c r="P277" s="30"/>
      <c r="Q277" s="30"/>
      <c r="R277" s="30"/>
      <c r="S277" s="30">
        <v>0</v>
      </c>
      <c r="T277" s="26"/>
      <c r="U277" s="26"/>
      <c r="V277" s="26"/>
      <c r="W277" s="26"/>
      <c r="X277" s="26"/>
      <c r="Y277" s="26"/>
      <c r="Z277" s="26"/>
      <c r="AA277" s="26"/>
      <c r="AB277" s="26"/>
      <c r="AC277" s="26"/>
      <c r="AD277" s="26"/>
      <c r="AE277" s="26"/>
      <c r="AF277" s="26"/>
      <c r="AG277" s="26"/>
      <c r="AH277" s="26"/>
      <c r="AI277" s="26"/>
      <c r="AJ277" s="26"/>
      <c r="AK277" s="26"/>
      <c r="AL277" s="26"/>
      <c r="AM277" s="26"/>
      <c r="AN277" s="26"/>
      <c r="AO277" s="26"/>
      <c r="AP277" s="26"/>
      <c r="AQ277" s="26"/>
      <c r="AR277" s="26"/>
    </row>
    <row r="278" spans="1:44" ht="15.75" x14ac:dyDescent="0.25">
      <c r="A278" s="30"/>
      <c r="B278" s="13" t="s">
        <v>524</v>
      </c>
      <c r="C278" s="18" t="s">
        <v>548</v>
      </c>
      <c r="D278" s="6" t="s">
        <v>549</v>
      </c>
      <c r="E278" s="7" t="s">
        <v>526</v>
      </c>
      <c r="F278" s="7" t="e">
        <f>G278+SUMIF('[1]mouvement MRR240'!B:B,"=distributeur etiqueuse 3/2, festo CPE14-M1BH-3GL-1/8",'[1]mouvement MRR240'!G:G)</f>
        <v>#VALUE!</v>
      </c>
      <c r="G278" s="7">
        <v>1</v>
      </c>
      <c r="H278" s="20">
        <v>1</v>
      </c>
      <c r="I278" s="1" t="e">
        <f t="shared" si="18"/>
        <v>#VALUE!</v>
      </c>
      <c r="J278" s="69">
        <v>116.7</v>
      </c>
      <c r="K278" s="12" t="e">
        <f t="shared" si="19"/>
        <v>#VALUE!</v>
      </c>
      <c r="L278" s="30"/>
      <c r="M278" s="30"/>
      <c r="N278" s="30"/>
      <c r="O278" s="30"/>
      <c r="P278" s="30"/>
      <c r="Q278" s="30"/>
      <c r="R278" s="30"/>
      <c r="S278" s="30">
        <v>1</v>
      </c>
      <c r="T278" s="26"/>
      <c r="U278" s="26"/>
      <c r="V278" s="26"/>
      <c r="W278" s="26"/>
      <c r="X278" s="26"/>
      <c r="Y278" s="26"/>
      <c r="Z278" s="26"/>
      <c r="AA278" s="26"/>
      <c r="AB278" s="26"/>
      <c r="AC278" s="26"/>
      <c r="AD278" s="26"/>
      <c r="AE278" s="26"/>
      <c r="AF278" s="26"/>
      <c r="AG278" s="26"/>
      <c r="AH278" s="26"/>
      <c r="AI278" s="26"/>
      <c r="AJ278" s="26"/>
      <c r="AK278" s="26"/>
      <c r="AL278" s="26"/>
      <c r="AM278" s="26"/>
      <c r="AN278" s="26"/>
      <c r="AO278" s="26"/>
      <c r="AP278" s="26"/>
      <c r="AQ278" s="26"/>
      <c r="AR278" s="26"/>
    </row>
    <row r="279" spans="1:44" ht="15.75" x14ac:dyDescent="0.25">
      <c r="A279" s="30"/>
      <c r="B279" s="103" t="s">
        <v>524</v>
      </c>
      <c r="C279" s="129" t="s">
        <v>550</v>
      </c>
      <c r="D279" s="105" t="s">
        <v>551</v>
      </c>
      <c r="E279" s="130" t="s">
        <v>26</v>
      </c>
      <c r="F279" s="130" t="e">
        <f>G279+SUMIF('[1]mouvement MRR240'!B:B,"=Pile lithium 3V 1/2AA",'[1]mouvement MRR240'!G:G)</f>
        <v>#VALUE!</v>
      </c>
      <c r="G279" s="130">
        <v>1</v>
      </c>
      <c r="H279" s="115">
        <v>1</v>
      </c>
      <c r="I279" s="1" t="e">
        <f t="shared" si="18"/>
        <v>#VALUE!</v>
      </c>
      <c r="J279" s="69">
        <v>6.5</v>
      </c>
      <c r="K279" s="12" t="e">
        <f t="shared" si="19"/>
        <v>#VALUE!</v>
      </c>
      <c r="L279" s="30"/>
      <c r="M279" s="30"/>
      <c r="N279" s="30"/>
      <c r="O279" s="30"/>
      <c r="P279" s="30"/>
      <c r="Q279" s="30"/>
      <c r="R279" s="30"/>
      <c r="S279" s="30">
        <v>0</v>
      </c>
      <c r="T279" s="26"/>
      <c r="U279" s="26"/>
      <c r="V279" s="26"/>
      <c r="W279" s="26"/>
      <c r="X279" s="26"/>
      <c r="Y279" s="26"/>
      <c r="Z279" s="26"/>
      <c r="AA279" s="26"/>
      <c r="AB279" s="26"/>
      <c r="AC279" s="26"/>
      <c r="AD279" s="26"/>
      <c r="AE279" s="26"/>
      <c r="AF279" s="26"/>
      <c r="AG279" s="26"/>
      <c r="AH279" s="26"/>
      <c r="AI279" s="26"/>
      <c r="AJ279" s="26"/>
      <c r="AK279" s="26"/>
      <c r="AL279" s="26"/>
      <c r="AM279" s="26"/>
      <c r="AN279" s="26"/>
      <c r="AO279" s="26"/>
      <c r="AP279" s="26"/>
      <c r="AQ279" s="26"/>
      <c r="AR279" s="26"/>
    </row>
    <row r="280" spans="1:44" ht="15.75" x14ac:dyDescent="0.25">
      <c r="A280" s="30"/>
      <c r="B280" s="13" t="s">
        <v>524</v>
      </c>
      <c r="C280" s="18" t="s">
        <v>552</v>
      </c>
      <c r="D280" s="6">
        <v>105660595</v>
      </c>
      <c r="E280" s="7" t="s">
        <v>526</v>
      </c>
      <c r="F280" s="7" t="e">
        <f>G280+SUMIF('[1]mouvement MRR240'!B:B,"=PLAQUE DE CONTRE PRESSION",'[1]mouvement MRR240'!G:G)</f>
        <v>#VALUE!</v>
      </c>
      <c r="G280" s="7">
        <v>0</v>
      </c>
      <c r="H280" s="20">
        <v>1</v>
      </c>
      <c r="I280" s="1" t="e">
        <f t="shared" si="18"/>
        <v>#VALUE!</v>
      </c>
      <c r="J280" s="11">
        <v>170.92</v>
      </c>
      <c r="K280" s="12" t="e">
        <f t="shared" si="19"/>
        <v>#VALUE!</v>
      </c>
      <c r="L280" s="30"/>
      <c r="M280" s="30"/>
      <c r="N280" s="30"/>
      <c r="O280" s="30"/>
      <c r="P280" s="30"/>
      <c r="Q280" s="30"/>
      <c r="R280" s="30"/>
      <c r="S280" s="30">
        <v>1</v>
      </c>
      <c r="T280" s="26"/>
      <c r="U280" s="26"/>
      <c r="V280" s="26"/>
      <c r="W280" s="26"/>
      <c r="X280" s="26"/>
      <c r="Y280" s="26"/>
      <c r="Z280" s="26"/>
      <c r="AA280" s="26"/>
      <c r="AB280" s="26"/>
      <c r="AC280" s="26"/>
      <c r="AD280" s="26"/>
      <c r="AE280" s="26"/>
      <c r="AF280" s="26"/>
      <c r="AG280" s="26"/>
      <c r="AH280" s="26"/>
      <c r="AI280" s="26"/>
      <c r="AJ280" s="26"/>
      <c r="AK280" s="26"/>
      <c r="AL280" s="26"/>
      <c r="AM280" s="26"/>
      <c r="AN280" s="26"/>
      <c r="AO280" s="26"/>
      <c r="AP280" s="26"/>
      <c r="AQ280" s="26"/>
      <c r="AR280" s="26"/>
    </row>
    <row r="281" spans="1:44" ht="15.75" x14ac:dyDescent="0.25">
      <c r="A281" s="30"/>
      <c r="B281" s="13" t="s">
        <v>524</v>
      </c>
      <c r="C281" s="18" t="s">
        <v>553</v>
      </c>
      <c r="D281" s="6">
        <v>212798</v>
      </c>
      <c r="E281" s="7" t="s">
        <v>526</v>
      </c>
      <c r="F281" s="7" t="e">
        <f>G281+SUMIF('[1]mouvement MRR240'!B:B,"=ressort de torsion 25/0.7L",'[1]mouvement MRR240'!G:G)</f>
        <v>#VALUE!</v>
      </c>
      <c r="G281" s="7">
        <v>0</v>
      </c>
      <c r="H281" s="20">
        <v>2</v>
      </c>
      <c r="I281" s="1" t="e">
        <f t="shared" si="18"/>
        <v>#VALUE!</v>
      </c>
      <c r="J281" s="69">
        <v>0</v>
      </c>
      <c r="K281" s="12" t="e">
        <f t="shared" si="19"/>
        <v>#VALUE!</v>
      </c>
      <c r="L281" s="30"/>
      <c r="M281" s="30"/>
      <c r="N281" s="30"/>
      <c r="O281" s="30"/>
      <c r="P281" s="30"/>
      <c r="Q281" s="30"/>
      <c r="R281" s="30"/>
      <c r="S281" s="30">
        <v>0</v>
      </c>
      <c r="T281" s="26"/>
      <c r="U281" s="26"/>
      <c r="V281" s="26"/>
      <c r="W281" s="26"/>
      <c r="X281" s="26"/>
      <c r="Y281" s="26"/>
      <c r="Z281" s="26"/>
      <c r="AA281" s="26"/>
      <c r="AB281" s="26"/>
      <c r="AC281" s="26"/>
      <c r="AD281" s="26"/>
      <c r="AE281" s="26"/>
      <c r="AF281" s="26"/>
      <c r="AG281" s="26"/>
      <c r="AH281" s="26"/>
      <c r="AI281" s="26"/>
      <c r="AJ281" s="26"/>
      <c r="AK281" s="26"/>
      <c r="AL281" s="26"/>
      <c r="AM281" s="26"/>
      <c r="AN281" s="26"/>
      <c r="AO281" s="26"/>
      <c r="AP281" s="26"/>
      <c r="AQ281" s="26"/>
      <c r="AR281" s="26"/>
    </row>
    <row r="282" spans="1:44" ht="15.75" x14ac:dyDescent="0.25">
      <c r="A282" s="30"/>
      <c r="B282" s="13" t="s">
        <v>524</v>
      </c>
      <c r="C282" s="18" t="s">
        <v>554</v>
      </c>
      <c r="D282" s="6">
        <v>106116816</v>
      </c>
      <c r="E282" s="7" t="s">
        <v>526</v>
      </c>
      <c r="F282" s="7" t="e">
        <f>G282+SUMIF('[1]mouvement MRR240'!B:B,"=rouleau de tension l1=150 li n.re",'[1]mouvement MRR240'!G:G)</f>
        <v>#VALUE!</v>
      </c>
      <c r="G282" s="7">
        <v>1</v>
      </c>
      <c r="H282" s="20">
        <v>1</v>
      </c>
      <c r="I282" s="1" t="e">
        <f t="shared" si="18"/>
        <v>#VALUE!</v>
      </c>
      <c r="J282" s="69">
        <v>412.13</v>
      </c>
      <c r="K282" s="12" t="e">
        <f t="shared" si="19"/>
        <v>#VALUE!</v>
      </c>
      <c r="L282" s="30"/>
      <c r="M282" s="30"/>
      <c r="N282" s="30"/>
      <c r="O282" s="30"/>
      <c r="P282" s="30"/>
      <c r="Q282" s="30"/>
      <c r="R282" s="30"/>
      <c r="S282" s="30">
        <v>1</v>
      </c>
      <c r="T282" s="26"/>
      <c r="U282" s="26"/>
      <c r="V282" s="26"/>
      <c r="W282" s="26"/>
      <c r="X282" s="26"/>
      <c r="Y282" s="26"/>
      <c r="Z282" s="26"/>
      <c r="AA282" s="26"/>
      <c r="AB282" s="26"/>
      <c r="AC282" s="26"/>
      <c r="AD282" s="26"/>
      <c r="AE282" s="26"/>
      <c r="AF282" s="26"/>
      <c r="AG282" s="26"/>
      <c r="AH282" s="26"/>
      <c r="AI282" s="26"/>
      <c r="AJ282" s="26"/>
      <c r="AK282" s="26"/>
      <c r="AL282" s="26"/>
      <c r="AM282" s="26"/>
      <c r="AN282" s="26"/>
      <c r="AO282" s="26"/>
      <c r="AP282" s="26"/>
      <c r="AQ282" s="26"/>
      <c r="AR282" s="26"/>
    </row>
    <row r="283" spans="1:44" ht="15.75" x14ac:dyDescent="0.25">
      <c r="A283" s="30"/>
      <c r="B283" s="13" t="s">
        <v>524</v>
      </c>
      <c r="C283" s="18" t="s">
        <v>555</v>
      </c>
      <c r="D283" s="6">
        <v>106012863</v>
      </c>
      <c r="E283" s="7" t="s">
        <v>526</v>
      </c>
      <c r="F283" s="7" t="e">
        <f>G283+SUMIF('[1]mouvement MRR240'!B:B,"=roulement a bille gorge profonde, S698 RS + 1698 RS",'[1]mouvement MRR240'!G:G)</f>
        <v>#VALUE!</v>
      </c>
      <c r="G283" s="7">
        <v>3</v>
      </c>
      <c r="H283" s="20">
        <v>2</v>
      </c>
      <c r="I283" s="1" t="e">
        <f t="shared" si="18"/>
        <v>#VALUE!</v>
      </c>
      <c r="J283" s="69">
        <v>13.07</v>
      </c>
      <c r="K283" s="12" t="e">
        <f t="shared" si="19"/>
        <v>#VALUE!</v>
      </c>
      <c r="L283" s="30"/>
      <c r="M283" s="30"/>
      <c r="N283" s="30"/>
      <c r="O283" s="30"/>
      <c r="P283" s="30"/>
      <c r="Q283" s="30"/>
      <c r="R283" s="30"/>
      <c r="S283" s="30">
        <v>1</v>
      </c>
      <c r="T283" s="26"/>
      <c r="U283" s="26"/>
      <c r="V283" s="26"/>
      <c r="W283" s="26"/>
      <c r="X283" s="26"/>
      <c r="Y283" s="26"/>
      <c r="Z283" s="26"/>
      <c r="AA283" s="26"/>
      <c r="AB283" s="26"/>
      <c r="AC283" s="26"/>
      <c r="AD283" s="26"/>
      <c r="AE283" s="26"/>
      <c r="AF283" s="26"/>
      <c r="AG283" s="26"/>
      <c r="AH283" s="26"/>
      <c r="AI283" s="26"/>
      <c r="AJ283" s="26"/>
      <c r="AK283" s="26"/>
      <c r="AL283" s="26"/>
      <c r="AM283" s="26"/>
      <c r="AN283" s="26"/>
      <c r="AO283" s="26"/>
      <c r="AP283" s="26"/>
      <c r="AQ283" s="26"/>
      <c r="AR283" s="26"/>
    </row>
    <row r="284" spans="1:44" ht="15.75" x14ac:dyDescent="0.25">
      <c r="A284" s="30"/>
      <c r="B284" s="13" t="s">
        <v>524</v>
      </c>
      <c r="C284" s="18" t="s">
        <v>556</v>
      </c>
      <c r="D284" s="6">
        <v>200152402</v>
      </c>
      <c r="E284" s="7" t="s">
        <v>526</v>
      </c>
      <c r="F284" s="7" t="e">
        <f>G284+SUMIF('[1]mouvement MRR240'!B:B,"=support H1=20 B1=14 L1=60 Al MgSi-T66 ",'[1]mouvement MRR240'!G:G)</f>
        <v>#VALUE!</v>
      </c>
      <c r="G284" s="7">
        <v>1</v>
      </c>
      <c r="H284" s="20">
        <v>1</v>
      </c>
      <c r="I284" s="1" t="e">
        <f t="shared" si="18"/>
        <v>#VALUE!</v>
      </c>
      <c r="J284" s="69">
        <v>56.21</v>
      </c>
      <c r="K284" s="12" t="e">
        <f t="shared" si="19"/>
        <v>#VALUE!</v>
      </c>
      <c r="L284" s="30"/>
      <c r="M284" s="30"/>
      <c r="N284" s="30"/>
      <c r="O284" s="30"/>
      <c r="P284" s="30"/>
      <c r="Q284" s="30"/>
      <c r="R284" s="30"/>
      <c r="S284" s="30">
        <v>1</v>
      </c>
      <c r="T284" s="26"/>
      <c r="U284" s="26"/>
      <c r="V284" s="26"/>
      <c r="W284" s="26"/>
      <c r="X284" s="26"/>
      <c r="Y284" s="26"/>
      <c r="Z284" s="26"/>
      <c r="AA284" s="26"/>
      <c r="AB284" s="26"/>
      <c r="AC284" s="26"/>
      <c r="AD284" s="26"/>
      <c r="AE284" s="26"/>
      <c r="AF284" s="26"/>
      <c r="AG284" s="26"/>
      <c r="AH284" s="26"/>
      <c r="AI284" s="26"/>
      <c r="AJ284" s="26"/>
      <c r="AK284" s="26"/>
      <c r="AL284" s="26"/>
      <c r="AM284" s="26"/>
      <c r="AN284" s="26"/>
      <c r="AO284" s="26"/>
      <c r="AP284" s="26"/>
      <c r="AQ284" s="26"/>
      <c r="AR284" s="26"/>
    </row>
    <row r="285" spans="1:44" ht="15.75" x14ac:dyDescent="0.25">
      <c r="A285" s="30"/>
      <c r="B285" s="13" t="s">
        <v>524</v>
      </c>
      <c r="C285" s="18" t="s">
        <v>557</v>
      </c>
      <c r="D285" s="6" t="s">
        <v>558</v>
      </c>
      <c r="E285" s="120" t="s">
        <v>559</v>
      </c>
      <c r="F285" s="7" t="e">
        <f>G285+SUMIF('[1]mouvement MRR240'!B:B,"=tête d'impression",'[1]mouvement MRR240'!G:G)</f>
        <v>#VALUE!</v>
      </c>
      <c r="G285" s="7">
        <v>1</v>
      </c>
      <c r="H285" s="20">
        <v>1</v>
      </c>
      <c r="I285" s="1" t="e">
        <f t="shared" si="18"/>
        <v>#VALUE!</v>
      </c>
      <c r="J285" s="11">
        <v>514.9</v>
      </c>
      <c r="K285" s="12" t="e">
        <f t="shared" si="19"/>
        <v>#VALUE!</v>
      </c>
      <c r="L285" s="30"/>
      <c r="M285" s="30"/>
      <c r="N285" s="30"/>
      <c r="O285" s="30"/>
      <c r="P285" s="30"/>
      <c r="Q285" s="30"/>
      <c r="R285" s="30"/>
      <c r="S285" s="30">
        <v>1</v>
      </c>
      <c r="T285" s="26"/>
      <c r="U285" s="26"/>
      <c r="V285" s="26"/>
      <c r="W285" s="26"/>
      <c r="X285" s="26"/>
      <c r="Y285" s="26"/>
      <c r="Z285" s="26"/>
      <c r="AA285" s="26"/>
      <c r="AB285" s="26"/>
      <c r="AC285" s="26"/>
      <c r="AD285" s="26"/>
      <c r="AE285" s="26"/>
      <c r="AF285" s="26"/>
      <c r="AG285" s="26"/>
      <c r="AH285" s="26"/>
      <c r="AI285" s="26"/>
      <c r="AJ285" s="26"/>
      <c r="AK285" s="26"/>
      <c r="AL285" s="26"/>
      <c r="AM285" s="26"/>
      <c r="AN285" s="26"/>
      <c r="AO285" s="26"/>
      <c r="AP285" s="26"/>
      <c r="AQ285" s="26"/>
      <c r="AR285" s="26"/>
    </row>
    <row r="286" spans="1:44" ht="15.75" x14ac:dyDescent="0.25">
      <c r="A286" s="30"/>
      <c r="B286" s="13" t="s">
        <v>524</v>
      </c>
      <c r="C286" s="18" t="s">
        <v>560</v>
      </c>
      <c r="D286" s="6" t="s">
        <v>561</v>
      </c>
      <c r="E286" s="7" t="s">
        <v>562</v>
      </c>
      <c r="F286" s="7" t="e">
        <f>G286+SUMIF('[1]mouvement MRR240'!B:B,"=verin ISO6432, DSNU-25-100-PPV-A ",'[1]mouvement MRR240'!G:G)</f>
        <v>#VALUE!</v>
      </c>
      <c r="G286" s="7">
        <v>3</v>
      </c>
      <c r="H286" s="20">
        <v>1</v>
      </c>
      <c r="I286" s="1" t="e">
        <f t="shared" si="18"/>
        <v>#VALUE!</v>
      </c>
      <c r="J286" s="69">
        <v>70.06</v>
      </c>
      <c r="K286" s="12" t="e">
        <f t="shared" si="19"/>
        <v>#VALUE!</v>
      </c>
      <c r="L286" s="30"/>
      <c r="M286" s="30"/>
      <c r="N286" s="30"/>
      <c r="O286" s="30"/>
      <c r="P286" s="30"/>
      <c r="Q286" s="30"/>
      <c r="R286" s="30"/>
      <c r="S286" s="30">
        <v>1</v>
      </c>
      <c r="T286" s="26"/>
      <c r="U286" s="26"/>
      <c r="V286" s="26"/>
      <c r="W286" s="26"/>
      <c r="X286" s="26"/>
      <c r="Y286" s="26"/>
      <c r="Z286" s="26"/>
      <c r="AA286" s="26"/>
      <c r="AB286" s="26"/>
      <c r="AC286" s="26"/>
      <c r="AD286" s="26"/>
      <c r="AE286" s="26"/>
      <c r="AF286" s="26"/>
      <c r="AG286" s="26"/>
      <c r="AH286" s="26"/>
      <c r="AI286" s="26"/>
      <c r="AJ286" s="26"/>
      <c r="AK286" s="26"/>
      <c r="AL286" s="26"/>
      <c r="AM286" s="26"/>
      <c r="AN286" s="26"/>
      <c r="AO286" s="26"/>
      <c r="AP286" s="26"/>
      <c r="AQ286" s="26"/>
      <c r="AR286" s="26"/>
    </row>
    <row r="287" spans="1:44" ht="15.75" x14ac:dyDescent="0.25">
      <c r="A287" s="30"/>
      <c r="B287" s="13" t="s">
        <v>524</v>
      </c>
      <c r="C287" s="18" t="s">
        <v>563</v>
      </c>
      <c r="D287" s="6" t="s">
        <v>564</v>
      </c>
      <c r="E287" s="7" t="s">
        <v>26</v>
      </c>
      <c r="F287" s="7" t="e">
        <f>G287+SUMIF('[1]mouvement MRR240'!B:B,"=Roulement à billes NMB, Radiale, Métal, 8mm x 19mm x 6mm",'[1]mouvement MRR240'!G:G)</f>
        <v>#VALUE!</v>
      </c>
      <c r="G287" s="7">
        <v>2</v>
      </c>
      <c r="H287" s="20">
        <v>2</v>
      </c>
      <c r="I287" s="1" t="e">
        <f t="shared" si="18"/>
        <v>#VALUE!</v>
      </c>
      <c r="J287" s="69">
        <v>4.3</v>
      </c>
      <c r="K287" s="12" t="e">
        <f t="shared" si="19"/>
        <v>#VALUE!</v>
      </c>
      <c r="L287" s="30"/>
      <c r="M287" s="30"/>
      <c r="N287" s="30"/>
      <c r="O287" s="30"/>
      <c r="P287" s="30"/>
      <c r="Q287" s="30"/>
      <c r="R287" s="30"/>
      <c r="S287" s="30">
        <v>0</v>
      </c>
      <c r="T287" s="26"/>
      <c r="U287" s="26"/>
      <c r="V287" s="26"/>
      <c r="W287" s="26"/>
      <c r="X287" s="26"/>
      <c r="Y287" s="26"/>
      <c r="Z287" s="26"/>
      <c r="AA287" s="26"/>
      <c r="AB287" s="26"/>
      <c r="AC287" s="26"/>
      <c r="AD287" s="26"/>
      <c r="AE287" s="26"/>
      <c r="AF287" s="26"/>
      <c r="AG287" s="26"/>
      <c r="AH287" s="26"/>
      <c r="AI287" s="26"/>
      <c r="AJ287" s="26"/>
      <c r="AK287" s="26"/>
      <c r="AL287" s="26"/>
      <c r="AM287" s="26"/>
      <c r="AN287" s="26"/>
      <c r="AO287" s="26"/>
      <c r="AP287" s="26"/>
      <c r="AQ287" s="26"/>
      <c r="AR287" s="26"/>
    </row>
    <row r="288" spans="1:44" ht="15.75" x14ac:dyDescent="0.25">
      <c r="A288" s="30"/>
      <c r="B288" s="13" t="s">
        <v>524</v>
      </c>
      <c r="C288" s="18" t="s">
        <v>565</v>
      </c>
      <c r="D288" s="6">
        <v>200155535</v>
      </c>
      <c r="E288" s="7" t="s">
        <v>526</v>
      </c>
      <c r="F288" s="7" t="e">
        <f>G288+SUMIF('[1]mouvement MRR240'!B:B,"=poulie à rebord D1=380",'[1]mouvement MRR240'!G:G)</f>
        <v>#VALUE!</v>
      </c>
      <c r="G288" s="7">
        <v>1</v>
      </c>
      <c r="H288" s="20">
        <v>0</v>
      </c>
      <c r="I288" s="1" t="e">
        <f t="shared" si="18"/>
        <v>#VALUE!</v>
      </c>
      <c r="J288" s="69">
        <v>143.19999999999999</v>
      </c>
      <c r="K288" s="12" t="e">
        <f t="shared" si="19"/>
        <v>#VALUE!</v>
      </c>
      <c r="L288" s="30"/>
      <c r="M288" s="30"/>
      <c r="N288" s="30"/>
      <c r="O288" s="30"/>
      <c r="P288" s="30"/>
      <c r="Q288" s="30"/>
      <c r="R288" s="30"/>
      <c r="S288" s="30">
        <v>0</v>
      </c>
      <c r="T288" s="26"/>
      <c r="U288" s="26"/>
      <c r="V288" s="26"/>
      <c r="W288" s="26"/>
      <c r="X288" s="26"/>
      <c r="Y288" s="26"/>
      <c r="Z288" s="26"/>
      <c r="AA288" s="26"/>
      <c r="AB288" s="26"/>
      <c r="AC288" s="26"/>
      <c r="AD288" s="26"/>
      <c r="AE288" s="26"/>
      <c r="AF288" s="26"/>
      <c r="AG288" s="26"/>
      <c r="AH288" s="26"/>
      <c r="AI288" s="26"/>
      <c r="AJ288" s="26"/>
      <c r="AK288" s="26"/>
      <c r="AL288" s="26"/>
      <c r="AM288" s="26"/>
      <c r="AN288" s="26"/>
      <c r="AO288" s="26"/>
      <c r="AP288" s="26"/>
      <c r="AQ288" s="26"/>
      <c r="AR288" s="26"/>
    </row>
    <row r="289" spans="1:44" ht="15.75" x14ac:dyDescent="0.25">
      <c r="A289" s="30"/>
      <c r="B289" s="13" t="s">
        <v>524</v>
      </c>
      <c r="C289" s="18" t="s">
        <v>566</v>
      </c>
      <c r="D289" s="6">
        <v>200150512</v>
      </c>
      <c r="E289" s="7" t="s">
        <v>526</v>
      </c>
      <c r="F289" s="7" t="e">
        <f>G289+SUMIF('[1]mouvement MRR240'!B:B,"=disque demarrage",'[1]mouvement MRR240'!G:G)</f>
        <v>#VALUE!</v>
      </c>
      <c r="G289" s="7">
        <v>2</v>
      </c>
      <c r="H289" s="20">
        <v>0</v>
      </c>
      <c r="I289" s="1" t="e">
        <f t="shared" si="18"/>
        <v>#VALUE!</v>
      </c>
      <c r="J289" s="69">
        <v>4.4000000000000004</v>
      </c>
      <c r="K289" s="12" t="e">
        <f t="shared" si="19"/>
        <v>#VALUE!</v>
      </c>
      <c r="L289" s="30"/>
      <c r="M289" s="30"/>
      <c r="N289" s="30"/>
      <c r="O289" s="30"/>
      <c r="P289" s="30"/>
      <c r="Q289" s="30"/>
      <c r="R289" s="30"/>
      <c r="S289" s="30">
        <v>0</v>
      </c>
      <c r="T289" s="26"/>
      <c r="U289" s="26"/>
      <c r="V289" s="26"/>
      <c r="W289" s="26"/>
      <c r="X289" s="26"/>
      <c r="Y289" s="26"/>
      <c r="Z289" s="26"/>
      <c r="AA289" s="26"/>
      <c r="AB289" s="26"/>
      <c r="AC289" s="26"/>
      <c r="AD289" s="26"/>
      <c r="AE289" s="26"/>
      <c r="AF289" s="26"/>
      <c r="AG289" s="26"/>
      <c r="AH289" s="26"/>
      <c r="AI289" s="26"/>
      <c r="AJ289" s="26"/>
      <c r="AK289" s="26"/>
      <c r="AL289" s="26"/>
      <c r="AM289" s="26"/>
      <c r="AN289" s="26"/>
      <c r="AO289" s="26"/>
      <c r="AP289" s="26"/>
      <c r="AQ289" s="26"/>
      <c r="AR289" s="26"/>
    </row>
    <row r="290" spans="1:44" ht="15.75" x14ac:dyDescent="0.25">
      <c r="A290" s="30"/>
      <c r="B290" s="13" t="s">
        <v>524</v>
      </c>
      <c r="C290" s="18" t="s">
        <v>567</v>
      </c>
      <c r="D290" s="6">
        <v>200157138</v>
      </c>
      <c r="E290" s="7" t="s">
        <v>526</v>
      </c>
      <c r="F290" s="7" t="e">
        <f>G290+SUMIF('[1]mouvement MRR240'!B:B,"=rondelle 1",'[1]mouvement MRR240'!G:G)</f>
        <v>#VALUE!</v>
      </c>
      <c r="G290" s="7">
        <v>2</v>
      </c>
      <c r="H290" s="20">
        <v>0</v>
      </c>
      <c r="I290" s="1" t="e">
        <f t="shared" si="18"/>
        <v>#VALUE!</v>
      </c>
      <c r="J290" s="69">
        <v>32.6</v>
      </c>
      <c r="K290" s="12" t="e">
        <f t="shared" si="19"/>
        <v>#VALUE!</v>
      </c>
      <c r="L290" s="30"/>
      <c r="M290" s="30"/>
      <c r="N290" s="30"/>
      <c r="O290" s="30"/>
      <c r="P290" s="30"/>
      <c r="Q290" s="30"/>
      <c r="R290" s="30"/>
      <c r="S290" s="30">
        <v>1</v>
      </c>
      <c r="T290" s="26"/>
      <c r="U290" s="26"/>
      <c r="V290" s="26"/>
      <c r="W290" s="26"/>
      <c r="X290" s="26"/>
      <c r="Y290" s="26"/>
      <c r="Z290" s="26"/>
      <c r="AA290" s="26"/>
      <c r="AB290" s="26"/>
      <c r="AC290" s="26"/>
      <c r="AD290" s="26"/>
      <c r="AE290" s="26"/>
      <c r="AF290" s="26"/>
      <c r="AG290" s="26"/>
      <c r="AH290" s="26"/>
      <c r="AI290" s="26"/>
      <c r="AJ290" s="26"/>
      <c r="AK290" s="26"/>
      <c r="AL290" s="26"/>
      <c r="AM290" s="26"/>
      <c r="AN290" s="26"/>
      <c r="AO290" s="26"/>
      <c r="AP290" s="26"/>
      <c r="AQ290" s="26"/>
      <c r="AR290" s="26"/>
    </row>
    <row r="291" spans="1:44" ht="15.75" x14ac:dyDescent="0.25">
      <c r="A291" s="30"/>
      <c r="B291" s="13" t="s">
        <v>524</v>
      </c>
      <c r="C291" s="18" t="s">
        <v>568</v>
      </c>
      <c r="D291" s="6">
        <v>200155714</v>
      </c>
      <c r="E291" s="7" t="s">
        <v>526</v>
      </c>
      <c r="F291" s="7" t="e">
        <f>G291+SUMIF('[1]mouvement MRR240'!B:B,"=piece de compensation",'[1]mouvement MRR240'!G:G)</f>
        <v>#VALUE!</v>
      </c>
      <c r="G291" s="7">
        <v>1</v>
      </c>
      <c r="H291" s="20">
        <v>0</v>
      </c>
      <c r="I291" s="1" t="e">
        <f t="shared" si="18"/>
        <v>#VALUE!</v>
      </c>
      <c r="J291" s="69">
        <v>118.9</v>
      </c>
      <c r="K291" s="12" t="e">
        <f t="shared" si="19"/>
        <v>#VALUE!</v>
      </c>
      <c r="L291" s="30"/>
      <c r="M291" s="30"/>
      <c r="N291" s="30"/>
      <c r="O291" s="30"/>
      <c r="P291" s="30"/>
      <c r="Q291" s="30"/>
      <c r="R291" s="30"/>
      <c r="S291" s="30">
        <v>0</v>
      </c>
      <c r="T291" s="26"/>
      <c r="U291" s="26"/>
      <c r="V291" s="26"/>
      <c r="W291" s="26"/>
      <c r="X291" s="26"/>
      <c r="Y291" s="26"/>
      <c r="Z291" s="26"/>
      <c r="AA291" s="26"/>
      <c r="AB291" s="26"/>
      <c r="AC291" s="26"/>
      <c r="AD291" s="26"/>
      <c r="AE291" s="26"/>
      <c r="AF291" s="26"/>
      <c r="AG291" s="26"/>
      <c r="AH291" s="26"/>
      <c r="AI291" s="26"/>
      <c r="AJ291" s="26"/>
      <c r="AK291" s="26"/>
      <c r="AL291" s="26"/>
      <c r="AM291" s="26"/>
      <c r="AN291" s="26"/>
      <c r="AO291" s="26"/>
      <c r="AP291" s="26"/>
      <c r="AQ291" s="26"/>
      <c r="AR291" s="26"/>
    </row>
    <row r="292" spans="1:44" ht="15.75" x14ac:dyDescent="0.25">
      <c r="A292" s="30"/>
      <c r="B292" s="13" t="s">
        <v>524</v>
      </c>
      <c r="C292" s="18" t="s">
        <v>569</v>
      </c>
      <c r="D292" s="6">
        <v>200154923</v>
      </c>
      <c r="E292" s="7" t="s">
        <v>526</v>
      </c>
      <c r="F292" s="7" t="e">
        <f>G292+SUMIF('[1]mouvement MRR240'!B:B,"=ressort de torsion ",'[1]mouvement MRR240'!G:G)</f>
        <v>#VALUE!</v>
      </c>
      <c r="G292" s="7">
        <v>3</v>
      </c>
      <c r="H292" s="20">
        <v>1</v>
      </c>
      <c r="I292" s="1" t="e">
        <f t="shared" si="18"/>
        <v>#VALUE!</v>
      </c>
      <c r="J292" s="69">
        <v>11.9</v>
      </c>
      <c r="K292" s="12" t="e">
        <f t="shared" si="19"/>
        <v>#VALUE!</v>
      </c>
      <c r="L292" s="30"/>
      <c r="M292" s="30"/>
      <c r="N292" s="30"/>
      <c r="O292" s="30"/>
      <c r="P292" s="30"/>
      <c r="Q292" s="30"/>
      <c r="R292" s="30"/>
      <c r="S292" s="30">
        <v>1</v>
      </c>
      <c r="T292" s="26"/>
      <c r="U292" s="26"/>
      <c r="V292" s="26"/>
      <c r="W292" s="26"/>
      <c r="X292" s="26"/>
      <c r="Y292" s="26"/>
      <c r="Z292" s="26"/>
      <c r="AA292" s="26"/>
      <c r="AB292" s="26"/>
      <c r="AC292" s="26"/>
      <c r="AD292" s="26"/>
      <c r="AE292" s="26"/>
      <c r="AF292" s="26"/>
      <c r="AG292" s="26"/>
      <c r="AH292" s="26"/>
      <c r="AI292" s="26"/>
      <c r="AJ292" s="26"/>
      <c r="AK292" s="26"/>
      <c r="AL292" s="26"/>
      <c r="AM292" s="26"/>
      <c r="AN292" s="26"/>
      <c r="AO292" s="26"/>
      <c r="AP292" s="26"/>
      <c r="AQ292" s="26"/>
      <c r="AR292" s="26"/>
    </row>
    <row r="293" spans="1:44" ht="15.75" x14ac:dyDescent="0.25">
      <c r="A293" s="30"/>
      <c r="B293" s="13" t="s">
        <v>524</v>
      </c>
      <c r="C293" s="18" t="s">
        <v>570</v>
      </c>
      <c r="D293" s="6">
        <v>200150583</v>
      </c>
      <c r="E293" s="7" t="s">
        <v>526</v>
      </c>
      <c r="F293" s="7" t="e">
        <f>G293+SUMIF('[1]mouvement MRR240'!B:B,"=COURROIE crantée",'[1]mouvement MRR240'!G:G)</f>
        <v>#VALUE!</v>
      </c>
      <c r="G293" s="7">
        <v>1</v>
      </c>
      <c r="H293" s="20">
        <v>1</v>
      </c>
      <c r="I293" s="1" t="e">
        <f t="shared" si="18"/>
        <v>#VALUE!</v>
      </c>
      <c r="J293" s="69">
        <v>27.4</v>
      </c>
      <c r="K293" s="12" t="e">
        <f t="shared" si="19"/>
        <v>#VALUE!</v>
      </c>
      <c r="L293" s="30"/>
      <c r="M293" s="30"/>
      <c r="N293" s="30"/>
      <c r="O293" s="30"/>
      <c r="P293" s="30"/>
      <c r="Q293" s="30"/>
      <c r="R293" s="30"/>
      <c r="S293" s="30">
        <v>0</v>
      </c>
      <c r="T293" s="26"/>
      <c r="U293" s="26"/>
      <c r="V293" s="26"/>
      <c r="W293" s="26"/>
      <c r="X293" s="26"/>
      <c r="Y293" s="26"/>
      <c r="Z293" s="26"/>
      <c r="AA293" s="26"/>
      <c r="AB293" s="26"/>
      <c r="AC293" s="26"/>
      <c r="AD293" s="26"/>
      <c r="AE293" s="26"/>
      <c r="AF293" s="26"/>
      <c r="AG293" s="26"/>
      <c r="AH293" s="26"/>
      <c r="AI293" s="26"/>
      <c r="AJ293" s="26"/>
      <c r="AK293" s="26"/>
      <c r="AL293" s="26"/>
      <c r="AM293" s="26"/>
      <c r="AN293" s="26"/>
      <c r="AO293" s="26"/>
      <c r="AP293" s="26"/>
      <c r="AQ293" s="26"/>
      <c r="AR293" s="26"/>
    </row>
    <row r="294" spans="1:44" ht="15.75" x14ac:dyDescent="0.25">
      <c r="A294" s="30"/>
      <c r="B294" s="13" t="s">
        <v>524</v>
      </c>
      <c r="C294" s="18" t="s">
        <v>571</v>
      </c>
      <c r="D294" s="6">
        <v>200152637</v>
      </c>
      <c r="E294" s="7" t="s">
        <v>526</v>
      </c>
      <c r="F294" s="7" t="e">
        <f>G294+SUMIF('[1]mouvement MRR240'!B:B,"=Disque de synchronisation 1",'[1]mouvement MRR240'!G:G)</f>
        <v>#VALUE!</v>
      </c>
      <c r="G294" s="7">
        <v>1</v>
      </c>
      <c r="H294" s="20">
        <v>0</v>
      </c>
      <c r="I294" s="1" t="e">
        <f t="shared" si="18"/>
        <v>#VALUE!</v>
      </c>
      <c r="J294" s="69">
        <v>94.3</v>
      </c>
      <c r="K294" s="12" t="e">
        <f t="shared" si="19"/>
        <v>#VALUE!</v>
      </c>
      <c r="L294" s="30"/>
      <c r="M294" s="30"/>
      <c r="N294" s="30"/>
      <c r="O294" s="30"/>
      <c r="P294" s="30"/>
      <c r="Q294" s="30"/>
      <c r="R294" s="30"/>
      <c r="S294" s="30">
        <v>1</v>
      </c>
      <c r="T294" s="26"/>
      <c r="U294" s="26"/>
      <c r="V294" s="26"/>
      <c r="W294" s="26"/>
      <c r="X294" s="26"/>
      <c r="Y294" s="26"/>
      <c r="Z294" s="26"/>
      <c r="AA294" s="26"/>
      <c r="AB294" s="26"/>
      <c r="AC294" s="26"/>
      <c r="AD294" s="26"/>
      <c r="AE294" s="26"/>
      <c r="AF294" s="26"/>
      <c r="AG294" s="26"/>
      <c r="AH294" s="26"/>
      <c r="AI294" s="26"/>
      <c r="AJ294" s="26"/>
      <c r="AK294" s="26"/>
      <c r="AL294" s="26"/>
      <c r="AM294" s="26"/>
      <c r="AN294" s="26"/>
      <c r="AO294" s="26"/>
      <c r="AP294" s="26"/>
      <c r="AQ294" s="26"/>
      <c r="AR294" s="26"/>
    </row>
    <row r="295" spans="1:44" ht="15.75" x14ac:dyDescent="0.25">
      <c r="A295" s="30"/>
      <c r="B295" s="13" t="s">
        <v>524</v>
      </c>
      <c r="C295" s="18" t="s">
        <v>572</v>
      </c>
      <c r="D295" s="6">
        <v>105748804</v>
      </c>
      <c r="E295" s="7" t="s">
        <v>526</v>
      </c>
      <c r="F295" s="7" t="e">
        <f>G295+SUMIF('[1]mouvement MRR240'!B:B,"=Disque de synchronisation 2",'[1]mouvement MRR240'!G:G)</f>
        <v>#VALUE!</v>
      </c>
      <c r="G295" s="7">
        <v>1</v>
      </c>
      <c r="H295" s="20">
        <v>0</v>
      </c>
      <c r="I295" s="1" t="e">
        <f t="shared" si="18"/>
        <v>#VALUE!</v>
      </c>
      <c r="J295" s="69">
        <v>60.3</v>
      </c>
      <c r="K295" s="12" t="e">
        <f t="shared" si="19"/>
        <v>#VALUE!</v>
      </c>
      <c r="L295" s="30"/>
      <c r="M295" s="30"/>
      <c r="N295" s="30"/>
      <c r="O295" s="30"/>
      <c r="P295" s="30"/>
      <c r="Q295" s="30"/>
      <c r="R295" s="30"/>
      <c r="S295" s="30">
        <v>1</v>
      </c>
      <c r="T295" s="26"/>
      <c r="U295" s="26"/>
      <c r="V295" s="26"/>
      <c r="W295" s="26"/>
      <c r="X295" s="26"/>
      <c r="Y295" s="26"/>
      <c r="Z295" s="26"/>
      <c r="AA295" s="26"/>
      <c r="AB295" s="26"/>
      <c r="AC295" s="26"/>
      <c r="AD295" s="26"/>
      <c r="AE295" s="26"/>
      <c r="AF295" s="26"/>
      <c r="AG295" s="26"/>
      <c r="AH295" s="26"/>
      <c r="AI295" s="26"/>
      <c r="AJ295" s="26"/>
      <c r="AK295" s="26"/>
      <c r="AL295" s="26"/>
      <c r="AM295" s="26"/>
      <c r="AN295" s="26"/>
      <c r="AO295" s="26"/>
      <c r="AP295" s="26"/>
      <c r="AQ295" s="26"/>
      <c r="AR295" s="26"/>
    </row>
    <row r="296" spans="1:44" ht="15.75" x14ac:dyDescent="0.25">
      <c r="A296" s="30"/>
      <c r="B296" s="13" t="s">
        <v>524</v>
      </c>
      <c r="C296" s="18" t="s">
        <v>573</v>
      </c>
      <c r="D296" s="6">
        <v>200154479</v>
      </c>
      <c r="E296" s="7" t="s">
        <v>526</v>
      </c>
      <c r="F296" s="7" t="e">
        <f>G296+SUMIF('[1]mouvement MRR240'!B:B,"=Jeu de serrage",'[1]mouvement MRR240'!G:G)</f>
        <v>#VALUE!</v>
      </c>
      <c r="G296" s="7">
        <v>1</v>
      </c>
      <c r="H296" s="20">
        <v>0</v>
      </c>
      <c r="I296" s="1" t="e">
        <f t="shared" si="18"/>
        <v>#VALUE!</v>
      </c>
      <c r="J296" s="69">
        <v>55.8</v>
      </c>
      <c r="K296" s="12" t="e">
        <f t="shared" si="19"/>
        <v>#VALUE!</v>
      </c>
      <c r="L296" s="30"/>
      <c r="M296" s="30"/>
      <c r="N296" s="30"/>
      <c r="O296" s="30"/>
      <c r="P296" s="30"/>
      <c r="Q296" s="30"/>
      <c r="R296" s="30"/>
      <c r="S296" s="30">
        <v>1</v>
      </c>
      <c r="T296" s="26"/>
      <c r="U296" s="26"/>
      <c r="V296" s="26"/>
      <c r="W296" s="26"/>
      <c r="X296" s="26"/>
      <c r="Y296" s="26"/>
      <c r="Z296" s="26"/>
      <c r="AA296" s="26"/>
      <c r="AB296" s="26"/>
      <c r="AC296" s="26"/>
      <c r="AD296" s="26"/>
      <c r="AE296" s="26"/>
      <c r="AF296" s="26"/>
      <c r="AG296" s="26"/>
      <c r="AH296" s="26"/>
      <c r="AI296" s="26"/>
      <c r="AJ296" s="26"/>
      <c r="AK296" s="26"/>
      <c r="AL296" s="26"/>
      <c r="AM296" s="26"/>
      <c r="AN296" s="26"/>
      <c r="AO296" s="26"/>
      <c r="AP296" s="26"/>
      <c r="AQ296" s="26"/>
      <c r="AR296" s="26"/>
    </row>
    <row r="297" spans="1:44" ht="15.75" x14ac:dyDescent="0.25">
      <c r="A297" s="30"/>
      <c r="B297" s="13" t="s">
        <v>524</v>
      </c>
      <c r="C297" s="18" t="s">
        <v>574</v>
      </c>
      <c r="D297" s="6">
        <v>200152643</v>
      </c>
      <c r="E297" s="7" t="s">
        <v>526</v>
      </c>
      <c r="F297" s="7" t="e">
        <f>G297+SUMIF('[1]mouvement MRR240'!B:B,"=Tourillon",'[1]mouvement MRR240'!G:G)</f>
        <v>#VALUE!</v>
      </c>
      <c r="G297" s="7">
        <v>1</v>
      </c>
      <c r="H297" s="20">
        <v>0</v>
      </c>
      <c r="I297" s="1" t="e">
        <f t="shared" si="18"/>
        <v>#VALUE!</v>
      </c>
      <c r="J297" s="69">
        <v>69.400000000000006</v>
      </c>
      <c r="K297" s="12" t="e">
        <f t="shared" si="19"/>
        <v>#VALUE!</v>
      </c>
      <c r="L297" s="30"/>
      <c r="M297" s="30"/>
      <c r="N297" s="30"/>
      <c r="O297" s="30"/>
      <c r="P297" s="30"/>
      <c r="Q297" s="30"/>
      <c r="R297" s="30"/>
      <c r="S297" s="30">
        <v>1</v>
      </c>
      <c r="T297" s="26"/>
      <c r="U297" s="26"/>
      <c r="V297" s="26"/>
      <c r="W297" s="26"/>
      <c r="X297" s="26"/>
      <c r="Y297" s="26"/>
      <c r="Z297" s="26"/>
      <c r="AA297" s="26"/>
      <c r="AB297" s="26"/>
      <c r="AC297" s="26"/>
      <c r="AD297" s="26"/>
      <c r="AE297" s="26"/>
      <c r="AF297" s="26"/>
      <c r="AG297" s="26"/>
      <c r="AH297" s="26"/>
      <c r="AI297" s="26"/>
      <c r="AJ297" s="26"/>
      <c r="AK297" s="26"/>
      <c r="AL297" s="26"/>
      <c r="AM297" s="26"/>
      <c r="AN297" s="26"/>
      <c r="AO297" s="26"/>
      <c r="AP297" s="26"/>
      <c r="AQ297" s="26"/>
      <c r="AR297" s="26"/>
    </row>
    <row r="298" spans="1:44" ht="15.75" x14ac:dyDescent="0.25">
      <c r="A298" s="30"/>
      <c r="B298" s="13" t="s">
        <v>524</v>
      </c>
      <c r="C298" s="18" t="s">
        <v>575</v>
      </c>
      <c r="D298" s="6">
        <v>106336508</v>
      </c>
      <c r="E298" s="7" t="s">
        <v>526</v>
      </c>
      <c r="F298" s="7" t="e">
        <f>G298+SUMIF('[1]mouvement MRR240'!B:B,"=Entretoise",'[1]mouvement MRR240'!G:G)</f>
        <v>#VALUE!</v>
      </c>
      <c r="G298" s="7">
        <v>1</v>
      </c>
      <c r="H298" s="20">
        <v>0</v>
      </c>
      <c r="I298" s="1" t="e">
        <f t="shared" si="18"/>
        <v>#VALUE!</v>
      </c>
      <c r="J298" s="69">
        <v>55.8</v>
      </c>
      <c r="K298" s="12" t="e">
        <f t="shared" si="19"/>
        <v>#VALUE!</v>
      </c>
      <c r="L298" s="30"/>
      <c r="M298" s="30"/>
      <c r="N298" s="30"/>
      <c r="O298" s="30"/>
      <c r="P298" s="30"/>
      <c r="Q298" s="30"/>
      <c r="R298" s="30"/>
      <c r="S298" s="30">
        <v>1</v>
      </c>
      <c r="T298" s="26"/>
      <c r="U298" s="26"/>
      <c r="V298" s="26"/>
      <c r="W298" s="26"/>
      <c r="X298" s="26"/>
      <c r="Y298" s="26"/>
      <c r="Z298" s="26"/>
      <c r="AA298" s="26"/>
      <c r="AB298" s="26"/>
      <c r="AC298" s="26"/>
      <c r="AD298" s="26"/>
      <c r="AE298" s="26"/>
      <c r="AF298" s="26"/>
      <c r="AG298" s="26"/>
      <c r="AH298" s="26"/>
      <c r="AI298" s="26"/>
      <c r="AJ298" s="26"/>
      <c r="AK298" s="26"/>
      <c r="AL298" s="26"/>
      <c r="AM298" s="26"/>
      <c r="AN298" s="26"/>
      <c r="AO298" s="26"/>
      <c r="AP298" s="26"/>
      <c r="AQ298" s="26"/>
      <c r="AR298" s="26"/>
    </row>
    <row r="299" spans="1:44" ht="15.75" x14ac:dyDescent="0.25">
      <c r="A299" s="30"/>
      <c r="B299" s="13" t="s">
        <v>524</v>
      </c>
      <c r="C299" s="18" t="s">
        <v>576</v>
      </c>
      <c r="D299" s="6">
        <v>106319167</v>
      </c>
      <c r="E299" s="7" t="s">
        <v>526</v>
      </c>
      <c r="F299" s="7" t="e">
        <f>G299+SUMIF('[1]mouvement MRR240'!B:B,"=couvercle 1",'[1]mouvement MRR240'!G:G)</f>
        <v>#VALUE!</v>
      </c>
      <c r="G299" s="7">
        <v>1</v>
      </c>
      <c r="H299" s="20">
        <v>0</v>
      </c>
      <c r="I299" s="1" t="e">
        <f t="shared" si="18"/>
        <v>#VALUE!</v>
      </c>
      <c r="J299" s="69">
        <v>19.5</v>
      </c>
      <c r="K299" s="12" t="e">
        <f t="shared" si="19"/>
        <v>#VALUE!</v>
      </c>
      <c r="L299" s="30"/>
      <c r="M299" s="30"/>
      <c r="N299" s="30"/>
      <c r="O299" s="30"/>
      <c r="P299" s="30"/>
      <c r="Q299" s="30"/>
      <c r="R299" s="30"/>
      <c r="S299" s="30">
        <v>0</v>
      </c>
      <c r="T299" s="26"/>
      <c r="U299" s="26"/>
      <c r="V299" s="26"/>
      <c r="W299" s="26"/>
      <c r="X299" s="26"/>
      <c r="Y299" s="26"/>
      <c r="Z299" s="26"/>
      <c r="AA299" s="26"/>
      <c r="AB299" s="26"/>
      <c r="AC299" s="26"/>
      <c r="AD299" s="26"/>
      <c r="AE299" s="26"/>
      <c r="AF299" s="26"/>
      <c r="AG299" s="26"/>
      <c r="AH299" s="26"/>
      <c r="AI299" s="26"/>
      <c r="AJ299" s="26"/>
      <c r="AK299" s="26"/>
      <c r="AL299" s="26"/>
      <c r="AM299" s="26"/>
      <c r="AN299" s="26"/>
      <c r="AO299" s="26"/>
      <c r="AP299" s="26"/>
      <c r="AQ299" s="26"/>
      <c r="AR299" s="26"/>
    </row>
    <row r="300" spans="1:44" ht="15.75" x14ac:dyDescent="0.25">
      <c r="A300" s="30"/>
      <c r="B300" s="13" t="s">
        <v>524</v>
      </c>
      <c r="C300" s="18" t="s">
        <v>577</v>
      </c>
      <c r="D300" s="6">
        <v>106314621</v>
      </c>
      <c r="E300" s="7" t="s">
        <v>526</v>
      </c>
      <c r="F300" s="7" t="e">
        <f>G300+SUMIF('[1]mouvement MRR240'!B:B,"=couvercle 2",'[1]mouvement MRR240'!G:G)</f>
        <v>#VALUE!</v>
      </c>
      <c r="G300" s="7">
        <v>1</v>
      </c>
      <c r="H300" s="20">
        <v>0</v>
      </c>
      <c r="I300" s="1" t="e">
        <f t="shared" si="18"/>
        <v>#VALUE!</v>
      </c>
      <c r="J300" s="69">
        <v>20.9</v>
      </c>
      <c r="K300" s="12" t="e">
        <f t="shared" si="19"/>
        <v>#VALUE!</v>
      </c>
      <c r="L300" s="30"/>
      <c r="M300" s="30"/>
      <c r="N300" s="30"/>
      <c r="O300" s="30"/>
      <c r="P300" s="30"/>
      <c r="Q300" s="30"/>
      <c r="R300" s="30"/>
      <c r="S300" s="30">
        <v>0</v>
      </c>
      <c r="T300" s="26"/>
      <c r="U300" s="26"/>
      <c r="V300" s="26"/>
      <c r="W300" s="26"/>
      <c r="X300" s="26"/>
      <c r="Y300" s="26"/>
      <c r="Z300" s="26"/>
      <c r="AA300" s="26"/>
      <c r="AB300" s="26"/>
      <c r="AC300" s="26"/>
      <c r="AD300" s="26"/>
      <c r="AE300" s="26"/>
      <c r="AF300" s="26"/>
      <c r="AG300" s="26"/>
      <c r="AH300" s="26"/>
      <c r="AI300" s="26"/>
      <c r="AJ300" s="26"/>
      <c r="AK300" s="26"/>
      <c r="AL300" s="26"/>
      <c r="AM300" s="26"/>
      <c r="AN300" s="26"/>
      <c r="AO300" s="26"/>
      <c r="AP300" s="26"/>
      <c r="AQ300" s="26"/>
      <c r="AR300" s="26"/>
    </row>
    <row r="301" spans="1:44" ht="15.75" x14ac:dyDescent="0.25">
      <c r="A301" s="30"/>
      <c r="B301" s="13" t="s">
        <v>524</v>
      </c>
      <c r="C301" s="18" t="s">
        <v>578</v>
      </c>
      <c r="D301" s="6">
        <v>10540101</v>
      </c>
      <c r="E301" s="7" t="s">
        <v>526</v>
      </c>
      <c r="F301" s="7" t="e">
        <f>G301+SUMIF('[1]mouvement MRR240'!B:B,"=courroie",'[1]mouvement MRR240'!G:G)</f>
        <v>#VALUE!</v>
      </c>
      <c r="G301" s="7">
        <v>1</v>
      </c>
      <c r="H301" s="20">
        <v>0</v>
      </c>
      <c r="I301" s="1" t="e">
        <f t="shared" si="18"/>
        <v>#VALUE!</v>
      </c>
      <c r="J301" s="69">
        <v>17.8</v>
      </c>
      <c r="K301" s="12" t="e">
        <f t="shared" si="19"/>
        <v>#VALUE!</v>
      </c>
      <c r="L301" s="30"/>
      <c r="M301" s="30"/>
      <c r="N301" s="30"/>
      <c r="O301" s="30"/>
      <c r="P301" s="30"/>
      <c r="Q301" s="30"/>
      <c r="R301" s="30"/>
      <c r="S301" s="30">
        <v>0</v>
      </c>
      <c r="T301" s="26"/>
      <c r="U301" s="26"/>
      <c r="V301" s="26"/>
      <c r="W301" s="26"/>
      <c r="X301" s="26"/>
      <c r="Y301" s="26"/>
      <c r="Z301" s="26"/>
      <c r="AA301" s="26"/>
      <c r="AB301" s="26"/>
      <c r="AC301" s="26"/>
      <c r="AD301" s="26"/>
      <c r="AE301" s="26"/>
      <c r="AF301" s="26"/>
      <c r="AG301" s="26"/>
      <c r="AH301" s="26"/>
      <c r="AI301" s="26"/>
      <c r="AJ301" s="26"/>
      <c r="AK301" s="26"/>
      <c r="AL301" s="26"/>
      <c r="AM301" s="26"/>
      <c r="AN301" s="26"/>
      <c r="AO301" s="26"/>
      <c r="AP301" s="26"/>
      <c r="AQ301" s="26"/>
      <c r="AR301" s="26"/>
    </row>
    <row r="302" spans="1:44" ht="15.75" x14ac:dyDescent="0.25">
      <c r="A302" s="30"/>
      <c r="B302" s="13" t="s">
        <v>524</v>
      </c>
      <c r="C302" s="18" t="s">
        <v>579</v>
      </c>
      <c r="D302" s="6">
        <v>200158713</v>
      </c>
      <c r="E302" s="7" t="s">
        <v>526</v>
      </c>
      <c r="F302" s="7" t="e">
        <f>G302+SUMIF('[1]mouvement MRR240'!B:B,"=Disque de synchronisation 3",'[1]mouvement MRR240'!G:G)</f>
        <v>#VALUE!</v>
      </c>
      <c r="G302" s="7">
        <v>1</v>
      </c>
      <c r="H302" s="20">
        <v>0</v>
      </c>
      <c r="I302" s="1" t="e">
        <f t="shared" si="18"/>
        <v>#VALUE!</v>
      </c>
      <c r="J302" s="69">
        <v>20.5</v>
      </c>
      <c r="K302" s="12" t="e">
        <f t="shared" si="19"/>
        <v>#VALUE!</v>
      </c>
      <c r="L302" s="30"/>
      <c r="M302" s="30"/>
      <c r="N302" s="30"/>
      <c r="O302" s="30"/>
      <c r="P302" s="30"/>
      <c r="Q302" s="30"/>
      <c r="R302" s="30"/>
      <c r="S302" s="30">
        <v>1</v>
      </c>
      <c r="T302" s="26"/>
      <c r="U302" s="26"/>
      <c r="V302" s="26"/>
      <c r="W302" s="26"/>
      <c r="X302" s="26"/>
      <c r="Y302" s="26"/>
      <c r="Z302" s="26"/>
      <c r="AA302" s="26"/>
      <c r="AB302" s="26"/>
      <c r="AC302" s="26"/>
      <c r="AD302" s="26"/>
      <c r="AE302" s="26"/>
      <c r="AF302" s="26"/>
      <c r="AG302" s="26"/>
      <c r="AH302" s="26"/>
      <c r="AI302" s="26"/>
      <c r="AJ302" s="26"/>
      <c r="AK302" s="26"/>
      <c r="AL302" s="26"/>
      <c r="AM302" s="26"/>
      <c r="AN302" s="26"/>
      <c r="AO302" s="26"/>
      <c r="AP302" s="26"/>
      <c r="AQ302" s="26"/>
      <c r="AR302" s="26"/>
    </row>
    <row r="303" spans="1:44" ht="15.75" x14ac:dyDescent="0.25">
      <c r="A303" s="30"/>
      <c r="B303" s="13" t="s">
        <v>524</v>
      </c>
      <c r="C303" s="18" t="s">
        <v>580</v>
      </c>
      <c r="D303" s="6">
        <v>200152644</v>
      </c>
      <c r="E303" s="7" t="s">
        <v>526</v>
      </c>
      <c r="F303" s="7" t="e">
        <f>G303+SUMIF('[1]mouvement MRR240'!B:B,"=rondelle 2",'[1]mouvement MRR240'!G:G)</f>
        <v>#VALUE!</v>
      </c>
      <c r="G303" s="7">
        <v>1</v>
      </c>
      <c r="H303" s="20">
        <v>0</v>
      </c>
      <c r="I303" s="1" t="e">
        <f t="shared" si="18"/>
        <v>#VALUE!</v>
      </c>
      <c r="J303" s="69">
        <v>4.4000000000000004</v>
      </c>
      <c r="K303" s="12" t="e">
        <f t="shared" si="19"/>
        <v>#VALUE!</v>
      </c>
      <c r="L303" s="30"/>
      <c r="M303" s="30"/>
      <c r="N303" s="30"/>
      <c r="O303" s="30"/>
      <c r="P303" s="30"/>
      <c r="Q303" s="30"/>
      <c r="R303" s="30"/>
      <c r="S303" s="30">
        <v>0</v>
      </c>
      <c r="T303" s="26"/>
      <c r="U303" s="26"/>
      <c r="V303" s="26"/>
      <c r="W303" s="26"/>
      <c r="X303" s="26"/>
      <c r="Y303" s="26"/>
      <c r="Z303" s="26"/>
      <c r="AA303" s="26"/>
      <c r="AB303" s="26"/>
      <c r="AC303" s="26"/>
      <c r="AD303" s="26"/>
      <c r="AE303" s="26"/>
      <c r="AF303" s="26"/>
      <c r="AG303" s="26"/>
      <c r="AH303" s="26"/>
      <c r="AI303" s="26"/>
      <c r="AJ303" s="26"/>
      <c r="AK303" s="26"/>
      <c r="AL303" s="26"/>
      <c r="AM303" s="26"/>
      <c r="AN303" s="26"/>
      <c r="AO303" s="26"/>
      <c r="AP303" s="26"/>
      <c r="AQ303" s="26"/>
      <c r="AR303" s="26"/>
    </row>
    <row r="304" spans="1:44" ht="15.75" x14ac:dyDescent="0.25">
      <c r="A304" s="30"/>
      <c r="B304" s="13" t="s">
        <v>524</v>
      </c>
      <c r="C304" s="18" t="s">
        <v>581</v>
      </c>
      <c r="D304" s="6">
        <v>105709993</v>
      </c>
      <c r="E304" s="7" t="s">
        <v>526</v>
      </c>
      <c r="F304" s="7" t="e">
        <f>G304+SUMIF('[1]mouvement MRR240'!B:B,"=tole de protection",'[1]mouvement MRR240'!G:G)</f>
        <v>#VALUE!</v>
      </c>
      <c r="G304" s="7">
        <v>1</v>
      </c>
      <c r="H304" s="20">
        <v>0</v>
      </c>
      <c r="I304" s="1" t="e">
        <f t="shared" si="18"/>
        <v>#VALUE!</v>
      </c>
      <c r="J304" s="69">
        <v>26.6</v>
      </c>
      <c r="K304" s="12" t="e">
        <f t="shared" si="19"/>
        <v>#VALUE!</v>
      </c>
      <c r="L304" s="30"/>
      <c r="M304" s="13" t="s">
        <v>524</v>
      </c>
      <c r="N304" s="30"/>
      <c r="O304" s="30"/>
      <c r="P304" s="30"/>
      <c r="Q304" s="30"/>
      <c r="R304" s="30"/>
      <c r="S304" s="30">
        <v>1</v>
      </c>
      <c r="T304" s="26"/>
      <c r="U304" s="26"/>
      <c r="V304" s="26"/>
      <c r="W304" s="26"/>
      <c r="X304" s="26"/>
      <c r="Y304" s="26"/>
      <c r="Z304" s="26"/>
      <c r="AA304" s="26"/>
      <c r="AB304" s="26"/>
      <c r="AC304" s="26"/>
      <c r="AD304" s="26"/>
      <c r="AE304" s="26"/>
      <c r="AF304" s="26"/>
      <c r="AG304" s="26"/>
      <c r="AH304" s="26"/>
      <c r="AI304" s="26"/>
      <c r="AJ304" s="26"/>
      <c r="AK304" s="26"/>
      <c r="AL304" s="26"/>
      <c r="AM304" s="26"/>
      <c r="AN304" s="26"/>
      <c r="AO304" s="26"/>
      <c r="AP304" s="26"/>
      <c r="AQ304" s="26"/>
      <c r="AR304" s="26"/>
    </row>
    <row r="305" spans="1:44" ht="15.75" x14ac:dyDescent="0.25">
      <c r="A305" s="30"/>
      <c r="B305" s="13" t="s">
        <v>524</v>
      </c>
      <c r="C305" s="18" t="s">
        <v>582</v>
      </c>
      <c r="D305" s="6">
        <v>106314621</v>
      </c>
      <c r="E305" s="120" t="s">
        <v>526</v>
      </c>
      <c r="F305" s="7" t="e">
        <f>G305+SUMIF('[1]mouvement MRR240'!B:B,"=couvercle 3",'[1]mouvement MRR240'!G:G)</f>
        <v>#VALUE!</v>
      </c>
      <c r="G305" s="7">
        <v>1</v>
      </c>
      <c r="H305" s="20">
        <v>1</v>
      </c>
      <c r="I305" s="1" t="e">
        <f t="shared" si="18"/>
        <v>#VALUE!</v>
      </c>
      <c r="J305" s="11">
        <v>20.9</v>
      </c>
      <c r="K305" s="12" t="e">
        <f t="shared" si="19"/>
        <v>#VALUE!</v>
      </c>
      <c r="L305" s="30"/>
      <c r="M305" s="35" t="e">
        <f>SUM(K262:K305)</f>
        <v>#VALUE!</v>
      </c>
      <c r="N305" s="30"/>
      <c r="O305" s="30"/>
      <c r="P305" s="30"/>
      <c r="Q305" s="30"/>
      <c r="R305" s="30"/>
      <c r="S305" s="30">
        <v>0</v>
      </c>
      <c r="T305" s="26"/>
      <c r="U305" s="26"/>
      <c r="V305" s="26"/>
      <c r="W305" s="26"/>
      <c r="X305" s="26"/>
      <c r="Y305" s="26"/>
      <c r="Z305" s="26"/>
      <c r="AA305" s="26"/>
      <c r="AB305" s="26"/>
      <c r="AC305" s="26"/>
      <c r="AD305" s="26"/>
      <c r="AE305" s="26"/>
      <c r="AF305" s="26"/>
      <c r="AG305" s="26"/>
      <c r="AH305" s="26"/>
      <c r="AI305" s="26"/>
      <c r="AJ305" s="26"/>
      <c r="AK305" s="26"/>
      <c r="AL305" s="26"/>
      <c r="AM305" s="26"/>
      <c r="AN305" s="26"/>
      <c r="AO305" s="26"/>
      <c r="AP305" s="26"/>
      <c r="AQ305" s="26"/>
      <c r="AR305" s="26"/>
    </row>
    <row r="306" spans="1:44" ht="15.75" x14ac:dyDescent="0.25">
      <c r="A306" s="30"/>
      <c r="B306" s="13" t="s">
        <v>583</v>
      </c>
      <c r="C306" s="14" t="s">
        <v>584</v>
      </c>
      <c r="D306" s="5" t="s">
        <v>585</v>
      </c>
      <c r="E306" s="6" t="s">
        <v>22</v>
      </c>
      <c r="F306" s="7" t="e">
        <f>G306+SUMIF('[1]mouvement etuyeuse'!B:B,"= verrin métal work dépileur étuits",'[1]mouvement etuyeuse'!G:G)</f>
        <v>#VALUE!</v>
      </c>
      <c r="G306" s="20">
        <v>1</v>
      </c>
      <c r="H306" s="6">
        <v>1</v>
      </c>
      <c r="I306" s="1" t="e">
        <f>IF(F306&lt;H306,"/!\","-")</f>
        <v>#VALUE!</v>
      </c>
      <c r="J306" s="11">
        <v>0</v>
      </c>
      <c r="K306" s="12" t="e">
        <f>F306*J306</f>
        <v>#VALUE!</v>
      </c>
      <c r="L306" s="30"/>
      <c r="M306" s="30"/>
      <c r="N306" s="30"/>
      <c r="O306" s="30"/>
      <c r="P306" s="30"/>
      <c r="Q306" s="30"/>
      <c r="R306" s="30"/>
      <c r="S306" s="30">
        <v>1</v>
      </c>
      <c r="T306" s="26"/>
      <c r="U306" s="26"/>
      <c r="V306" s="26"/>
      <c r="W306" s="26"/>
      <c r="X306" s="26"/>
      <c r="Y306" s="26"/>
      <c r="Z306" s="26"/>
      <c r="AA306" s="26"/>
      <c r="AB306" s="26"/>
      <c r="AC306" s="26"/>
      <c r="AD306" s="26"/>
      <c r="AE306" s="26"/>
      <c r="AF306" s="26"/>
      <c r="AG306" s="26"/>
      <c r="AH306" s="26"/>
      <c r="AI306" s="26"/>
      <c r="AJ306" s="26"/>
      <c r="AK306" s="26"/>
      <c r="AL306" s="26"/>
      <c r="AM306" s="26"/>
      <c r="AN306" s="26"/>
      <c r="AO306" s="26"/>
      <c r="AP306" s="26"/>
      <c r="AQ306" s="26"/>
      <c r="AR306" s="26"/>
    </row>
    <row r="307" spans="1:44" ht="15.75" x14ac:dyDescent="0.25">
      <c r="A307" s="30"/>
      <c r="B307" s="13" t="s">
        <v>583</v>
      </c>
      <c r="C307" s="14" t="s">
        <v>586</v>
      </c>
      <c r="D307" s="5" t="s">
        <v>587</v>
      </c>
      <c r="E307" s="6" t="s">
        <v>22</v>
      </c>
      <c r="F307" s="7" t="e">
        <f>G307+SUMIF('[1]mouvement etuyeuse'!B:B,"=BOBINES 21V 2W",'[1]mouvement etuyeuse'!G:G)</f>
        <v>#VALUE!</v>
      </c>
      <c r="G307" s="20">
        <v>4</v>
      </c>
      <c r="H307" s="6">
        <v>1</v>
      </c>
      <c r="I307" s="1" t="e">
        <f t="shared" ref="I307:I322" si="20">IF(F307&lt;H307,"/!\","-")</f>
        <v>#VALUE!</v>
      </c>
      <c r="J307" s="11">
        <v>0</v>
      </c>
      <c r="K307" s="12" t="e">
        <f t="shared" ref="K307:K322" si="21">F307*J307</f>
        <v>#VALUE!</v>
      </c>
      <c r="L307" s="30"/>
      <c r="M307" s="30"/>
      <c r="N307" s="30"/>
      <c r="O307" s="30"/>
      <c r="P307" s="30"/>
      <c r="Q307" s="30"/>
      <c r="R307" s="30"/>
      <c r="S307" s="30">
        <v>1</v>
      </c>
      <c r="T307" s="26"/>
      <c r="U307" s="26"/>
      <c r="V307" s="26"/>
      <c r="W307" s="26"/>
      <c r="X307" s="26"/>
      <c r="Y307" s="26"/>
      <c r="Z307" s="26"/>
      <c r="AA307" s="26"/>
      <c r="AB307" s="26"/>
      <c r="AC307" s="26"/>
      <c r="AD307" s="26"/>
      <c r="AE307" s="26"/>
      <c r="AF307" s="26"/>
      <c r="AG307" s="26"/>
      <c r="AH307" s="26"/>
      <c r="AI307" s="26"/>
      <c r="AJ307" s="26"/>
      <c r="AK307" s="26"/>
      <c r="AL307" s="26"/>
      <c r="AM307" s="26"/>
      <c r="AN307" s="26"/>
      <c r="AO307" s="26"/>
      <c r="AP307" s="26"/>
      <c r="AQ307" s="26"/>
      <c r="AR307" s="26"/>
    </row>
    <row r="308" spans="1:44" ht="15.75" x14ac:dyDescent="0.25">
      <c r="A308" s="30"/>
      <c r="B308" s="13" t="s">
        <v>583</v>
      </c>
      <c r="C308" s="14" t="s">
        <v>588</v>
      </c>
      <c r="D308" s="5" t="s">
        <v>589</v>
      </c>
      <c r="E308" s="6" t="s">
        <v>39</v>
      </c>
      <c r="F308" s="7" t="e">
        <f>G308+SUMIF('[1]mouvement etuyeuse'!B:B,"=Capteur ILS métalwork",'[1]mouvement etuyeuse'!G:G)</f>
        <v>#VALUE!</v>
      </c>
      <c r="G308" s="20">
        <v>2</v>
      </c>
      <c r="H308" s="6">
        <v>1</v>
      </c>
      <c r="I308" s="1" t="e">
        <f t="shared" si="20"/>
        <v>#VALUE!</v>
      </c>
      <c r="J308" s="11">
        <v>24.48</v>
      </c>
      <c r="K308" s="12" t="e">
        <f t="shared" si="21"/>
        <v>#VALUE!</v>
      </c>
      <c r="L308" s="30"/>
      <c r="M308" s="30"/>
      <c r="N308" s="30"/>
      <c r="O308" s="30"/>
      <c r="P308" s="30"/>
      <c r="Q308" s="30"/>
      <c r="R308" s="30"/>
      <c r="S308" s="30">
        <v>1</v>
      </c>
      <c r="T308" s="26"/>
      <c r="U308" s="26"/>
      <c r="V308" s="26"/>
      <c r="W308" s="26"/>
      <c r="X308" s="26"/>
      <c r="Y308" s="26"/>
      <c r="Z308" s="26"/>
      <c r="AA308" s="26"/>
      <c r="AB308" s="26"/>
      <c r="AC308" s="26"/>
      <c r="AD308" s="26"/>
      <c r="AE308" s="26"/>
      <c r="AF308" s="26"/>
      <c r="AG308" s="26"/>
      <c r="AH308" s="26"/>
      <c r="AI308" s="26"/>
      <c r="AJ308" s="26"/>
      <c r="AK308" s="26"/>
      <c r="AL308" s="26"/>
      <c r="AM308" s="26"/>
      <c r="AN308" s="26"/>
      <c r="AO308" s="26"/>
      <c r="AP308" s="26"/>
      <c r="AQ308" s="26"/>
      <c r="AR308" s="26"/>
    </row>
    <row r="309" spans="1:44" ht="15.75" x14ac:dyDescent="0.25">
      <c r="A309" s="30"/>
      <c r="B309" s="13" t="s">
        <v>583</v>
      </c>
      <c r="C309" s="14" t="s">
        <v>590</v>
      </c>
      <c r="D309" s="5" t="s">
        <v>591</v>
      </c>
      <c r="E309" s="6" t="s">
        <v>22</v>
      </c>
      <c r="F309" s="7" t="e">
        <f>G309+SUMIF('[1]mouvement etuyeuse'!B:B,"=Controleur de t°",'[1]mouvement etuyeuse'!G:G)</f>
        <v>#VALUE!</v>
      </c>
      <c r="G309" s="20">
        <v>0</v>
      </c>
      <c r="H309" s="6">
        <v>1</v>
      </c>
      <c r="I309" s="1" t="e">
        <f t="shared" si="20"/>
        <v>#VALUE!</v>
      </c>
      <c r="J309" s="11">
        <v>0</v>
      </c>
      <c r="K309" s="12" t="e">
        <f t="shared" si="21"/>
        <v>#VALUE!</v>
      </c>
      <c r="L309" s="30"/>
      <c r="M309" s="30"/>
      <c r="N309" s="30"/>
      <c r="O309" s="30"/>
      <c r="P309" s="30"/>
      <c r="Q309" s="30"/>
      <c r="R309" s="30"/>
      <c r="S309" s="30">
        <v>1</v>
      </c>
      <c r="T309" s="26"/>
      <c r="U309" s="26"/>
      <c r="V309" s="26"/>
      <c r="W309" s="26"/>
      <c r="X309" s="26"/>
      <c r="Y309" s="26"/>
      <c r="Z309" s="26"/>
      <c r="AA309" s="26"/>
      <c r="AB309" s="26"/>
      <c r="AC309" s="26"/>
      <c r="AD309" s="26"/>
      <c r="AE309" s="26"/>
      <c r="AF309" s="26"/>
      <c r="AG309" s="26"/>
      <c r="AH309" s="26"/>
      <c r="AI309" s="26"/>
      <c r="AJ309" s="26"/>
      <c r="AK309" s="26"/>
      <c r="AL309" s="26"/>
      <c r="AM309" s="26"/>
      <c r="AN309" s="26"/>
      <c r="AO309" s="26"/>
      <c r="AP309" s="26"/>
      <c r="AQ309" s="26"/>
      <c r="AR309" s="26"/>
    </row>
    <row r="310" spans="1:44" ht="15.75" x14ac:dyDescent="0.25">
      <c r="A310" s="30"/>
      <c r="B310" s="13" t="s">
        <v>583</v>
      </c>
      <c r="C310" s="14" t="s">
        <v>592</v>
      </c>
      <c r="D310" s="5" t="s">
        <v>593</v>
      </c>
      <c r="E310" s="6" t="s">
        <v>22</v>
      </c>
      <c r="F310" s="7" t="e">
        <f>G310+SUMIF('[1]mouvement etuyeuse'!B:B,"=DISTRI. ISV 55 SOS 00 ISO1",'[1]mouvement etuyeuse'!G:G)</f>
        <v>#VALUE!</v>
      </c>
      <c r="G310" s="20">
        <v>0</v>
      </c>
      <c r="H310" s="6">
        <v>1</v>
      </c>
      <c r="I310" s="1" t="e">
        <f t="shared" si="20"/>
        <v>#VALUE!</v>
      </c>
      <c r="J310" s="11">
        <v>0</v>
      </c>
      <c r="K310" s="12" t="e">
        <f t="shared" si="21"/>
        <v>#VALUE!</v>
      </c>
      <c r="L310" s="30"/>
      <c r="M310" s="30"/>
      <c r="N310" s="30"/>
      <c r="O310" s="30"/>
      <c r="P310" s="30"/>
      <c r="Q310" s="30"/>
      <c r="R310" s="30"/>
      <c r="S310" s="30">
        <v>1</v>
      </c>
      <c r="T310" s="26"/>
      <c r="U310" s="26"/>
      <c r="V310" s="26"/>
      <c r="W310" s="26"/>
      <c r="X310" s="26"/>
      <c r="Y310" s="26"/>
      <c r="Z310" s="26"/>
      <c r="AA310" s="26"/>
      <c r="AB310" s="26"/>
      <c r="AC310" s="26"/>
      <c r="AD310" s="26"/>
      <c r="AE310" s="26"/>
      <c r="AF310" s="26"/>
      <c r="AG310" s="26"/>
      <c r="AH310" s="26"/>
      <c r="AI310" s="26"/>
      <c r="AJ310" s="26"/>
      <c r="AK310" s="26"/>
      <c r="AL310" s="26"/>
      <c r="AM310" s="26"/>
      <c r="AN310" s="26"/>
      <c r="AO310" s="26"/>
      <c r="AP310" s="26"/>
      <c r="AQ310" s="26"/>
      <c r="AR310" s="26"/>
    </row>
    <row r="311" spans="1:44" ht="15.75" x14ac:dyDescent="0.25">
      <c r="A311" s="30"/>
      <c r="B311" s="13" t="s">
        <v>583</v>
      </c>
      <c r="C311" s="14" t="s">
        <v>594</v>
      </c>
      <c r="D311" s="5" t="s">
        <v>595</v>
      </c>
      <c r="E311" s="6" t="s">
        <v>39</v>
      </c>
      <c r="F311" s="7" t="e">
        <f>G311+SUMIF('[1]mouvement etuyeuse'!B:B,"=distrib 3:2 ",'[1]mouvement etuyeuse'!G:G)</f>
        <v>#VALUE!</v>
      </c>
      <c r="G311" s="20">
        <v>0</v>
      </c>
      <c r="H311" s="6">
        <v>2</v>
      </c>
      <c r="I311" s="1" t="e">
        <f t="shared" si="20"/>
        <v>#VALUE!</v>
      </c>
      <c r="J311" s="11">
        <v>60.75</v>
      </c>
      <c r="K311" s="12" t="e">
        <f t="shared" si="21"/>
        <v>#VALUE!</v>
      </c>
      <c r="L311" s="30"/>
      <c r="M311" s="30"/>
      <c r="N311" s="30"/>
      <c r="O311" s="30"/>
      <c r="P311" s="30"/>
      <c r="Q311" s="30"/>
      <c r="R311" s="30"/>
      <c r="S311" s="30">
        <v>0</v>
      </c>
      <c r="T311" s="26"/>
      <c r="U311" s="26"/>
      <c r="V311" s="26"/>
      <c r="W311" s="26"/>
      <c r="X311" s="26"/>
      <c r="Y311" s="26"/>
      <c r="Z311" s="26"/>
      <c r="AA311" s="26"/>
      <c r="AB311" s="26"/>
      <c r="AC311" s="26"/>
      <c r="AD311" s="26"/>
      <c r="AE311" s="26"/>
      <c r="AF311" s="26"/>
      <c r="AG311" s="26"/>
      <c r="AH311" s="26"/>
      <c r="AI311" s="26"/>
      <c r="AJ311" s="26"/>
      <c r="AK311" s="26"/>
      <c r="AL311" s="26"/>
      <c r="AM311" s="26"/>
      <c r="AN311" s="26"/>
      <c r="AO311" s="26"/>
      <c r="AP311" s="26"/>
      <c r="AQ311" s="26"/>
      <c r="AR311" s="26"/>
    </row>
    <row r="312" spans="1:44" ht="15.75" x14ac:dyDescent="0.25">
      <c r="A312" s="30"/>
      <c r="B312" s="13" t="s">
        <v>583</v>
      </c>
      <c r="C312" s="4" t="s">
        <v>596</v>
      </c>
      <c r="D312" s="5" t="s">
        <v>597</v>
      </c>
      <c r="E312" s="131" t="s">
        <v>22</v>
      </c>
      <c r="F312" s="7" t="e">
        <f>G312+SUMIF('[1]mouvement etuyeuse'!B:B,"=ELECTRODISTRIBUTEURS SERIE 70, 5/2 monostable 1/8gaz dn25",'[1]mouvement etuyeuse'!G:G)</f>
        <v>#VALUE!</v>
      </c>
      <c r="G312" s="20">
        <v>1</v>
      </c>
      <c r="H312" s="6">
        <v>2</v>
      </c>
      <c r="I312" s="1" t="e">
        <f t="shared" si="20"/>
        <v>#VALUE!</v>
      </c>
      <c r="J312" s="11">
        <v>73.56</v>
      </c>
      <c r="K312" s="12" t="e">
        <f t="shared" si="21"/>
        <v>#VALUE!</v>
      </c>
      <c r="L312" s="30"/>
      <c r="M312" s="30"/>
      <c r="N312" s="30"/>
      <c r="O312" s="30"/>
      <c r="P312" s="30"/>
      <c r="Q312" s="30"/>
      <c r="R312" s="30"/>
      <c r="S312" s="30">
        <v>0</v>
      </c>
      <c r="T312" s="26"/>
      <c r="U312" s="26"/>
      <c r="V312" s="26"/>
      <c r="W312" s="26"/>
      <c r="X312" s="26"/>
      <c r="Y312" s="26"/>
      <c r="Z312" s="26"/>
      <c r="AA312" s="26"/>
      <c r="AB312" s="26"/>
      <c r="AC312" s="26"/>
      <c r="AD312" s="26"/>
      <c r="AE312" s="26"/>
      <c r="AF312" s="26"/>
      <c r="AG312" s="26"/>
      <c r="AH312" s="26"/>
      <c r="AI312" s="26"/>
      <c r="AJ312" s="26"/>
      <c r="AK312" s="26"/>
      <c r="AL312" s="26"/>
      <c r="AM312" s="26"/>
      <c r="AN312" s="26"/>
      <c r="AO312" s="26"/>
      <c r="AP312" s="26"/>
      <c r="AQ312" s="26"/>
      <c r="AR312" s="26"/>
    </row>
    <row r="313" spans="1:44" ht="15.75" x14ac:dyDescent="0.25">
      <c r="A313" s="30"/>
      <c r="B313" s="13" t="s">
        <v>583</v>
      </c>
      <c r="C313" s="14" t="s">
        <v>598</v>
      </c>
      <c r="D313" s="5" t="s">
        <v>22</v>
      </c>
      <c r="E313" s="6" t="s">
        <v>22</v>
      </c>
      <c r="F313" s="7" t="e">
        <f>G313+SUMIF('[1]mouvement etuyeuse'!B:B,"=motoréducteur bande sortie étuyeuse",'[1]mouvement etuyeuse'!G:G)</f>
        <v>#VALUE!</v>
      </c>
      <c r="G313" s="20">
        <v>0</v>
      </c>
      <c r="H313" s="6">
        <v>1</v>
      </c>
      <c r="I313" s="1" t="e">
        <f t="shared" si="20"/>
        <v>#VALUE!</v>
      </c>
      <c r="J313" s="11">
        <v>0</v>
      </c>
      <c r="K313" s="12" t="e">
        <f t="shared" si="21"/>
        <v>#VALUE!</v>
      </c>
      <c r="L313" s="30"/>
      <c r="M313" s="30"/>
      <c r="N313" s="30"/>
      <c r="O313" s="30"/>
      <c r="P313" s="30"/>
      <c r="Q313" s="30"/>
      <c r="R313" s="30"/>
      <c r="S313" s="30">
        <v>0</v>
      </c>
      <c r="T313" s="26"/>
      <c r="U313" s="26"/>
      <c r="V313" s="26"/>
      <c r="W313" s="26"/>
      <c r="X313" s="26"/>
      <c r="Y313" s="26"/>
      <c r="Z313" s="26"/>
      <c r="AA313" s="26"/>
      <c r="AB313" s="26"/>
      <c r="AC313" s="26"/>
      <c r="AD313" s="26"/>
      <c r="AE313" s="26"/>
      <c r="AF313" s="26"/>
      <c r="AG313" s="26"/>
      <c r="AH313" s="26"/>
      <c r="AI313" s="26"/>
      <c r="AJ313" s="26"/>
      <c r="AK313" s="26"/>
      <c r="AL313" s="26"/>
      <c r="AM313" s="26"/>
      <c r="AN313" s="26"/>
      <c r="AO313" s="26"/>
      <c r="AP313" s="26"/>
      <c r="AQ313" s="26"/>
      <c r="AR313" s="26"/>
    </row>
    <row r="314" spans="1:44" ht="15.75" x14ac:dyDescent="0.25">
      <c r="A314" s="30"/>
      <c r="B314" s="13" t="s">
        <v>583</v>
      </c>
      <c r="C314" s="14" t="s">
        <v>599</v>
      </c>
      <c r="D314" s="5" t="s">
        <v>600</v>
      </c>
      <c r="E314" s="6" t="s">
        <v>22</v>
      </c>
      <c r="F314" s="7" t="e">
        <f>G314+SUMIF('[1]mouvement etuyeuse'!B:B,"=pompe à vide pneumatique",'[1]mouvement etuyeuse'!G:G)</f>
        <v>#VALUE!</v>
      </c>
      <c r="G314" s="20">
        <v>0</v>
      </c>
      <c r="H314" s="6">
        <v>1</v>
      </c>
      <c r="I314" s="1" t="e">
        <f t="shared" si="20"/>
        <v>#VALUE!</v>
      </c>
      <c r="J314" s="11">
        <v>0</v>
      </c>
      <c r="K314" s="12" t="e">
        <f t="shared" si="21"/>
        <v>#VALUE!</v>
      </c>
      <c r="L314" s="30"/>
      <c r="M314" s="30"/>
      <c r="N314" s="30"/>
      <c r="O314" s="30"/>
      <c r="P314" s="30"/>
      <c r="Q314" s="30"/>
      <c r="R314" s="30"/>
      <c r="S314" s="30">
        <v>1</v>
      </c>
      <c r="T314" s="26"/>
      <c r="U314" s="26"/>
      <c r="V314" s="26"/>
      <c r="W314" s="26"/>
      <c r="X314" s="26"/>
      <c r="Y314" s="26"/>
      <c r="Z314" s="26"/>
      <c r="AA314" s="26"/>
      <c r="AB314" s="26"/>
      <c r="AC314" s="26"/>
      <c r="AD314" s="26"/>
      <c r="AE314" s="26"/>
      <c r="AF314" s="26"/>
      <c r="AG314" s="26"/>
      <c r="AH314" s="26"/>
      <c r="AI314" s="26"/>
      <c r="AJ314" s="26"/>
      <c r="AK314" s="26"/>
      <c r="AL314" s="26"/>
      <c r="AM314" s="26"/>
      <c r="AN314" s="26"/>
      <c r="AO314" s="26"/>
      <c r="AP314" s="26"/>
      <c r="AQ314" s="26"/>
      <c r="AR314" s="26"/>
    </row>
    <row r="315" spans="1:44" ht="15.75" x14ac:dyDescent="0.25">
      <c r="A315" s="30"/>
      <c r="B315" s="13" t="s">
        <v>583</v>
      </c>
      <c r="C315" s="14" t="s">
        <v>601</v>
      </c>
      <c r="D315" s="5" t="s">
        <v>602</v>
      </c>
      <c r="E315" s="6" t="s">
        <v>22</v>
      </c>
      <c r="F315" s="7" t="e">
        <f>G315+SUMIF('[1]mouvement etuyeuse'!B:B,"=Generateur de vide  SMC",'[1]mouvement etuyeuse'!G:G)</f>
        <v>#VALUE!</v>
      </c>
      <c r="G315" s="20">
        <v>0</v>
      </c>
      <c r="H315" s="6">
        <v>0</v>
      </c>
      <c r="I315" s="1" t="e">
        <f t="shared" si="20"/>
        <v>#VALUE!</v>
      </c>
      <c r="J315" s="11">
        <v>40</v>
      </c>
      <c r="K315" s="12" t="e">
        <f t="shared" si="21"/>
        <v>#VALUE!</v>
      </c>
      <c r="L315" s="30"/>
      <c r="M315" s="30"/>
      <c r="N315" s="30"/>
      <c r="O315" s="30"/>
      <c r="P315" s="30"/>
      <c r="Q315" s="30"/>
      <c r="R315" s="30"/>
      <c r="S315" s="30">
        <v>0</v>
      </c>
      <c r="T315" s="26"/>
      <c r="U315" s="26"/>
      <c r="V315" s="26"/>
      <c r="W315" s="26"/>
      <c r="X315" s="26"/>
      <c r="Y315" s="26"/>
      <c r="Z315" s="26"/>
      <c r="AA315" s="26"/>
      <c r="AB315" s="26"/>
      <c r="AC315" s="26"/>
      <c r="AD315" s="26"/>
      <c r="AE315" s="26"/>
      <c r="AF315" s="26"/>
      <c r="AG315" s="26"/>
      <c r="AH315" s="26"/>
      <c r="AI315" s="26"/>
      <c r="AJ315" s="26"/>
      <c r="AK315" s="26"/>
      <c r="AL315" s="26"/>
      <c r="AM315" s="26"/>
      <c r="AN315" s="26"/>
      <c r="AO315" s="26"/>
      <c r="AP315" s="26"/>
      <c r="AQ315" s="26"/>
      <c r="AR315" s="26"/>
    </row>
    <row r="316" spans="1:44" ht="15.75" x14ac:dyDescent="0.25">
      <c r="A316" s="30"/>
      <c r="B316" s="13" t="s">
        <v>583</v>
      </c>
      <c r="C316" s="14" t="s">
        <v>603</v>
      </c>
      <c r="D316" s="5">
        <v>215986</v>
      </c>
      <c r="E316" s="6" t="s">
        <v>22</v>
      </c>
      <c r="F316" s="7" t="e">
        <f>G316+SUMIF('[1]mouvement etuyeuse'!B:B,"=ressort 53 mm",'[1]mouvement etuyeuse'!G:G)</f>
        <v>#VALUE!</v>
      </c>
      <c r="G316" s="20">
        <v>0</v>
      </c>
      <c r="H316" s="6">
        <v>4</v>
      </c>
      <c r="I316" s="1" t="e">
        <f t="shared" si="20"/>
        <v>#VALUE!</v>
      </c>
      <c r="J316" s="11">
        <v>0</v>
      </c>
      <c r="K316" s="12" t="e">
        <f t="shared" si="21"/>
        <v>#VALUE!</v>
      </c>
      <c r="L316" s="30"/>
      <c r="M316" s="30"/>
      <c r="N316" s="30"/>
      <c r="O316" s="30"/>
      <c r="P316" s="30"/>
      <c r="Q316" s="30"/>
      <c r="R316" s="30"/>
      <c r="S316" s="30">
        <v>1</v>
      </c>
      <c r="T316" s="26"/>
      <c r="U316" s="26"/>
      <c r="V316" s="26"/>
      <c r="W316" s="26"/>
      <c r="X316" s="26"/>
      <c r="Y316" s="26"/>
      <c r="Z316" s="26"/>
      <c r="AA316" s="26"/>
      <c r="AB316" s="26"/>
      <c r="AC316" s="26"/>
      <c r="AD316" s="26"/>
      <c r="AE316" s="26"/>
      <c r="AF316" s="26"/>
      <c r="AG316" s="26"/>
      <c r="AH316" s="26"/>
      <c r="AI316" s="26"/>
      <c r="AJ316" s="26"/>
      <c r="AK316" s="26"/>
      <c r="AL316" s="26"/>
      <c r="AM316" s="26"/>
      <c r="AN316" s="26"/>
      <c r="AO316" s="26"/>
      <c r="AP316" s="26"/>
      <c r="AQ316" s="26"/>
      <c r="AR316" s="26"/>
    </row>
    <row r="317" spans="1:44" ht="15.75" x14ac:dyDescent="0.25">
      <c r="A317" s="30"/>
      <c r="B317" s="13" t="s">
        <v>583</v>
      </c>
      <c r="C317" s="14" t="s">
        <v>604</v>
      </c>
      <c r="D317" s="5" t="s">
        <v>605</v>
      </c>
      <c r="E317" s="6" t="s">
        <v>22</v>
      </c>
      <c r="F317" s="7" t="e">
        <f>G317+SUMIF('[1]mouvement etuyeuse'!B:B,"=sonde temp. Bac a colle",'[1]mouvement etuyeuse'!G:G)</f>
        <v>#VALUE!</v>
      </c>
      <c r="G317" s="20">
        <v>4</v>
      </c>
      <c r="H317" s="6">
        <v>1</v>
      </c>
      <c r="I317" s="1" t="e">
        <f t="shared" si="20"/>
        <v>#VALUE!</v>
      </c>
      <c r="J317" s="11">
        <v>0</v>
      </c>
      <c r="K317" s="12" t="e">
        <f t="shared" si="21"/>
        <v>#VALUE!</v>
      </c>
      <c r="L317" s="30"/>
      <c r="M317" s="30"/>
      <c r="N317" s="30"/>
      <c r="O317" s="30"/>
      <c r="P317" s="30"/>
      <c r="Q317" s="30"/>
      <c r="R317" s="30"/>
      <c r="S317" s="30">
        <v>0</v>
      </c>
      <c r="T317" s="26"/>
      <c r="U317" s="26"/>
      <c r="V317" s="26"/>
      <c r="W317" s="26"/>
      <c r="X317" s="26"/>
      <c r="Y317" s="26"/>
      <c r="Z317" s="26"/>
      <c r="AA317" s="26"/>
      <c r="AB317" s="26"/>
      <c r="AC317" s="26"/>
      <c r="AD317" s="26"/>
      <c r="AE317" s="26"/>
      <c r="AF317" s="26"/>
      <c r="AG317" s="26"/>
      <c r="AH317" s="26"/>
      <c r="AI317" s="26"/>
      <c r="AJ317" s="26"/>
      <c r="AK317" s="26"/>
      <c r="AL317" s="26"/>
      <c r="AM317" s="26"/>
      <c r="AN317" s="26"/>
      <c r="AO317" s="26"/>
      <c r="AP317" s="26"/>
      <c r="AQ317" s="26"/>
      <c r="AR317" s="26"/>
    </row>
    <row r="318" spans="1:44" ht="15.75" x14ac:dyDescent="0.25">
      <c r="A318" s="30"/>
      <c r="B318" s="13" t="s">
        <v>583</v>
      </c>
      <c r="C318" s="132" t="s">
        <v>606</v>
      </c>
      <c r="D318" s="6" t="s">
        <v>607</v>
      </c>
      <c r="E318" s="6" t="s">
        <v>22</v>
      </c>
      <c r="F318" s="7" t="e">
        <f>G318+SUMIF('[1]mouvement etuyeuse'!B:B,"=vérin double effet rabateur du haut",'[1]mouvement etuyeuse'!G:G)</f>
        <v>#VALUE!</v>
      </c>
      <c r="G318" s="20">
        <v>1</v>
      </c>
      <c r="H318" s="6">
        <v>0</v>
      </c>
      <c r="I318" s="1" t="e">
        <f t="shared" si="20"/>
        <v>#VALUE!</v>
      </c>
      <c r="J318" s="11">
        <v>66.72</v>
      </c>
      <c r="K318" s="12" t="e">
        <f t="shared" si="21"/>
        <v>#VALUE!</v>
      </c>
      <c r="L318" s="30"/>
      <c r="M318" s="30"/>
      <c r="N318" s="30"/>
      <c r="O318" s="30"/>
      <c r="P318" s="30"/>
      <c r="Q318" s="30"/>
      <c r="R318" s="30"/>
      <c r="S318" s="30">
        <v>1</v>
      </c>
      <c r="T318" s="26"/>
      <c r="U318" s="26"/>
      <c r="V318" s="26"/>
      <c r="W318" s="26"/>
      <c r="X318" s="26"/>
      <c r="Y318" s="26"/>
      <c r="Z318" s="26"/>
      <c r="AA318" s="26"/>
      <c r="AB318" s="26"/>
      <c r="AC318" s="26"/>
      <c r="AD318" s="26"/>
      <c r="AE318" s="26"/>
      <c r="AF318" s="26"/>
      <c r="AG318" s="26"/>
      <c r="AH318" s="26"/>
      <c r="AI318" s="26"/>
      <c r="AJ318" s="26"/>
      <c r="AK318" s="26"/>
      <c r="AL318" s="26"/>
      <c r="AM318" s="26"/>
      <c r="AN318" s="26"/>
      <c r="AO318" s="26"/>
      <c r="AP318" s="26"/>
      <c r="AQ318" s="26"/>
      <c r="AR318" s="26"/>
    </row>
    <row r="319" spans="1:44" ht="15.75" x14ac:dyDescent="0.25">
      <c r="A319" s="30"/>
      <c r="B319" s="13" t="s">
        <v>583</v>
      </c>
      <c r="C319" s="14" t="s">
        <v>608</v>
      </c>
      <c r="D319" s="6" t="s">
        <v>609</v>
      </c>
      <c r="E319" s="6" t="s">
        <v>22</v>
      </c>
      <c r="F319" s="7" t="e">
        <f>G319+SUMIF('[1]mouvement etuyeuse'!B:B,"=verrin double effet Festo (encolleurs)",'[1]mouvement etuyeuse'!G:G)</f>
        <v>#VALUE!</v>
      </c>
      <c r="G319" s="20">
        <v>2</v>
      </c>
      <c r="H319" s="6">
        <v>1</v>
      </c>
      <c r="I319" s="1" t="e">
        <f t="shared" si="20"/>
        <v>#VALUE!</v>
      </c>
      <c r="J319" s="11">
        <v>72.97</v>
      </c>
      <c r="K319" s="12" t="e">
        <f t="shared" si="21"/>
        <v>#VALUE!</v>
      </c>
      <c r="L319" s="30"/>
      <c r="M319" s="30"/>
      <c r="N319" s="30"/>
      <c r="O319" s="30"/>
      <c r="P319" s="30"/>
      <c r="Q319" s="30"/>
      <c r="R319" s="30"/>
      <c r="S319" s="30">
        <v>1</v>
      </c>
      <c r="T319" s="26"/>
      <c r="U319" s="26"/>
      <c r="V319" s="26"/>
      <c r="W319" s="26"/>
      <c r="X319" s="26"/>
      <c r="Y319" s="26"/>
      <c r="Z319" s="26"/>
      <c r="AA319" s="26"/>
      <c r="AB319" s="26"/>
      <c r="AC319" s="26"/>
      <c r="AD319" s="26"/>
      <c r="AE319" s="26"/>
      <c r="AF319" s="26"/>
      <c r="AG319" s="26"/>
      <c r="AH319" s="26"/>
      <c r="AI319" s="26"/>
      <c r="AJ319" s="26"/>
      <c r="AK319" s="26"/>
      <c r="AL319" s="26"/>
      <c r="AM319" s="26"/>
      <c r="AN319" s="26"/>
      <c r="AO319" s="26"/>
      <c r="AP319" s="26"/>
      <c r="AQ319" s="26"/>
      <c r="AR319" s="26"/>
    </row>
    <row r="320" spans="1:44" ht="15.75" x14ac:dyDescent="0.25">
      <c r="A320" s="30"/>
      <c r="B320" s="13" t="s">
        <v>583</v>
      </c>
      <c r="C320" s="14" t="s">
        <v>610</v>
      </c>
      <c r="D320" s="6" t="s">
        <v>611</v>
      </c>
      <c r="E320" s="6" t="s">
        <v>22</v>
      </c>
      <c r="F320" s="7" t="e">
        <f>G320+SUMIF('[1]mouvement etuyeuse'!B:B,"=ventouse = PR25CN-08-B6",'[1]mouvement etuyeuse'!G:G)</f>
        <v>#VALUE!</v>
      </c>
      <c r="G320" s="20">
        <v>2</v>
      </c>
      <c r="H320" s="6">
        <v>1</v>
      </c>
      <c r="I320" s="1" t="e">
        <f t="shared" si="20"/>
        <v>#VALUE!</v>
      </c>
      <c r="J320" s="11">
        <v>23.03</v>
      </c>
      <c r="K320" s="12" t="e">
        <f t="shared" si="21"/>
        <v>#VALUE!</v>
      </c>
      <c r="L320" s="30"/>
      <c r="M320" s="30"/>
      <c r="N320" s="30"/>
      <c r="O320" s="30"/>
      <c r="P320" s="30"/>
      <c r="Q320" s="30"/>
      <c r="R320" s="30"/>
      <c r="S320" s="30">
        <v>1</v>
      </c>
      <c r="T320" s="26"/>
      <c r="U320" s="26"/>
      <c r="V320" s="26"/>
      <c r="W320" s="26"/>
      <c r="X320" s="26"/>
      <c r="Y320" s="26"/>
      <c r="Z320" s="26"/>
      <c r="AA320" s="26"/>
      <c r="AB320" s="26"/>
      <c r="AC320" s="26"/>
      <c r="AD320" s="26"/>
      <c r="AE320" s="26"/>
      <c r="AF320" s="26"/>
      <c r="AG320" s="26"/>
      <c r="AH320" s="26"/>
      <c r="AI320" s="26"/>
      <c r="AJ320" s="26"/>
      <c r="AK320" s="26"/>
      <c r="AL320" s="26"/>
      <c r="AM320" s="26"/>
      <c r="AN320" s="26"/>
      <c r="AO320" s="26"/>
      <c r="AP320" s="26"/>
      <c r="AQ320" s="26"/>
      <c r="AR320" s="26"/>
    </row>
    <row r="321" spans="1:44" ht="15.75" x14ac:dyDescent="0.25">
      <c r="A321" s="30"/>
      <c r="B321" s="13" t="s">
        <v>583</v>
      </c>
      <c r="C321" s="14" t="s">
        <v>612</v>
      </c>
      <c r="D321" s="6" t="s">
        <v>613</v>
      </c>
      <c r="E321" s="6" t="s">
        <v>22</v>
      </c>
      <c r="F321" s="7" t="e">
        <f>G321+SUMIF('[1]mouvement etuyeuse'!B:B,"=ventouse = PR50CN-08-B8",'[1]mouvement etuyeuse'!G:G)</f>
        <v>#VALUE!</v>
      </c>
      <c r="G321" s="20">
        <v>2</v>
      </c>
      <c r="H321" s="6">
        <v>1</v>
      </c>
      <c r="I321" s="1" t="e">
        <f t="shared" si="20"/>
        <v>#VALUE!</v>
      </c>
      <c r="J321" s="11">
        <v>24.74</v>
      </c>
      <c r="K321" s="12" t="e">
        <f t="shared" si="21"/>
        <v>#VALUE!</v>
      </c>
      <c r="L321" s="30"/>
      <c r="M321" s="13" t="s">
        <v>583</v>
      </c>
      <c r="N321" s="30"/>
      <c r="O321" s="30"/>
      <c r="P321" s="30"/>
      <c r="Q321" s="30"/>
      <c r="R321" s="30"/>
      <c r="S321" s="30">
        <v>1</v>
      </c>
      <c r="T321" s="26"/>
      <c r="U321" s="26"/>
      <c r="V321" s="26"/>
      <c r="W321" s="26"/>
      <c r="X321" s="26"/>
      <c r="Y321" s="26"/>
      <c r="Z321" s="26"/>
      <c r="AA321" s="26"/>
      <c r="AB321" s="26"/>
      <c r="AC321" s="26"/>
      <c r="AD321" s="26"/>
      <c r="AE321" s="26"/>
      <c r="AF321" s="26"/>
      <c r="AG321" s="26"/>
      <c r="AH321" s="26"/>
      <c r="AI321" s="26"/>
      <c r="AJ321" s="26"/>
      <c r="AK321" s="26"/>
      <c r="AL321" s="26"/>
      <c r="AM321" s="26"/>
      <c r="AN321" s="26"/>
      <c r="AO321" s="26"/>
      <c r="AP321" s="26"/>
      <c r="AQ321" s="26"/>
      <c r="AR321" s="26"/>
    </row>
    <row r="322" spans="1:44" ht="15.75" x14ac:dyDescent="0.25">
      <c r="A322" s="30"/>
      <c r="B322" s="13" t="s">
        <v>583</v>
      </c>
      <c r="C322" s="14" t="s">
        <v>614</v>
      </c>
      <c r="D322" s="6" t="s">
        <v>615</v>
      </c>
      <c r="E322" s="6" t="s">
        <v>22</v>
      </c>
      <c r="F322" s="7" t="e">
        <f>G322+SUMIF('[1]mouvement etuyeuse'!B:B,"=ventouse = PR32BS",'[1]mouvement etuyeuse'!G:G)</f>
        <v>#VALUE!</v>
      </c>
      <c r="G322" s="6">
        <v>2</v>
      </c>
      <c r="H322" s="6">
        <v>1</v>
      </c>
      <c r="I322" s="1" t="e">
        <f t="shared" si="20"/>
        <v>#VALUE!</v>
      </c>
      <c r="J322" s="11">
        <v>11.01</v>
      </c>
      <c r="K322" s="12" t="e">
        <f t="shared" si="21"/>
        <v>#VALUE!</v>
      </c>
      <c r="L322" s="30"/>
      <c r="M322" s="35" t="e">
        <f>SUM(K306:K322)</f>
        <v>#VALUE!</v>
      </c>
      <c r="N322" s="30"/>
      <c r="O322" s="30"/>
      <c r="P322" s="30"/>
      <c r="Q322" s="30"/>
      <c r="R322" s="30"/>
      <c r="S322" s="30">
        <v>1</v>
      </c>
      <c r="T322" s="26"/>
      <c r="U322" s="26"/>
      <c r="V322" s="26"/>
      <c r="W322" s="26"/>
      <c r="X322" s="26"/>
      <c r="Y322" s="26"/>
      <c r="Z322" s="26"/>
      <c r="AA322" s="26"/>
      <c r="AB322" s="26"/>
      <c r="AC322" s="26"/>
      <c r="AD322" s="26"/>
      <c r="AE322" s="26"/>
      <c r="AF322" s="26"/>
      <c r="AG322" s="26"/>
      <c r="AH322" s="26"/>
      <c r="AI322" s="26"/>
      <c r="AJ322" s="26"/>
      <c r="AK322" s="26"/>
      <c r="AL322" s="26"/>
      <c r="AM322" s="26"/>
      <c r="AN322" s="26"/>
      <c r="AO322" s="26"/>
      <c r="AP322" s="26"/>
      <c r="AQ322" s="26"/>
      <c r="AR322" s="26"/>
    </row>
    <row r="323" spans="1:44" ht="15.75" x14ac:dyDescent="0.25">
      <c r="A323" s="30"/>
      <c r="B323" s="39" t="s">
        <v>616</v>
      </c>
      <c r="C323" s="40" t="s">
        <v>617</v>
      </c>
      <c r="D323" s="133" t="s">
        <v>618</v>
      </c>
      <c r="E323" s="44" t="s">
        <v>22</v>
      </c>
      <c r="F323" s="43" t="e">
        <f>G323+SUMIF('[1]mouvement fours'!B:B,"=CABLE TRESSE ht",'[1]mouvement fours'!G:G)</f>
        <v>#VALUE!</v>
      </c>
      <c r="G323" s="134">
        <v>6</v>
      </c>
      <c r="H323" s="44">
        <v>1</v>
      </c>
      <c r="I323" s="1" t="e">
        <f>IF(F323&lt;H323,"/!\","-")</f>
        <v>#VALUE!</v>
      </c>
      <c r="J323" s="11">
        <v>44.82</v>
      </c>
      <c r="K323" s="12" t="e">
        <f>F323*J323</f>
        <v>#VALUE!</v>
      </c>
      <c r="L323" s="30"/>
      <c r="M323" s="30"/>
      <c r="N323" s="30"/>
      <c r="O323" s="30"/>
      <c r="P323" s="30"/>
      <c r="Q323" s="30"/>
      <c r="R323" s="30"/>
      <c r="S323" s="30">
        <v>0</v>
      </c>
      <c r="T323" s="26"/>
      <c r="U323" s="26"/>
      <c r="V323" s="26"/>
      <c r="W323" s="26"/>
      <c r="X323" s="26"/>
      <c r="Y323" s="26"/>
      <c r="Z323" s="26"/>
      <c r="AA323" s="26"/>
      <c r="AB323" s="26"/>
      <c r="AC323" s="26"/>
      <c r="AD323" s="26"/>
      <c r="AE323" s="26"/>
      <c r="AF323" s="26"/>
      <c r="AG323" s="26"/>
      <c r="AH323" s="26"/>
      <c r="AI323" s="26"/>
      <c r="AJ323" s="26"/>
      <c r="AK323" s="26"/>
      <c r="AL323" s="26"/>
      <c r="AM323" s="26"/>
      <c r="AN323" s="26"/>
      <c r="AO323" s="26"/>
      <c r="AP323" s="26"/>
      <c r="AQ323" s="26"/>
      <c r="AR323" s="26"/>
    </row>
    <row r="324" spans="1:44" ht="15.75" x14ac:dyDescent="0.25">
      <c r="A324" s="30"/>
      <c r="B324" s="39" t="s">
        <v>616</v>
      </c>
      <c r="C324" s="40" t="s">
        <v>619</v>
      </c>
      <c r="D324" s="41" t="s">
        <v>620</v>
      </c>
      <c r="E324" s="44" t="s">
        <v>22</v>
      </c>
      <c r="F324" s="43" t="e">
        <f>G324+SUMIF('[1]mouvement fours'!B:B,"=buzzer 220 V AC/DC",'[1]mouvement fours'!G:G)</f>
        <v>#VALUE!</v>
      </c>
      <c r="G324" s="134">
        <v>8</v>
      </c>
      <c r="H324" s="44">
        <v>1</v>
      </c>
      <c r="I324" s="1" t="e">
        <f t="shared" ref="I324:I360" si="22">IF(F324&lt;H324,"/!\","-")</f>
        <v>#VALUE!</v>
      </c>
      <c r="J324" s="11">
        <v>7.92</v>
      </c>
      <c r="K324" s="12" t="e">
        <f t="shared" ref="K324:K359" si="23">F324*J324</f>
        <v>#VALUE!</v>
      </c>
      <c r="L324" s="30"/>
      <c r="M324" s="30"/>
      <c r="N324" s="30"/>
      <c r="O324" s="30"/>
      <c r="P324" s="30"/>
      <c r="Q324" s="30"/>
      <c r="R324" s="30"/>
      <c r="S324" s="30">
        <v>0</v>
      </c>
      <c r="T324" s="26"/>
      <c r="U324" s="26"/>
      <c r="V324" s="26"/>
      <c r="W324" s="26"/>
      <c r="X324" s="26"/>
      <c r="Y324" s="26"/>
      <c r="Z324" s="26"/>
      <c r="AA324" s="26"/>
      <c r="AB324" s="26"/>
      <c r="AC324" s="26"/>
      <c r="AD324" s="26"/>
      <c r="AE324" s="26"/>
      <c r="AF324" s="26"/>
      <c r="AG324" s="26"/>
      <c r="AH324" s="26"/>
      <c r="AI324" s="26"/>
      <c r="AJ324" s="26"/>
      <c r="AK324" s="26"/>
      <c r="AL324" s="26"/>
      <c r="AM324" s="26"/>
      <c r="AN324" s="26"/>
      <c r="AO324" s="26"/>
      <c r="AP324" s="26"/>
      <c r="AQ324" s="26"/>
      <c r="AR324" s="26"/>
    </row>
    <row r="325" spans="1:44" ht="15.75" x14ac:dyDescent="0.25">
      <c r="A325" s="30"/>
      <c r="B325" s="39" t="s">
        <v>616</v>
      </c>
      <c r="C325" s="40" t="s">
        <v>621</v>
      </c>
      <c r="D325" s="41" t="s">
        <v>622</v>
      </c>
      <c r="E325" s="44" t="s">
        <v>22</v>
      </c>
      <c r="F325" s="43" t="e">
        <f>G325+SUMIF('[1]mouvement fours'!B:B,"=DETECTEUR A GALET porte four 8.62",'[1]mouvement fours'!G:G)</f>
        <v>#VALUE!</v>
      </c>
      <c r="G325" s="134">
        <v>1</v>
      </c>
      <c r="H325" s="44">
        <v>1</v>
      </c>
      <c r="I325" s="1" t="e">
        <f t="shared" si="22"/>
        <v>#VALUE!</v>
      </c>
      <c r="J325" s="11">
        <v>73.13</v>
      </c>
      <c r="K325" s="12" t="e">
        <f t="shared" si="23"/>
        <v>#VALUE!</v>
      </c>
      <c r="L325" s="30"/>
      <c r="M325" s="30"/>
      <c r="N325" s="30"/>
      <c r="O325" s="30"/>
      <c r="P325" s="30"/>
      <c r="Q325" s="30"/>
      <c r="R325" s="30"/>
      <c r="S325" s="30">
        <v>0</v>
      </c>
      <c r="T325" s="26"/>
      <c r="U325" s="26"/>
      <c r="V325" s="26"/>
      <c r="W325" s="26"/>
      <c r="X325" s="26"/>
      <c r="Y325" s="26"/>
      <c r="Z325" s="26"/>
      <c r="AA325" s="26"/>
      <c r="AB325" s="26"/>
      <c r="AC325" s="26"/>
      <c r="AD325" s="26"/>
      <c r="AE325" s="26"/>
      <c r="AF325" s="26"/>
      <c r="AG325" s="26"/>
      <c r="AH325" s="26"/>
      <c r="AI325" s="26"/>
      <c r="AJ325" s="26"/>
      <c r="AK325" s="26"/>
      <c r="AL325" s="26"/>
      <c r="AM325" s="26"/>
      <c r="AN325" s="26"/>
      <c r="AO325" s="26"/>
      <c r="AP325" s="26"/>
      <c r="AQ325" s="26"/>
      <c r="AR325" s="26"/>
    </row>
    <row r="326" spans="1:44" ht="15.75" x14ac:dyDescent="0.25">
      <c r="A326" s="30"/>
      <c r="B326" s="39" t="s">
        <v>616</v>
      </c>
      <c r="C326" s="135" t="s">
        <v>623</v>
      </c>
      <c r="D326" s="136" t="s">
        <v>22</v>
      </c>
      <c r="E326" s="137" t="s">
        <v>22</v>
      </c>
      <c r="F326" s="43" t="e">
        <f>G326+SUMIF('[1]mouvement fours'!B:B,"=sillicon HT°",'[1]mouvement fours'!G:G)</f>
        <v>#VALUE!</v>
      </c>
      <c r="G326" s="137">
        <v>2</v>
      </c>
      <c r="H326" s="137">
        <v>2</v>
      </c>
      <c r="I326" s="1" t="e">
        <f>IF(F326&lt;H326,"/!\","-")</f>
        <v>#VALUE!</v>
      </c>
      <c r="J326" s="138"/>
      <c r="K326" s="139" t="e">
        <f>F326*J326</f>
        <v>#VALUE!</v>
      </c>
      <c r="L326" s="30"/>
      <c r="M326" s="30"/>
      <c r="N326" s="30"/>
      <c r="O326" s="30"/>
      <c r="P326" s="30"/>
      <c r="Q326" s="30"/>
      <c r="R326" s="30"/>
      <c r="S326" s="30">
        <v>1</v>
      </c>
      <c r="T326" s="26"/>
      <c r="U326" s="26"/>
      <c r="V326" s="26"/>
      <c r="W326" s="26"/>
      <c r="X326" s="26"/>
      <c r="Y326" s="26"/>
      <c r="Z326" s="26"/>
      <c r="AA326" s="26"/>
      <c r="AB326" s="26"/>
      <c r="AC326" s="26"/>
      <c r="AD326" s="26"/>
      <c r="AE326" s="26"/>
      <c r="AF326" s="26"/>
      <c r="AG326" s="26"/>
      <c r="AH326" s="26"/>
      <c r="AI326" s="26"/>
      <c r="AJ326" s="26"/>
      <c r="AK326" s="26"/>
      <c r="AL326" s="26"/>
      <c r="AM326" s="26"/>
      <c r="AN326" s="26"/>
      <c r="AO326" s="26"/>
      <c r="AP326" s="26"/>
      <c r="AQ326" s="26"/>
      <c r="AR326" s="26"/>
    </row>
    <row r="327" spans="1:44" ht="15.75" x14ac:dyDescent="0.25">
      <c r="A327" s="30"/>
      <c r="B327" s="140" t="s">
        <v>616</v>
      </c>
      <c r="C327" s="141" t="s">
        <v>624</v>
      </c>
      <c r="D327" s="142">
        <v>2296</v>
      </c>
      <c r="E327" s="143" t="s">
        <v>22</v>
      </c>
      <c r="F327" s="144" t="e">
        <f>G327+SUMIF('[1]mouvement fours'!B:B,"=join de porte 800x1815",'[1]mouvement fours'!G:G)</f>
        <v>#VALUE!</v>
      </c>
      <c r="G327" s="145">
        <v>4</v>
      </c>
      <c r="H327" s="143">
        <v>3</v>
      </c>
      <c r="I327" s="1" t="e">
        <f t="shared" si="22"/>
        <v>#VALUE!</v>
      </c>
      <c r="J327" s="11">
        <v>186.5</v>
      </c>
      <c r="K327" s="12" t="e">
        <f t="shared" si="23"/>
        <v>#VALUE!</v>
      </c>
      <c r="L327" s="30"/>
      <c r="M327" s="30"/>
      <c r="N327" s="30"/>
      <c r="O327" s="30"/>
      <c r="P327" s="30"/>
      <c r="Q327" s="30"/>
      <c r="R327" s="30"/>
      <c r="S327" s="30">
        <v>0</v>
      </c>
      <c r="T327" s="26"/>
      <c r="U327" s="26"/>
      <c r="V327" s="26"/>
      <c r="W327" s="26"/>
      <c r="X327" s="26"/>
      <c r="Y327" s="26"/>
      <c r="Z327" s="26"/>
      <c r="AA327" s="26"/>
      <c r="AB327" s="26"/>
      <c r="AC327" s="26"/>
      <c r="AD327" s="26"/>
      <c r="AE327" s="26"/>
      <c r="AF327" s="26"/>
      <c r="AG327" s="26"/>
      <c r="AH327" s="26"/>
      <c r="AI327" s="26"/>
      <c r="AJ327" s="26"/>
      <c r="AK327" s="26"/>
      <c r="AL327" s="26"/>
      <c r="AM327" s="26"/>
      <c r="AN327" s="26"/>
      <c r="AO327" s="26"/>
      <c r="AP327" s="26"/>
      <c r="AQ327" s="26"/>
      <c r="AR327" s="26"/>
    </row>
    <row r="328" spans="1:44" ht="15.75" x14ac:dyDescent="0.25">
      <c r="A328" s="30"/>
      <c r="B328" s="39" t="s">
        <v>616</v>
      </c>
      <c r="C328" s="40" t="s">
        <v>625</v>
      </c>
      <c r="D328" s="41" t="s">
        <v>626</v>
      </c>
      <c r="E328" s="44" t="s">
        <v>627</v>
      </c>
      <c r="F328" s="43" t="e">
        <f>G328+SUMIF('[1]mouvement fours'!B:B,"= Système de levage P/D inox",'[1]mouvement fours'!G:G)</f>
        <v>#VALUE!</v>
      </c>
      <c r="G328" s="134">
        <v>1</v>
      </c>
      <c r="H328" s="44">
        <v>1</v>
      </c>
      <c r="I328" s="1" t="e">
        <f t="shared" si="22"/>
        <v>#VALUE!</v>
      </c>
      <c r="J328" s="11">
        <v>167.8</v>
      </c>
      <c r="K328" s="12" t="e">
        <f t="shared" si="23"/>
        <v>#VALUE!</v>
      </c>
      <c r="L328" s="30"/>
      <c r="M328" s="30"/>
      <c r="N328" s="30"/>
      <c r="O328" s="30"/>
      <c r="P328" s="30"/>
      <c r="Q328" s="30"/>
      <c r="R328" s="30"/>
      <c r="S328" s="30">
        <v>1</v>
      </c>
      <c r="T328" s="26"/>
      <c r="U328" s="26"/>
      <c r="V328" s="26"/>
      <c r="W328" s="26"/>
      <c r="X328" s="26"/>
      <c r="Y328" s="26"/>
      <c r="Z328" s="26"/>
      <c r="AA328" s="26"/>
      <c r="AB328" s="26"/>
      <c r="AC328" s="26"/>
      <c r="AD328" s="26"/>
      <c r="AE328" s="26"/>
      <c r="AF328" s="26"/>
      <c r="AG328" s="26"/>
      <c r="AH328" s="26"/>
      <c r="AI328" s="26"/>
      <c r="AJ328" s="26"/>
      <c r="AK328" s="26"/>
      <c r="AL328" s="26"/>
      <c r="AM328" s="26"/>
      <c r="AN328" s="26"/>
      <c r="AO328" s="26"/>
      <c r="AP328" s="26"/>
      <c r="AQ328" s="26"/>
      <c r="AR328" s="26"/>
    </row>
    <row r="329" spans="1:44" ht="15.75" x14ac:dyDescent="0.25">
      <c r="A329" s="30"/>
      <c r="B329" s="39" t="s">
        <v>616</v>
      </c>
      <c r="C329" s="40" t="s">
        <v>628</v>
      </c>
      <c r="D329" s="41" t="s">
        <v>22</v>
      </c>
      <c r="E329" s="44" t="s">
        <v>22</v>
      </c>
      <c r="F329" s="43" t="e">
        <f>G329+SUMIF('[1]mouvement fours'!B:B,"=Rampe d'accès 8.63-62-61",'[1]mouvement fours'!G:G)</f>
        <v>#VALUE!</v>
      </c>
      <c r="G329" s="134">
        <v>0</v>
      </c>
      <c r="H329" s="44">
        <v>0</v>
      </c>
      <c r="I329" s="1" t="e">
        <f t="shared" si="22"/>
        <v>#VALUE!</v>
      </c>
      <c r="J329" s="11">
        <v>475.26</v>
      </c>
      <c r="K329" s="12" t="e">
        <f t="shared" si="23"/>
        <v>#VALUE!</v>
      </c>
      <c r="L329" s="30"/>
      <c r="M329" s="30"/>
      <c r="N329" s="30"/>
      <c r="O329" s="30"/>
      <c r="P329" s="30"/>
      <c r="Q329" s="30"/>
      <c r="R329" s="30"/>
      <c r="S329" s="30">
        <v>0</v>
      </c>
      <c r="T329" s="26"/>
      <c r="U329" s="26"/>
      <c r="V329" s="26"/>
      <c r="W329" s="26"/>
      <c r="X329" s="26"/>
      <c r="Y329" s="26"/>
      <c r="Z329" s="26"/>
      <c r="AA329" s="26"/>
      <c r="AB329" s="26"/>
      <c r="AC329" s="26"/>
      <c r="AD329" s="26"/>
      <c r="AE329" s="26"/>
      <c r="AF329" s="26"/>
      <c r="AG329" s="26"/>
      <c r="AH329" s="26"/>
      <c r="AI329" s="26"/>
      <c r="AJ329" s="26"/>
      <c r="AK329" s="26"/>
      <c r="AL329" s="26"/>
      <c r="AM329" s="26"/>
      <c r="AN329" s="26"/>
      <c r="AO329" s="26"/>
      <c r="AP329" s="26"/>
      <c r="AQ329" s="26"/>
      <c r="AR329" s="26"/>
    </row>
    <row r="330" spans="1:44" ht="15.75" x14ac:dyDescent="0.25">
      <c r="A330" s="30"/>
      <c r="B330" s="39" t="s">
        <v>616</v>
      </c>
      <c r="C330" s="40" t="s">
        <v>629</v>
      </c>
      <c r="D330" s="41" t="s">
        <v>22</v>
      </c>
      <c r="E330" s="44" t="s">
        <v>22</v>
      </c>
      <c r="F330" s="43" t="e">
        <f>G330+SUMIF('[1]mouvement fours'!B:B,"=Guidage rampe 83x18x770",'[1]mouvement fours'!G:G)</f>
        <v>#VALUE!</v>
      </c>
      <c r="G330" s="134">
        <v>2</v>
      </c>
      <c r="H330" s="44">
        <v>1</v>
      </c>
      <c r="I330" s="1" t="e">
        <f t="shared" si="22"/>
        <v>#VALUE!</v>
      </c>
      <c r="J330" s="11">
        <v>46.1</v>
      </c>
      <c r="K330" s="12" t="e">
        <f t="shared" si="23"/>
        <v>#VALUE!</v>
      </c>
      <c r="L330" s="30"/>
      <c r="M330" s="30"/>
      <c r="N330" s="30"/>
      <c r="O330" s="30"/>
      <c r="P330" s="30"/>
      <c r="Q330" s="30"/>
      <c r="R330" s="30"/>
      <c r="S330" s="30">
        <v>1</v>
      </c>
      <c r="T330" s="26"/>
      <c r="U330" s="26"/>
      <c r="V330" s="26"/>
      <c r="W330" s="26"/>
      <c r="X330" s="26"/>
      <c r="Y330" s="26"/>
      <c r="Z330" s="26"/>
      <c r="AA330" s="26"/>
      <c r="AB330" s="26"/>
      <c r="AC330" s="26"/>
      <c r="AD330" s="26"/>
      <c r="AE330" s="26"/>
      <c r="AF330" s="26"/>
      <c r="AG330" s="26"/>
      <c r="AH330" s="26"/>
      <c r="AI330" s="26"/>
      <c r="AJ330" s="26"/>
      <c r="AK330" s="26"/>
      <c r="AL330" s="26"/>
      <c r="AM330" s="26"/>
      <c r="AN330" s="26"/>
      <c r="AO330" s="26"/>
      <c r="AP330" s="26"/>
      <c r="AQ330" s="26"/>
      <c r="AR330" s="26"/>
    </row>
    <row r="331" spans="1:44" ht="15.75" x14ac:dyDescent="0.25">
      <c r="A331" s="30"/>
      <c r="B331" s="39" t="s">
        <v>616</v>
      </c>
      <c r="C331" s="40" t="s">
        <v>630</v>
      </c>
      <c r="D331" s="41" t="s">
        <v>22</v>
      </c>
      <c r="E331" s="44" t="s">
        <v>22</v>
      </c>
      <c r="F331" s="43" t="e">
        <f>G331+SUMIF('[1]mouvement fours'!B:B,"=ensemble rotule 8,63 120x32 male",'[1]mouvement fours'!G:G)</f>
        <v>#VALUE!</v>
      </c>
      <c r="G331" s="134">
        <v>0</v>
      </c>
      <c r="H331" s="44">
        <v>1</v>
      </c>
      <c r="I331" s="1" t="e">
        <f t="shared" si="22"/>
        <v>#VALUE!</v>
      </c>
      <c r="J331" s="11">
        <v>231</v>
      </c>
      <c r="K331" s="12" t="e">
        <f t="shared" si="23"/>
        <v>#VALUE!</v>
      </c>
      <c r="L331" s="30"/>
      <c r="M331" s="30"/>
      <c r="N331" s="30"/>
      <c r="O331" s="30"/>
      <c r="P331" s="30"/>
      <c r="Q331" s="30"/>
      <c r="R331" s="30"/>
      <c r="S331" s="30">
        <v>1</v>
      </c>
      <c r="T331" s="26"/>
      <c r="U331" s="26"/>
      <c r="V331" s="26"/>
      <c r="W331" s="26"/>
      <c r="X331" s="26"/>
      <c r="Y331" s="26"/>
      <c r="Z331" s="26"/>
      <c r="AA331" s="26"/>
      <c r="AB331" s="26"/>
      <c r="AC331" s="26"/>
      <c r="AD331" s="26"/>
      <c r="AE331" s="26"/>
      <c r="AF331" s="26"/>
      <c r="AG331" s="26"/>
      <c r="AH331" s="26"/>
      <c r="AI331" s="26"/>
      <c r="AJ331" s="26"/>
      <c r="AK331" s="26"/>
      <c r="AL331" s="26"/>
      <c r="AM331" s="26"/>
      <c r="AN331" s="26"/>
      <c r="AO331" s="26"/>
      <c r="AP331" s="26"/>
      <c r="AQ331" s="26"/>
      <c r="AR331" s="26"/>
    </row>
    <row r="332" spans="1:44" ht="15.75" x14ac:dyDescent="0.25">
      <c r="A332" s="30"/>
      <c r="B332" s="39" t="s">
        <v>616</v>
      </c>
      <c r="C332" s="40" t="s">
        <v>631</v>
      </c>
      <c r="D332" s="136" t="s">
        <v>22</v>
      </c>
      <c r="E332" s="137" t="s">
        <v>22</v>
      </c>
      <c r="F332" s="43" t="e">
        <f>G332+SUMIF('[1]mouvement fours'!B:B,"=ensemble rotule 8,63 120x32 fem",'[1]mouvement fours'!G:G)</f>
        <v>#VALUE!</v>
      </c>
      <c r="G332" s="137">
        <v>1</v>
      </c>
      <c r="H332" s="137">
        <v>1</v>
      </c>
      <c r="I332" s="1" t="e">
        <f>IF(F332&lt;H332,"/!\","-")</f>
        <v>#VALUE!</v>
      </c>
      <c r="J332" s="138"/>
      <c r="K332" s="139" t="e">
        <f>F332*J332</f>
        <v>#VALUE!</v>
      </c>
      <c r="L332" s="30"/>
      <c r="M332" s="30"/>
      <c r="N332" s="30"/>
      <c r="O332" s="30"/>
      <c r="P332" s="30"/>
      <c r="Q332" s="30"/>
      <c r="R332" s="30"/>
      <c r="S332" s="30">
        <v>1</v>
      </c>
      <c r="T332" s="26"/>
      <c r="U332" s="26"/>
      <c r="V332" s="26"/>
      <c r="W332" s="26"/>
      <c r="X332" s="26"/>
      <c r="Y332" s="26"/>
      <c r="Z332" s="26"/>
      <c r="AA332" s="26"/>
      <c r="AB332" s="26"/>
      <c r="AC332" s="26"/>
      <c r="AD332" s="26"/>
      <c r="AE332" s="26"/>
      <c r="AF332" s="26"/>
      <c r="AG332" s="26"/>
      <c r="AH332" s="26"/>
      <c r="AI332" s="26"/>
      <c r="AJ332" s="26"/>
      <c r="AK332" s="26"/>
      <c r="AL332" s="26"/>
      <c r="AM332" s="26"/>
      <c r="AN332" s="26"/>
      <c r="AO332" s="26"/>
      <c r="AP332" s="26"/>
      <c r="AQ332" s="26"/>
      <c r="AR332" s="26"/>
    </row>
    <row r="333" spans="1:44" ht="15.75" x14ac:dyDescent="0.25">
      <c r="A333" s="30"/>
      <c r="B333" s="39" t="s">
        <v>616</v>
      </c>
      <c r="C333" s="40" t="s">
        <v>632</v>
      </c>
      <c r="D333" s="41" t="s">
        <v>633</v>
      </c>
      <c r="E333" s="44" t="s">
        <v>22</v>
      </c>
      <c r="F333" s="43" t="e">
        <f>G333+SUMIF('[1]mouvement fours'!B:B,"=Mini moteur de volets",'[1]mouvement fours'!G:G)</f>
        <v>#VALUE!</v>
      </c>
      <c r="G333" s="134">
        <v>2</v>
      </c>
      <c r="H333" s="44">
        <v>1</v>
      </c>
      <c r="I333" s="1" t="e">
        <f t="shared" si="22"/>
        <v>#VALUE!</v>
      </c>
      <c r="J333" s="11">
        <v>131.97999999999999</v>
      </c>
      <c r="K333" s="12" t="e">
        <f t="shared" si="23"/>
        <v>#VALUE!</v>
      </c>
      <c r="L333" s="30"/>
      <c r="M333" s="30"/>
      <c r="N333" s="30"/>
      <c r="O333" s="30"/>
      <c r="P333" s="30"/>
      <c r="Q333" s="30"/>
      <c r="R333" s="30"/>
      <c r="S333" s="30">
        <v>1</v>
      </c>
      <c r="T333" s="26"/>
      <c r="U333" s="26"/>
      <c r="V333" s="26"/>
      <c r="W333" s="26"/>
      <c r="X333" s="26"/>
      <c r="Y333" s="26"/>
      <c r="Z333" s="26"/>
      <c r="AA333" s="26"/>
      <c r="AB333" s="26"/>
      <c r="AC333" s="26"/>
      <c r="AD333" s="26"/>
      <c r="AE333" s="26"/>
      <c r="AF333" s="26"/>
      <c r="AG333" s="26"/>
      <c r="AH333" s="26"/>
      <c r="AI333" s="26"/>
      <c r="AJ333" s="26"/>
      <c r="AK333" s="26"/>
      <c r="AL333" s="26"/>
      <c r="AM333" s="26"/>
      <c r="AN333" s="26"/>
      <c r="AO333" s="26"/>
      <c r="AP333" s="26"/>
      <c r="AQ333" s="26"/>
      <c r="AR333" s="26"/>
    </row>
    <row r="334" spans="1:44" ht="15.75" x14ac:dyDescent="0.25">
      <c r="A334" s="30"/>
      <c r="B334" s="39" t="s">
        <v>616</v>
      </c>
      <c r="C334" s="40" t="s">
        <v>634</v>
      </c>
      <c r="D334" s="41" t="s">
        <v>635</v>
      </c>
      <c r="E334" s="44" t="s">
        <v>22</v>
      </c>
      <c r="F334" s="43" t="e">
        <f>G334+SUMIF('[1]mouvement fours'!B:B,"=transformateur HT brûleur riello",'[1]mouvement fours'!G:G)</f>
        <v>#VALUE!</v>
      </c>
      <c r="G334" s="134">
        <v>2</v>
      </c>
      <c r="H334" s="44">
        <v>1</v>
      </c>
      <c r="I334" s="1" t="e">
        <f t="shared" si="22"/>
        <v>#VALUE!</v>
      </c>
      <c r="J334" s="11">
        <v>158.08000000000001</v>
      </c>
      <c r="K334" s="12" t="e">
        <f t="shared" si="23"/>
        <v>#VALUE!</v>
      </c>
      <c r="L334" s="30"/>
      <c r="M334" s="30"/>
      <c r="N334" s="30"/>
      <c r="O334" s="30"/>
      <c r="P334" s="30"/>
      <c r="Q334" s="30"/>
      <c r="R334" s="30"/>
      <c r="S334" s="30">
        <v>1</v>
      </c>
      <c r="T334" s="26"/>
      <c r="U334" s="26"/>
      <c r="V334" s="26"/>
      <c r="W334" s="26"/>
      <c r="X334" s="26"/>
      <c r="Y334" s="26"/>
      <c r="Z334" s="26"/>
      <c r="AA334" s="26"/>
      <c r="AB334" s="26"/>
      <c r="AC334" s="26"/>
      <c r="AD334" s="26"/>
      <c r="AE334" s="26"/>
      <c r="AF334" s="26"/>
      <c r="AG334" s="26"/>
      <c r="AH334" s="26"/>
      <c r="AI334" s="26"/>
      <c r="AJ334" s="26"/>
      <c r="AK334" s="26"/>
      <c r="AL334" s="26"/>
      <c r="AM334" s="26"/>
      <c r="AN334" s="26"/>
      <c r="AO334" s="26"/>
      <c r="AP334" s="26"/>
      <c r="AQ334" s="26"/>
      <c r="AR334" s="26"/>
    </row>
    <row r="335" spans="1:44" ht="15.75" x14ac:dyDescent="0.25">
      <c r="A335" s="30"/>
      <c r="B335" s="39" t="s">
        <v>616</v>
      </c>
      <c r="C335" s="135" t="s">
        <v>636</v>
      </c>
      <c r="D335" s="136" t="s">
        <v>637</v>
      </c>
      <c r="E335" s="137" t="s">
        <v>22</v>
      </c>
      <c r="F335" s="43" t="e">
        <f>G335+SUMIF('[1]mouvement fours'!B:B,"=sonde allumage brûleur rielllo",'[1]mouvement fours'!G:G)</f>
        <v>#VALUE!</v>
      </c>
      <c r="G335" s="137">
        <v>1</v>
      </c>
      <c r="H335" s="137">
        <v>2</v>
      </c>
      <c r="I335" s="1" t="e">
        <f>IF(F335&lt;H335,"/!\","-")</f>
        <v>#VALUE!</v>
      </c>
      <c r="J335" s="138"/>
      <c r="K335" s="139" t="e">
        <f>F335*J335</f>
        <v>#VALUE!</v>
      </c>
      <c r="L335" s="30"/>
      <c r="M335" s="30"/>
      <c r="N335" s="30"/>
      <c r="O335" s="30"/>
      <c r="P335" s="30"/>
      <c r="Q335" s="30"/>
      <c r="R335" s="30"/>
      <c r="S335" s="30">
        <v>0</v>
      </c>
      <c r="T335" s="26"/>
      <c r="U335" s="26"/>
      <c r="V335" s="26"/>
      <c r="W335" s="26"/>
      <c r="X335" s="26"/>
      <c r="Y335" s="26"/>
      <c r="Z335" s="26"/>
      <c r="AA335" s="26"/>
      <c r="AB335" s="26"/>
      <c r="AC335" s="26"/>
      <c r="AD335" s="26"/>
      <c r="AE335" s="26"/>
      <c r="AF335" s="26"/>
      <c r="AG335" s="26"/>
      <c r="AH335" s="26"/>
      <c r="AI335" s="26"/>
      <c r="AJ335" s="26"/>
      <c r="AK335" s="26"/>
      <c r="AL335" s="26"/>
      <c r="AM335" s="26"/>
      <c r="AN335" s="26"/>
      <c r="AO335" s="26"/>
      <c r="AP335" s="26"/>
      <c r="AQ335" s="26"/>
      <c r="AR335" s="26"/>
    </row>
    <row r="336" spans="1:44" ht="15.75" x14ac:dyDescent="0.25">
      <c r="A336" s="30"/>
      <c r="B336" s="39" t="s">
        <v>616</v>
      </c>
      <c r="C336" s="40" t="s">
        <v>638</v>
      </c>
      <c r="D336" s="41" t="s">
        <v>639</v>
      </c>
      <c r="E336" s="44" t="s">
        <v>22</v>
      </c>
      <c r="F336" s="43" t="e">
        <f>G336+SUMIF('[1]mouvement fours'!B:B,"=sonde de ionisation brûleur rielllo",'[1]mouvement fours'!G:G)</f>
        <v>#VALUE!</v>
      </c>
      <c r="G336" s="134">
        <v>4</v>
      </c>
      <c r="H336" s="44">
        <v>1</v>
      </c>
      <c r="I336" s="1" t="e">
        <f t="shared" si="22"/>
        <v>#VALUE!</v>
      </c>
      <c r="J336" s="11">
        <v>39.25</v>
      </c>
      <c r="K336" s="12" t="e">
        <f t="shared" si="23"/>
        <v>#VALUE!</v>
      </c>
      <c r="L336" s="30"/>
      <c r="M336" s="30"/>
      <c r="N336" s="30"/>
      <c r="O336" s="30"/>
      <c r="P336" s="30"/>
      <c r="Q336" s="30"/>
      <c r="R336" s="30"/>
      <c r="S336" s="30">
        <v>0</v>
      </c>
      <c r="T336" s="26"/>
      <c r="U336" s="26"/>
      <c r="V336" s="26"/>
      <c r="W336" s="26"/>
      <c r="X336" s="26"/>
      <c r="Y336" s="26"/>
      <c r="Z336" s="26"/>
      <c r="AA336" s="26"/>
      <c r="AB336" s="26"/>
      <c r="AC336" s="26"/>
      <c r="AD336" s="26"/>
      <c r="AE336" s="26"/>
      <c r="AF336" s="26"/>
      <c r="AG336" s="26"/>
      <c r="AH336" s="26"/>
      <c r="AI336" s="26"/>
      <c r="AJ336" s="26"/>
      <c r="AK336" s="26"/>
      <c r="AL336" s="26"/>
      <c r="AM336" s="26"/>
      <c r="AN336" s="26"/>
      <c r="AO336" s="26"/>
      <c r="AP336" s="26"/>
      <c r="AQ336" s="26"/>
      <c r="AR336" s="26"/>
    </row>
    <row r="337" spans="1:44" ht="15.75" x14ac:dyDescent="0.25">
      <c r="A337" s="30"/>
      <c r="B337" s="39" t="s">
        <v>616</v>
      </c>
      <c r="C337" s="40" t="s">
        <v>640</v>
      </c>
      <c r="D337" s="41" t="s">
        <v>641</v>
      </c>
      <c r="E337" s="44" t="s">
        <v>627</v>
      </c>
      <c r="F337" s="43" t="e">
        <f>G337+SUMIF('[1]mouvement fours'!B:B,"=moto réducteur chariot",'[1]mouvement fours'!G:G)</f>
        <v>#VALUE!</v>
      </c>
      <c r="G337" s="134">
        <v>1</v>
      </c>
      <c r="H337" s="44">
        <v>1</v>
      </c>
      <c r="I337" s="1" t="e">
        <f t="shared" si="22"/>
        <v>#VALUE!</v>
      </c>
      <c r="J337" s="11">
        <v>935.91</v>
      </c>
      <c r="K337" s="12" t="e">
        <f t="shared" si="23"/>
        <v>#VALUE!</v>
      </c>
      <c r="L337" s="30"/>
      <c r="M337" s="30"/>
      <c r="N337" s="30"/>
      <c r="O337" s="30"/>
      <c r="P337" s="30"/>
      <c r="Q337" s="30"/>
      <c r="R337" s="30"/>
      <c r="S337" s="30">
        <v>0</v>
      </c>
      <c r="T337" s="26"/>
      <c r="U337" s="26"/>
      <c r="V337" s="26"/>
      <c r="W337" s="26"/>
      <c r="X337" s="26"/>
      <c r="Y337" s="26"/>
      <c r="Z337" s="26"/>
      <c r="AA337" s="26"/>
      <c r="AB337" s="26"/>
      <c r="AC337" s="26"/>
      <c r="AD337" s="26"/>
      <c r="AE337" s="26"/>
      <c r="AF337" s="26"/>
      <c r="AG337" s="26"/>
      <c r="AH337" s="26"/>
      <c r="AI337" s="26"/>
      <c r="AJ337" s="26"/>
      <c r="AK337" s="26"/>
      <c r="AL337" s="26"/>
      <c r="AM337" s="26"/>
      <c r="AN337" s="26"/>
      <c r="AO337" s="26"/>
      <c r="AP337" s="26"/>
      <c r="AQ337" s="26"/>
      <c r="AR337" s="26"/>
    </row>
    <row r="338" spans="1:44" ht="15.75" x14ac:dyDescent="0.25">
      <c r="A338" s="30"/>
      <c r="B338" s="39" t="s">
        <v>616</v>
      </c>
      <c r="C338" s="40" t="s">
        <v>642</v>
      </c>
      <c r="D338" s="41" t="s">
        <v>643</v>
      </c>
      <c r="E338" s="44" t="s">
        <v>22</v>
      </c>
      <c r="F338" s="43" t="e">
        <f>G338+SUMIF('[1]mouvement fours'!B:B,"=fin de course XCKN2118P20",'[1]mouvement fours'!G:G)</f>
        <v>#VALUE!</v>
      </c>
      <c r="G338" s="134">
        <v>4</v>
      </c>
      <c r="H338" s="44">
        <v>1</v>
      </c>
      <c r="I338" s="1" t="e">
        <f t="shared" si="22"/>
        <v>#VALUE!</v>
      </c>
      <c r="J338" s="11">
        <v>10.36</v>
      </c>
      <c r="K338" s="12" t="e">
        <f t="shared" si="23"/>
        <v>#VALUE!</v>
      </c>
      <c r="L338" s="30"/>
      <c r="M338" s="30"/>
      <c r="N338" s="30"/>
      <c r="O338" s="30"/>
      <c r="P338" s="30"/>
      <c r="Q338" s="30"/>
      <c r="R338" s="30"/>
      <c r="S338" s="30">
        <v>1</v>
      </c>
      <c r="T338" s="26"/>
      <c r="U338" s="26"/>
      <c r="V338" s="26"/>
      <c r="W338" s="26"/>
      <c r="X338" s="26"/>
      <c r="Y338" s="26"/>
      <c r="Z338" s="26"/>
      <c r="AA338" s="26"/>
      <c r="AB338" s="26"/>
      <c r="AC338" s="26"/>
      <c r="AD338" s="26"/>
      <c r="AE338" s="26"/>
      <c r="AF338" s="26"/>
      <c r="AG338" s="26"/>
      <c r="AH338" s="26"/>
      <c r="AI338" s="26"/>
      <c r="AJ338" s="26"/>
      <c r="AK338" s="26"/>
      <c r="AL338" s="26"/>
      <c r="AM338" s="26"/>
      <c r="AN338" s="26"/>
      <c r="AO338" s="26"/>
      <c r="AP338" s="26"/>
      <c r="AQ338" s="26"/>
      <c r="AR338" s="26"/>
    </row>
    <row r="339" spans="1:44" ht="15.75" x14ac:dyDescent="0.25">
      <c r="A339" s="30"/>
      <c r="B339" s="39" t="s">
        <v>616</v>
      </c>
      <c r="C339" s="45" t="s">
        <v>644</v>
      </c>
      <c r="D339" s="41" t="s">
        <v>645</v>
      </c>
      <c r="E339" s="44" t="s">
        <v>22</v>
      </c>
      <c r="F339" s="43" t="e">
        <f>G339+SUMIF('[1]mouvement fours'!B:B,"=roulement à bille moteur soufflerie SKF",'[1]mouvement fours'!G:G)</f>
        <v>#VALUE!</v>
      </c>
      <c r="G339" s="134">
        <v>1</v>
      </c>
      <c r="H339" s="44">
        <v>1</v>
      </c>
      <c r="I339" s="1" t="e">
        <f t="shared" si="22"/>
        <v>#VALUE!</v>
      </c>
      <c r="J339" s="11">
        <v>11.68</v>
      </c>
      <c r="K339" s="12" t="e">
        <f t="shared" si="23"/>
        <v>#VALUE!</v>
      </c>
      <c r="L339" s="30"/>
      <c r="M339" s="30"/>
      <c r="N339" s="30"/>
      <c r="O339" s="30"/>
      <c r="P339" s="30"/>
      <c r="Q339" s="30"/>
      <c r="R339" s="30"/>
      <c r="S339" s="30">
        <v>0</v>
      </c>
      <c r="T339" s="26"/>
      <c r="U339" s="26"/>
      <c r="V339" s="26"/>
      <c r="W339" s="26"/>
      <c r="X339" s="26"/>
      <c r="Y339" s="26"/>
      <c r="Z339" s="26"/>
      <c r="AA339" s="26"/>
      <c r="AB339" s="26"/>
      <c r="AC339" s="26"/>
      <c r="AD339" s="26"/>
      <c r="AE339" s="26"/>
      <c r="AF339" s="26"/>
      <c r="AG339" s="26"/>
      <c r="AH339" s="26"/>
      <c r="AI339" s="26"/>
      <c r="AJ339" s="26"/>
      <c r="AK339" s="26"/>
      <c r="AL339" s="26"/>
      <c r="AM339" s="26"/>
      <c r="AN339" s="26"/>
      <c r="AO339" s="26"/>
      <c r="AP339" s="26"/>
      <c r="AQ339" s="26"/>
      <c r="AR339" s="26"/>
    </row>
    <row r="340" spans="1:44" ht="15.75" x14ac:dyDescent="0.25">
      <c r="A340" s="30"/>
      <c r="B340" s="39" t="s">
        <v>616</v>
      </c>
      <c r="C340" s="40" t="s">
        <v>646</v>
      </c>
      <c r="D340" s="41" t="s">
        <v>22</v>
      </c>
      <c r="E340" s="146" t="s">
        <v>22</v>
      </c>
      <c r="F340" s="43" t="e">
        <f>G340+SUMIF('[1]mouvement fours'!B:B,"=opticom",'[1]mouvement fours'!G:G)</f>
        <v>#VALUE!</v>
      </c>
      <c r="G340" s="134">
        <v>1</v>
      </c>
      <c r="H340" s="44">
        <v>1</v>
      </c>
      <c r="I340" s="1" t="e">
        <f t="shared" si="22"/>
        <v>#VALUE!</v>
      </c>
      <c r="J340" s="11">
        <v>631.20000000000005</v>
      </c>
      <c r="K340" s="12" t="e">
        <f t="shared" si="23"/>
        <v>#VALUE!</v>
      </c>
      <c r="L340" s="30"/>
      <c r="M340" s="30"/>
      <c r="N340" s="30"/>
      <c r="O340" s="30"/>
      <c r="P340" s="30"/>
      <c r="Q340" s="30"/>
      <c r="R340" s="30"/>
      <c r="S340" s="30">
        <v>1</v>
      </c>
      <c r="T340" s="26"/>
      <c r="U340" s="26"/>
      <c r="V340" s="26"/>
      <c r="W340" s="26"/>
      <c r="X340" s="26"/>
      <c r="Y340" s="26"/>
      <c r="Z340" s="26"/>
      <c r="AA340" s="26"/>
      <c r="AB340" s="26"/>
      <c r="AC340" s="26"/>
      <c r="AD340" s="26"/>
      <c r="AE340" s="26"/>
      <c r="AF340" s="26"/>
      <c r="AG340" s="26"/>
      <c r="AH340" s="26"/>
      <c r="AI340" s="26"/>
      <c r="AJ340" s="26"/>
      <c r="AK340" s="26"/>
      <c r="AL340" s="26"/>
      <c r="AM340" s="26"/>
      <c r="AN340" s="26"/>
      <c r="AO340" s="26"/>
      <c r="AP340" s="26"/>
      <c r="AQ340" s="26"/>
      <c r="AR340" s="26"/>
    </row>
    <row r="341" spans="1:44" ht="24" x14ac:dyDescent="0.25">
      <c r="A341" s="30"/>
      <c r="B341" s="39" t="s">
        <v>616</v>
      </c>
      <c r="C341" s="40" t="s">
        <v>647</v>
      </c>
      <c r="D341" s="147" t="s">
        <v>648</v>
      </c>
      <c r="E341" s="44" t="s">
        <v>22</v>
      </c>
      <c r="F341" s="43" t="e">
        <f>G341+SUMIF('[1]mouvement fours'!B:B,"=ElectroVanne Gaz 1pouce 230v",'[1]mouvement fours'!G:G)</f>
        <v>#VALUE!</v>
      </c>
      <c r="G341" s="134">
        <v>1</v>
      </c>
      <c r="H341" s="44">
        <v>1</v>
      </c>
      <c r="I341" s="1" t="e">
        <f t="shared" si="22"/>
        <v>#VALUE!</v>
      </c>
      <c r="J341" s="11">
        <v>159.58000000000001</v>
      </c>
      <c r="K341" s="12" t="e">
        <f t="shared" si="23"/>
        <v>#VALUE!</v>
      </c>
      <c r="L341" s="30"/>
      <c r="M341" s="30"/>
      <c r="N341" s="30"/>
      <c r="O341" s="30"/>
      <c r="P341" s="30"/>
      <c r="Q341" s="30"/>
      <c r="R341" s="30"/>
      <c r="S341" s="30">
        <v>0</v>
      </c>
      <c r="T341" s="26"/>
      <c r="U341" s="26"/>
      <c r="V341" s="26"/>
      <c r="W341" s="26"/>
      <c r="X341" s="26"/>
      <c r="Y341" s="26"/>
      <c r="Z341" s="26"/>
      <c r="AA341" s="26"/>
      <c r="AB341" s="26"/>
      <c r="AC341" s="26"/>
      <c r="AD341" s="26"/>
      <c r="AE341" s="26"/>
      <c r="AF341" s="26"/>
      <c r="AG341" s="26"/>
      <c r="AH341" s="26"/>
      <c r="AI341" s="26"/>
      <c r="AJ341" s="26"/>
      <c r="AK341" s="26"/>
      <c r="AL341" s="26"/>
      <c r="AM341" s="26"/>
      <c r="AN341" s="26"/>
      <c r="AO341" s="26"/>
      <c r="AP341" s="26"/>
      <c r="AQ341" s="26"/>
      <c r="AR341" s="26"/>
    </row>
    <row r="342" spans="1:44" ht="15.75" x14ac:dyDescent="0.25">
      <c r="A342" s="30"/>
      <c r="B342" s="39" t="s">
        <v>616</v>
      </c>
      <c r="C342" s="40" t="s">
        <v>649</v>
      </c>
      <c r="D342" s="41" t="s">
        <v>650</v>
      </c>
      <c r="E342" s="44" t="s">
        <v>22</v>
      </c>
      <c r="F342" s="43" t="e">
        <f>G342+SUMIF('[1]mouvement fours'!B:B,"=transfo 12v 105VA ",'[1]mouvement fours'!G:G)</f>
        <v>#VALUE!</v>
      </c>
      <c r="G342" s="134">
        <v>0</v>
      </c>
      <c r="H342" s="44">
        <v>1</v>
      </c>
      <c r="I342" s="1" t="e">
        <f t="shared" si="22"/>
        <v>#VALUE!</v>
      </c>
      <c r="J342" s="11">
        <v>25.167999999999999</v>
      </c>
      <c r="K342" s="12" t="e">
        <f t="shared" si="23"/>
        <v>#VALUE!</v>
      </c>
      <c r="L342" s="30"/>
      <c r="M342" s="30"/>
      <c r="N342" s="30"/>
      <c r="O342" s="30"/>
      <c r="P342" s="30"/>
      <c r="Q342" s="30"/>
      <c r="R342" s="30"/>
      <c r="S342" s="30">
        <v>1</v>
      </c>
      <c r="T342" s="26"/>
      <c r="U342" s="26"/>
      <c r="V342" s="26"/>
      <c r="W342" s="26"/>
      <c r="X342" s="26"/>
      <c r="Y342" s="26"/>
      <c r="Z342" s="26"/>
      <c r="AA342" s="26"/>
      <c r="AB342" s="26"/>
      <c r="AC342" s="26"/>
      <c r="AD342" s="26"/>
      <c r="AE342" s="26"/>
      <c r="AF342" s="26"/>
      <c r="AG342" s="26"/>
      <c r="AH342" s="26"/>
      <c r="AI342" s="26"/>
      <c r="AJ342" s="26"/>
      <c r="AK342" s="26"/>
      <c r="AL342" s="26"/>
      <c r="AM342" s="26"/>
      <c r="AN342" s="26"/>
      <c r="AO342" s="26"/>
      <c r="AP342" s="26"/>
      <c r="AQ342" s="26"/>
      <c r="AR342" s="26"/>
    </row>
    <row r="343" spans="1:44" ht="15.75" x14ac:dyDescent="0.25">
      <c r="A343" s="30"/>
      <c r="B343" s="39" t="s">
        <v>616</v>
      </c>
      <c r="C343" s="40" t="s">
        <v>651</v>
      </c>
      <c r="D343" s="41" t="s">
        <v>652</v>
      </c>
      <c r="E343" s="44" t="s">
        <v>22</v>
      </c>
      <c r="F343" s="43" t="e">
        <f>G343+SUMIF('[1]mouvement fours'!B:B,"=Bornier (domino) Ht T° 2 poles",'[1]mouvement fours'!G:G)</f>
        <v>#VALUE!</v>
      </c>
      <c r="G343" s="134">
        <v>6</v>
      </c>
      <c r="H343" s="44">
        <v>2</v>
      </c>
      <c r="I343" s="1" t="e">
        <f t="shared" si="22"/>
        <v>#VALUE!</v>
      </c>
      <c r="J343" s="11">
        <v>2.1800000000000002</v>
      </c>
      <c r="K343" s="12" t="e">
        <f t="shared" si="23"/>
        <v>#VALUE!</v>
      </c>
      <c r="L343" s="30"/>
      <c r="M343" s="30"/>
      <c r="N343" s="30"/>
      <c r="O343" s="30"/>
      <c r="P343" s="30"/>
      <c r="Q343" s="30"/>
      <c r="R343" s="30"/>
      <c r="S343" s="30">
        <v>1</v>
      </c>
      <c r="T343" s="26"/>
      <c r="U343" s="26"/>
      <c r="V343" s="26"/>
      <c r="W343" s="26"/>
      <c r="X343" s="26"/>
      <c r="Y343" s="26"/>
      <c r="Z343" s="26"/>
      <c r="AA343" s="26"/>
      <c r="AB343" s="26"/>
      <c r="AC343" s="26"/>
      <c r="AD343" s="26"/>
      <c r="AE343" s="26"/>
      <c r="AF343" s="26"/>
      <c r="AG343" s="26"/>
      <c r="AH343" s="26"/>
      <c r="AI343" s="26"/>
      <c r="AJ343" s="26"/>
      <c r="AK343" s="26"/>
      <c r="AL343" s="26"/>
      <c r="AM343" s="26"/>
      <c r="AN343" s="26"/>
      <c r="AO343" s="26"/>
      <c r="AP343" s="26"/>
      <c r="AQ343" s="26"/>
      <c r="AR343" s="26"/>
    </row>
    <row r="344" spans="1:44" ht="15.75" x14ac:dyDescent="0.25">
      <c r="A344" s="30"/>
      <c r="B344" s="39" t="s">
        <v>616</v>
      </c>
      <c r="C344" s="40" t="s">
        <v>653</v>
      </c>
      <c r="D344" s="41" t="s">
        <v>654</v>
      </c>
      <c r="E344" s="44" t="s">
        <v>22</v>
      </c>
      <c r="F344" s="43" t="e">
        <f>G344+SUMIF('[1]mouvement fours'!B:B,"=sonde PT 100",'[1]mouvement fours'!G:G)</f>
        <v>#VALUE!</v>
      </c>
      <c r="G344" s="134">
        <v>6</v>
      </c>
      <c r="H344" s="44">
        <v>1</v>
      </c>
      <c r="I344" s="1" t="e">
        <f t="shared" si="22"/>
        <v>#VALUE!</v>
      </c>
      <c r="J344" s="11">
        <v>0</v>
      </c>
      <c r="K344" s="12" t="e">
        <f t="shared" si="23"/>
        <v>#VALUE!</v>
      </c>
      <c r="L344" s="30"/>
      <c r="M344" s="30"/>
      <c r="N344" s="30"/>
      <c r="O344" s="30"/>
      <c r="P344" s="30"/>
      <c r="Q344" s="30"/>
      <c r="R344" s="30"/>
      <c r="S344" s="30">
        <v>1</v>
      </c>
      <c r="T344" s="26"/>
      <c r="U344" s="26"/>
      <c r="V344" s="26"/>
      <c r="W344" s="26"/>
      <c r="X344" s="26"/>
      <c r="Y344" s="26"/>
      <c r="Z344" s="26"/>
      <c r="AA344" s="26"/>
      <c r="AB344" s="26"/>
      <c r="AC344" s="26"/>
      <c r="AD344" s="26"/>
      <c r="AE344" s="26"/>
      <c r="AF344" s="26"/>
      <c r="AG344" s="26"/>
      <c r="AH344" s="26"/>
      <c r="AI344" s="26"/>
      <c r="AJ344" s="26"/>
      <c r="AK344" s="26"/>
      <c r="AL344" s="26"/>
      <c r="AM344" s="26"/>
      <c r="AN344" s="26"/>
      <c r="AO344" s="26"/>
      <c r="AP344" s="26"/>
      <c r="AQ344" s="26"/>
      <c r="AR344" s="26"/>
    </row>
    <row r="345" spans="1:44" ht="15.75" x14ac:dyDescent="0.25">
      <c r="A345" s="30"/>
      <c r="B345" s="39" t="s">
        <v>616</v>
      </c>
      <c r="C345" s="40" t="s">
        <v>655</v>
      </c>
      <c r="D345" s="41" t="s">
        <v>656</v>
      </c>
      <c r="E345" s="44" t="s">
        <v>22</v>
      </c>
      <c r="F345" s="43" t="e">
        <f>G345+SUMIF('[1]mouvement fours'!B:B,"=joints spi motoréducteur plateau tournant",'[1]mouvement fours'!G:G)</f>
        <v>#VALUE!</v>
      </c>
      <c r="G345" s="134">
        <v>3</v>
      </c>
      <c r="H345" s="44">
        <v>2</v>
      </c>
      <c r="I345" s="1" t="e">
        <f t="shared" si="22"/>
        <v>#VALUE!</v>
      </c>
      <c r="J345" s="11">
        <v>5.95</v>
      </c>
      <c r="K345" s="12" t="e">
        <f t="shared" si="23"/>
        <v>#VALUE!</v>
      </c>
      <c r="L345" s="30"/>
      <c r="M345" s="30"/>
      <c r="N345" s="30"/>
      <c r="O345" s="30"/>
      <c r="P345" s="30"/>
      <c r="Q345" s="30"/>
      <c r="R345" s="30"/>
      <c r="S345" s="30">
        <v>1</v>
      </c>
      <c r="T345" s="26"/>
      <c r="U345" s="26"/>
      <c r="V345" s="26"/>
      <c r="W345" s="26"/>
      <c r="X345" s="26"/>
      <c r="Y345" s="26"/>
      <c r="Z345" s="26"/>
      <c r="AA345" s="26"/>
      <c r="AB345" s="26"/>
      <c r="AC345" s="26"/>
      <c r="AD345" s="26"/>
      <c r="AE345" s="26"/>
      <c r="AF345" s="26"/>
      <c r="AG345" s="26"/>
      <c r="AH345" s="26"/>
      <c r="AI345" s="26"/>
      <c r="AJ345" s="26"/>
      <c r="AK345" s="26"/>
      <c r="AL345" s="26"/>
      <c r="AM345" s="26"/>
      <c r="AN345" s="26"/>
      <c r="AO345" s="26"/>
      <c r="AP345" s="26"/>
      <c r="AQ345" s="26"/>
      <c r="AR345" s="26"/>
    </row>
    <row r="346" spans="1:44" ht="15.75" x14ac:dyDescent="0.25">
      <c r="A346" s="30"/>
      <c r="B346" s="140" t="s">
        <v>616</v>
      </c>
      <c r="C346" s="141" t="s">
        <v>657</v>
      </c>
      <c r="D346" s="142" t="s">
        <v>22</v>
      </c>
      <c r="E346" s="143" t="s">
        <v>22</v>
      </c>
      <c r="F346" s="144" t="e">
        <f>G346+SUMIF('[1]mouvement fours'!B:B,"=cable electrique haute température",'[1]mouvement fours'!G:G)</f>
        <v>#VALUE!</v>
      </c>
      <c r="G346" s="143">
        <v>4</v>
      </c>
      <c r="H346" s="143">
        <v>4</v>
      </c>
      <c r="I346" s="1" t="e">
        <f t="shared" si="22"/>
        <v>#VALUE!</v>
      </c>
      <c r="J346" s="11">
        <v>0</v>
      </c>
      <c r="K346" s="12" t="e">
        <f t="shared" si="23"/>
        <v>#VALUE!</v>
      </c>
      <c r="L346" s="30"/>
      <c r="M346" s="30"/>
      <c r="N346" s="30"/>
      <c r="O346" s="30"/>
      <c r="P346" s="30"/>
      <c r="Q346" s="30"/>
      <c r="R346" s="30"/>
      <c r="S346" s="30">
        <v>1</v>
      </c>
      <c r="T346" s="26"/>
      <c r="U346" s="26"/>
      <c r="V346" s="26"/>
      <c r="W346" s="26"/>
      <c r="X346" s="26"/>
      <c r="Y346" s="26"/>
      <c r="Z346" s="26"/>
      <c r="AA346" s="26"/>
      <c r="AB346" s="26"/>
      <c r="AC346" s="26"/>
      <c r="AD346" s="26"/>
      <c r="AE346" s="26"/>
      <c r="AF346" s="26"/>
      <c r="AG346" s="26"/>
      <c r="AH346" s="26"/>
      <c r="AI346" s="26"/>
      <c r="AJ346" s="26"/>
      <c r="AK346" s="26"/>
      <c r="AL346" s="26"/>
      <c r="AM346" s="26"/>
      <c r="AN346" s="26"/>
      <c r="AO346" s="26"/>
      <c r="AP346" s="26"/>
      <c r="AQ346" s="26"/>
      <c r="AR346" s="26"/>
    </row>
    <row r="347" spans="1:44" ht="15.75" x14ac:dyDescent="0.25">
      <c r="A347" s="30"/>
      <c r="B347" s="39" t="s">
        <v>616</v>
      </c>
      <c r="C347" s="40" t="s">
        <v>658</v>
      </c>
      <c r="D347" s="41" t="s">
        <v>22</v>
      </c>
      <c r="E347" s="44" t="s">
        <v>22</v>
      </c>
      <c r="F347" s="43" t="e">
        <f>G347+SUMIF('[1]mouvement fours'!B:B,"=Embase ampoules ",'[1]mouvement fours'!G:G)</f>
        <v>#VALUE!</v>
      </c>
      <c r="G347" s="44">
        <v>2</v>
      </c>
      <c r="H347" s="44">
        <v>2</v>
      </c>
      <c r="I347" s="1" t="e">
        <f t="shared" si="22"/>
        <v>#VALUE!</v>
      </c>
      <c r="J347" s="11">
        <v>0</v>
      </c>
      <c r="K347" s="12" t="e">
        <f t="shared" si="23"/>
        <v>#VALUE!</v>
      </c>
      <c r="L347" s="30"/>
      <c r="M347" s="30"/>
      <c r="N347" s="30"/>
      <c r="O347" s="30"/>
      <c r="P347" s="30"/>
      <c r="Q347" s="30"/>
      <c r="R347" s="30"/>
      <c r="S347" s="30">
        <v>0</v>
      </c>
      <c r="T347" s="26"/>
      <c r="U347" s="26"/>
      <c r="V347" s="26"/>
      <c r="W347" s="26"/>
      <c r="X347" s="26"/>
      <c r="Y347" s="26"/>
      <c r="Z347" s="26"/>
      <c r="AA347" s="26"/>
      <c r="AB347" s="26"/>
      <c r="AC347" s="26"/>
      <c r="AD347" s="26"/>
      <c r="AE347" s="26"/>
      <c r="AF347" s="26"/>
      <c r="AG347" s="26"/>
      <c r="AH347" s="26"/>
      <c r="AI347" s="26"/>
      <c r="AJ347" s="26"/>
      <c r="AK347" s="26"/>
      <c r="AL347" s="26"/>
      <c r="AM347" s="26"/>
      <c r="AN347" s="26"/>
      <c r="AO347" s="26"/>
      <c r="AP347" s="26"/>
      <c r="AQ347" s="26"/>
      <c r="AR347" s="26"/>
    </row>
    <row r="348" spans="1:44" ht="15.75" x14ac:dyDescent="0.25">
      <c r="A348" s="30"/>
      <c r="B348" s="39" t="s">
        <v>616</v>
      </c>
      <c r="C348" s="40" t="s">
        <v>659</v>
      </c>
      <c r="D348" s="41" t="s">
        <v>22</v>
      </c>
      <c r="E348" s="44" t="s">
        <v>22</v>
      </c>
      <c r="F348" s="43" t="e">
        <f>G348+SUMIF('[1]mouvement fours'!B:B,"=axe entraienement",'[1]mouvement fours'!G:G)</f>
        <v>#VALUE!</v>
      </c>
      <c r="G348" s="44">
        <v>0</v>
      </c>
      <c r="H348" s="44"/>
      <c r="I348" s="1" t="e">
        <f t="shared" si="22"/>
        <v>#VALUE!</v>
      </c>
      <c r="J348" s="11">
        <v>193.8</v>
      </c>
      <c r="K348" s="12" t="e">
        <f t="shared" si="23"/>
        <v>#VALUE!</v>
      </c>
      <c r="L348" s="30"/>
      <c r="M348" s="30"/>
      <c r="N348" s="30"/>
      <c r="O348" s="30"/>
      <c r="P348" s="30"/>
      <c r="Q348" s="30"/>
      <c r="R348" s="30"/>
      <c r="S348" s="30">
        <v>0</v>
      </c>
      <c r="T348" s="26"/>
      <c r="U348" s="26"/>
      <c r="V348" s="26"/>
      <c r="W348" s="26"/>
      <c r="X348" s="26"/>
      <c r="Y348" s="26"/>
      <c r="Z348" s="26"/>
      <c r="AA348" s="26"/>
      <c r="AB348" s="26"/>
      <c r="AC348" s="26"/>
      <c r="AD348" s="26"/>
      <c r="AE348" s="26"/>
      <c r="AF348" s="26"/>
      <c r="AG348" s="26"/>
      <c r="AH348" s="26"/>
      <c r="AI348" s="26"/>
      <c r="AJ348" s="26"/>
      <c r="AK348" s="26"/>
      <c r="AL348" s="26"/>
      <c r="AM348" s="26"/>
      <c r="AN348" s="26"/>
      <c r="AO348" s="26"/>
      <c r="AP348" s="26"/>
      <c r="AQ348" s="26"/>
      <c r="AR348" s="26"/>
    </row>
    <row r="349" spans="1:44" ht="15.75" x14ac:dyDescent="0.25">
      <c r="A349" s="30"/>
      <c r="B349" s="39" t="s">
        <v>616</v>
      </c>
      <c r="C349" s="135" t="s">
        <v>660</v>
      </c>
      <c r="D349" s="136" t="s">
        <v>22</v>
      </c>
      <c r="E349" s="137" t="s">
        <v>22</v>
      </c>
      <c r="F349" s="43" t="e">
        <f>G349+SUMIF('[1]mouvement fours'!B:B,"=préssiostat",'[1]mouvement fours'!G:G)</f>
        <v>#VALUE!</v>
      </c>
      <c r="G349" s="137">
        <v>1</v>
      </c>
      <c r="H349" s="137">
        <v>1</v>
      </c>
      <c r="I349" s="1" t="e">
        <f>IF(F349&lt;H349,"/!\","-")</f>
        <v>#VALUE!</v>
      </c>
      <c r="J349" s="138"/>
      <c r="K349" s="139" t="e">
        <f>F349*J349</f>
        <v>#VALUE!</v>
      </c>
      <c r="L349" s="30"/>
      <c r="M349" s="30"/>
      <c r="N349" s="30"/>
      <c r="O349" s="30"/>
      <c r="P349" s="30"/>
      <c r="Q349" s="30"/>
      <c r="R349" s="30"/>
      <c r="S349" s="30">
        <v>0</v>
      </c>
      <c r="T349" s="26"/>
      <c r="U349" s="26"/>
      <c r="V349" s="26"/>
      <c r="W349" s="26"/>
      <c r="X349" s="26"/>
      <c r="Y349" s="26"/>
      <c r="Z349" s="26"/>
      <c r="AA349" s="26"/>
      <c r="AB349" s="26"/>
      <c r="AC349" s="26"/>
      <c r="AD349" s="26"/>
      <c r="AE349" s="26"/>
      <c r="AF349" s="26"/>
      <c r="AG349" s="26"/>
      <c r="AH349" s="26"/>
      <c r="AI349" s="26"/>
      <c r="AJ349" s="26"/>
      <c r="AK349" s="26"/>
      <c r="AL349" s="26"/>
      <c r="AM349" s="26"/>
      <c r="AN349" s="26"/>
      <c r="AO349" s="26"/>
      <c r="AP349" s="26"/>
      <c r="AQ349" s="26"/>
      <c r="AR349" s="26"/>
    </row>
    <row r="350" spans="1:44" ht="15.75" x14ac:dyDescent="0.25">
      <c r="A350" s="30"/>
      <c r="B350" s="39" t="s">
        <v>616</v>
      </c>
      <c r="C350" s="40" t="s">
        <v>661</v>
      </c>
      <c r="D350" s="41" t="s">
        <v>22</v>
      </c>
      <c r="E350" s="44" t="s">
        <v>22</v>
      </c>
      <c r="F350" s="43" t="e">
        <f>G350+SUMIF('[1]mouvement fours'!B:B,"=support motoreducteur",'[1]mouvement fours'!G:G)</f>
        <v>#VALUE!</v>
      </c>
      <c r="G350" s="44">
        <v>0</v>
      </c>
      <c r="H350" s="44"/>
      <c r="I350" s="1" t="e">
        <f t="shared" si="22"/>
        <v>#VALUE!</v>
      </c>
      <c r="J350" s="11">
        <v>67</v>
      </c>
      <c r="K350" s="12" t="e">
        <f t="shared" si="23"/>
        <v>#VALUE!</v>
      </c>
      <c r="L350" s="30"/>
      <c r="M350" s="30"/>
      <c r="N350" s="30"/>
      <c r="O350" s="30"/>
      <c r="P350" s="30"/>
      <c r="Q350" s="30"/>
      <c r="R350" s="30"/>
      <c r="S350" s="30">
        <v>1</v>
      </c>
      <c r="T350" s="26"/>
      <c r="U350" s="26"/>
      <c r="V350" s="26"/>
      <c r="W350" s="26"/>
      <c r="X350" s="26"/>
      <c r="Y350" s="26"/>
      <c r="Z350" s="26"/>
      <c r="AA350" s="26"/>
      <c r="AB350" s="26"/>
      <c r="AC350" s="26"/>
      <c r="AD350" s="26"/>
      <c r="AE350" s="26"/>
      <c r="AF350" s="26"/>
      <c r="AG350" s="26"/>
      <c r="AH350" s="26"/>
      <c r="AI350" s="26"/>
      <c r="AJ350" s="26"/>
      <c r="AK350" s="26"/>
      <c r="AL350" s="26"/>
      <c r="AM350" s="26"/>
      <c r="AN350" s="26"/>
      <c r="AO350" s="26"/>
      <c r="AP350" s="26"/>
      <c r="AQ350" s="26"/>
      <c r="AR350" s="26"/>
    </row>
    <row r="351" spans="1:44" ht="15.75" x14ac:dyDescent="0.25">
      <c r="A351" s="30"/>
      <c r="B351" s="39" t="s">
        <v>616</v>
      </c>
      <c r="C351" s="40" t="s">
        <v>662</v>
      </c>
      <c r="D351" s="41" t="s">
        <v>22</v>
      </c>
      <c r="E351" s="44" t="s">
        <v>22</v>
      </c>
      <c r="F351" s="43" t="e">
        <f>G351+SUMIF('[1]mouvement fours'!B:B,"=bague bronze",'[1]mouvement fours'!G:G)</f>
        <v>#VALUE!</v>
      </c>
      <c r="G351" s="44">
        <v>2</v>
      </c>
      <c r="H351" s="44"/>
      <c r="I351" s="1" t="e">
        <f t="shared" si="22"/>
        <v>#VALUE!</v>
      </c>
      <c r="J351" s="11">
        <v>16.739999999999998</v>
      </c>
      <c r="K351" s="12" t="e">
        <f t="shared" si="23"/>
        <v>#VALUE!</v>
      </c>
      <c r="L351" s="30"/>
      <c r="M351" s="30"/>
      <c r="N351" s="30"/>
      <c r="O351" s="30"/>
      <c r="P351" s="30"/>
      <c r="Q351" s="30"/>
      <c r="R351" s="30"/>
      <c r="S351" s="30">
        <v>0</v>
      </c>
      <c r="T351" s="26"/>
      <c r="U351" s="26"/>
      <c r="V351" s="26"/>
      <c r="W351" s="26"/>
      <c r="X351" s="26"/>
      <c r="Y351" s="26"/>
      <c r="Z351" s="26"/>
      <c r="AA351" s="26"/>
      <c r="AB351" s="26"/>
      <c r="AC351" s="26"/>
      <c r="AD351" s="26"/>
      <c r="AE351" s="26"/>
      <c r="AF351" s="26"/>
      <c r="AG351" s="26"/>
      <c r="AH351" s="26"/>
      <c r="AI351" s="26"/>
      <c r="AJ351" s="26"/>
      <c r="AK351" s="26"/>
      <c r="AL351" s="26"/>
      <c r="AM351" s="26"/>
      <c r="AN351" s="26"/>
      <c r="AO351" s="26"/>
      <c r="AP351" s="26"/>
      <c r="AQ351" s="26"/>
      <c r="AR351" s="26"/>
    </row>
    <row r="352" spans="1:44" ht="15.75" x14ac:dyDescent="0.25">
      <c r="A352" s="30"/>
      <c r="B352" s="39" t="s">
        <v>616</v>
      </c>
      <c r="C352" s="40" t="s">
        <v>663</v>
      </c>
      <c r="D352" s="41" t="s">
        <v>22</v>
      </c>
      <c r="E352" s="44" t="s">
        <v>22</v>
      </c>
      <c r="F352" s="43" t="e">
        <f>G352+SUMIF('[1]mouvement fours'!B:B,"=bague lattygraph",'[1]mouvement fours'!G:G)</f>
        <v>#VALUE!</v>
      </c>
      <c r="G352" s="44">
        <v>8</v>
      </c>
      <c r="H352" s="44">
        <v>2</v>
      </c>
      <c r="I352" s="1" t="e">
        <f t="shared" si="22"/>
        <v>#VALUE!</v>
      </c>
      <c r="J352" s="11">
        <v>19.600000000000001</v>
      </c>
      <c r="K352" s="12" t="e">
        <f t="shared" si="23"/>
        <v>#VALUE!</v>
      </c>
      <c r="L352" s="30"/>
      <c r="M352" s="30"/>
      <c r="N352" s="30"/>
      <c r="O352" s="30"/>
      <c r="P352" s="30"/>
      <c r="Q352" s="30"/>
      <c r="R352" s="30"/>
      <c r="S352" s="30">
        <v>1</v>
      </c>
      <c r="T352" s="26"/>
      <c r="U352" s="26"/>
      <c r="V352" s="26"/>
      <c r="W352" s="26"/>
      <c r="X352" s="26"/>
      <c r="Y352" s="26"/>
      <c r="Z352" s="26"/>
      <c r="AA352" s="26"/>
      <c r="AB352" s="26"/>
      <c r="AC352" s="26"/>
      <c r="AD352" s="26"/>
      <c r="AE352" s="26"/>
      <c r="AF352" s="26"/>
      <c r="AG352" s="26"/>
      <c r="AH352" s="26"/>
      <c r="AI352" s="26"/>
      <c r="AJ352" s="26"/>
      <c r="AK352" s="26"/>
      <c r="AL352" s="26"/>
      <c r="AM352" s="26"/>
      <c r="AN352" s="26"/>
      <c r="AO352" s="26"/>
      <c r="AP352" s="26"/>
      <c r="AQ352" s="26"/>
      <c r="AR352" s="26"/>
    </row>
    <row r="353" spans="1:44" ht="15.75" x14ac:dyDescent="0.25">
      <c r="A353" s="30"/>
      <c r="B353" s="39" t="s">
        <v>616</v>
      </c>
      <c r="C353" s="40" t="s">
        <v>664</v>
      </c>
      <c r="D353" s="41" t="s">
        <v>22</v>
      </c>
      <c r="E353" s="44" t="s">
        <v>22</v>
      </c>
      <c r="F353" s="43" t="e">
        <f>G353+SUMIF('[1]mouvement fours'!B:B,"=palier",'[1]mouvement fours'!G:G)</f>
        <v>#VALUE!</v>
      </c>
      <c r="G353" s="44">
        <v>0</v>
      </c>
      <c r="H353" s="44">
        <v>1</v>
      </c>
      <c r="I353" s="1" t="e">
        <f t="shared" si="22"/>
        <v>#VALUE!</v>
      </c>
      <c r="J353" s="11">
        <v>52</v>
      </c>
      <c r="K353" s="12" t="e">
        <f t="shared" si="23"/>
        <v>#VALUE!</v>
      </c>
      <c r="L353" s="30"/>
      <c r="M353" s="30"/>
      <c r="N353" s="30"/>
      <c r="O353" s="30"/>
      <c r="P353" s="30"/>
      <c r="Q353" s="30"/>
      <c r="R353" s="30"/>
      <c r="S353" s="30">
        <v>0</v>
      </c>
      <c r="T353" s="26"/>
      <c r="U353" s="26"/>
      <c r="V353" s="26"/>
      <c r="W353" s="26"/>
      <c r="X353" s="26"/>
      <c r="Y353" s="26"/>
      <c r="Z353" s="26"/>
      <c r="AA353" s="26"/>
      <c r="AB353" s="26"/>
      <c r="AC353" s="26"/>
      <c r="AD353" s="26"/>
      <c r="AE353" s="26"/>
      <c r="AF353" s="26"/>
      <c r="AG353" s="26"/>
      <c r="AH353" s="26"/>
      <c r="AI353" s="26"/>
      <c r="AJ353" s="26"/>
      <c r="AK353" s="26"/>
      <c r="AL353" s="26"/>
      <c r="AM353" s="26"/>
      <c r="AN353" s="26"/>
      <c r="AO353" s="26"/>
      <c r="AP353" s="26"/>
      <c r="AQ353" s="26"/>
      <c r="AR353" s="26"/>
    </row>
    <row r="354" spans="1:44" ht="15.75" x14ac:dyDescent="0.25">
      <c r="A354" s="30"/>
      <c r="B354" s="39" t="s">
        <v>616</v>
      </c>
      <c r="C354" s="40" t="s">
        <v>665</v>
      </c>
      <c r="D354" s="41" t="s">
        <v>666</v>
      </c>
      <c r="E354" s="44" t="s">
        <v>667</v>
      </c>
      <c r="F354" s="43" t="e">
        <f>G354+SUMIF('[1]mouvement fours'!B:B,"=Moteur soufflage 8,62",'[1]mouvement fours'!G:G)</f>
        <v>#VALUE!</v>
      </c>
      <c r="G354" s="44">
        <v>1</v>
      </c>
      <c r="H354" s="44">
        <v>0</v>
      </c>
      <c r="I354" s="1" t="e">
        <f t="shared" si="22"/>
        <v>#VALUE!</v>
      </c>
      <c r="J354" s="11">
        <v>1136.24</v>
      </c>
      <c r="K354" s="12" t="e">
        <f t="shared" si="23"/>
        <v>#VALUE!</v>
      </c>
      <c r="L354" s="30"/>
      <c r="M354" s="30"/>
      <c r="N354" s="30"/>
      <c r="O354" s="30"/>
      <c r="P354" s="30"/>
      <c r="Q354" s="30"/>
      <c r="R354" s="30"/>
      <c r="S354" s="30">
        <v>1</v>
      </c>
      <c r="T354" s="26"/>
      <c r="U354" s="26"/>
      <c r="V354" s="26"/>
      <c r="W354" s="26"/>
      <c r="X354" s="26"/>
      <c r="Y354" s="26"/>
      <c r="Z354" s="26"/>
      <c r="AA354" s="26"/>
      <c r="AB354" s="26"/>
      <c r="AC354" s="26"/>
      <c r="AD354" s="26"/>
      <c r="AE354" s="26"/>
      <c r="AF354" s="26"/>
      <c r="AG354" s="26"/>
      <c r="AH354" s="26"/>
      <c r="AI354" s="26"/>
      <c r="AJ354" s="26"/>
      <c r="AK354" s="26"/>
      <c r="AL354" s="26"/>
      <c r="AM354" s="26"/>
      <c r="AN354" s="26"/>
      <c r="AO354" s="26"/>
      <c r="AP354" s="26"/>
      <c r="AQ354" s="26"/>
      <c r="AR354" s="26"/>
    </row>
    <row r="355" spans="1:44" ht="15.75" x14ac:dyDescent="0.25">
      <c r="A355" s="30"/>
      <c r="B355" s="39" t="s">
        <v>616</v>
      </c>
      <c r="C355" s="40" t="s">
        <v>668</v>
      </c>
      <c r="D355" s="41" t="s">
        <v>669</v>
      </c>
      <c r="E355" s="44" t="s">
        <v>22</v>
      </c>
      <c r="F355" s="43" t="e">
        <f>G355+SUMIF('[1]mouvement fours'!B:B,"=Relais sécu gaz bruleur",'[1]mouvement fours'!G:G)</f>
        <v>#VALUE!</v>
      </c>
      <c r="G355" s="44">
        <v>1</v>
      </c>
      <c r="H355" s="44">
        <v>1</v>
      </c>
      <c r="I355" s="1" t="e">
        <f t="shared" si="22"/>
        <v>#VALUE!</v>
      </c>
      <c r="J355" s="11">
        <v>0</v>
      </c>
      <c r="K355" s="12" t="e">
        <f t="shared" si="23"/>
        <v>#VALUE!</v>
      </c>
      <c r="L355" s="30"/>
      <c r="M355" s="30"/>
      <c r="N355" s="30"/>
      <c r="O355" s="30"/>
      <c r="P355" s="30"/>
      <c r="Q355" s="30"/>
      <c r="R355" s="30"/>
      <c r="S355" s="30">
        <v>1</v>
      </c>
      <c r="T355" s="26"/>
      <c r="U355" s="26"/>
      <c r="V355" s="26"/>
      <c r="W355" s="26"/>
      <c r="X355" s="26"/>
      <c r="Y355" s="26"/>
      <c r="Z355" s="26"/>
      <c r="AA355" s="26"/>
      <c r="AB355" s="26"/>
      <c r="AC355" s="26"/>
      <c r="AD355" s="26"/>
      <c r="AE355" s="26"/>
      <c r="AF355" s="26"/>
      <c r="AG355" s="26"/>
      <c r="AH355" s="26"/>
      <c r="AI355" s="26"/>
      <c r="AJ355" s="26"/>
      <c r="AK355" s="26"/>
      <c r="AL355" s="26"/>
      <c r="AM355" s="26"/>
      <c r="AN355" s="26"/>
      <c r="AO355" s="26"/>
      <c r="AP355" s="26"/>
      <c r="AQ355" s="26"/>
      <c r="AR355" s="26"/>
    </row>
    <row r="356" spans="1:44" ht="15.75" x14ac:dyDescent="0.25">
      <c r="A356" s="30"/>
      <c r="B356" s="39" t="s">
        <v>616</v>
      </c>
      <c r="C356" s="148" t="s">
        <v>670</v>
      </c>
      <c r="D356" s="149" t="s">
        <v>671</v>
      </c>
      <c r="E356" s="46" t="s">
        <v>22</v>
      </c>
      <c r="F356" s="150" t="e">
        <f>G356+SUMIF('[1]mouvement fours'!B:B,"=thermostat sécu 1",'[1]mouvement fours'!G:G)</f>
        <v>#VALUE!</v>
      </c>
      <c r="G356" s="46">
        <v>2</v>
      </c>
      <c r="H356" s="46">
        <v>1</v>
      </c>
      <c r="I356" s="1" t="e">
        <f t="shared" si="22"/>
        <v>#VALUE!</v>
      </c>
      <c r="J356" s="16">
        <v>447.3</v>
      </c>
      <c r="K356" s="151" t="e">
        <f t="shared" si="23"/>
        <v>#VALUE!</v>
      </c>
      <c r="L356" s="30"/>
      <c r="M356" s="30"/>
      <c r="N356" s="30"/>
      <c r="O356" s="30"/>
      <c r="P356" s="30"/>
      <c r="Q356" s="30"/>
      <c r="R356" s="30"/>
      <c r="S356" s="30">
        <v>1</v>
      </c>
      <c r="T356" s="26"/>
      <c r="U356" s="26"/>
      <c r="V356" s="26"/>
      <c r="W356" s="26"/>
      <c r="X356" s="26"/>
      <c r="Y356" s="26"/>
      <c r="Z356" s="26"/>
      <c r="AA356" s="26"/>
      <c r="AB356" s="26"/>
      <c r="AC356" s="26"/>
      <c r="AD356" s="26"/>
      <c r="AE356" s="26"/>
      <c r="AF356" s="26"/>
      <c r="AG356" s="26"/>
      <c r="AH356" s="26"/>
      <c r="AI356" s="26"/>
      <c r="AJ356" s="26"/>
      <c r="AK356" s="26"/>
      <c r="AL356" s="26"/>
      <c r="AM356" s="26"/>
      <c r="AN356" s="26"/>
      <c r="AO356" s="26"/>
      <c r="AP356" s="26"/>
      <c r="AQ356" s="26"/>
      <c r="AR356" s="26"/>
    </row>
    <row r="357" spans="1:44" ht="15.75" x14ac:dyDescent="0.25">
      <c r="A357" s="30"/>
      <c r="B357" s="39" t="s">
        <v>616</v>
      </c>
      <c r="C357" s="40" t="s">
        <v>672</v>
      </c>
      <c r="D357" s="41" t="s">
        <v>673</v>
      </c>
      <c r="E357" s="44" t="s">
        <v>22</v>
      </c>
      <c r="F357" s="43" t="e">
        <f>G357+SUMIF('[1]mouvement fours'!B:B,"=thermostat sécu 2",'[1]mouvement fours'!G:G)</f>
        <v>#VALUE!</v>
      </c>
      <c r="G357" s="44">
        <v>1</v>
      </c>
      <c r="H357" s="44">
        <v>1</v>
      </c>
      <c r="I357" s="1" t="e">
        <f t="shared" si="22"/>
        <v>#VALUE!</v>
      </c>
      <c r="J357" s="11">
        <v>447.3</v>
      </c>
      <c r="K357" s="12" t="e">
        <f t="shared" si="23"/>
        <v>#VALUE!</v>
      </c>
      <c r="L357" s="30"/>
      <c r="M357" s="30"/>
      <c r="N357" s="30"/>
      <c r="O357" s="30"/>
      <c r="P357" s="30"/>
      <c r="Q357" s="30"/>
      <c r="R357" s="30"/>
      <c r="S357" s="30">
        <v>1</v>
      </c>
      <c r="T357" s="26"/>
      <c r="U357" s="26"/>
      <c r="V357" s="26"/>
      <c r="W357" s="26"/>
      <c r="X357" s="26"/>
      <c r="Y357" s="26"/>
      <c r="Z357" s="26"/>
      <c r="AA357" s="26"/>
      <c r="AB357" s="26"/>
      <c r="AC357" s="26"/>
      <c r="AD357" s="26"/>
      <c r="AE357" s="26"/>
      <c r="AF357" s="26"/>
      <c r="AG357" s="26"/>
      <c r="AH357" s="26"/>
      <c r="AI357" s="26"/>
      <c r="AJ357" s="26"/>
      <c r="AK357" s="26"/>
      <c r="AL357" s="26"/>
      <c r="AM357" s="26"/>
      <c r="AN357" s="26"/>
      <c r="AO357" s="26"/>
      <c r="AP357" s="26"/>
      <c r="AQ357" s="26"/>
      <c r="AR357" s="26"/>
    </row>
    <row r="358" spans="1:44" ht="15.75" x14ac:dyDescent="0.25">
      <c r="A358" s="30"/>
      <c r="B358" s="140" t="s">
        <v>616</v>
      </c>
      <c r="C358" s="141" t="s">
        <v>674</v>
      </c>
      <c r="D358" s="142" t="s">
        <v>22</v>
      </c>
      <c r="E358" s="143" t="s">
        <v>22</v>
      </c>
      <c r="F358" s="144" t="e">
        <f>G358+SUMIF('[1]mouvement fours'!B:B,"=plaque rotation palier",'[1]mouvement fours'!G:G)</f>
        <v>#VALUE!</v>
      </c>
      <c r="G358" s="143">
        <v>1</v>
      </c>
      <c r="H358" s="143">
        <v>1</v>
      </c>
      <c r="I358" s="1" t="e">
        <f t="shared" si="22"/>
        <v>#VALUE!</v>
      </c>
      <c r="J358" s="11">
        <v>0</v>
      </c>
      <c r="K358" s="12" t="e">
        <f t="shared" si="23"/>
        <v>#VALUE!</v>
      </c>
      <c r="L358" s="30"/>
      <c r="M358" s="30"/>
      <c r="N358" s="30"/>
      <c r="O358" s="30"/>
      <c r="P358" s="30"/>
      <c r="Q358" s="30"/>
      <c r="R358" s="30"/>
      <c r="S358" s="30">
        <v>1</v>
      </c>
      <c r="T358" s="26"/>
      <c r="U358" s="26"/>
      <c r="V358" s="26"/>
      <c r="W358" s="26"/>
      <c r="X358" s="26"/>
      <c r="Y358" s="26"/>
      <c r="Z358" s="26"/>
      <c r="AA358" s="26"/>
      <c r="AB358" s="26"/>
      <c r="AC358" s="26"/>
      <c r="AD358" s="26"/>
      <c r="AE358" s="26"/>
      <c r="AF358" s="26"/>
      <c r="AG358" s="26"/>
      <c r="AH358" s="26"/>
      <c r="AI358" s="26"/>
      <c r="AJ358" s="26"/>
      <c r="AK358" s="26"/>
      <c r="AL358" s="26"/>
      <c r="AM358" s="26"/>
      <c r="AN358" s="26"/>
      <c r="AO358" s="26"/>
      <c r="AP358" s="26"/>
      <c r="AQ358" s="26"/>
      <c r="AR358" s="26"/>
    </row>
    <row r="359" spans="1:44" ht="15.75" x14ac:dyDescent="0.25">
      <c r="A359" s="30"/>
      <c r="B359" s="39" t="s">
        <v>616</v>
      </c>
      <c r="C359" s="40" t="s">
        <v>675</v>
      </c>
      <c r="D359" s="41" t="s">
        <v>22</v>
      </c>
      <c r="E359" s="44" t="s">
        <v>22</v>
      </c>
      <c r="F359" s="43" t="e">
        <f>G359+SUMIF('[1]mouvement fours'!B:B,"=tringlerie porte",'[1]mouvement fours'!G:G)</f>
        <v>#VALUE!</v>
      </c>
      <c r="G359" s="44">
        <v>1</v>
      </c>
      <c r="H359" s="44">
        <v>1</v>
      </c>
      <c r="I359" s="1" t="e">
        <f t="shared" si="22"/>
        <v>#VALUE!</v>
      </c>
      <c r="J359" s="11">
        <v>0</v>
      </c>
      <c r="K359" s="12" t="e">
        <f t="shared" si="23"/>
        <v>#VALUE!</v>
      </c>
      <c r="L359" s="30"/>
      <c r="M359" s="13" t="s">
        <v>616</v>
      </c>
      <c r="N359" s="30"/>
      <c r="O359" s="30"/>
      <c r="P359" s="30"/>
      <c r="Q359" s="30"/>
      <c r="R359" s="30"/>
      <c r="S359" s="30">
        <v>0</v>
      </c>
      <c r="T359" s="26"/>
      <c r="U359" s="26"/>
      <c r="V359" s="26"/>
      <c r="W359" s="26"/>
      <c r="X359" s="26"/>
      <c r="Y359" s="26"/>
      <c r="Z359" s="26"/>
      <c r="AA359" s="26"/>
      <c r="AB359" s="26"/>
      <c r="AC359" s="26"/>
      <c r="AD359" s="26"/>
      <c r="AE359" s="26"/>
      <c r="AF359" s="26"/>
      <c r="AG359" s="26"/>
      <c r="AH359" s="26"/>
      <c r="AI359" s="26"/>
      <c r="AJ359" s="26"/>
      <c r="AK359" s="26"/>
      <c r="AL359" s="26"/>
      <c r="AM359" s="26"/>
      <c r="AN359" s="26"/>
      <c r="AO359" s="26"/>
      <c r="AP359" s="26"/>
      <c r="AQ359" s="26"/>
      <c r="AR359" s="26"/>
    </row>
    <row r="360" spans="1:44" ht="15.75" x14ac:dyDescent="0.25">
      <c r="A360" s="30"/>
      <c r="B360" s="39" t="s">
        <v>616</v>
      </c>
      <c r="C360" s="152" t="s">
        <v>676</v>
      </c>
      <c r="D360" s="153"/>
      <c r="E360" s="153"/>
      <c r="F360" s="43" t="e">
        <f>G360+SUMIF('[1]mouvement fours'!B:B,"=poignée secu interieur",'[1]mouvement fours'!G:G)</f>
        <v>#VALUE!</v>
      </c>
      <c r="G360" s="153">
        <v>1</v>
      </c>
      <c r="H360" s="153"/>
      <c r="I360" s="1" t="e">
        <f t="shared" si="22"/>
        <v>#VALUE!</v>
      </c>
      <c r="J360" s="28"/>
      <c r="K360" s="28"/>
      <c r="L360" s="30"/>
      <c r="M360" s="35" t="e">
        <f>SUM(K323:K360)</f>
        <v>#VALUE!</v>
      </c>
      <c r="N360" s="30"/>
      <c r="O360" s="30"/>
      <c r="P360" s="30"/>
      <c r="Q360" s="30"/>
      <c r="R360" s="30"/>
      <c r="S360" s="30">
        <v>0</v>
      </c>
      <c r="T360" s="26"/>
      <c r="U360" s="26"/>
      <c r="V360" s="26"/>
      <c r="W360" s="26"/>
      <c r="X360" s="26"/>
      <c r="Y360" s="26"/>
      <c r="Z360" s="26"/>
      <c r="AA360" s="26"/>
      <c r="AB360" s="26"/>
      <c r="AC360" s="26"/>
      <c r="AD360" s="26"/>
      <c r="AE360" s="26"/>
      <c r="AF360" s="26"/>
      <c r="AG360" s="26"/>
      <c r="AH360" s="26"/>
      <c r="AI360" s="26"/>
      <c r="AJ360" s="26"/>
      <c r="AK360" s="26"/>
      <c r="AL360" s="26"/>
      <c r="AM360" s="26"/>
      <c r="AN360" s="26"/>
      <c r="AO360" s="26"/>
      <c r="AP360" s="26"/>
      <c r="AQ360" s="26"/>
      <c r="AR360" s="26"/>
    </row>
    <row r="361" spans="1:44" ht="15.75" x14ac:dyDescent="0.25">
      <c r="A361" s="30"/>
      <c r="B361" s="13" t="s">
        <v>677</v>
      </c>
      <c r="C361" s="4" t="s">
        <v>678</v>
      </c>
      <c r="D361" s="5" t="s">
        <v>679</v>
      </c>
      <c r="E361" s="6" t="s">
        <v>680</v>
      </c>
      <c r="F361" s="7" t="e">
        <f>G361+SUMIF('[1]mouvement toshiba'!B:B,"=courroie crantée 124 L 075",'[1]mouvement toshiba'!G:G)</f>
        <v>#VALUE!</v>
      </c>
      <c r="G361" s="6">
        <v>1</v>
      </c>
      <c r="H361" s="6">
        <v>1</v>
      </c>
      <c r="I361" s="1" t="e">
        <f>IF(F361&lt;H361,"/!\","-")</f>
        <v>#VALUE!</v>
      </c>
      <c r="J361" s="11">
        <v>115.55</v>
      </c>
      <c r="K361" s="12" t="e">
        <f>F361*J361</f>
        <v>#VALUE!</v>
      </c>
      <c r="L361" s="30"/>
      <c r="M361" s="30"/>
      <c r="N361" s="30"/>
      <c r="O361" s="30"/>
      <c r="P361" s="30"/>
      <c r="Q361" s="30"/>
      <c r="R361" s="30"/>
      <c r="S361" s="30">
        <v>0</v>
      </c>
      <c r="T361" s="26"/>
      <c r="U361" s="26"/>
      <c r="V361" s="26"/>
      <c r="W361" s="26"/>
      <c r="X361" s="26"/>
      <c r="Y361" s="26"/>
      <c r="Z361" s="26"/>
      <c r="AA361" s="26"/>
      <c r="AB361" s="26"/>
      <c r="AC361" s="26"/>
      <c r="AD361" s="26"/>
      <c r="AE361" s="26"/>
      <c r="AF361" s="26"/>
      <c r="AG361" s="26"/>
      <c r="AH361" s="26"/>
      <c r="AI361" s="26"/>
      <c r="AJ361" s="26"/>
      <c r="AK361" s="26"/>
      <c r="AL361" s="26"/>
      <c r="AM361" s="26"/>
      <c r="AN361" s="26"/>
      <c r="AO361" s="26"/>
      <c r="AP361" s="26"/>
      <c r="AQ361" s="26"/>
      <c r="AR361" s="26"/>
    </row>
    <row r="362" spans="1:44" ht="15.75" x14ac:dyDescent="0.25">
      <c r="A362" s="30"/>
      <c r="B362" s="13" t="s">
        <v>677</v>
      </c>
      <c r="C362" s="4" t="s">
        <v>681</v>
      </c>
      <c r="D362" s="5" t="s">
        <v>682</v>
      </c>
      <c r="E362" s="6" t="s">
        <v>680</v>
      </c>
      <c r="F362" s="7" t="e">
        <f>G362+SUMIF('[1]mouvement toshiba'!B:B,"=rouleau d'entrainement inférieur face avant",'[1]mouvement toshiba'!G:G)</f>
        <v>#VALUE!</v>
      </c>
      <c r="G362" s="6">
        <v>0</v>
      </c>
      <c r="H362" s="6">
        <v>1</v>
      </c>
      <c r="I362" s="1" t="e">
        <f t="shared" ref="I362:I367" si="24">IF(F362&lt;H362,"/!\","-")</f>
        <v>#VALUE!</v>
      </c>
      <c r="J362" s="11">
        <v>53.07</v>
      </c>
      <c r="K362" s="12" t="e">
        <f t="shared" ref="K362:K367" si="25">F362*J362</f>
        <v>#VALUE!</v>
      </c>
      <c r="L362" s="30"/>
      <c r="M362" s="30"/>
      <c r="N362" s="30"/>
      <c r="O362" s="30"/>
      <c r="P362" s="30"/>
      <c r="Q362" s="30"/>
      <c r="R362" s="30"/>
      <c r="S362" s="30">
        <v>1</v>
      </c>
      <c r="T362" s="26"/>
      <c r="U362" s="26"/>
      <c r="V362" s="26"/>
      <c r="W362" s="26"/>
      <c r="X362" s="26"/>
      <c r="Y362" s="26"/>
      <c r="Z362" s="26"/>
      <c r="AA362" s="26"/>
      <c r="AB362" s="26"/>
      <c r="AC362" s="26"/>
      <c r="AD362" s="26"/>
      <c r="AE362" s="26"/>
      <c r="AF362" s="26"/>
      <c r="AG362" s="26"/>
      <c r="AH362" s="26"/>
      <c r="AI362" s="26"/>
      <c r="AJ362" s="26"/>
      <c r="AK362" s="26"/>
      <c r="AL362" s="26"/>
      <c r="AM362" s="26"/>
      <c r="AN362" s="26"/>
      <c r="AO362" s="26"/>
      <c r="AP362" s="26"/>
      <c r="AQ362" s="26"/>
      <c r="AR362" s="26"/>
    </row>
    <row r="363" spans="1:44" ht="15.75" x14ac:dyDescent="0.25">
      <c r="A363" s="30"/>
      <c r="B363" s="13" t="s">
        <v>677</v>
      </c>
      <c r="C363" s="4" t="s">
        <v>683</v>
      </c>
      <c r="D363" s="5" t="s">
        <v>684</v>
      </c>
      <c r="E363" s="6" t="s">
        <v>680</v>
      </c>
      <c r="F363" s="7" t="e">
        <f>G363+SUMIF('[1]mouvement toshiba'!B:B,"=rouleau d'entrainement inférieur face arrière",'[1]mouvement toshiba'!G:G)</f>
        <v>#VALUE!</v>
      </c>
      <c r="G363" s="6">
        <v>1</v>
      </c>
      <c r="H363" s="6">
        <v>1</v>
      </c>
      <c r="I363" s="1" t="e">
        <f t="shared" si="24"/>
        <v>#VALUE!</v>
      </c>
      <c r="J363" s="11">
        <v>48.4</v>
      </c>
      <c r="K363" s="12" t="e">
        <f t="shared" si="25"/>
        <v>#VALUE!</v>
      </c>
      <c r="L363" s="30"/>
      <c r="M363" s="30"/>
      <c r="N363" s="30"/>
      <c r="O363" s="30"/>
      <c r="P363" s="30"/>
      <c r="Q363" s="30"/>
      <c r="R363" s="30"/>
      <c r="S363" s="30">
        <v>0</v>
      </c>
      <c r="T363" s="26"/>
      <c r="U363" s="26"/>
      <c r="V363" s="26"/>
      <c r="W363" s="26"/>
      <c r="X363" s="26"/>
      <c r="Y363" s="26"/>
      <c r="Z363" s="26"/>
      <c r="AA363" s="26"/>
      <c r="AB363" s="26"/>
      <c r="AC363" s="26"/>
      <c r="AD363" s="26"/>
      <c r="AE363" s="26"/>
      <c r="AF363" s="26"/>
      <c r="AG363" s="26"/>
      <c r="AH363" s="26"/>
      <c r="AI363" s="26"/>
      <c r="AJ363" s="26"/>
      <c r="AK363" s="26"/>
      <c r="AL363" s="26"/>
      <c r="AM363" s="26"/>
      <c r="AN363" s="26"/>
      <c r="AO363" s="26"/>
      <c r="AP363" s="26"/>
      <c r="AQ363" s="26"/>
      <c r="AR363" s="26"/>
    </row>
    <row r="364" spans="1:44" ht="24" x14ac:dyDescent="0.25">
      <c r="A364" s="30"/>
      <c r="B364" s="13" t="s">
        <v>677</v>
      </c>
      <c r="C364" s="4" t="s">
        <v>685</v>
      </c>
      <c r="D364" s="5" t="s">
        <v>686</v>
      </c>
      <c r="E364" s="6" t="s">
        <v>680</v>
      </c>
      <c r="F364" s="7" t="e">
        <f>G364+SUMIF('[1]mouvement toshiba'!B:B,"=Tête thermique B-SA4T toshiba 200 DPI (ASYB-HEAD-SA4T FRU) imprimante bureau",'[1]mouvement toshiba'!G:G)</f>
        <v>#VALUE!</v>
      </c>
      <c r="G364" s="6">
        <v>3</v>
      </c>
      <c r="H364" s="6">
        <v>1</v>
      </c>
      <c r="I364" s="1" t="e">
        <f t="shared" si="24"/>
        <v>#VALUE!</v>
      </c>
      <c r="J364" s="11">
        <v>225</v>
      </c>
      <c r="K364" s="12" t="e">
        <f t="shared" si="25"/>
        <v>#VALUE!</v>
      </c>
      <c r="L364" s="30"/>
      <c r="M364" s="30"/>
      <c r="N364" s="30"/>
      <c r="O364" s="30"/>
      <c r="P364" s="30"/>
      <c r="Q364" s="30"/>
      <c r="R364" s="30"/>
      <c r="S364" s="30">
        <v>1</v>
      </c>
      <c r="T364" s="26"/>
      <c r="U364" s="26"/>
      <c r="V364" s="26"/>
      <c r="W364" s="26"/>
      <c r="X364" s="26"/>
      <c r="Y364" s="26"/>
      <c r="Z364" s="26"/>
      <c r="AA364" s="26"/>
      <c r="AB364" s="26"/>
      <c r="AC364" s="26"/>
      <c r="AD364" s="26"/>
      <c r="AE364" s="26"/>
      <c r="AF364" s="26"/>
      <c r="AG364" s="26"/>
      <c r="AH364" s="26"/>
      <c r="AI364" s="26"/>
      <c r="AJ364" s="26"/>
      <c r="AK364" s="26"/>
      <c r="AL364" s="26"/>
      <c r="AM364" s="26"/>
      <c r="AN364" s="26"/>
      <c r="AO364" s="26"/>
      <c r="AP364" s="26"/>
      <c r="AQ364" s="26"/>
      <c r="AR364" s="26"/>
    </row>
    <row r="365" spans="1:44" ht="15.75" x14ac:dyDescent="0.25">
      <c r="A365" s="30"/>
      <c r="B365" s="13" t="s">
        <v>677</v>
      </c>
      <c r="C365" s="4" t="s">
        <v>687</v>
      </c>
      <c r="D365" s="5" t="s">
        <v>688</v>
      </c>
      <c r="E365" s="6" t="s">
        <v>680</v>
      </c>
      <c r="F365" s="7" t="e">
        <f>G365+SUMIF('[1]mouvement toshiba'!B:B,"=Tête thermique B-SX4 toshiba (ASYB-HEAD2-SX-R FRU)",'[1]mouvement toshiba'!G:G)</f>
        <v>#VALUE!</v>
      </c>
      <c r="G365" s="6">
        <v>2</v>
      </c>
      <c r="H365" s="6">
        <v>1</v>
      </c>
      <c r="I365" s="1" t="e">
        <f t="shared" si="24"/>
        <v>#VALUE!</v>
      </c>
      <c r="J365" s="11">
        <v>232</v>
      </c>
      <c r="K365" s="12" t="e">
        <f t="shared" si="25"/>
        <v>#VALUE!</v>
      </c>
      <c r="L365" s="30"/>
      <c r="M365" s="30"/>
      <c r="N365" s="30"/>
      <c r="O365" s="30"/>
      <c r="P365" s="30"/>
      <c r="Q365" s="30"/>
      <c r="R365" s="30"/>
      <c r="S365" s="30">
        <v>0</v>
      </c>
      <c r="T365" s="26"/>
      <c r="U365" s="26"/>
      <c r="V365" s="26"/>
      <c r="W365" s="26"/>
      <c r="X365" s="26"/>
      <c r="Y365" s="26"/>
      <c r="Z365" s="26"/>
      <c r="AA365" s="26"/>
      <c r="AB365" s="26"/>
      <c r="AC365" s="26"/>
      <c r="AD365" s="26"/>
      <c r="AE365" s="26"/>
      <c r="AF365" s="26"/>
      <c r="AG365" s="26"/>
      <c r="AH365" s="26"/>
      <c r="AI365" s="26"/>
      <c r="AJ365" s="26"/>
      <c r="AK365" s="26"/>
      <c r="AL365" s="26"/>
      <c r="AM365" s="26"/>
      <c r="AN365" s="26"/>
      <c r="AO365" s="26"/>
      <c r="AP365" s="26"/>
      <c r="AQ365" s="26"/>
      <c r="AR365" s="26"/>
    </row>
    <row r="366" spans="1:44" ht="15.75" x14ac:dyDescent="0.25">
      <c r="A366" s="30"/>
      <c r="B366" s="13" t="s">
        <v>677</v>
      </c>
      <c r="C366" s="4" t="s">
        <v>678</v>
      </c>
      <c r="D366" s="5" t="s">
        <v>689</v>
      </c>
      <c r="E366" s="6" t="s">
        <v>26</v>
      </c>
      <c r="F366" s="7" t="e">
        <f>G366+SUMIF('[1]mouvement toshiba'!B:B,"=courroie crantée 124 L 075",'[1]mouvement toshiba'!G:G)</f>
        <v>#VALUE!</v>
      </c>
      <c r="G366" s="6">
        <v>1</v>
      </c>
      <c r="H366" s="6">
        <v>1</v>
      </c>
      <c r="I366" s="1" t="e">
        <f t="shared" si="24"/>
        <v>#VALUE!</v>
      </c>
      <c r="J366" s="11">
        <v>0</v>
      </c>
      <c r="K366" s="12" t="e">
        <f t="shared" si="25"/>
        <v>#VALUE!</v>
      </c>
      <c r="L366" s="30"/>
      <c r="M366" s="13" t="s">
        <v>677</v>
      </c>
      <c r="N366" s="30"/>
      <c r="O366" s="30"/>
      <c r="P366" s="30"/>
      <c r="Q366" s="30"/>
      <c r="R366" s="30"/>
      <c r="S366" s="30">
        <v>1</v>
      </c>
      <c r="T366" s="26"/>
      <c r="U366" s="26"/>
      <c r="V366" s="26"/>
      <c r="W366" s="26"/>
      <c r="X366" s="26"/>
      <c r="Y366" s="26"/>
      <c r="Z366" s="26"/>
      <c r="AA366" s="26"/>
      <c r="AB366" s="26"/>
      <c r="AC366" s="26"/>
      <c r="AD366" s="26"/>
      <c r="AE366" s="26"/>
      <c r="AF366" s="26"/>
      <c r="AG366" s="26"/>
      <c r="AH366" s="26"/>
      <c r="AI366" s="26"/>
      <c r="AJ366" s="26"/>
      <c r="AK366" s="26"/>
      <c r="AL366" s="26"/>
      <c r="AM366" s="26"/>
      <c r="AN366" s="26"/>
      <c r="AO366" s="26"/>
      <c r="AP366" s="26"/>
      <c r="AQ366" s="26"/>
      <c r="AR366" s="26"/>
    </row>
    <row r="367" spans="1:44" ht="15.75" x14ac:dyDescent="0.25">
      <c r="A367" s="30"/>
      <c r="B367" s="13" t="s">
        <v>677</v>
      </c>
      <c r="C367" s="4" t="s">
        <v>690</v>
      </c>
      <c r="D367" s="5" t="s">
        <v>691</v>
      </c>
      <c r="E367" s="6" t="s">
        <v>26</v>
      </c>
      <c r="F367" s="7" t="e">
        <f>G367+SUMIF('[1]mouvement toshiba'!B:B,"=détecteur photoélectrique",'[1]mouvement toshiba'!G:G)</f>
        <v>#VALUE!</v>
      </c>
      <c r="G367" s="6">
        <v>1</v>
      </c>
      <c r="H367" s="6">
        <v>1</v>
      </c>
      <c r="I367" s="1" t="e">
        <f t="shared" si="24"/>
        <v>#VALUE!</v>
      </c>
      <c r="J367" s="11">
        <v>0</v>
      </c>
      <c r="K367" s="12" t="e">
        <f t="shared" si="25"/>
        <v>#VALUE!</v>
      </c>
      <c r="L367" s="30"/>
      <c r="M367" s="35" t="e">
        <f>SUM(K361:K367)</f>
        <v>#VALUE!</v>
      </c>
      <c r="N367" s="30"/>
      <c r="O367" s="30"/>
      <c r="P367" s="30"/>
      <c r="Q367" s="30"/>
      <c r="R367" s="30"/>
      <c r="S367" s="30">
        <v>1</v>
      </c>
      <c r="T367" s="26"/>
      <c r="U367" s="26"/>
      <c r="V367" s="26"/>
      <c r="W367" s="26"/>
      <c r="X367" s="26"/>
      <c r="Y367" s="26"/>
      <c r="Z367" s="26"/>
      <c r="AA367" s="26"/>
      <c r="AB367" s="26"/>
      <c r="AC367" s="26"/>
      <c r="AD367" s="26"/>
      <c r="AE367" s="26"/>
      <c r="AF367" s="26"/>
      <c r="AG367" s="26"/>
      <c r="AH367" s="26"/>
      <c r="AI367" s="26"/>
      <c r="AJ367" s="26"/>
      <c r="AK367" s="26"/>
      <c r="AL367" s="26"/>
      <c r="AM367" s="26"/>
      <c r="AN367" s="26"/>
      <c r="AO367" s="26"/>
      <c r="AP367" s="26"/>
      <c r="AQ367" s="26"/>
      <c r="AR367" s="26"/>
    </row>
    <row r="368" spans="1:44" ht="15.75" x14ac:dyDescent="0.25">
      <c r="A368" s="30"/>
      <c r="B368" s="61" t="s">
        <v>692</v>
      </c>
      <c r="C368" s="154" t="s">
        <v>693</v>
      </c>
      <c r="D368" s="5">
        <v>28101450</v>
      </c>
      <c r="E368" s="155" t="s">
        <v>680</v>
      </c>
      <c r="F368" s="156" t="e">
        <f>G368+SUMIF('[1]mouvement toshiba'!B:B,"=courroie crantée 124 L 075",'[1]mouvement toshiba'!G:G)</f>
        <v>#VALUE!</v>
      </c>
      <c r="G368" s="6">
        <v>2</v>
      </c>
      <c r="H368" s="155">
        <v>1</v>
      </c>
      <c r="I368" s="157" t="e">
        <f>IF(F368&lt;H368,"/!\","-")</f>
        <v>#VALUE!</v>
      </c>
      <c r="J368" s="11">
        <v>436.5</v>
      </c>
      <c r="K368" s="158" t="e">
        <f>F368*J368</f>
        <v>#VALUE!</v>
      </c>
      <c r="L368" s="30"/>
      <c r="M368" s="61" t="s">
        <v>692</v>
      </c>
      <c r="N368" s="30"/>
      <c r="O368" s="30"/>
      <c r="P368" s="30"/>
      <c r="Q368" s="30"/>
      <c r="R368" s="30"/>
      <c r="S368" s="30">
        <v>1</v>
      </c>
      <c r="T368" s="26"/>
      <c r="U368" s="26"/>
      <c r="V368" s="26"/>
      <c r="W368" s="26"/>
      <c r="X368" s="26"/>
      <c r="Y368" s="26"/>
      <c r="Z368" s="26"/>
      <c r="AA368" s="26"/>
      <c r="AB368" s="26"/>
      <c r="AC368" s="26"/>
      <c r="AD368" s="26"/>
      <c r="AE368" s="26"/>
      <c r="AF368" s="26"/>
      <c r="AG368" s="26"/>
      <c r="AH368" s="26"/>
      <c r="AI368" s="26"/>
      <c r="AJ368" s="26"/>
      <c r="AK368" s="26"/>
      <c r="AL368" s="26"/>
      <c r="AM368" s="26"/>
      <c r="AN368" s="26"/>
      <c r="AO368" s="26"/>
      <c r="AP368" s="26"/>
      <c r="AQ368" s="26"/>
      <c r="AR368" s="26"/>
    </row>
    <row r="369" spans="1:44" ht="15.75" x14ac:dyDescent="0.25">
      <c r="A369" s="30"/>
      <c r="B369" s="13" t="s">
        <v>694</v>
      </c>
      <c r="C369" s="97" t="s">
        <v>695</v>
      </c>
      <c r="D369" s="5" t="s">
        <v>696</v>
      </c>
      <c r="E369" s="6" t="s">
        <v>697</v>
      </c>
      <c r="F369" s="7" t="e">
        <f>G369+SUMIF('[1]mouvement lynx'!B:B,"=Buze de tete",'[1]mouvement lynx'!G:G)</f>
        <v>#VALUE!</v>
      </c>
      <c r="G369" s="6">
        <v>2</v>
      </c>
      <c r="H369" s="6">
        <v>1</v>
      </c>
      <c r="I369" s="1" t="e">
        <f t="shared" ref="I369:I432" si="26">IF(F369&lt;H369,"/!\","-")</f>
        <v>#VALUE!</v>
      </c>
      <c r="J369" s="11">
        <v>936.7</v>
      </c>
      <c r="K369" s="12" t="e">
        <f t="shared" ref="K369:K374" si="27">F369*J369</f>
        <v>#VALUE!</v>
      </c>
      <c r="L369" s="30"/>
      <c r="M369" s="3" t="e">
        <f>SUM(Tableau113[[#This Row],[prix tot]])</f>
        <v>#VALUE!</v>
      </c>
      <c r="N369" s="30"/>
      <c r="O369" s="30"/>
      <c r="P369" s="30"/>
      <c r="Q369" s="30"/>
      <c r="R369" s="30"/>
      <c r="S369" s="30">
        <v>1</v>
      </c>
      <c r="T369" s="26"/>
      <c r="U369" s="26"/>
      <c r="V369" s="26"/>
      <c r="W369" s="26"/>
      <c r="X369" s="26"/>
      <c r="Y369" s="26"/>
      <c r="Z369" s="26"/>
      <c r="AA369" s="26"/>
      <c r="AB369" s="26"/>
      <c r="AC369" s="26"/>
      <c r="AD369" s="26"/>
      <c r="AE369" s="26"/>
      <c r="AF369" s="26"/>
      <c r="AG369" s="26"/>
      <c r="AH369" s="26"/>
      <c r="AI369" s="26"/>
      <c r="AJ369" s="26"/>
      <c r="AK369" s="26"/>
      <c r="AL369" s="26"/>
      <c r="AM369" s="26"/>
      <c r="AN369" s="26"/>
      <c r="AO369" s="26"/>
      <c r="AP369" s="26"/>
      <c r="AQ369" s="26"/>
      <c r="AR369" s="26"/>
    </row>
    <row r="370" spans="1:44" ht="15.75" x14ac:dyDescent="0.25">
      <c r="A370" s="30"/>
      <c r="B370" s="13" t="s">
        <v>694</v>
      </c>
      <c r="C370" s="14" t="s">
        <v>698</v>
      </c>
      <c r="D370" s="5" t="s">
        <v>699</v>
      </c>
      <c r="E370" s="6" t="s">
        <v>697</v>
      </c>
      <c r="F370" s="7" t="e">
        <f>G370+SUMIF('[1]mouvement lynx'!B:B,"=cellule de détection",'[1]mouvement lynx'!G:G)</f>
        <v>#VALUE!</v>
      </c>
      <c r="G370" s="6">
        <v>1</v>
      </c>
      <c r="H370" s="6">
        <v>1</v>
      </c>
      <c r="I370" s="1" t="e">
        <f t="shared" si="26"/>
        <v>#VALUE!</v>
      </c>
      <c r="J370" s="11">
        <v>205.7</v>
      </c>
      <c r="K370" s="12" t="e">
        <f t="shared" si="27"/>
        <v>#VALUE!</v>
      </c>
      <c r="L370" s="30"/>
      <c r="M370" s="30"/>
      <c r="N370" s="30"/>
      <c r="O370" s="30"/>
      <c r="P370" s="30"/>
      <c r="Q370" s="30"/>
      <c r="R370" s="30"/>
      <c r="S370" s="30">
        <v>1</v>
      </c>
      <c r="T370" s="26"/>
      <c r="U370" s="26"/>
      <c r="V370" s="26"/>
      <c r="W370" s="26"/>
      <c r="X370" s="26"/>
      <c r="Y370" s="26"/>
      <c r="Z370" s="26"/>
      <c r="AA370" s="26"/>
      <c r="AB370" s="26"/>
      <c r="AC370" s="26"/>
      <c r="AD370" s="26"/>
      <c r="AE370" s="26"/>
      <c r="AF370" s="26"/>
      <c r="AG370" s="26"/>
      <c r="AH370" s="26"/>
      <c r="AI370" s="26"/>
      <c r="AJ370" s="26"/>
      <c r="AK370" s="26"/>
      <c r="AL370" s="26"/>
      <c r="AM370" s="26"/>
      <c r="AN370" s="26"/>
      <c r="AO370" s="26"/>
      <c r="AP370" s="26"/>
      <c r="AQ370" s="26"/>
      <c r="AR370" s="26"/>
    </row>
    <row r="371" spans="1:44" ht="15.75" x14ac:dyDescent="0.25">
      <c r="A371" s="30"/>
      <c r="B371" s="13" t="s">
        <v>694</v>
      </c>
      <c r="C371" s="14" t="s">
        <v>700</v>
      </c>
      <c r="D371" s="5" t="s">
        <v>701</v>
      </c>
      <c r="E371" s="6" t="s">
        <v>697</v>
      </c>
      <c r="F371" s="7" t="e">
        <f>G371+SUMIF('[1]mouvement lynx'!B:B,"=tete support",'[1]mouvement lynx'!G:G)</f>
        <v>#VALUE!</v>
      </c>
      <c r="G371" s="6">
        <v>1</v>
      </c>
      <c r="H371" s="6">
        <v>1</v>
      </c>
      <c r="I371" s="1" t="e">
        <f t="shared" si="26"/>
        <v>#VALUE!</v>
      </c>
      <c r="J371" s="11">
        <v>0</v>
      </c>
      <c r="K371" s="12" t="e">
        <f t="shared" si="27"/>
        <v>#VALUE!</v>
      </c>
      <c r="L371" s="30"/>
      <c r="M371" s="30"/>
      <c r="N371" s="30"/>
      <c r="O371" s="30"/>
      <c r="P371" s="30"/>
      <c r="Q371" s="30"/>
      <c r="R371" s="30"/>
      <c r="S371" s="30">
        <v>0</v>
      </c>
      <c r="T371" s="26"/>
      <c r="U371" s="26"/>
      <c r="V371" s="26"/>
      <c r="W371" s="26"/>
      <c r="X371" s="26"/>
      <c r="Y371" s="26"/>
      <c r="Z371" s="26"/>
      <c r="AA371" s="26"/>
      <c r="AB371" s="26"/>
      <c r="AC371" s="26"/>
      <c r="AD371" s="26"/>
      <c r="AE371" s="26"/>
      <c r="AF371" s="26"/>
      <c r="AG371" s="26"/>
      <c r="AH371" s="26"/>
      <c r="AI371" s="26"/>
      <c r="AJ371" s="26"/>
      <c r="AK371" s="26"/>
      <c r="AL371" s="26"/>
      <c r="AM371" s="26"/>
      <c r="AN371" s="26"/>
      <c r="AO371" s="26"/>
      <c r="AP371" s="26"/>
      <c r="AQ371" s="26"/>
      <c r="AR371" s="26"/>
    </row>
    <row r="372" spans="1:44" ht="15.75" x14ac:dyDescent="0.25">
      <c r="A372" s="30"/>
      <c r="B372" s="13" t="s">
        <v>694</v>
      </c>
      <c r="C372" s="14" t="s">
        <v>702</v>
      </c>
      <c r="D372" s="5" t="s">
        <v>703</v>
      </c>
      <c r="E372" s="6" t="s">
        <v>697</v>
      </c>
      <c r="F372" s="7" t="e">
        <f>G372+SUMIF('[1]mouvement lynx'!B:B,"=Kit d'entretien 7900",'[1]mouvement lynx'!G:G)</f>
        <v>#VALUE!</v>
      </c>
      <c r="G372" s="6">
        <v>0</v>
      </c>
      <c r="H372" s="6">
        <v>1</v>
      </c>
      <c r="I372" s="1" t="e">
        <f t="shared" si="26"/>
        <v>#VALUE!</v>
      </c>
      <c r="J372" s="11">
        <v>677</v>
      </c>
      <c r="K372" s="12" t="e">
        <f t="shared" si="27"/>
        <v>#VALUE!</v>
      </c>
      <c r="L372" s="30"/>
      <c r="M372" s="30"/>
      <c r="N372" s="30"/>
      <c r="O372" s="30"/>
      <c r="P372" s="30"/>
      <c r="Q372" s="30"/>
      <c r="R372" s="30"/>
      <c r="S372" s="30">
        <v>0</v>
      </c>
      <c r="T372" s="26"/>
      <c r="U372" s="26"/>
      <c r="V372" s="26"/>
      <c r="W372" s="26"/>
      <c r="X372" s="26"/>
      <c r="Y372" s="26"/>
      <c r="Z372" s="26"/>
      <c r="AA372" s="26"/>
      <c r="AB372" s="26"/>
      <c r="AC372" s="26"/>
      <c r="AD372" s="26"/>
      <c r="AE372" s="26"/>
      <c r="AF372" s="26"/>
      <c r="AG372" s="26"/>
      <c r="AH372" s="26"/>
      <c r="AI372" s="26"/>
      <c r="AJ372" s="26"/>
      <c r="AK372" s="26"/>
      <c r="AL372" s="26"/>
      <c r="AM372" s="26"/>
      <c r="AN372" s="26"/>
      <c r="AO372" s="26"/>
      <c r="AP372" s="26"/>
      <c r="AQ372" s="26"/>
      <c r="AR372" s="26"/>
    </row>
    <row r="373" spans="1:44" ht="15.75" x14ac:dyDescent="0.25">
      <c r="A373" s="30"/>
      <c r="B373" s="13" t="s">
        <v>694</v>
      </c>
      <c r="C373" s="14" t="s">
        <v>704</v>
      </c>
      <c r="D373" s="5" t="s">
        <v>705</v>
      </c>
      <c r="E373" s="6" t="s">
        <v>697</v>
      </c>
      <c r="F373" s="7" t="e">
        <f>G373+SUMIF('[1]mouvement lynx'!B:B,"=Kit de maintenance 5900/7300",'[1]mouvement lynx'!G:G)</f>
        <v>#VALUE!</v>
      </c>
      <c r="G373" s="6">
        <v>0</v>
      </c>
      <c r="H373" s="6">
        <v>2</v>
      </c>
      <c r="I373" s="1" t="e">
        <f t="shared" si="26"/>
        <v>#VALUE!</v>
      </c>
      <c r="J373" s="11">
        <v>548</v>
      </c>
      <c r="K373" s="12" t="e">
        <f t="shared" si="27"/>
        <v>#VALUE!</v>
      </c>
      <c r="L373" s="30"/>
      <c r="M373" s="13" t="s">
        <v>694</v>
      </c>
      <c r="N373" s="30"/>
      <c r="O373" s="30"/>
      <c r="P373" s="30"/>
      <c r="Q373" s="30"/>
      <c r="R373" s="30"/>
      <c r="S373" s="30">
        <v>0</v>
      </c>
      <c r="T373" s="26"/>
      <c r="U373" s="26"/>
      <c r="V373" s="26"/>
      <c r="W373" s="26"/>
      <c r="X373" s="26"/>
      <c r="Y373" s="26"/>
      <c r="Z373" s="26"/>
      <c r="AA373" s="26"/>
      <c r="AB373" s="26"/>
      <c r="AC373" s="26"/>
      <c r="AD373" s="26"/>
      <c r="AE373" s="26"/>
      <c r="AF373" s="26"/>
      <c r="AG373" s="26"/>
      <c r="AH373" s="26"/>
      <c r="AI373" s="26"/>
      <c r="AJ373" s="26"/>
      <c r="AK373" s="26"/>
      <c r="AL373" s="26"/>
      <c r="AM373" s="26"/>
      <c r="AN373" s="26"/>
      <c r="AO373" s="26"/>
      <c r="AP373" s="26"/>
      <c r="AQ373" s="26"/>
      <c r="AR373" s="26"/>
    </row>
    <row r="374" spans="1:44" ht="15.75" x14ac:dyDescent="0.25">
      <c r="A374" s="30"/>
      <c r="B374" s="13" t="s">
        <v>694</v>
      </c>
      <c r="C374" s="14" t="s">
        <v>706</v>
      </c>
      <c r="D374" s="5" t="s">
        <v>707</v>
      </c>
      <c r="E374" s="6" t="s">
        <v>697</v>
      </c>
      <c r="F374" s="7" t="e">
        <f>G374+SUMIF('[1]mouvement lynx'!B:B,"=tube damper drain",'[1]mouvement lynx'!G:G)</f>
        <v>#VALUE!</v>
      </c>
      <c r="G374" s="6">
        <v>0</v>
      </c>
      <c r="H374" s="6">
        <v>1</v>
      </c>
      <c r="I374" s="1" t="e">
        <f t="shared" si="26"/>
        <v>#VALUE!</v>
      </c>
      <c r="J374" s="11">
        <v>0</v>
      </c>
      <c r="K374" s="12" t="e">
        <f t="shared" si="27"/>
        <v>#VALUE!</v>
      </c>
      <c r="L374" s="30"/>
      <c r="M374" s="35" t="e">
        <f>SUM(K370:K374)</f>
        <v>#VALUE!</v>
      </c>
      <c r="N374" s="30"/>
      <c r="O374" s="30"/>
      <c r="P374" s="30"/>
      <c r="Q374" s="30"/>
      <c r="R374" s="30"/>
      <c r="S374" s="30">
        <v>1</v>
      </c>
      <c r="T374" s="26"/>
      <c r="U374" s="26"/>
      <c r="V374" s="26"/>
      <c r="W374" s="26"/>
      <c r="X374" s="26"/>
      <c r="Y374" s="26"/>
      <c r="Z374" s="26"/>
      <c r="AA374" s="26"/>
      <c r="AB374" s="26"/>
      <c r="AC374" s="26"/>
      <c r="AD374" s="26"/>
      <c r="AE374" s="26"/>
      <c r="AF374" s="26"/>
      <c r="AG374" s="26"/>
      <c r="AH374" s="26"/>
      <c r="AI374" s="26"/>
      <c r="AJ374" s="26"/>
      <c r="AK374" s="26"/>
      <c r="AL374" s="26"/>
      <c r="AM374" s="26"/>
      <c r="AN374" s="26"/>
      <c r="AO374" s="26"/>
      <c r="AP374" s="26"/>
      <c r="AQ374" s="26"/>
      <c r="AR374" s="26"/>
    </row>
    <row r="375" spans="1:44" ht="15.75" x14ac:dyDescent="0.25">
      <c r="A375" s="30"/>
      <c r="B375" s="13" t="s">
        <v>708</v>
      </c>
      <c r="C375" s="159" t="s">
        <v>709</v>
      </c>
      <c r="D375" s="160">
        <v>100017013</v>
      </c>
      <c r="E375" s="161" t="s">
        <v>22</v>
      </c>
      <c r="F375" s="162" t="e">
        <f>G375+SUMIF('[1]mouv MULTIVAC R230 et R240'!B:B,"=clapet antiretour Gaz R230",'[1]mouv MULTIVAC R230 et R240'!G:G)</f>
        <v>#VALUE!</v>
      </c>
      <c r="G375" s="163">
        <v>0</v>
      </c>
      <c r="H375" s="163">
        <v>0</v>
      </c>
      <c r="I375" s="1" t="e">
        <f t="shared" si="26"/>
        <v>#VALUE!</v>
      </c>
      <c r="J375" s="164">
        <v>50.37</v>
      </c>
      <c r="K375" s="165" t="e">
        <f>J375*F375</f>
        <v>#VALUE!</v>
      </c>
      <c r="L375" s="30"/>
      <c r="M375" s="30"/>
      <c r="N375" s="30"/>
      <c r="O375" s="30"/>
      <c r="P375" s="30"/>
      <c r="Q375" s="30"/>
      <c r="R375" s="30"/>
      <c r="S375" s="30">
        <v>0</v>
      </c>
      <c r="T375" s="26"/>
      <c r="U375" s="26"/>
      <c r="V375" s="26"/>
      <c r="W375" s="26"/>
      <c r="X375" s="26"/>
      <c r="Y375" s="26"/>
      <c r="Z375" s="26"/>
      <c r="AA375" s="26"/>
      <c r="AB375" s="26"/>
      <c r="AC375" s="26"/>
      <c r="AD375" s="26"/>
      <c r="AE375" s="26"/>
      <c r="AF375" s="26"/>
      <c r="AG375" s="26"/>
      <c r="AH375" s="26"/>
      <c r="AI375" s="26"/>
      <c r="AJ375" s="26"/>
      <c r="AK375" s="26"/>
      <c r="AL375" s="26"/>
      <c r="AM375" s="26"/>
      <c r="AN375" s="26"/>
      <c r="AO375" s="26"/>
      <c r="AP375" s="26"/>
      <c r="AQ375" s="26"/>
      <c r="AR375" s="26"/>
    </row>
    <row r="376" spans="1:44" ht="15.75" x14ac:dyDescent="0.25">
      <c r="A376" s="30"/>
      <c r="B376" s="13" t="s">
        <v>708</v>
      </c>
      <c r="C376" s="166" t="s">
        <v>710</v>
      </c>
      <c r="D376" s="167">
        <v>105438247</v>
      </c>
      <c r="E376" s="161" t="s">
        <v>22</v>
      </c>
      <c r="F376" s="162" t="e">
        <f>G376+SUMIF('[1]mouv MULTIVAC R230 et R240'!B:B,"=Plaque de chauffe inférieur 240",'[1]mouv MULTIVAC R230 et R240'!G:G)</f>
        <v>#VALUE!</v>
      </c>
      <c r="G376" s="163">
        <v>1</v>
      </c>
      <c r="H376" s="167">
        <v>1</v>
      </c>
      <c r="I376" s="1" t="e">
        <f t="shared" si="26"/>
        <v>#VALUE!</v>
      </c>
      <c r="J376" s="168">
        <v>2215.19</v>
      </c>
      <c r="K376" s="165" t="e">
        <f t="shared" ref="K376:K439" si="28">J376*F376</f>
        <v>#VALUE!</v>
      </c>
      <c r="L376" s="30"/>
      <c r="M376" s="30"/>
      <c r="N376" s="30"/>
      <c r="O376" s="30"/>
      <c r="P376" s="30"/>
      <c r="Q376" s="30"/>
      <c r="R376" s="30"/>
      <c r="S376" s="30">
        <v>1</v>
      </c>
      <c r="T376" s="26"/>
      <c r="U376" s="26"/>
      <c r="V376" s="26"/>
      <c r="W376" s="26"/>
      <c r="X376" s="26"/>
      <c r="Y376" s="26"/>
      <c r="Z376" s="26"/>
      <c r="AA376" s="26"/>
      <c r="AB376" s="26"/>
      <c r="AC376" s="26"/>
      <c r="AD376" s="26"/>
      <c r="AE376" s="26"/>
      <c r="AF376" s="26"/>
      <c r="AG376" s="26"/>
      <c r="AH376" s="26"/>
      <c r="AI376" s="26"/>
      <c r="AJ376" s="26"/>
      <c r="AK376" s="26"/>
      <c r="AL376" s="26"/>
      <c r="AM376" s="26"/>
      <c r="AN376" s="26"/>
      <c r="AO376" s="26"/>
      <c r="AP376" s="26"/>
      <c r="AQ376" s="26"/>
      <c r="AR376" s="26"/>
    </row>
    <row r="377" spans="1:44" ht="15.75" x14ac:dyDescent="0.25">
      <c r="A377" s="30"/>
      <c r="B377" s="13" t="s">
        <v>708</v>
      </c>
      <c r="C377" s="169" t="s">
        <v>711</v>
      </c>
      <c r="D377" s="167">
        <v>105438400</v>
      </c>
      <c r="E377" s="161" t="s">
        <v>22</v>
      </c>
      <c r="F377" s="162" t="e">
        <f>G377+SUMIF('[1]mouv MULTIVAC R230 et R240'!B:B,"=Plaque de soudure 240",'[1]mouv MULTIVAC R230 et R240'!G:G)</f>
        <v>#VALUE!</v>
      </c>
      <c r="G377" s="163">
        <v>1</v>
      </c>
      <c r="H377" s="167">
        <v>1</v>
      </c>
      <c r="I377" s="1" t="e">
        <f t="shared" si="26"/>
        <v>#VALUE!</v>
      </c>
      <c r="J377" s="168">
        <v>1836.71</v>
      </c>
      <c r="K377" s="165" t="e">
        <f t="shared" si="28"/>
        <v>#VALUE!</v>
      </c>
      <c r="L377" s="30"/>
      <c r="M377" s="30"/>
      <c r="N377" s="30"/>
      <c r="O377" s="30"/>
      <c r="P377" s="30"/>
      <c r="Q377" s="30"/>
      <c r="R377" s="30"/>
      <c r="S377" s="30">
        <v>0</v>
      </c>
      <c r="T377" s="26"/>
      <c r="U377" s="26"/>
      <c r="V377" s="26"/>
      <c r="W377" s="26"/>
      <c r="X377" s="26"/>
      <c r="Y377" s="26"/>
      <c r="Z377" s="26"/>
      <c r="AA377" s="26"/>
      <c r="AB377" s="26"/>
      <c r="AC377" s="26"/>
      <c r="AD377" s="26"/>
      <c r="AE377" s="26"/>
      <c r="AF377" s="26"/>
      <c r="AG377" s="26"/>
      <c r="AH377" s="26"/>
      <c r="AI377" s="26"/>
      <c r="AJ377" s="26"/>
      <c r="AK377" s="26"/>
      <c r="AL377" s="26"/>
      <c r="AM377" s="26"/>
      <c r="AN377" s="26"/>
      <c r="AO377" s="26"/>
      <c r="AP377" s="26"/>
      <c r="AQ377" s="26"/>
      <c r="AR377" s="26"/>
    </row>
    <row r="378" spans="1:44" ht="15.75" x14ac:dyDescent="0.25">
      <c r="A378" s="30"/>
      <c r="B378" s="13" t="s">
        <v>708</v>
      </c>
      <c r="C378" s="166" t="s">
        <v>712</v>
      </c>
      <c r="D378" s="167">
        <v>105439078</v>
      </c>
      <c r="E378" s="161" t="s">
        <v>22</v>
      </c>
      <c r="F378" s="162" t="e">
        <f>G378+SUMIF('[1]mouv MULTIVAC R230 et R240'!B:B,"=Zone froide R240/230",'[1]mouv MULTIVAC R230 et R240'!G:G)</f>
        <v>#VALUE!</v>
      </c>
      <c r="G378" s="163">
        <v>4</v>
      </c>
      <c r="H378" s="167">
        <v>4</v>
      </c>
      <c r="I378" s="1" t="e">
        <f t="shared" si="26"/>
        <v>#VALUE!</v>
      </c>
      <c r="J378" s="168">
        <v>93.26</v>
      </c>
      <c r="K378" s="165" t="e">
        <f t="shared" si="28"/>
        <v>#VALUE!</v>
      </c>
      <c r="L378" s="30"/>
      <c r="M378" s="30"/>
      <c r="N378" s="30"/>
      <c r="O378" s="30"/>
      <c r="P378" s="30"/>
      <c r="Q378" s="30"/>
      <c r="R378" s="30"/>
      <c r="S378" s="30">
        <v>1</v>
      </c>
      <c r="T378" s="26"/>
      <c r="U378" s="26"/>
      <c r="V378" s="26"/>
      <c r="W378" s="26"/>
      <c r="X378" s="26"/>
      <c r="Y378" s="26"/>
      <c r="Z378" s="26"/>
      <c r="AA378" s="26"/>
      <c r="AB378" s="26"/>
      <c r="AC378" s="26"/>
      <c r="AD378" s="26"/>
      <c r="AE378" s="26"/>
      <c r="AF378" s="26"/>
      <c r="AG378" s="26"/>
      <c r="AH378" s="26"/>
      <c r="AI378" s="26"/>
      <c r="AJ378" s="26"/>
      <c r="AK378" s="26"/>
      <c r="AL378" s="26"/>
      <c r="AM378" s="26"/>
      <c r="AN378" s="26"/>
      <c r="AO378" s="26"/>
      <c r="AP378" s="26"/>
      <c r="AQ378" s="26"/>
      <c r="AR378" s="26"/>
    </row>
    <row r="379" spans="1:44" ht="15.75" x14ac:dyDescent="0.25">
      <c r="A379" s="30"/>
      <c r="B379" s="13" t="s">
        <v>708</v>
      </c>
      <c r="C379" s="166" t="s">
        <v>713</v>
      </c>
      <c r="D379" s="167">
        <v>105440648</v>
      </c>
      <c r="E379" s="161" t="s">
        <v>22</v>
      </c>
      <c r="F379" s="162" t="e">
        <f>G379+SUMIF('[1]mouv MULTIVAC R230 et R240'!B:B,"=Joint de soudure 2 voies 2 rangées R240",'[1]mouv MULTIVAC R230 et R240'!G:G)</f>
        <v>#VALUE!</v>
      </c>
      <c r="G379" s="163">
        <v>2</v>
      </c>
      <c r="H379" s="167">
        <v>2</v>
      </c>
      <c r="I379" s="1" t="e">
        <f t="shared" si="26"/>
        <v>#VALUE!</v>
      </c>
      <c r="J379" s="168">
        <v>102.66</v>
      </c>
      <c r="K379" s="165" t="e">
        <f t="shared" si="28"/>
        <v>#VALUE!</v>
      </c>
      <c r="L379" s="30"/>
      <c r="M379" s="30"/>
      <c r="N379" s="30"/>
      <c r="O379" s="30"/>
      <c r="P379" s="30"/>
      <c r="Q379" s="30"/>
      <c r="R379" s="30"/>
      <c r="S379" s="30">
        <v>1</v>
      </c>
      <c r="T379" s="26"/>
      <c r="U379" s="26"/>
      <c r="V379" s="26"/>
      <c r="W379" s="26"/>
      <c r="X379" s="26"/>
      <c r="Y379" s="26"/>
      <c r="Z379" s="26"/>
      <c r="AA379" s="26"/>
      <c r="AB379" s="26"/>
      <c r="AC379" s="26"/>
      <c r="AD379" s="26"/>
      <c r="AE379" s="26"/>
      <c r="AF379" s="26"/>
      <c r="AG379" s="26"/>
      <c r="AH379" s="26"/>
      <c r="AI379" s="26"/>
      <c r="AJ379" s="26"/>
      <c r="AK379" s="26"/>
      <c r="AL379" s="26"/>
      <c r="AM379" s="26"/>
      <c r="AN379" s="26"/>
      <c r="AO379" s="26"/>
      <c r="AP379" s="26"/>
      <c r="AQ379" s="26"/>
      <c r="AR379" s="26"/>
    </row>
    <row r="380" spans="1:44" ht="15.75" x14ac:dyDescent="0.25">
      <c r="A380" s="30"/>
      <c r="B380" s="13" t="s">
        <v>708</v>
      </c>
      <c r="C380" s="166" t="s">
        <v>714</v>
      </c>
      <c r="D380" s="167">
        <v>106520411</v>
      </c>
      <c r="E380" s="161" t="s">
        <v>22</v>
      </c>
      <c r="F380" s="162" t="e">
        <f>G380+SUMIF('[1]mouv MULTIVAC R230 et R240'!B:B,"=Plaque de chauffe 230",'[1]mouv MULTIVAC R230 et R240'!G:G)</f>
        <v>#VALUE!</v>
      </c>
      <c r="G380" s="163">
        <v>1</v>
      </c>
      <c r="H380" s="167">
        <v>1</v>
      </c>
      <c r="I380" s="1" t="e">
        <f t="shared" si="26"/>
        <v>#VALUE!</v>
      </c>
      <c r="J380" s="168">
        <v>1514.81</v>
      </c>
      <c r="K380" s="165" t="e">
        <f t="shared" si="28"/>
        <v>#VALUE!</v>
      </c>
      <c r="L380" s="30"/>
      <c r="M380" s="30"/>
      <c r="N380" s="30"/>
      <c r="O380" s="30"/>
      <c r="P380" s="30"/>
      <c r="Q380" s="30"/>
      <c r="R380" s="30"/>
      <c r="S380" s="30">
        <v>1</v>
      </c>
      <c r="T380" s="26"/>
      <c r="U380" s="26"/>
      <c r="V380" s="26"/>
      <c r="W380" s="26"/>
      <c r="X380" s="26"/>
      <c r="Y380" s="26"/>
      <c r="Z380" s="26"/>
      <c r="AA380" s="26"/>
      <c r="AB380" s="26"/>
      <c r="AC380" s="26"/>
      <c r="AD380" s="26"/>
      <c r="AE380" s="26"/>
      <c r="AF380" s="26"/>
      <c r="AG380" s="26"/>
      <c r="AH380" s="26"/>
      <c r="AI380" s="26"/>
      <c r="AJ380" s="26"/>
      <c r="AK380" s="26"/>
      <c r="AL380" s="26"/>
      <c r="AM380" s="26"/>
      <c r="AN380" s="26"/>
      <c r="AO380" s="26"/>
      <c r="AP380" s="26"/>
      <c r="AQ380" s="26"/>
      <c r="AR380" s="26"/>
    </row>
    <row r="381" spans="1:44" ht="15.75" x14ac:dyDescent="0.25">
      <c r="A381" s="30"/>
      <c r="B381" s="13" t="s">
        <v>708</v>
      </c>
      <c r="C381" s="166" t="s">
        <v>715</v>
      </c>
      <c r="D381" s="167">
        <v>106521314</v>
      </c>
      <c r="E381" s="161" t="s">
        <v>22</v>
      </c>
      <c r="F381" s="162" t="e">
        <f>G381+SUMIF('[1]mouv MULTIVAC R230 et R240'!B:B,"=Joint de soudure 2 voies 1 rangée R230",'[1]mouv MULTIVAC R230 et R240'!G:G)</f>
        <v>#VALUE!</v>
      </c>
      <c r="G381" s="163">
        <v>3</v>
      </c>
      <c r="H381" s="167">
        <v>1</v>
      </c>
      <c r="I381" s="1" t="e">
        <f t="shared" si="26"/>
        <v>#VALUE!</v>
      </c>
      <c r="J381" s="168">
        <v>56.94</v>
      </c>
      <c r="K381" s="165" t="e">
        <f t="shared" si="28"/>
        <v>#VALUE!</v>
      </c>
      <c r="L381" s="30"/>
      <c r="M381" s="30"/>
      <c r="N381" s="30"/>
      <c r="O381" s="30"/>
      <c r="P381" s="30"/>
      <c r="Q381" s="30"/>
      <c r="R381" s="30"/>
      <c r="S381" s="30">
        <v>1</v>
      </c>
      <c r="T381" s="26"/>
      <c r="U381" s="26"/>
      <c r="V381" s="26"/>
      <c r="W381" s="26"/>
      <c r="X381" s="26"/>
      <c r="Y381" s="26"/>
      <c r="Z381" s="26"/>
      <c r="AA381" s="26"/>
      <c r="AB381" s="26"/>
      <c r="AC381" s="26"/>
      <c r="AD381" s="26"/>
      <c r="AE381" s="26"/>
      <c r="AF381" s="26"/>
      <c r="AG381" s="26"/>
      <c r="AH381" s="26"/>
      <c r="AI381" s="26"/>
      <c r="AJ381" s="26"/>
      <c r="AK381" s="26"/>
      <c r="AL381" s="26"/>
      <c r="AM381" s="26"/>
      <c r="AN381" s="26"/>
      <c r="AO381" s="26"/>
      <c r="AP381" s="26"/>
      <c r="AQ381" s="26"/>
      <c r="AR381" s="26"/>
    </row>
    <row r="382" spans="1:44" ht="15.75" x14ac:dyDescent="0.25">
      <c r="A382" s="30"/>
      <c r="B382" s="13" t="s">
        <v>708</v>
      </c>
      <c r="C382" s="169" t="s">
        <v>716</v>
      </c>
      <c r="D382" s="167">
        <v>106521340</v>
      </c>
      <c r="E382" s="161" t="s">
        <v>22</v>
      </c>
      <c r="F382" s="162" t="e">
        <f>G382+SUMIF('[1]mouv MULTIVAC R230 et R240'!B:B,"=Plaque de soudure R230",'[1]mouv MULTIVAC R230 et R240'!G:G)</f>
        <v>#VALUE!</v>
      </c>
      <c r="G382" s="163">
        <v>1</v>
      </c>
      <c r="H382" s="167">
        <v>1</v>
      </c>
      <c r="I382" s="1" t="e">
        <f t="shared" si="26"/>
        <v>#VALUE!</v>
      </c>
      <c r="J382" s="168">
        <v>1218.03</v>
      </c>
      <c r="K382" s="165" t="e">
        <f t="shared" si="28"/>
        <v>#VALUE!</v>
      </c>
      <c r="L382" s="30"/>
      <c r="M382" s="30"/>
      <c r="N382" s="30"/>
      <c r="O382" s="30"/>
      <c r="P382" s="30"/>
      <c r="Q382" s="30"/>
      <c r="R382" s="30"/>
      <c r="S382" s="30">
        <v>1</v>
      </c>
      <c r="T382" s="26"/>
      <c r="U382" s="26"/>
      <c r="V382" s="26"/>
      <c r="W382" s="26"/>
      <c r="X382" s="26"/>
      <c r="Y382" s="26"/>
      <c r="Z382" s="26"/>
      <c r="AA382" s="26"/>
      <c r="AB382" s="26"/>
      <c r="AC382" s="26"/>
      <c r="AD382" s="26"/>
      <c r="AE382" s="26"/>
      <c r="AF382" s="26"/>
      <c r="AG382" s="26"/>
      <c r="AH382" s="26"/>
      <c r="AI382" s="26"/>
      <c r="AJ382" s="26"/>
      <c r="AK382" s="26"/>
      <c r="AL382" s="26"/>
      <c r="AM382" s="26"/>
      <c r="AN382" s="26"/>
      <c r="AO382" s="26"/>
      <c r="AP382" s="26"/>
      <c r="AQ382" s="26"/>
      <c r="AR382" s="26"/>
    </row>
    <row r="383" spans="1:44" ht="15.75" x14ac:dyDescent="0.25">
      <c r="A383" s="30"/>
      <c r="B383" s="13" t="s">
        <v>708</v>
      </c>
      <c r="C383" s="170" t="s">
        <v>717</v>
      </c>
      <c r="D383" s="167">
        <v>200156169</v>
      </c>
      <c r="E383" s="161" t="s">
        <v>22</v>
      </c>
      <c r="F383" s="162" t="e">
        <f>G383+SUMIF('[1]mouv MULTIVAC R230 et R240'!B:B,"=capteur d'étiquettes optisch L1=50",'[1]mouv MULTIVAC R230 et R240'!G:G)</f>
        <v>#VALUE!</v>
      </c>
      <c r="G383" s="163">
        <v>3</v>
      </c>
      <c r="H383" s="163">
        <v>1</v>
      </c>
      <c r="I383" s="1" t="e">
        <f t="shared" si="26"/>
        <v>#VALUE!</v>
      </c>
      <c r="J383" s="164">
        <v>339.06</v>
      </c>
      <c r="K383" s="165" t="e">
        <f t="shared" si="28"/>
        <v>#VALUE!</v>
      </c>
      <c r="L383" s="30"/>
      <c r="M383" s="30"/>
      <c r="N383" s="30"/>
      <c r="O383" s="30"/>
      <c r="P383" s="30"/>
      <c r="Q383" s="30"/>
      <c r="R383" s="30"/>
      <c r="S383" s="30">
        <v>0</v>
      </c>
      <c r="T383" s="26"/>
      <c r="U383" s="26"/>
      <c r="V383" s="26"/>
      <c r="W383" s="26"/>
      <c r="X383" s="26"/>
      <c r="Y383" s="26"/>
      <c r="Z383" s="26"/>
      <c r="AA383" s="26"/>
      <c r="AB383" s="26"/>
      <c r="AC383" s="26"/>
      <c r="AD383" s="26"/>
      <c r="AE383" s="26"/>
      <c r="AF383" s="26"/>
      <c r="AG383" s="26"/>
      <c r="AH383" s="26"/>
      <c r="AI383" s="26"/>
      <c r="AJ383" s="26"/>
      <c r="AK383" s="26"/>
      <c r="AL383" s="26"/>
      <c r="AM383" s="26"/>
      <c r="AN383" s="26"/>
      <c r="AO383" s="26"/>
      <c r="AP383" s="26"/>
      <c r="AQ383" s="26"/>
      <c r="AR383" s="26"/>
    </row>
    <row r="384" spans="1:44" ht="15.75" x14ac:dyDescent="0.25">
      <c r="A384" s="30"/>
      <c r="B384" s="13" t="s">
        <v>708</v>
      </c>
      <c r="C384" s="170" t="s">
        <v>718</v>
      </c>
      <c r="D384" s="167">
        <v>11450848500</v>
      </c>
      <c r="E384" s="161" t="s">
        <v>22</v>
      </c>
      <c r="F384" s="162" t="e">
        <f>G384+SUMIF('[1]mouv MULTIVAC R230 et R240'!B:B,"=buse de reinjection Gaz",'[1]mouv MULTIVAC R230 et R240'!G:G)</f>
        <v>#VALUE!</v>
      </c>
      <c r="G384" s="163">
        <v>6</v>
      </c>
      <c r="H384" s="163">
        <v>6</v>
      </c>
      <c r="I384" s="1" t="e">
        <f t="shared" si="26"/>
        <v>#VALUE!</v>
      </c>
      <c r="J384" s="164">
        <v>18.63</v>
      </c>
      <c r="K384" s="165" t="e">
        <f t="shared" si="28"/>
        <v>#VALUE!</v>
      </c>
      <c r="L384" s="30"/>
      <c r="M384" s="30"/>
      <c r="N384" s="30"/>
      <c r="O384" s="30"/>
      <c r="P384" s="30"/>
      <c r="Q384" s="30"/>
      <c r="R384" s="30"/>
      <c r="S384" s="30">
        <v>0</v>
      </c>
      <c r="T384" s="26"/>
      <c r="U384" s="26"/>
      <c r="V384" s="26"/>
      <c r="W384" s="26"/>
      <c r="X384" s="26"/>
      <c r="Y384" s="26"/>
      <c r="Z384" s="26"/>
      <c r="AA384" s="26"/>
      <c r="AB384" s="26"/>
      <c r="AC384" s="26"/>
      <c r="AD384" s="26"/>
      <c r="AE384" s="26"/>
      <c r="AF384" s="26"/>
      <c r="AG384" s="26"/>
      <c r="AH384" s="26"/>
      <c r="AI384" s="26"/>
      <c r="AJ384" s="26"/>
      <c r="AK384" s="26"/>
      <c r="AL384" s="26"/>
      <c r="AM384" s="26"/>
      <c r="AN384" s="26"/>
      <c r="AO384" s="26"/>
      <c r="AP384" s="26"/>
      <c r="AQ384" s="26"/>
      <c r="AR384" s="26"/>
    </row>
    <row r="385" spans="1:44" ht="15.75" x14ac:dyDescent="0.25">
      <c r="A385" s="30"/>
      <c r="B385" s="13" t="s">
        <v>708</v>
      </c>
      <c r="C385" s="170" t="s">
        <v>719</v>
      </c>
      <c r="D385" s="167">
        <v>11550936010</v>
      </c>
      <c r="E385" s="161" t="s">
        <v>22</v>
      </c>
      <c r="F385" s="162" t="e">
        <f>G385+SUMIF('[1]mouv MULTIVAC R230 et R240'!B:B,"=douilles",'[1]mouv MULTIVAC R230 et R240'!G:G)</f>
        <v>#VALUE!</v>
      </c>
      <c r="G385" s="163">
        <v>16</v>
      </c>
      <c r="H385" s="163">
        <v>10</v>
      </c>
      <c r="I385" s="1" t="e">
        <f t="shared" si="26"/>
        <v>#VALUE!</v>
      </c>
      <c r="J385" s="164">
        <v>4.8</v>
      </c>
      <c r="K385" s="165" t="e">
        <f t="shared" si="28"/>
        <v>#VALUE!</v>
      </c>
      <c r="L385" s="30"/>
      <c r="M385" s="30"/>
      <c r="N385" s="30"/>
      <c r="O385" s="30"/>
      <c r="P385" s="30"/>
      <c r="Q385" s="30"/>
      <c r="R385" s="30"/>
      <c r="S385" s="30">
        <v>0</v>
      </c>
      <c r="T385" s="26"/>
      <c r="U385" s="26"/>
      <c r="V385" s="26"/>
      <c r="W385" s="26"/>
      <c r="X385" s="26"/>
      <c r="Y385" s="26"/>
      <c r="Z385" s="26"/>
      <c r="AA385" s="26"/>
      <c r="AB385" s="26"/>
      <c r="AC385" s="26"/>
      <c r="AD385" s="26"/>
      <c r="AE385" s="26"/>
      <c r="AF385" s="26"/>
      <c r="AG385" s="26"/>
      <c r="AH385" s="26"/>
      <c r="AI385" s="26"/>
      <c r="AJ385" s="26"/>
      <c r="AK385" s="26"/>
      <c r="AL385" s="26"/>
      <c r="AM385" s="26"/>
      <c r="AN385" s="26"/>
      <c r="AO385" s="26"/>
      <c r="AP385" s="26"/>
      <c r="AQ385" s="26"/>
      <c r="AR385" s="26"/>
    </row>
    <row r="386" spans="1:44" ht="15.75" x14ac:dyDescent="0.25">
      <c r="A386" s="30"/>
      <c r="B386" s="13" t="s">
        <v>708</v>
      </c>
      <c r="C386" s="170" t="s">
        <v>720</v>
      </c>
      <c r="D386" s="167">
        <v>11550939000</v>
      </c>
      <c r="E386" s="161" t="s">
        <v>22</v>
      </c>
      <c r="F386" s="162" t="e">
        <f>G386+SUMIF('[1]mouv MULTIVAC R230 et R240'!B:B,"=bouchon",'[1]mouv MULTIVAC R230 et R240'!G:G)</f>
        <v>#VALUE!</v>
      </c>
      <c r="G386" s="163">
        <v>2</v>
      </c>
      <c r="H386" s="163">
        <v>1</v>
      </c>
      <c r="I386" s="1" t="e">
        <f t="shared" si="26"/>
        <v>#VALUE!</v>
      </c>
      <c r="J386" s="164">
        <v>46.28</v>
      </c>
      <c r="K386" s="165" t="e">
        <f t="shared" si="28"/>
        <v>#VALUE!</v>
      </c>
      <c r="L386" s="30"/>
      <c r="M386" s="30"/>
      <c r="N386" s="30"/>
      <c r="O386" s="30"/>
      <c r="P386" s="30"/>
      <c r="Q386" s="30"/>
      <c r="R386" s="30"/>
      <c r="S386" s="30">
        <v>0</v>
      </c>
      <c r="T386" s="26"/>
      <c r="U386" s="26"/>
      <c r="V386" s="26"/>
      <c r="W386" s="26"/>
      <c r="X386" s="26"/>
      <c r="Y386" s="26"/>
      <c r="Z386" s="26"/>
      <c r="AA386" s="26"/>
      <c r="AB386" s="26"/>
      <c r="AC386" s="26"/>
      <c r="AD386" s="26"/>
      <c r="AE386" s="26"/>
      <c r="AF386" s="26"/>
      <c r="AG386" s="26"/>
      <c r="AH386" s="26"/>
      <c r="AI386" s="26"/>
      <c r="AJ386" s="26"/>
      <c r="AK386" s="26"/>
      <c r="AL386" s="26"/>
      <c r="AM386" s="26"/>
      <c r="AN386" s="26"/>
      <c r="AO386" s="26"/>
      <c r="AP386" s="26"/>
      <c r="AQ386" s="26"/>
      <c r="AR386" s="26"/>
    </row>
    <row r="387" spans="1:44" ht="15.75" x14ac:dyDescent="0.25">
      <c r="A387" s="30"/>
      <c r="B387" s="13" t="s">
        <v>708</v>
      </c>
      <c r="C387" s="166" t="s">
        <v>721</v>
      </c>
      <c r="D387" s="167">
        <v>11550976000</v>
      </c>
      <c r="E387" s="161" t="s">
        <v>22</v>
      </c>
      <c r="F387" s="162" t="e">
        <f>G387+SUMIF('[1]mouv MULTIVAC R230 et R240'!B:B,"=Cale de hauteur 0,2 carré",'[1]mouv MULTIVAC R230 et R240'!G:G)</f>
        <v>#VALUE!</v>
      </c>
      <c r="G387" s="163">
        <v>9</v>
      </c>
      <c r="H387" s="167">
        <v>0</v>
      </c>
      <c r="I387" s="1" t="e">
        <f t="shared" si="26"/>
        <v>#VALUE!</v>
      </c>
      <c r="J387" s="168">
        <v>6.38</v>
      </c>
      <c r="K387" s="165" t="e">
        <f t="shared" si="28"/>
        <v>#VALUE!</v>
      </c>
      <c r="L387" s="30"/>
      <c r="M387" s="30"/>
      <c r="N387" s="30"/>
      <c r="O387" s="30"/>
      <c r="P387" s="30"/>
      <c r="Q387" s="30"/>
      <c r="R387" s="30"/>
      <c r="S387" s="30">
        <v>0</v>
      </c>
      <c r="T387" s="26"/>
      <c r="U387" s="26"/>
      <c r="V387" s="26"/>
      <c r="W387" s="26"/>
      <c r="X387" s="26"/>
      <c r="Y387" s="26"/>
      <c r="Z387" s="26"/>
      <c r="AA387" s="26"/>
      <c r="AB387" s="26"/>
      <c r="AC387" s="26"/>
      <c r="AD387" s="26"/>
      <c r="AE387" s="26"/>
      <c r="AF387" s="26"/>
      <c r="AG387" s="26"/>
      <c r="AH387" s="26"/>
      <c r="AI387" s="26"/>
      <c r="AJ387" s="26"/>
      <c r="AK387" s="26"/>
      <c r="AL387" s="26"/>
      <c r="AM387" s="26"/>
      <c r="AN387" s="26"/>
      <c r="AO387" s="26"/>
      <c r="AP387" s="26"/>
      <c r="AQ387" s="26"/>
      <c r="AR387" s="26"/>
    </row>
    <row r="388" spans="1:44" ht="15.75" x14ac:dyDescent="0.25">
      <c r="A388" s="30"/>
      <c r="B388" s="13" t="s">
        <v>708</v>
      </c>
      <c r="C388" s="166" t="s">
        <v>722</v>
      </c>
      <c r="D388" s="167">
        <v>11557912452</v>
      </c>
      <c r="E388" s="161" t="s">
        <v>22</v>
      </c>
      <c r="F388" s="162" t="e">
        <f>G388+SUMIF('[1]mouv MULTIVAC R230 et R240'!B:B,"=poignée enrouleur de lizière",'[1]mouv MULTIVAC R230 et R240'!G:G)</f>
        <v>#VALUE!</v>
      </c>
      <c r="G388" s="163">
        <v>1</v>
      </c>
      <c r="H388" s="167">
        <v>1</v>
      </c>
      <c r="I388" s="1" t="e">
        <f t="shared" si="26"/>
        <v>#VALUE!</v>
      </c>
      <c r="J388" s="168">
        <v>131.44999999999999</v>
      </c>
      <c r="K388" s="165" t="e">
        <f t="shared" si="28"/>
        <v>#VALUE!</v>
      </c>
      <c r="L388" s="30"/>
      <c r="M388" s="30"/>
      <c r="N388" s="30"/>
      <c r="O388" s="30"/>
      <c r="P388" s="30"/>
      <c r="Q388" s="30"/>
      <c r="R388" s="30"/>
      <c r="S388" s="30">
        <v>0</v>
      </c>
      <c r="T388" s="26"/>
      <c r="U388" s="26"/>
      <c r="V388" s="26"/>
      <c r="W388" s="26"/>
      <c r="X388" s="26"/>
      <c r="Y388" s="26"/>
      <c r="Z388" s="26"/>
      <c r="AA388" s="26"/>
      <c r="AB388" s="26"/>
      <c r="AC388" s="26"/>
      <c r="AD388" s="26"/>
      <c r="AE388" s="26"/>
      <c r="AF388" s="26"/>
      <c r="AG388" s="26"/>
      <c r="AH388" s="26"/>
      <c r="AI388" s="26"/>
      <c r="AJ388" s="26"/>
      <c r="AK388" s="26"/>
      <c r="AL388" s="26"/>
      <c r="AM388" s="26"/>
      <c r="AN388" s="26"/>
      <c r="AO388" s="26"/>
      <c r="AP388" s="26"/>
      <c r="AQ388" s="26"/>
      <c r="AR388" s="26"/>
    </row>
    <row r="389" spans="1:44" ht="15.75" x14ac:dyDescent="0.25">
      <c r="A389" s="30"/>
      <c r="B389" s="13" t="s">
        <v>708</v>
      </c>
      <c r="C389" s="170" t="s">
        <v>723</v>
      </c>
      <c r="D389" s="167">
        <v>11611237001</v>
      </c>
      <c r="E389" s="161" t="s">
        <v>22</v>
      </c>
      <c r="F389" s="162" t="e">
        <f>G389+SUMIF('[1]mouv MULTIVAC R230 et R240'!B:B,"=R230, Rondelle téflons D1-100 D2-36 L1-5 L2-0,5 PA6E",'[1]mouv MULTIVAC R230 et R240'!G:G)</f>
        <v>#VALUE!</v>
      </c>
      <c r="G389" s="163">
        <v>8</v>
      </c>
      <c r="H389" s="163">
        <v>8</v>
      </c>
      <c r="I389" s="1" t="e">
        <f t="shared" si="26"/>
        <v>#VALUE!</v>
      </c>
      <c r="J389" s="164">
        <v>31.01</v>
      </c>
      <c r="K389" s="165" t="e">
        <f t="shared" si="28"/>
        <v>#VALUE!</v>
      </c>
      <c r="L389" s="30"/>
      <c r="M389" s="30"/>
      <c r="N389" s="30"/>
      <c r="O389" s="30"/>
      <c r="P389" s="30"/>
      <c r="Q389" s="30"/>
      <c r="R389" s="30"/>
      <c r="S389" s="30">
        <v>1</v>
      </c>
      <c r="T389" s="26"/>
      <c r="U389" s="26"/>
      <c r="V389" s="26"/>
      <c r="W389" s="26"/>
      <c r="X389" s="26"/>
      <c r="Y389" s="26"/>
      <c r="Z389" s="26"/>
      <c r="AA389" s="26"/>
      <c r="AB389" s="26"/>
      <c r="AC389" s="26"/>
      <c r="AD389" s="26"/>
      <c r="AE389" s="26"/>
      <c r="AF389" s="26"/>
      <c r="AG389" s="26"/>
      <c r="AH389" s="26"/>
      <c r="AI389" s="26"/>
      <c r="AJ389" s="26"/>
      <c r="AK389" s="26"/>
      <c r="AL389" s="26"/>
      <c r="AM389" s="26"/>
      <c r="AN389" s="26"/>
      <c r="AO389" s="26"/>
      <c r="AP389" s="26"/>
      <c r="AQ389" s="26"/>
      <c r="AR389" s="26"/>
    </row>
    <row r="390" spans="1:44" ht="15.75" x14ac:dyDescent="0.25">
      <c r="A390" s="30"/>
      <c r="B390" s="13" t="s">
        <v>708</v>
      </c>
      <c r="C390" s="166" t="s">
        <v>724</v>
      </c>
      <c r="D390" s="167">
        <v>11631017902</v>
      </c>
      <c r="E390" s="161" t="s">
        <v>22</v>
      </c>
      <c r="F390" s="162" t="e">
        <f>G390+SUMIF('[1]mouv MULTIVAC R230 et R240'!B:B,"=Douille rouleau entrée film",'[1]mouv MULTIVAC R230 et R240'!G:G)</f>
        <v>#VALUE!</v>
      </c>
      <c r="G390" s="163">
        <v>1</v>
      </c>
      <c r="H390" s="167">
        <v>0</v>
      </c>
      <c r="I390" s="1" t="e">
        <f t="shared" si="26"/>
        <v>#VALUE!</v>
      </c>
      <c r="J390" s="168">
        <v>69.5</v>
      </c>
      <c r="K390" s="165" t="e">
        <f t="shared" si="28"/>
        <v>#VALUE!</v>
      </c>
      <c r="L390" s="30"/>
      <c r="M390" s="30"/>
      <c r="N390" s="30"/>
      <c r="O390" s="30"/>
      <c r="P390" s="30"/>
      <c r="Q390" s="30"/>
      <c r="R390" s="30"/>
      <c r="S390" s="30">
        <v>0</v>
      </c>
      <c r="T390" s="26"/>
      <c r="U390" s="26"/>
      <c r="V390" s="26"/>
      <c r="W390" s="26"/>
      <c r="X390" s="26"/>
      <c r="Y390" s="26"/>
      <c r="Z390" s="26"/>
      <c r="AA390" s="26"/>
      <c r="AB390" s="26"/>
      <c r="AC390" s="26"/>
      <c r="AD390" s="26"/>
      <c r="AE390" s="26"/>
      <c r="AF390" s="26"/>
      <c r="AG390" s="26"/>
      <c r="AH390" s="26"/>
      <c r="AI390" s="26"/>
      <c r="AJ390" s="26"/>
      <c r="AK390" s="26"/>
      <c r="AL390" s="26"/>
      <c r="AM390" s="26"/>
      <c r="AN390" s="26"/>
      <c r="AO390" s="26"/>
      <c r="AP390" s="26"/>
      <c r="AQ390" s="26"/>
      <c r="AR390" s="26"/>
    </row>
    <row r="391" spans="1:44" ht="15.75" x14ac:dyDescent="0.25">
      <c r="A391" s="30"/>
      <c r="B391" s="13" t="s">
        <v>708</v>
      </c>
      <c r="C391" s="170" t="s">
        <v>725</v>
      </c>
      <c r="D391" s="167">
        <v>11631038043</v>
      </c>
      <c r="E391" s="161" t="s">
        <v>22</v>
      </c>
      <c r="F391" s="162" t="e">
        <f>G391+SUMIF('[1]mouv MULTIVAC R230 et R240'!B:B,"=douilles (guide film sur rouleaux soudure)",'[1]mouv MULTIVAC R230 et R240'!G:G)</f>
        <v>#VALUE!</v>
      </c>
      <c r="G391" s="163">
        <v>8</v>
      </c>
      <c r="H391" s="163">
        <v>2</v>
      </c>
      <c r="I391" s="1" t="e">
        <f t="shared" si="26"/>
        <v>#VALUE!</v>
      </c>
      <c r="J391" s="164">
        <v>13.53</v>
      </c>
      <c r="K391" s="165" t="e">
        <f t="shared" si="28"/>
        <v>#VALUE!</v>
      </c>
      <c r="L391" s="30"/>
      <c r="M391" s="30"/>
      <c r="N391" s="30"/>
      <c r="O391" s="30"/>
      <c r="P391" s="30"/>
      <c r="Q391" s="30"/>
      <c r="R391" s="30"/>
      <c r="S391" s="30">
        <v>1</v>
      </c>
      <c r="T391" s="26"/>
      <c r="U391" s="26"/>
      <c r="V391" s="26"/>
      <c r="W391" s="26"/>
      <c r="X391" s="26"/>
      <c r="Y391" s="26"/>
      <c r="Z391" s="26"/>
      <c r="AA391" s="26"/>
      <c r="AB391" s="26"/>
      <c r="AC391" s="26"/>
      <c r="AD391" s="26"/>
      <c r="AE391" s="26"/>
      <c r="AF391" s="26"/>
      <c r="AG391" s="26"/>
      <c r="AH391" s="26"/>
      <c r="AI391" s="26"/>
      <c r="AJ391" s="26"/>
      <c r="AK391" s="26"/>
      <c r="AL391" s="26"/>
      <c r="AM391" s="26"/>
      <c r="AN391" s="26"/>
      <c r="AO391" s="26"/>
      <c r="AP391" s="26"/>
      <c r="AQ391" s="26"/>
      <c r="AR391" s="26"/>
    </row>
    <row r="392" spans="1:44" ht="15.75" x14ac:dyDescent="0.25">
      <c r="A392" s="30"/>
      <c r="B392" s="13" t="s">
        <v>708</v>
      </c>
      <c r="C392" s="170" t="s">
        <v>726</v>
      </c>
      <c r="D392" s="167">
        <v>11686015800</v>
      </c>
      <c r="E392" s="161" t="s">
        <v>22</v>
      </c>
      <c r="F392" s="162" t="e">
        <f>G392+SUMIF('[1]mouv MULTIVAC R230 et R240'!B:B,"=fin de course enrouleur de lizières SIEMENS 3se5232-oce12-1cao",'[1]mouv MULTIVAC R230 et R240'!G:G)</f>
        <v>#VALUE!</v>
      </c>
      <c r="G392" s="163">
        <v>2</v>
      </c>
      <c r="H392" s="163">
        <v>1</v>
      </c>
      <c r="I392" s="1" t="e">
        <f t="shared" si="26"/>
        <v>#VALUE!</v>
      </c>
      <c r="J392" s="164">
        <v>286.89999999999998</v>
      </c>
      <c r="K392" s="165" t="e">
        <f t="shared" si="28"/>
        <v>#VALUE!</v>
      </c>
      <c r="L392" s="30"/>
      <c r="M392" s="30"/>
      <c r="N392" s="30"/>
      <c r="O392" s="30"/>
      <c r="P392" s="30"/>
      <c r="Q392" s="30"/>
      <c r="R392" s="30"/>
      <c r="S392" s="30">
        <v>0</v>
      </c>
      <c r="T392" s="26"/>
      <c r="U392" s="26"/>
      <c r="V392" s="26"/>
      <c r="W392" s="26"/>
      <c r="X392" s="26"/>
      <c r="Y392" s="26"/>
      <c r="Z392" s="26"/>
      <c r="AA392" s="26"/>
      <c r="AB392" s="26"/>
      <c r="AC392" s="26"/>
      <c r="AD392" s="26"/>
      <c r="AE392" s="26"/>
      <c r="AF392" s="26"/>
      <c r="AG392" s="26"/>
      <c r="AH392" s="26"/>
      <c r="AI392" s="26"/>
      <c r="AJ392" s="26"/>
      <c r="AK392" s="26"/>
      <c r="AL392" s="26"/>
      <c r="AM392" s="26"/>
      <c r="AN392" s="26"/>
      <c r="AO392" s="26"/>
      <c r="AP392" s="26"/>
      <c r="AQ392" s="26"/>
      <c r="AR392" s="26"/>
    </row>
    <row r="393" spans="1:44" ht="15.75" x14ac:dyDescent="0.25">
      <c r="A393" s="30"/>
      <c r="B393" s="13" t="s">
        <v>708</v>
      </c>
      <c r="C393" s="166" t="s">
        <v>727</v>
      </c>
      <c r="D393" s="167">
        <v>19010049435</v>
      </c>
      <c r="E393" s="161" t="s">
        <v>22</v>
      </c>
      <c r="F393" s="162" t="e">
        <f>G393+SUMIF('[1]mouv MULTIVAC R230 et R240'!B:B,"=Membrane de soudure 100X435 R240",'[1]mouv MULTIVAC R230 et R240'!G:G)</f>
        <v>#VALUE!</v>
      </c>
      <c r="G393" s="163">
        <v>1</v>
      </c>
      <c r="H393" s="167">
        <v>2</v>
      </c>
      <c r="I393" s="1" t="e">
        <f t="shared" si="26"/>
        <v>#VALUE!</v>
      </c>
      <c r="J393" s="168">
        <v>91.66</v>
      </c>
      <c r="K393" s="165" t="e">
        <f t="shared" si="28"/>
        <v>#VALUE!</v>
      </c>
      <c r="L393" s="30"/>
      <c r="M393" s="30"/>
      <c r="N393" s="30"/>
      <c r="O393" s="30"/>
      <c r="P393" s="30"/>
      <c r="Q393" s="30"/>
      <c r="R393" s="30"/>
      <c r="S393" s="30">
        <v>1</v>
      </c>
      <c r="T393" s="26"/>
      <c r="U393" s="26"/>
      <c r="V393" s="26"/>
      <c r="W393" s="26"/>
      <c r="X393" s="26"/>
      <c r="Y393" s="26"/>
      <c r="Z393" s="26"/>
      <c r="AA393" s="26"/>
      <c r="AB393" s="26"/>
      <c r="AC393" s="26"/>
      <c r="AD393" s="26"/>
      <c r="AE393" s="26"/>
      <c r="AF393" s="26"/>
      <c r="AG393" s="26"/>
      <c r="AH393" s="26"/>
      <c r="AI393" s="26"/>
      <c r="AJ393" s="26"/>
      <c r="AK393" s="26"/>
      <c r="AL393" s="26"/>
      <c r="AM393" s="26"/>
      <c r="AN393" s="26"/>
      <c r="AO393" s="26"/>
      <c r="AP393" s="26"/>
      <c r="AQ393" s="26"/>
      <c r="AR393" s="26"/>
    </row>
    <row r="394" spans="1:44" ht="15.75" x14ac:dyDescent="0.25">
      <c r="A394" s="30"/>
      <c r="B394" s="13" t="s">
        <v>708</v>
      </c>
      <c r="C394" s="166" t="s">
        <v>728</v>
      </c>
      <c r="D394" s="167">
        <v>19010249315</v>
      </c>
      <c r="E394" s="161" t="s">
        <v>22</v>
      </c>
      <c r="F394" s="162" t="e">
        <f>G394+SUMIF('[1]mouv MULTIVAC R230 et R240'!B:B,"=Membrane de soudure 120X315 R230",'[1]mouv MULTIVAC R230 et R240'!G:G)</f>
        <v>#VALUE!</v>
      </c>
      <c r="G394" s="163">
        <v>2</v>
      </c>
      <c r="H394" s="167">
        <v>1</v>
      </c>
      <c r="I394" s="1" t="e">
        <f t="shared" si="26"/>
        <v>#VALUE!</v>
      </c>
      <c r="J394" s="168">
        <v>91.66</v>
      </c>
      <c r="K394" s="165" t="e">
        <f t="shared" si="28"/>
        <v>#VALUE!</v>
      </c>
      <c r="L394" s="30"/>
      <c r="M394" s="30"/>
      <c r="N394" s="30"/>
      <c r="O394" s="30"/>
      <c r="P394" s="30"/>
      <c r="Q394" s="30"/>
      <c r="R394" s="30"/>
      <c r="S394" s="30">
        <v>1</v>
      </c>
      <c r="T394" s="26"/>
      <c r="U394" s="26"/>
      <c r="V394" s="26"/>
      <c r="W394" s="26"/>
      <c r="X394" s="26"/>
      <c r="Y394" s="26"/>
      <c r="Z394" s="26"/>
      <c r="AA394" s="26"/>
      <c r="AB394" s="26"/>
      <c r="AC394" s="26"/>
      <c r="AD394" s="26"/>
      <c r="AE394" s="26"/>
      <c r="AF394" s="26"/>
      <c r="AG394" s="26"/>
      <c r="AH394" s="26"/>
      <c r="AI394" s="26"/>
      <c r="AJ394" s="26"/>
      <c r="AK394" s="26"/>
      <c r="AL394" s="26"/>
      <c r="AM394" s="26"/>
      <c r="AN394" s="26"/>
      <c r="AO394" s="26"/>
      <c r="AP394" s="26"/>
      <c r="AQ394" s="26"/>
      <c r="AR394" s="26"/>
    </row>
    <row r="395" spans="1:44" ht="15.75" x14ac:dyDescent="0.25">
      <c r="A395" s="30"/>
      <c r="B395" s="13" t="s">
        <v>708</v>
      </c>
      <c r="C395" s="170" t="s">
        <v>729</v>
      </c>
      <c r="D395" s="167">
        <v>19181271474</v>
      </c>
      <c r="E395" s="161" t="s">
        <v>22</v>
      </c>
      <c r="F395" s="162" t="e">
        <f>G395+SUMIF('[1]mouv MULTIVAC R230 et R240'!B:B,"=pochette uv5 joint",'[1]mouv MULTIVAC R230 et R240'!G:G)</f>
        <v>#VALUE!</v>
      </c>
      <c r="G395" s="163">
        <v>19</v>
      </c>
      <c r="H395" s="163">
        <v>10</v>
      </c>
      <c r="I395" s="1" t="e">
        <f t="shared" si="26"/>
        <v>#VALUE!</v>
      </c>
      <c r="J395" s="164">
        <v>31.8</v>
      </c>
      <c r="K395" s="165" t="e">
        <f t="shared" si="28"/>
        <v>#VALUE!</v>
      </c>
      <c r="L395" s="30"/>
      <c r="M395" s="30"/>
      <c r="N395" s="30"/>
      <c r="O395" s="30"/>
      <c r="P395" s="30"/>
      <c r="Q395" s="30"/>
      <c r="R395" s="30"/>
      <c r="S395" s="30">
        <v>1</v>
      </c>
      <c r="T395" s="26"/>
      <c r="U395" s="26"/>
      <c r="V395" s="26"/>
      <c r="W395" s="26"/>
      <c r="X395" s="26"/>
      <c r="Y395" s="26"/>
      <c r="Z395" s="26"/>
      <c r="AA395" s="26"/>
      <c r="AB395" s="26"/>
      <c r="AC395" s="26"/>
      <c r="AD395" s="26"/>
      <c r="AE395" s="26"/>
      <c r="AF395" s="26"/>
      <c r="AG395" s="26"/>
      <c r="AH395" s="26"/>
      <c r="AI395" s="26"/>
      <c r="AJ395" s="26"/>
      <c r="AK395" s="26"/>
      <c r="AL395" s="26"/>
      <c r="AM395" s="26"/>
      <c r="AN395" s="26"/>
      <c r="AO395" s="26"/>
      <c r="AP395" s="26"/>
      <c r="AQ395" s="26"/>
      <c r="AR395" s="26"/>
    </row>
    <row r="396" spans="1:44" ht="15.75" x14ac:dyDescent="0.25">
      <c r="A396" s="30"/>
      <c r="B396" s="13" t="s">
        <v>708</v>
      </c>
      <c r="C396" s="166" t="s">
        <v>730</v>
      </c>
      <c r="D396" s="167">
        <v>19181271484</v>
      </c>
      <c r="E396" s="161" t="s">
        <v>22</v>
      </c>
      <c r="F396" s="162" t="e">
        <f>G396+SUMIF('[1]mouv MULTIVAC R230 et R240'!B:B,"=Pochette UV10",'[1]mouv MULTIVAC R230 et R240'!G:G)</f>
        <v>#VALUE!</v>
      </c>
      <c r="G396" s="163">
        <v>10</v>
      </c>
      <c r="H396" s="167">
        <v>10</v>
      </c>
      <c r="I396" s="1" t="e">
        <f t="shared" si="26"/>
        <v>#VALUE!</v>
      </c>
      <c r="J396" s="168">
        <v>8.2200000000000006</v>
      </c>
      <c r="K396" s="165" t="e">
        <f t="shared" si="28"/>
        <v>#VALUE!</v>
      </c>
      <c r="L396" s="30"/>
      <c r="M396" s="30"/>
      <c r="N396" s="30"/>
      <c r="O396" s="30"/>
      <c r="P396" s="30"/>
      <c r="Q396" s="30"/>
      <c r="R396" s="30"/>
      <c r="S396" s="30">
        <v>1</v>
      </c>
      <c r="T396" s="26"/>
      <c r="U396" s="26"/>
      <c r="V396" s="26"/>
      <c r="W396" s="26"/>
      <c r="X396" s="26"/>
      <c r="Y396" s="26"/>
      <c r="Z396" s="26"/>
      <c r="AA396" s="26"/>
      <c r="AB396" s="26"/>
      <c r="AC396" s="26"/>
      <c r="AD396" s="26"/>
      <c r="AE396" s="26"/>
      <c r="AF396" s="26"/>
      <c r="AG396" s="26"/>
      <c r="AH396" s="26"/>
      <c r="AI396" s="26"/>
      <c r="AJ396" s="26"/>
      <c r="AK396" s="26"/>
      <c r="AL396" s="26"/>
      <c r="AM396" s="26"/>
      <c r="AN396" s="26"/>
      <c r="AO396" s="26"/>
      <c r="AP396" s="26"/>
      <c r="AQ396" s="26"/>
      <c r="AR396" s="26"/>
    </row>
    <row r="397" spans="1:44" ht="15.75" x14ac:dyDescent="0.25">
      <c r="A397" s="30"/>
      <c r="B397" s="13" t="s">
        <v>708</v>
      </c>
      <c r="C397" s="166" t="s">
        <v>731</v>
      </c>
      <c r="D397" s="167">
        <v>19181271706</v>
      </c>
      <c r="E397" s="161" t="s">
        <v>22</v>
      </c>
      <c r="F397" s="162" t="e">
        <f>G397+SUMIF('[1]mouv MULTIVAC R230 et R240'!B:B,"=Joint (d'étanchéité) de soupape gros",'[1]mouv MULTIVAC R230 et R240'!G:G)</f>
        <v>#VALUE!</v>
      </c>
      <c r="G397" s="163">
        <v>8</v>
      </c>
      <c r="H397" s="167">
        <v>6</v>
      </c>
      <c r="I397" s="1" t="e">
        <f t="shared" si="26"/>
        <v>#VALUE!</v>
      </c>
      <c r="J397" s="168">
        <v>49.65</v>
      </c>
      <c r="K397" s="165" t="e">
        <f t="shared" si="28"/>
        <v>#VALUE!</v>
      </c>
      <c r="L397" s="30"/>
      <c r="M397" s="30"/>
      <c r="N397" s="30"/>
      <c r="O397" s="30"/>
      <c r="P397" s="30"/>
      <c r="Q397" s="30"/>
      <c r="R397" s="30"/>
      <c r="S397" s="30">
        <v>1</v>
      </c>
      <c r="T397" s="26"/>
      <c r="U397" s="26"/>
      <c r="V397" s="26"/>
      <c r="W397" s="26"/>
      <c r="X397" s="26"/>
      <c r="Y397" s="26"/>
      <c r="Z397" s="26"/>
      <c r="AA397" s="26"/>
      <c r="AB397" s="26"/>
      <c r="AC397" s="26"/>
      <c r="AD397" s="26"/>
      <c r="AE397" s="26"/>
      <c r="AF397" s="26"/>
      <c r="AG397" s="26"/>
      <c r="AH397" s="26"/>
      <c r="AI397" s="26"/>
      <c r="AJ397" s="26"/>
      <c r="AK397" s="26"/>
      <c r="AL397" s="26"/>
      <c r="AM397" s="26"/>
      <c r="AN397" s="26"/>
      <c r="AO397" s="26"/>
      <c r="AP397" s="26"/>
      <c r="AQ397" s="26"/>
      <c r="AR397" s="26"/>
    </row>
    <row r="398" spans="1:44" ht="15.75" x14ac:dyDescent="0.25">
      <c r="A398" s="30"/>
      <c r="B398" s="13" t="s">
        <v>708</v>
      </c>
      <c r="C398" s="166" t="s">
        <v>732</v>
      </c>
      <c r="D398" s="167">
        <v>19188102018</v>
      </c>
      <c r="E398" s="161" t="s">
        <v>22</v>
      </c>
      <c r="F398" s="162" t="e">
        <f>G398+SUMIF('[1]mouv MULTIVAC R230 et R240'!B:B,"=Résistance blindées",'[1]mouv MULTIVAC R230 et R240'!G:G)</f>
        <v>#VALUE!</v>
      </c>
      <c r="G398" s="163">
        <v>4</v>
      </c>
      <c r="H398" s="167">
        <v>0</v>
      </c>
      <c r="I398" s="1" t="e">
        <f t="shared" si="26"/>
        <v>#VALUE!</v>
      </c>
      <c r="J398" s="168">
        <v>74.290000000000006</v>
      </c>
      <c r="K398" s="165" t="e">
        <f t="shared" si="28"/>
        <v>#VALUE!</v>
      </c>
      <c r="L398" s="30"/>
      <c r="M398" s="30"/>
      <c r="N398" s="30"/>
      <c r="O398" s="30"/>
      <c r="P398" s="30"/>
      <c r="Q398" s="30"/>
      <c r="R398" s="30"/>
      <c r="S398" s="30">
        <v>0</v>
      </c>
      <c r="T398" s="26"/>
      <c r="U398" s="26"/>
      <c r="V398" s="26"/>
      <c r="W398" s="26"/>
      <c r="X398" s="26"/>
      <c r="Y398" s="26"/>
      <c r="Z398" s="26"/>
      <c r="AA398" s="26"/>
      <c r="AB398" s="26"/>
      <c r="AC398" s="26"/>
      <c r="AD398" s="26"/>
      <c r="AE398" s="26"/>
      <c r="AF398" s="26"/>
      <c r="AG398" s="26"/>
      <c r="AH398" s="26"/>
      <c r="AI398" s="26"/>
      <c r="AJ398" s="26"/>
      <c r="AK398" s="26"/>
      <c r="AL398" s="26"/>
      <c r="AM398" s="26"/>
      <c r="AN398" s="26"/>
      <c r="AO398" s="26"/>
      <c r="AP398" s="26"/>
      <c r="AQ398" s="26"/>
      <c r="AR398" s="26"/>
    </row>
    <row r="399" spans="1:44" ht="15.75" x14ac:dyDescent="0.25">
      <c r="A399" s="30"/>
      <c r="B399" s="13" t="s">
        <v>708</v>
      </c>
      <c r="C399" s="166" t="s">
        <v>733</v>
      </c>
      <c r="D399" s="167">
        <v>19781202000</v>
      </c>
      <c r="E399" s="161" t="s">
        <v>22</v>
      </c>
      <c r="F399" s="162" t="e">
        <f>G399+SUMIF('[1]mouv MULTIVAC R230 et R240'!B:B,"=Ressort de soudure ou de pression",'[1]mouv MULTIVAC R230 et R240'!G:G)</f>
        <v>#VALUE!</v>
      </c>
      <c r="G399" s="163">
        <v>24</v>
      </c>
      <c r="H399" s="167">
        <v>24</v>
      </c>
      <c r="I399" s="1" t="e">
        <f t="shared" si="26"/>
        <v>#VALUE!</v>
      </c>
      <c r="J399" s="168">
        <v>3.32</v>
      </c>
      <c r="K399" s="165" t="e">
        <f t="shared" si="28"/>
        <v>#VALUE!</v>
      </c>
      <c r="L399" s="30"/>
      <c r="M399" s="30"/>
      <c r="N399" s="30"/>
      <c r="O399" s="30"/>
      <c r="P399" s="30"/>
      <c r="Q399" s="30"/>
      <c r="R399" s="30"/>
      <c r="S399" s="30">
        <v>0</v>
      </c>
      <c r="T399" s="26"/>
      <c r="U399" s="26"/>
      <c r="V399" s="26"/>
      <c r="W399" s="26"/>
      <c r="X399" s="26"/>
      <c r="Y399" s="26"/>
      <c r="Z399" s="26"/>
      <c r="AA399" s="26"/>
      <c r="AB399" s="26"/>
      <c r="AC399" s="26"/>
      <c r="AD399" s="26"/>
      <c r="AE399" s="26"/>
      <c r="AF399" s="26"/>
      <c r="AG399" s="26"/>
      <c r="AH399" s="26"/>
      <c r="AI399" s="26"/>
      <c r="AJ399" s="26"/>
      <c r="AK399" s="26"/>
      <c r="AL399" s="26"/>
      <c r="AM399" s="26"/>
      <c r="AN399" s="26"/>
      <c r="AO399" s="26"/>
      <c r="AP399" s="26"/>
      <c r="AQ399" s="26"/>
      <c r="AR399" s="26"/>
    </row>
    <row r="400" spans="1:44" ht="15.75" x14ac:dyDescent="0.25">
      <c r="A400" s="30"/>
      <c r="B400" s="13" t="s">
        <v>708</v>
      </c>
      <c r="C400" s="166" t="s">
        <v>734</v>
      </c>
      <c r="D400" s="167">
        <v>19781384000</v>
      </c>
      <c r="E400" s="161" t="s">
        <v>22</v>
      </c>
      <c r="F400" s="162" t="e">
        <f>G400+SUMIF('[1]mouv MULTIVAC R230 et R240'!B:B,"=Ressort UV10",'[1]mouv MULTIVAC R230 et R240'!G:G)</f>
        <v>#VALUE!</v>
      </c>
      <c r="G400" s="163">
        <v>25</v>
      </c>
      <c r="H400" s="167">
        <v>6</v>
      </c>
      <c r="I400" s="1" t="e">
        <f t="shared" si="26"/>
        <v>#VALUE!</v>
      </c>
      <c r="J400" s="168">
        <v>8.67</v>
      </c>
      <c r="K400" s="165" t="e">
        <f t="shared" si="28"/>
        <v>#VALUE!</v>
      </c>
      <c r="L400" s="30"/>
      <c r="M400" s="30"/>
      <c r="N400" s="30"/>
      <c r="O400" s="30"/>
      <c r="P400" s="30"/>
      <c r="Q400" s="30"/>
      <c r="R400" s="30"/>
      <c r="S400" s="30">
        <v>0</v>
      </c>
      <c r="T400" s="26"/>
      <c r="U400" s="26"/>
      <c r="V400" s="26"/>
      <c r="W400" s="26"/>
      <c r="X400" s="26"/>
      <c r="Y400" s="26"/>
      <c r="Z400" s="26"/>
      <c r="AA400" s="26"/>
      <c r="AB400" s="26"/>
      <c r="AC400" s="26"/>
      <c r="AD400" s="26"/>
      <c r="AE400" s="26"/>
      <c r="AF400" s="26"/>
      <c r="AG400" s="26"/>
      <c r="AH400" s="26"/>
      <c r="AI400" s="26"/>
      <c r="AJ400" s="26"/>
      <c r="AK400" s="26"/>
      <c r="AL400" s="26"/>
      <c r="AM400" s="26"/>
      <c r="AN400" s="26"/>
      <c r="AO400" s="26"/>
      <c r="AP400" s="26"/>
      <c r="AQ400" s="26"/>
      <c r="AR400" s="26"/>
    </row>
    <row r="401" spans="1:44" ht="15.75" x14ac:dyDescent="0.25">
      <c r="A401" s="30"/>
      <c r="B401" s="13" t="s">
        <v>708</v>
      </c>
      <c r="C401" s="170" t="s">
        <v>735</v>
      </c>
      <c r="D401" s="167">
        <v>19784201800</v>
      </c>
      <c r="E401" s="161" t="s">
        <v>22</v>
      </c>
      <c r="F401" s="162" t="e">
        <f>G401+SUMIF('[1]mouv MULTIVAC R230 et R240'!B:B,"=ressort de traction D1=18 ( enrouleur)",'[1]mouv MULTIVAC R230 et R240'!G:G)</f>
        <v>#VALUE!</v>
      </c>
      <c r="G401" s="163">
        <v>4</v>
      </c>
      <c r="H401" s="163">
        <v>2</v>
      </c>
      <c r="I401" s="1" t="e">
        <f t="shared" si="26"/>
        <v>#VALUE!</v>
      </c>
      <c r="J401" s="164">
        <v>3.42</v>
      </c>
      <c r="K401" s="165" t="e">
        <f t="shared" si="28"/>
        <v>#VALUE!</v>
      </c>
      <c r="L401" s="30"/>
      <c r="M401" s="30"/>
      <c r="N401" s="30"/>
      <c r="O401" s="30"/>
      <c r="P401" s="30"/>
      <c r="Q401" s="30"/>
      <c r="R401" s="30"/>
      <c r="S401" s="30">
        <v>1</v>
      </c>
      <c r="T401" s="26"/>
      <c r="U401" s="26"/>
      <c r="V401" s="26"/>
      <c r="W401" s="26"/>
      <c r="X401" s="26"/>
      <c r="Y401" s="26"/>
      <c r="Z401" s="26"/>
      <c r="AA401" s="26"/>
      <c r="AB401" s="26"/>
      <c r="AC401" s="26"/>
      <c r="AD401" s="26"/>
      <c r="AE401" s="26"/>
      <c r="AF401" s="26"/>
      <c r="AG401" s="26"/>
      <c r="AH401" s="26"/>
      <c r="AI401" s="26"/>
      <c r="AJ401" s="26"/>
      <c r="AK401" s="26"/>
      <c r="AL401" s="26"/>
      <c r="AM401" s="26"/>
      <c r="AN401" s="26"/>
      <c r="AO401" s="26"/>
      <c r="AP401" s="26"/>
      <c r="AQ401" s="26"/>
      <c r="AR401" s="26"/>
    </row>
    <row r="402" spans="1:44" ht="15.75" x14ac:dyDescent="0.25">
      <c r="A402" s="30"/>
      <c r="B402" s="13" t="s">
        <v>708</v>
      </c>
      <c r="C402" s="170" t="s">
        <v>736</v>
      </c>
      <c r="D402" s="167">
        <v>19785010000</v>
      </c>
      <c r="E402" s="161" t="s">
        <v>22</v>
      </c>
      <c r="F402" s="162" t="e">
        <f>G402+SUMIF('[1]mouv MULTIVAC R230 et R240'!B:B,"=R240 Ressort rappel bras rouleau sup. film de soudure",'[1]mouv MULTIVAC R230 et R240'!G:G)</f>
        <v>#VALUE!</v>
      </c>
      <c r="G402" s="163">
        <v>1</v>
      </c>
      <c r="H402" s="163">
        <v>1</v>
      </c>
      <c r="I402" s="1" t="e">
        <f t="shared" si="26"/>
        <v>#VALUE!</v>
      </c>
      <c r="J402" s="164">
        <v>92.39</v>
      </c>
      <c r="K402" s="165" t="e">
        <f t="shared" si="28"/>
        <v>#VALUE!</v>
      </c>
      <c r="L402" s="30"/>
      <c r="M402" s="30"/>
      <c r="N402" s="30"/>
      <c r="O402" s="30"/>
      <c r="P402" s="30"/>
      <c r="Q402" s="30"/>
      <c r="R402" s="30"/>
      <c r="S402" s="30">
        <v>0</v>
      </c>
      <c r="T402" s="26"/>
      <c r="U402" s="26"/>
      <c r="V402" s="26"/>
      <c r="W402" s="26"/>
      <c r="X402" s="26"/>
      <c r="Y402" s="26"/>
      <c r="Z402" s="26"/>
      <c r="AA402" s="26"/>
      <c r="AB402" s="26"/>
      <c r="AC402" s="26"/>
      <c r="AD402" s="26"/>
      <c r="AE402" s="26"/>
      <c r="AF402" s="26"/>
      <c r="AG402" s="26"/>
      <c r="AH402" s="26"/>
      <c r="AI402" s="26"/>
      <c r="AJ402" s="26"/>
      <c r="AK402" s="26"/>
      <c r="AL402" s="26"/>
      <c r="AM402" s="26"/>
      <c r="AN402" s="26"/>
      <c r="AO402" s="26"/>
      <c r="AP402" s="26"/>
      <c r="AQ402" s="26"/>
      <c r="AR402" s="26"/>
    </row>
    <row r="403" spans="1:44" ht="15.75" x14ac:dyDescent="0.25">
      <c r="A403" s="30"/>
      <c r="B403" s="13" t="s">
        <v>708</v>
      </c>
      <c r="C403" s="170" t="s">
        <v>737</v>
      </c>
      <c r="D403" s="167">
        <v>78100001202</v>
      </c>
      <c r="E403" s="161" t="s">
        <v>22</v>
      </c>
      <c r="F403" s="162" t="e">
        <f>G403+SUMIF('[1]mouv MULTIVAC R230 et R240'!B:B,"=circlip diam12",'[1]mouv MULTIVAC R230 et R240'!G:G)</f>
        <v>#VALUE!</v>
      </c>
      <c r="G403" s="163">
        <v>0</v>
      </c>
      <c r="H403" s="163">
        <v>10</v>
      </c>
      <c r="I403" s="1" t="e">
        <f t="shared" si="26"/>
        <v>#VALUE!</v>
      </c>
      <c r="J403" s="164">
        <v>0.24</v>
      </c>
      <c r="K403" s="165" t="e">
        <f t="shared" si="28"/>
        <v>#VALUE!</v>
      </c>
      <c r="L403" s="30"/>
      <c r="M403" s="30"/>
      <c r="N403" s="30"/>
      <c r="O403" s="30"/>
      <c r="P403" s="30"/>
      <c r="Q403" s="30"/>
      <c r="R403" s="30"/>
      <c r="S403" s="30">
        <v>1</v>
      </c>
      <c r="T403" s="26"/>
      <c r="U403" s="26"/>
      <c r="V403" s="26"/>
      <c r="W403" s="26"/>
      <c r="X403" s="26"/>
      <c r="Y403" s="26"/>
      <c r="Z403" s="26"/>
      <c r="AA403" s="26"/>
      <c r="AB403" s="26"/>
      <c r="AC403" s="26"/>
      <c r="AD403" s="26"/>
      <c r="AE403" s="26"/>
      <c r="AF403" s="26"/>
      <c r="AG403" s="26"/>
      <c r="AH403" s="26"/>
      <c r="AI403" s="26"/>
      <c r="AJ403" s="26"/>
      <c r="AK403" s="26"/>
      <c r="AL403" s="26"/>
      <c r="AM403" s="26"/>
      <c r="AN403" s="26"/>
      <c r="AO403" s="26"/>
      <c r="AP403" s="26"/>
      <c r="AQ403" s="26"/>
      <c r="AR403" s="26"/>
    </row>
    <row r="404" spans="1:44" ht="15.75" x14ac:dyDescent="0.25">
      <c r="A404" s="30"/>
      <c r="B404" s="13" t="s">
        <v>708</v>
      </c>
      <c r="C404" s="166" t="s">
        <v>738</v>
      </c>
      <c r="D404" s="167">
        <v>78100002502</v>
      </c>
      <c r="E404" s="161" t="s">
        <v>22</v>
      </c>
      <c r="F404" s="162" t="e">
        <f>G404+SUMIF('[1]mouv MULTIVAC R230 et R240'!B:B,"=Circlips diam 25",'[1]mouv MULTIVAC R230 et R240'!G:G)</f>
        <v>#VALUE!</v>
      </c>
      <c r="G404" s="163">
        <v>0</v>
      </c>
      <c r="H404" s="167">
        <v>12</v>
      </c>
      <c r="I404" s="1" t="e">
        <f t="shared" si="26"/>
        <v>#VALUE!</v>
      </c>
      <c r="J404" s="168">
        <v>0.92</v>
      </c>
      <c r="K404" s="165" t="e">
        <f t="shared" si="28"/>
        <v>#VALUE!</v>
      </c>
      <c r="L404" s="30"/>
      <c r="M404" s="30"/>
      <c r="N404" s="30"/>
      <c r="O404" s="30"/>
      <c r="P404" s="30"/>
      <c r="Q404" s="30"/>
      <c r="R404" s="30"/>
      <c r="S404" s="30">
        <v>0</v>
      </c>
      <c r="T404" s="26"/>
      <c r="U404" s="26"/>
      <c r="V404" s="26"/>
      <c r="W404" s="26"/>
      <c r="X404" s="26"/>
      <c r="Y404" s="26"/>
      <c r="Z404" s="26"/>
      <c r="AA404" s="26"/>
      <c r="AB404" s="26"/>
      <c r="AC404" s="26"/>
      <c r="AD404" s="26"/>
      <c r="AE404" s="26"/>
      <c r="AF404" s="26"/>
      <c r="AG404" s="26"/>
      <c r="AH404" s="26"/>
      <c r="AI404" s="26"/>
      <c r="AJ404" s="26"/>
      <c r="AK404" s="26"/>
      <c r="AL404" s="26"/>
      <c r="AM404" s="26"/>
      <c r="AN404" s="26"/>
      <c r="AO404" s="26"/>
      <c r="AP404" s="26"/>
      <c r="AQ404" s="26"/>
      <c r="AR404" s="26"/>
    </row>
    <row r="405" spans="1:44" ht="15.75" x14ac:dyDescent="0.25">
      <c r="A405" s="30"/>
      <c r="B405" s="13" t="s">
        <v>708</v>
      </c>
      <c r="C405" s="170" t="s">
        <v>739</v>
      </c>
      <c r="D405" s="167">
        <v>78309010000</v>
      </c>
      <c r="E405" s="161" t="s">
        <v>22</v>
      </c>
      <c r="F405" s="162" t="e">
        <f>G405+SUMIF('[1]mouv MULTIVAC R230 et R240'!B:B,"=bague d'étanchéité 14x10x4 NBN",'[1]mouv MULTIVAC R230 et R240'!G:G)</f>
        <v>#VALUE!</v>
      </c>
      <c r="G405" s="163">
        <v>2</v>
      </c>
      <c r="H405" s="163">
        <v>0</v>
      </c>
      <c r="I405" s="1" t="e">
        <f t="shared" si="26"/>
        <v>#VALUE!</v>
      </c>
      <c r="J405" s="164">
        <v>3.28</v>
      </c>
      <c r="K405" s="165" t="e">
        <f t="shared" si="28"/>
        <v>#VALUE!</v>
      </c>
      <c r="L405" s="30"/>
      <c r="M405" s="30"/>
      <c r="N405" s="30"/>
      <c r="O405" s="30"/>
      <c r="P405" s="30"/>
      <c r="Q405" s="30"/>
      <c r="R405" s="30"/>
      <c r="S405" s="30">
        <v>1</v>
      </c>
      <c r="T405" s="26"/>
      <c r="U405" s="26"/>
      <c r="V405" s="26"/>
      <c r="W405" s="26"/>
      <c r="X405" s="26"/>
      <c r="Y405" s="26"/>
      <c r="Z405" s="26"/>
      <c r="AA405" s="26"/>
      <c r="AB405" s="26"/>
      <c r="AC405" s="26"/>
      <c r="AD405" s="26"/>
      <c r="AE405" s="26"/>
      <c r="AF405" s="26"/>
      <c r="AG405" s="26"/>
      <c r="AH405" s="26"/>
      <c r="AI405" s="26"/>
      <c r="AJ405" s="26"/>
      <c r="AK405" s="26"/>
      <c r="AL405" s="26"/>
      <c r="AM405" s="26"/>
      <c r="AN405" s="26"/>
      <c r="AO405" s="26"/>
      <c r="AP405" s="26"/>
      <c r="AQ405" s="26"/>
      <c r="AR405" s="26"/>
    </row>
    <row r="406" spans="1:44" ht="15.75" x14ac:dyDescent="0.25">
      <c r="A406" s="30"/>
      <c r="B406" s="13" t="s">
        <v>708</v>
      </c>
      <c r="C406" s="170" t="s">
        <v>740</v>
      </c>
      <c r="D406" s="167">
        <v>78310014240</v>
      </c>
      <c r="E406" s="161" t="s">
        <v>22</v>
      </c>
      <c r="F406" s="162" t="e">
        <f>G406+SUMIF('[1]mouv MULTIVAC R230 et R240'!B:B,"=joints levresd1:24 /d2:14/ b1:8",'[1]mouv MULTIVAC R230 et R240'!G:G)</f>
        <v>#VALUE!</v>
      </c>
      <c r="G406" s="163">
        <v>6</v>
      </c>
      <c r="H406" s="163">
        <v>6</v>
      </c>
      <c r="I406" s="1" t="e">
        <f t="shared" si="26"/>
        <v>#VALUE!</v>
      </c>
      <c r="J406" s="164">
        <v>0.91</v>
      </c>
      <c r="K406" s="165" t="e">
        <f t="shared" si="28"/>
        <v>#VALUE!</v>
      </c>
      <c r="L406" s="30"/>
      <c r="M406" s="30"/>
      <c r="N406" s="30"/>
      <c r="O406" s="30"/>
      <c r="P406" s="30"/>
      <c r="Q406" s="30"/>
      <c r="R406" s="30"/>
      <c r="S406" s="30">
        <v>1</v>
      </c>
      <c r="T406" s="26"/>
      <c r="U406" s="26"/>
      <c r="V406" s="26"/>
      <c r="W406" s="26"/>
      <c r="X406" s="26"/>
      <c r="Y406" s="26"/>
      <c r="Z406" s="26"/>
      <c r="AA406" s="26"/>
      <c r="AB406" s="26"/>
      <c r="AC406" s="26"/>
      <c r="AD406" s="26"/>
      <c r="AE406" s="26"/>
      <c r="AF406" s="26"/>
      <c r="AG406" s="26"/>
      <c r="AH406" s="26"/>
      <c r="AI406" s="26"/>
      <c r="AJ406" s="26"/>
      <c r="AK406" s="26"/>
      <c r="AL406" s="26"/>
      <c r="AM406" s="26"/>
      <c r="AN406" s="26"/>
      <c r="AO406" s="26"/>
      <c r="AP406" s="26"/>
      <c r="AQ406" s="26"/>
      <c r="AR406" s="26"/>
    </row>
    <row r="407" spans="1:44" ht="15.75" x14ac:dyDescent="0.25">
      <c r="A407" s="30"/>
      <c r="B407" s="13" t="s">
        <v>708</v>
      </c>
      <c r="C407" s="170" t="s">
        <v>741</v>
      </c>
      <c r="D407" s="167">
        <v>78310345550</v>
      </c>
      <c r="E407" s="161" t="s">
        <v>22</v>
      </c>
      <c r="F407" s="162" t="e">
        <f>G407+SUMIF('[1]mouv MULTIVAC R230 et R240'!B:B,"=joint levre de vide",'[1]mouv MULTIVAC R230 et R240'!G:G)</f>
        <v>#VALUE!</v>
      </c>
      <c r="G407" s="163">
        <v>8</v>
      </c>
      <c r="H407" s="163">
        <v>2</v>
      </c>
      <c r="I407" s="1" t="e">
        <f t="shared" si="26"/>
        <v>#VALUE!</v>
      </c>
      <c r="J407" s="164">
        <v>2.1</v>
      </c>
      <c r="K407" s="165" t="e">
        <f t="shared" si="28"/>
        <v>#VALUE!</v>
      </c>
      <c r="L407" s="30"/>
      <c r="M407" s="30"/>
      <c r="N407" s="30"/>
      <c r="O407" s="30"/>
      <c r="P407" s="30"/>
      <c r="Q407" s="30"/>
      <c r="R407" s="30"/>
      <c r="S407" s="30">
        <v>1</v>
      </c>
      <c r="T407" s="26"/>
      <c r="U407" s="26"/>
      <c r="V407" s="26"/>
      <c r="W407" s="26"/>
      <c r="X407" s="26"/>
      <c r="Y407" s="26"/>
      <c r="Z407" s="26"/>
      <c r="AA407" s="26"/>
      <c r="AB407" s="26"/>
      <c r="AC407" s="26"/>
      <c r="AD407" s="26"/>
      <c r="AE407" s="26"/>
      <c r="AF407" s="26"/>
      <c r="AG407" s="26"/>
      <c r="AH407" s="26"/>
      <c r="AI407" s="26"/>
      <c r="AJ407" s="26"/>
      <c r="AK407" s="26"/>
      <c r="AL407" s="26"/>
      <c r="AM407" s="26"/>
      <c r="AN407" s="26"/>
      <c r="AO407" s="26"/>
      <c r="AP407" s="26"/>
      <c r="AQ407" s="26"/>
      <c r="AR407" s="26"/>
    </row>
    <row r="408" spans="1:44" ht="15.75" x14ac:dyDescent="0.25">
      <c r="A408" s="30"/>
      <c r="B408" s="13" t="s">
        <v>708</v>
      </c>
      <c r="C408" s="170" t="s">
        <v>742</v>
      </c>
      <c r="D408" s="167">
        <v>79633207541</v>
      </c>
      <c r="E408" s="161" t="s">
        <v>22</v>
      </c>
      <c r="F408" s="162" t="e">
        <f>G408+SUMIF('[1]mouv MULTIVAC R230 et R240'!B:B,"=courroie b1:16 l1:375at5 endlos",'[1]mouv MULTIVAC R230 et R240'!G:G)</f>
        <v>#VALUE!</v>
      </c>
      <c r="G408" s="163">
        <v>2</v>
      </c>
      <c r="H408" s="163">
        <v>2</v>
      </c>
      <c r="I408" s="1" t="e">
        <f t="shared" si="26"/>
        <v>#VALUE!</v>
      </c>
      <c r="J408" s="164">
        <v>9.32</v>
      </c>
      <c r="K408" s="165" t="e">
        <f t="shared" si="28"/>
        <v>#VALUE!</v>
      </c>
      <c r="L408" s="30"/>
      <c r="M408" s="30"/>
      <c r="N408" s="30"/>
      <c r="O408" s="30"/>
      <c r="P408" s="30"/>
      <c r="Q408" s="30"/>
      <c r="R408" s="30"/>
      <c r="S408" s="30">
        <v>1</v>
      </c>
      <c r="T408" s="26"/>
      <c r="U408" s="26"/>
      <c r="V408" s="26"/>
      <c r="W408" s="26"/>
      <c r="X408" s="26"/>
      <c r="Y408" s="26"/>
      <c r="Z408" s="26"/>
      <c r="AA408" s="26"/>
      <c r="AB408" s="26"/>
      <c r="AC408" s="26"/>
      <c r="AD408" s="26"/>
      <c r="AE408" s="26"/>
      <c r="AF408" s="26"/>
      <c r="AG408" s="26"/>
      <c r="AH408" s="26"/>
      <c r="AI408" s="26"/>
      <c r="AJ408" s="26"/>
      <c r="AK408" s="26"/>
      <c r="AL408" s="26"/>
      <c r="AM408" s="26"/>
      <c r="AN408" s="26"/>
      <c r="AO408" s="26"/>
      <c r="AP408" s="26"/>
      <c r="AQ408" s="26"/>
      <c r="AR408" s="26"/>
    </row>
    <row r="409" spans="1:44" ht="15.75" x14ac:dyDescent="0.25">
      <c r="A409" s="30"/>
      <c r="B409" s="13" t="s">
        <v>708</v>
      </c>
      <c r="C409" s="170" t="s">
        <v>743</v>
      </c>
      <c r="D409" s="167">
        <v>79633209041</v>
      </c>
      <c r="E409" s="161" t="s">
        <v>22</v>
      </c>
      <c r="F409" s="162" t="e">
        <f>G409+SUMIF('[1]mouv MULTIVAC R230 et R240'!B:B,"=couroie cranté b1:16 l1:450",'[1]mouv MULTIVAC R230 et R240'!G:G)</f>
        <v>#VALUE!</v>
      </c>
      <c r="G409" s="163">
        <v>2</v>
      </c>
      <c r="H409" s="163">
        <v>2</v>
      </c>
      <c r="I409" s="1" t="e">
        <f t="shared" si="26"/>
        <v>#VALUE!</v>
      </c>
      <c r="J409" s="164">
        <v>9.24</v>
      </c>
      <c r="K409" s="165" t="e">
        <f t="shared" si="28"/>
        <v>#VALUE!</v>
      </c>
      <c r="L409" s="30"/>
      <c r="M409" s="30"/>
      <c r="N409" s="30"/>
      <c r="O409" s="30"/>
      <c r="P409" s="30"/>
      <c r="Q409" s="30"/>
      <c r="R409" s="30"/>
      <c r="S409" s="30">
        <v>1</v>
      </c>
      <c r="T409" s="26"/>
      <c r="U409" s="26"/>
      <c r="V409" s="26"/>
      <c r="W409" s="26"/>
      <c r="X409" s="26"/>
      <c r="Y409" s="26"/>
      <c r="Z409" s="26"/>
      <c r="AA409" s="26"/>
      <c r="AB409" s="26"/>
      <c r="AC409" s="26"/>
      <c r="AD409" s="26"/>
      <c r="AE409" s="26"/>
      <c r="AF409" s="26"/>
      <c r="AG409" s="26"/>
      <c r="AH409" s="26"/>
      <c r="AI409" s="26"/>
      <c r="AJ409" s="26"/>
      <c r="AK409" s="26"/>
      <c r="AL409" s="26"/>
      <c r="AM409" s="26"/>
      <c r="AN409" s="26"/>
      <c r="AO409" s="26"/>
      <c r="AP409" s="26"/>
      <c r="AQ409" s="26"/>
      <c r="AR409" s="26"/>
    </row>
    <row r="410" spans="1:44" ht="15.75" x14ac:dyDescent="0.25">
      <c r="A410" s="30"/>
      <c r="B410" s="13" t="s">
        <v>708</v>
      </c>
      <c r="C410" s="170" t="s">
        <v>744</v>
      </c>
      <c r="D410" s="167">
        <v>80209401010</v>
      </c>
      <c r="E410" s="161" t="s">
        <v>22</v>
      </c>
      <c r="F410" s="162" t="e">
        <f>G410+SUMIF('[1]mouv MULTIVAC R230 et R240'!B:B,"=joint levre en k",'[1]mouv MULTIVAC R230 et R240'!G:G)</f>
        <v>#VALUE!</v>
      </c>
      <c r="G410" s="163">
        <v>14</v>
      </c>
      <c r="H410" s="163">
        <v>10</v>
      </c>
      <c r="I410" s="1" t="e">
        <f t="shared" si="26"/>
        <v>#VALUE!</v>
      </c>
      <c r="J410" s="164">
        <v>3.9</v>
      </c>
      <c r="K410" s="165" t="e">
        <f t="shared" si="28"/>
        <v>#VALUE!</v>
      </c>
      <c r="L410" s="30"/>
      <c r="M410" s="30"/>
      <c r="N410" s="30"/>
      <c r="O410" s="30"/>
      <c r="P410" s="30"/>
      <c r="Q410" s="30"/>
      <c r="R410" s="30"/>
      <c r="S410" s="30">
        <v>0</v>
      </c>
      <c r="T410" s="26"/>
      <c r="U410" s="26"/>
      <c r="V410" s="26"/>
      <c r="W410" s="26"/>
      <c r="X410" s="26"/>
      <c r="Y410" s="26"/>
      <c r="Z410" s="26"/>
      <c r="AA410" s="26"/>
      <c r="AB410" s="26"/>
      <c r="AC410" s="26"/>
      <c r="AD410" s="26"/>
      <c r="AE410" s="26"/>
      <c r="AF410" s="26"/>
      <c r="AG410" s="26"/>
      <c r="AH410" s="26"/>
      <c r="AI410" s="26"/>
      <c r="AJ410" s="26"/>
      <c r="AK410" s="26"/>
      <c r="AL410" s="26"/>
      <c r="AM410" s="26"/>
      <c r="AN410" s="26"/>
      <c r="AO410" s="26"/>
      <c r="AP410" s="26"/>
      <c r="AQ410" s="26"/>
      <c r="AR410" s="26"/>
    </row>
    <row r="411" spans="1:44" ht="15.75" x14ac:dyDescent="0.25">
      <c r="A411" s="30"/>
      <c r="B411" s="13" t="s">
        <v>708</v>
      </c>
      <c r="C411" s="166" t="s">
        <v>745</v>
      </c>
      <c r="D411" s="167">
        <v>80255211221</v>
      </c>
      <c r="E411" s="161" t="s">
        <v>22</v>
      </c>
      <c r="F411" s="162" t="e">
        <f>G411+SUMIF('[1]mouv MULTIVAC R230 et R240'!B:B,"=distrib 3/2  frein de film ",'[1]mouv MULTIVAC R230 et R240'!G:G)</f>
        <v>#VALUE!</v>
      </c>
      <c r="G411" s="163">
        <v>2</v>
      </c>
      <c r="H411" s="167">
        <v>1</v>
      </c>
      <c r="I411" s="1" t="e">
        <f t="shared" si="26"/>
        <v>#VALUE!</v>
      </c>
      <c r="J411" s="168">
        <v>148.05000000000001</v>
      </c>
      <c r="K411" s="165" t="e">
        <f t="shared" si="28"/>
        <v>#VALUE!</v>
      </c>
      <c r="L411" s="30"/>
      <c r="M411" s="30"/>
      <c r="N411" s="30"/>
      <c r="O411" s="30"/>
      <c r="P411" s="30"/>
      <c r="Q411" s="30"/>
      <c r="R411" s="30"/>
      <c r="S411" s="30">
        <v>0</v>
      </c>
      <c r="T411" s="26"/>
      <c r="U411" s="26"/>
      <c r="V411" s="26"/>
      <c r="W411" s="26"/>
      <c r="X411" s="26"/>
      <c r="Y411" s="26"/>
      <c r="Z411" s="26"/>
      <c r="AA411" s="26"/>
      <c r="AB411" s="26"/>
      <c r="AC411" s="26"/>
      <c r="AD411" s="26"/>
      <c r="AE411" s="26"/>
      <c r="AF411" s="26"/>
      <c r="AG411" s="26"/>
      <c r="AH411" s="26"/>
      <c r="AI411" s="26"/>
      <c r="AJ411" s="26"/>
      <c r="AK411" s="26"/>
      <c r="AL411" s="26"/>
      <c r="AM411" s="26"/>
      <c r="AN411" s="26"/>
      <c r="AO411" s="26"/>
      <c r="AP411" s="26"/>
      <c r="AQ411" s="26"/>
      <c r="AR411" s="26"/>
    </row>
    <row r="412" spans="1:44" ht="24" x14ac:dyDescent="0.25">
      <c r="A412" s="30"/>
      <c r="B412" s="13" t="s">
        <v>708</v>
      </c>
      <c r="C412" s="170" t="s">
        <v>746</v>
      </c>
      <c r="D412" s="167">
        <v>80255211301</v>
      </c>
      <c r="E412" s="161" t="s">
        <v>22</v>
      </c>
      <c r="F412" s="162" t="e">
        <f>G412+SUMIF('[1]mouv MULTIVAC R230 et R240'!B:B,"=distributeur 3/2 pneum. NW-13 1 -10 bar 1+(0,1*Betriebsd.) G1/2Z 80255211301, Vanne de soudure",'[1]mouv MULTIVAC R230 et R240'!G:G)</f>
        <v>#VALUE!</v>
      </c>
      <c r="G412" s="163">
        <v>2</v>
      </c>
      <c r="H412" s="163">
        <v>1</v>
      </c>
      <c r="I412" s="1" t="e">
        <f t="shared" si="26"/>
        <v>#VALUE!</v>
      </c>
      <c r="J412" s="164">
        <v>201.06</v>
      </c>
      <c r="K412" s="165" t="e">
        <f t="shared" si="28"/>
        <v>#VALUE!</v>
      </c>
      <c r="L412" s="30"/>
      <c r="M412" s="30"/>
      <c r="N412" s="30"/>
      <c r="O412" s="30"/>
      <c r="P412" s="30"/>
      <c r="Q412" s="30"/>
      <c r="R412" s="30"/>
      <c r="S412" s="30">
        <v>0</v>
      </c>
      <c r="T412" s="26"/>
      <c r="U412" s="26"/>
      <c r="V412" s="26"/>
      <c r="W412" s="26"/>
      <c r="X412" s="26"/>
      <c r="Y412" s="26"/>
      <c r="Z412" s="26"/>
      <c r="AA412" s="26"/>
      <c r="AB412" s="26"/>
      <c r="AC412" s="26"/>
      <c r="AD412" s="26"/>
      <c r="AE412" s="26"/>
      <c r="AF412" s="26"/>
      <c r="AG412" s="26"/>
      <c r="AH412" s="26"/>
      <c r="AI412" s="26"/>
      <c r="AJ412" s="26"/>
      <c r="AK412" s="26"/>
      <c r="AL412" s="26"/>
      <c r="AM412" s="26"/>
      <c r="AN412" s="26"/>
      <c r="AO412" s="26"/>
      <c r="AP412" s="26"/>
      <c r="AQ412" s="26"/>
      <c r="AR412" s="26"/>
    </row>
    <row r="413" spans="1:44" ht="15.75" x14ac:dyDescent="0.25">
      <c r="A413" s="30"/>
      <c r="B413" s="13" t="s">
        <v>708</v>
      </c>
      <c r="C413" s="170" t="s">
        <v>747</v>
      </c>
      <c r="D413" s="167">
        <v>80260112304</v>
      </c>
      <c r="E413" s="161" t="s">
        <v>22</v>
      </c>
      <c r="F413" s="162" t="e">
        <f>G413+SUMIF('[1]mouv MULTIVAC R230 et R240'!B:B,"=Electrovanne Gaz",'[1]mouv MULTIVAC R230 et R240'!G:G)</f>
        <v>#VALUE!</v>
      </c>
      <c r="G413" s="163">
        <v>0</v>
      </c>
      <c r="H413" s="163">
        <v>0</v>
      </c>
      <c r="I413" s="1" t="e">
        <f t="shared" si="26"/>
        <v>#VALUE!</v>
      </c>
      <c r="J413" s="164"/>
      <c r="K413" s="165" t="e">
        <f t="shared" si="28"/>
        <v>#VALUE!</v>
      </c>
      <c r="L413" s="30"/>
      <c r="M413" s="30"/>
      <c r="N413" s="30"/>
      <c r="O413" s="30"/>
      <c r="P413" s="30"/>
      <c r="Q413" s="30"/>
      <c r="R413" s="30"/>
      <c r="S413" s="30">
        <v>1</v>
      </c>
      <c r="T413" s="26"/>
      <c r="U413" s="26"/>
      <c r="V413" s="26"/>
      <c r="W413" s="26"/>
      <c r="X413" s="26"/>
      <c r="Y413" s="26"/>
      <c r="Z413" s="26"/>
      <c r="AA413" s="26"/>
      <c r="AB413" s="26"/>
      <c r="AC413" s="26"/>
      <c r="AD413" s="26"/>
      <c r="AE413" s="26"/>
      <c r="AF413" s="26"/>
      <c r="AG413" s="26"/>
      <c r="AH413" s="26"/>
      <c r="AI413" s="26"/>
      <c r="AJ413" s="26"/>
      <c r="AK413" s="26"/>
      <c r="AL413" s="26"/>
      <c r="AM413" s="26"/>
      <c r="AN413" s="26"/>
      <c r="AO413" s="26"/>
      <c r="AP413" s="26"/>
      <c r="AQ413" s="26"/>
      <c r="AR413" s="26"/>
    </row>
    <row r="414" spans="1:44" ht="15.75" x14ac:dyDescent="0.25">
      <c r="A414" s="30"/>
      <c r="B414" s="13" t="s">
        <v>708</v>
      </c>
      <c r="C414" s="170" t="s">
        <v>748</v>
      </c>
      <c r="D414" s="167">
        <v>80260224022</v>
      </c>
      <c r="E414" s="161" t="s">
        <v>22</v>
      </c>
      <c r="F414" s="162" t="e">
        <f>G414+SUMIF('[1]mouv MULTIVAC R230 et R240'!B:B,"=distributeur 3/2 elektr",'[1]mouv MULTIVAC R230 et R240'!G:G)</f>
        <v>#VALUE!</v>
      </c>
      <c r="G414" s="163">
        <v>0</v>
      </c>
      <c r="H414" s="163">
        <v>1</v>
      </c>
      <c r="I414" s="1" t="e">
        <f t="shared" si="26"/>
        <v>#VALUE!</v>
      </c>
      <c r="J414" s="164">
        <v>381.11</v>
      </c>
      <c r="K414" s="165" t="e">
        <f t="shared" si="28"/>
        <v>#VALUE!</v>
      </c>
      <c r="L414" s="30"/>
      <c r="M414" s="30"/>
      <c r="N414" s="30"/>
      <c r="O414" s="30"/>
      <c r="P414" s="30"/>
      <c r="Q414" s="30"/>
      <c r="R414" s="30"/>
      <c r="S414" s="30">
        <v>0</v>
      </c>
      <c r="T414" s="26"/>
      <c r="U414" s="26"/>
      <c r="V414" s="26"/>
      <c r="W414" s="26"/>
      <c r="X414" s="26"/>
      <c r="Y414" s="26"/>
      <c r="Z414" s="26"/>
      <c r="AA414" s="26"/>
      <c r="AB414" s="26"/>
      <c r="AC414" s="26"/>
      <c r="AD414" s="26"/>
      <c r="AE414" s="26"/>
      <c r="AF414" s="26"/>
      <c r="AG414" s="26"/>
      <c r="AH414" s="26"/>
      <c r="AI414" s="26"/>
      <c r="AJ414" s="26"/>
      <c r="AK414" s="26"/>
      <c r="AL414" s="26"/>
      <c r="AM414" s="26"/>
      <c r="AN414" s="26"/>
      <c r="AO414" s="26"/>
      <c r="AP414" s="26"/>
      <c r="AQ414" s="26"/>
      <c r="AR414" s="26"/>
    </row>
    <row r="415" spans="1:44" ht="15.75" x14ac:dyDescent="0.25">
      <c r="A415" s="30"/>
      <c r="B415" s="13" t="s">
        <v>708</v>
      </c>
      <c r="C415" s="166" t="s">
        <v>749</v>
      </c>
      <c r="D415" s="167">
        <v>80260480550</v>
      </c>
      <c r="E415" s="161" t="s">
        <v>22</v>
      </c>
      <c r="F415" s="162" t="e">
        <f>G415+SUMIF('[1]mouv MULTIVAC R230 et R240'!B:B,"=distributeur 5/4 elektr(electrovanne double)",'[1]mouv MULTIVAC R230 et R240'!G:G)</f>
        <v>#VALUE!</v>
      </c>
      <c r="G415" s="163">
        <v>1</v>
      </c>
      <c r="H415" s="163">
        <v>1</v>
      </c>
      <c r="I415" s="1" t="e">
        <f t="shared" si="26"/>
        <v>#VALUE!</v>
      </c>
      <c r="J415" s="164">
        <v>219.47</v>
      </c>
      <c r="K415" s="165" t="e">
        <f t="shared" si="28"/>
        <v>#VALUE!</v>
      </c>
      <c r="L415" s="30"/>
      <c r="M415" s="30"/>
      <c r="N415" s="30"/>
      <c r="O415" s="30"/>
      <c r="P415" s="30"/>
      <c r="Q415" s="30"/>
      <c r="R415" s="30"/>
      <c r="S415" s="30">
        <v>1</v>
      </c>
      <c r="T415" s="26"/>
      <c r="U415" s="26"/>
      <c r="V415" s="26"/>
      <c r="W415" s="26"/>
      <c r="X415" s="26"/>
      <c r="Y415" s="26"/>
      <c r="Z415" s="26"/>
      <c r="AA415" s="26"/>
      <c r="AB415" s="26"/>
      <c r="AC415" s="26"/>
      <c r="AD415" s="26"/>
      <c r="AE415" s="26"/>
      <c r="AF415" s="26"/>
      <c r="AG415" s="26"/>
      <c r="AH415" s="26"/>
      <c r="AI415" s="26"/>
      <c r="AJ415" s="26"/>
      <c r="AK415" s="26"/>
      <c r="AL415" s="26"/>
      <c r="AM415" s="26"/>
      <c r="AN415" s="26"/>
      <c r="AO415" s="26"/>
      <c r="AP415" s="26"/>
      <c r="AQ415" s="26"/>
      <c r="AR415" s="26"/>
    </row>
    <row r="416" spans="1:44" ht="15.75" x14ac:dyDescent="0.25">
      <c r="A416" s="30"/>
      <c r="B416" s="13" t="s">
        <v>708</v>
      </c>
      <c r="C416" s="170" t="s">
        <v>750</v>
      </c>
      <c r="D416" s="167">
        <v>80260480601</v>
      </c>
      <c r="E416" s="161" t="s">
        <v>22</v>
      </c>
      <c r="F416" s="162" t="e">
        <f>G416+SUMIF('[1]mouv MULTIVAC R230 et R240'!B:B,"=distributeur 5/2(electrovanne simple)",'[1]mouv MULTIVAC R230 et R240'!G:G)</f>
        <v>#VALUE!</v>
      </c>
      <c r="G416" s="163">
        <v>3</v>
      </c>
      <c r="H416" s="163">
        <v>1</v>
      </c>
      <c r="I416" s="1" t="e">
        <f t="shared" si="26"/>
        <v>#VALUE!</v>
      </c>
      <c r="J416" s="164">
        <v>94.63</v>
      </c>
      <c r="K416" s="165" t="e">
        <f t="shared" si="28"/>
        <v>#VALUE!</v>
      </c>
      <c r="L416" s="30"/>
      <c r="M416" s="30"/>
      <c r="N416" s="30"/>
      <c r="O416" s="30"/>
      <c r="P416" s="30"/>
      <c r="Q416" s="30"/>
      <c r="R416" s="30"/>
      <c r="S416" s="30">
        <v>0</v>
      </c>
      <c r="T416" s="26"/>
      <c r="U416" s="26"/>
      <c r="V416" s="26"/>
      <c r="W416" s="26"/>
      <c r="X416" s="26"/>
      <c r="Y416" s="26"/>
      <c r="Z416" s="26"/>
      <c r="AA416" s="26"/>
      <c r="AB416" s="26"/>
      <c r="AC416" s="26"/>
      <c r="AD416" s="26"/>
      <c r="AE416" s="26"/>
      <c r="AF416" s="26"/>
      <c r="AG416" s="26"/>
      <c r="AH416" s="26"/>
      <c r="AI416" s="26"/>
      <c r="AJ416" s="26"/>
      <c r="AK416" s="26"/>
      <c r="AL416" s="26"/>
      <c r="AM416" s="26"/>
      <c r="AN416" s="26"/>
      <c r="AO416" s="26"/>
      <c r="AP416" s="26"/>
      <c r="AQ416" s="26"/>
      <c r="AR416" s="26"/>
    </row>
    <row r="417" spans="1:44" ht="15.75" x14ac:dyDescent="0.25">
      <c r="A417" s="30"/>
      <c r="B417" s="13" t="s">
        <v>708</v>
      </c>
      <c r="C417" s="170" t="s">
        <v>751</v>
      </c>
      <c r="D417" s="167">
        <v>80260481503</v>
      </c>
      <c r="E417" s="161" t="s">
        <v>22</v>
      </c>
      <c r="F417" s="162" t="e">
        <f>G417+SUMIF('[1]mouv MULTIVAC R230 et R240'!B:B,"=plaque entrée bloc distrib air",'[1]mouv MULTIVAC R230 et R240'!G:G)</f>
        <v>#VALUE!</v>
      </c>
      <c r="G417" s="163">
        <v>1</v>
      </c>
      <c r="H417" s="163">
        <v>1</v>
      </c>
      <c r="I417" s="1" t="e">
        <f t="shared" si="26"/>
        <v>#VALUE!</v>
      </c>
      <c r="J417" s="164"/>
      <c r="K417" s="165"/>
      <c r="L417" s="30"/>
      <c r="M417" s="30"/>
      <c r="N417" s="30"/>
      <c r="O417" s="30"/>
      <c r="P417" s="30"/>
      <c r="Q417" s="30"/>
      <c r="R417" s="30"/>
      <c r="S417" s="30">
        <v>1</v>
      </c>
      <c r="T417" s="26"/>
      <c r="U417" s="26"/>
      <c r="V417" s="26"/>
      <c r="W417" s="26"/>
      <c r="X417" s="26"/>
      <c r="Y417" s="26"/>
      <c r="Z417" s="26"/>
      <c r="AA417" s="26"/>
      <c r="AB417" s="26"/>
      <c r="AC417" s="26"/>
      <c r="AD417" s="26"/>
      <c r="AE417" s="26"/>
      <c r="AF417" s="26"/>
      <c r="AG417" s="26"/>
      <c r="AH417" s="26"/>
      <c r="AI417" s="26"/>
      <c r="AJ417" s="26"/>
      <c r="AK417" s="26"/>
      <c r="AL417" s="26"/>
      <c r="AM417" s="26"/>
      <c r="AN417" s="26"/>
      <c r="AO417" s="26"/>
      <c r="AP417" s="26"/>
      <c r="AQ417" s="26"/>
      <c r="AR417" s="26"/>
    </row>
    <row r="418" spans="1:44" ht="15.75" x14ac:dyDescent="0.25">
      <c r="A418" s="30"/>
      <c r="B418" s="13" t="s">
        <v>708</v>
      </c>
      <c r="C418" s="171" t="s">
        <v>752</v>
      </c>
      <c r="D418" s="172">
        <v>80260481507</v>
      </c>
      <c r="E418" s="161" t="s">
        <v>22</v>
      </c>
      <c r="F418" s="162" t="e">
        <f>G418+SUMIF('[1]mouv MULTIVAC R230 et R240'!B:B,"=plaque intermédiaire bloc distrib air",'[1]mouv MULTIVAC R230 et R240'!G:G)</f>
        <v>#VALUE!</v>
      </c>
      <c r="G418" s="163">
        <v>2</v>
      </c>
      <c r="H418" s="163">
        <v>1</v>
      </c>
      <c r="I418" s="1" t="e">
        <f t="shared" si="26"/>
        <v>#VALUE!</v>
      </c>
      <c r="J418" s="164">
        <v>13.16</v>
      </c>
      <c r="K418" s="165" t="e">
        <f t="shared" si="28"/>
        <v>#VALUE!</v>
      </c>
      <c r="L418" s="30"/>
      <c r="M418" s="30"/>
      <c r="N418" s="30"/>
      <c r="O418" s="30"/>
      <c r="P418" s="30"/>
      <c r="Q418" s="30"/>
      <c r="R418" s="30"/>
      <c r="S418" s="30">
        <v>1</v>
      </c>
      <c r="T418" s="26"/>
      <c r="U418" s="26"/>
      <c r="V418" s="26"/>
      <c r="W418" s="26"/>
      <c r="X418" s="26"/>
      <c r="Y418" s="26"/>
      <c r="Z418" s="26"/>
      <c r="AA418" s="26"/>
      <c r="AB418" s="26"/>
      <c r="AC418" s="26"/>
      <c r="AD418" s="26"/>
      <c r="AE418" s="26"/>
      <c r="AF418" s="26"/>
      <c r="AG418" s="26"/>
      <c r="AH418" s="26"/>
      <c r="AI418" s="26"/>
      <c r="AJ418" s="26"/>
      <c r="AK418" s="26"/>
      <c r="AL418" s="26"/>
      <c r="AM418" s="26"/>
      <c r="AN418" s="26"/>
      <c r="AO418" s="26"/>
      <c r="AP418" s="26"/>
      <c r="AQ418" s="26"/>
      <c r="AR418" s="26"/>
    </row>
    <row r="419" spans="1:44" ht="15.75" x14ac:dyDescent="0.25">
      <c r="A419" s="30"/>
      <c r="B419" s="13" t="s">
        <v>708</v>
      </c>
      <c r="C419" s="170" t="s">
        <v>753</v>
      </c>
      <c r="D419" s="167">
        <v>80421102013</v>
      </c>
      <c r="E419" s="161" t="s">
        <v>22</v>
      </c>
      <c r="F419" s="162" t="e">
        <f>G419+SUMIF('[1]mouv MULTIVAC R230 et R240'!B:B,"=groupe FRL complet",'[1]mouv MULTIVAC R230 et R240'!G:G)</f>
        <v>#VALUE!</v>
      </c>
      <c r="G419" s="173">
        <v>0</v>
      </c>
      <c r="H419" s="173">
        <v>0</v>
      </c>
      <c r="I419" s="1" t="e">
        <f t="shared" si="26"/>
        <v>#VALUE!</v>
      </c>
      <c r="J419" s="174">
        <v>271.36</v>
      </c>
      <c r="K419" s="165" t="e">
        <f t="shared" si="28"/>
        <v>#VALUE!</v>
      </c>
      <c r="L419" s="30"/>
      <c r="M419" s="30"/>
      <c r="N419" s="30"/>
      <c r="O419" s="30"/>
      <c r="P419" s="30"/>
      <c r="Q419" s="30"/>
      <c r="R419" s="30"/>
      <c r="S419" s="30">
        <v>1</v>
      </c>
      <c r="T419" s="26"/>
      <c r="U419" s="26"/>
      <c r="V419" s="26"/>
      <c r="W419" s="26"/>
      <c r="X419" s="26"/>
      <c r="Y419" s="26"/>
      <c r="Z419" s="26"/>
      <c r="AA419" s="26"/>
      <c r="AB419" s="26"/>
      <c r="AC419" s="26"/>
      <c r="AD419" s="26"/>
      <c r="AE419" s="26"/>
      <c r="AF419" s="26"/>
      <c r="AG419" s="26"/>
      <c r="AH419" s="26"/>
      <c r="AI419" s="26"/>
      <c r="AJ419" s="26"/>
      <c r="AK419" s="26"/>
      <c r="AL419" s="26"/>
      <c r="AM419" s="26"/>
      <c r="AN419" s="26"/>
      <c r="AO419" s="26"/>
      <c r="AP419" s="26"/>
      <c r="AQ419" s="26"/>
      <c r="AR419" s="26"/>
    </row>
    <row r="420" spans="1:44" ht="15.75" x14ac:dyDescent="0.25">
      <c r="A420" s="30"/>
      <c r="B420" s="13" t="s">
        <v>708</v>
      </c>
      <c r="C420" s="166" t="s">
        <v>754</v>
      </c>
      <c r="D420" s="167">
        <v>80421201231</v>
      </c>
      <c r="E420" s="161" t="s">
        <v>22</v>
      </c>
      <c r="F420" s="162" t="e">
        <f>G420+SUMIF('[1]mouv MULTIVAC R230 et R240'!B:B,"=filtre pierre groupe frl (élément filtrant)",'[1]mouv MULTIVAC R230 et R240'!G:G)</f>
        <v>#VALUE!</v>
      </c>
      <c r="G420" s="163">
        <v>1</v>
      </c>
      <c r="H420" s="167">
        <v>1</v>
      </c>
      <c r="I420" s="1" t="e">
        <f t="shared" si="26"/>
        <v>#VALUE!</v>
      </c>
      <c r="J420" s="168">
        <v>17.45</v>
      </c>
      <c r="K420" s="165" t="e">
        <f t="shared" si="28"/>
        <v>#VALUE!</v>
      </c>
      <c r="L420" s="30"/>
      <c r="M420" s="30"/>
      <c r="N420" s="30"/>
      <c r="O420" s="30"/>
      <c r="P420" s="30"/>
      <c r="Q420" s="30"/>
      <c r="R420" s="30"/>
      <c r="S420" s="30">
        <v>1</v>
      </c>
      <c r="T420" s="26"/>
      <c r="U420" s="26"/>
      <c r="V420" s="26"/>
      <c r="W420" s="26"/>
      <c r="X420" s="26"/>
      <c r="Y420" s="26"/>
      <c r="Z420" s="26"/>
      <c r="AA420" s="26"/>
      <c r="AB420" s="26"/>
      <c r="AC420" s="26"/>
      <c r="AD420" s="26"/>
      <c r="AE420" s="26"/>
      <c r="AF420" s="26"/>
      <c r="AG420" s="26"/>
      <c r="AH420" s="26"/>
      <c r="AI420" s="26"/>
      <c r="AJ420" s="26"/>
      <c r="AK420" s="26"/>
      <c r="AL420" s="26"/>
      <c r="AM420" s="26"/>
      <c r="AN420" s="26"/>
      <c r="AO420" s="26"/>
      <c r="AP420" s="26"/>
      <c r="AQ420" s="26"/>
      <c r="AR420" s="26"/>
    </row>
    <row r="421" spans="1:44" ht="15.75" x14ac:dyDescent="0.25">
      <c r="A421" s="30"/>
      <c r="B421" s="13" t="s">
        <v>708</v>
      </c>
      <c r="C421" s="170" t="s">
        <v>755</v>
      </c>
      <c r="D421" s="167">
        <v>80421209500</v>
      </c>
      <c r="E421" s="161" t="s">
        <v>22</v>
      </c>
      <c r="F421" s="162" t="e">
        <f>G421+SUMIF('[1]mouv MULTIVAC R230 et R240'!B:B,"=filtre ",'[1]mouv MULTIVAC R230 et R240'!G:G)</f>
        <v>#VALUE!</v>
      </c>
      <c r="G421" s="163">
        <v>1</v>
      </c>
      <c r="H421" s="163">
        <v>0</v>
      </c>
      <c r="I421" s="1" t="e">
        <f t="shared" si="26"/>
        <v>#VALUE!</v>
      </c>
      <c r="J421" s="164">
        <v>2.85</v>
      </c>
      <c r="K421" s="165" t="e">
        <f t="shared" si="28"/>
        <v>#VALUE!</v>
      </c>
      <c r="L421" s="30"/>
      <c r="M421" s="30"/>
      <c r="N421" s="30"/>
      <c r="O421" s="30"/>
      <c r="P421" s="30"/>
      <c r="Q421" s="30"/>
      <c r="R421" s="30"/>
      <c r="S421" s="30">
        <v>1</v>
      </c>
      <c r="T421" s="26"/>
      <c r="U421" s="26"/>
      <c r="V421" s="26"/>
      <c r="W421" s="26"/>
      <c r="X421" s="26"/>
      <c r="Y421" s="26"/>
      <c r="Z421" s="26"/>
      <c r="AA421" s="26"/>
      <c r="AB421" s="26"/>
      <c r="AC421" s="26"/>
      <c r="AD421" s="26"/>
      <c r="AE421" s="26"/>
      <c r="AF421" s="26"/>
      <c r="AG421" s="26"/>
      <c r="AH421" s="26"/>
      <c r="AI421" s="26"/>
      <c r="AJ421" s="26"/>
      <c r="AK421" s="26"/>
      <c r="AL421" s="26"/>
      <c r="AM421" s="26"/>
      <c r="AN421" s="26"/>
      <c r="AO421" s="26"/>
      <c r="AP421" s="26"/>
      <c r="AQ421" s="26"/>
      <c r="AR421" s="26"/>
    </row>
    <row r="422" spans="1:44" ht="15.75" x14ac:dyDescent="0.25">
      <c r="A422" s="30"/>
      <c r="B422" s="13" t="s">
        <v>708</v>
      </c>
      <c r="C422" s="166" t="s">
        <v>756</v>
      </c>
      <c r="D422" s="167">
        <v>80431151071</v>
      </c>
      <c r="E422" s="161" t="s">
        <v>22</v>
      </c>
      <c r="F422" s="162" t="e">
        <f>G422+SUMIF('[1]mouv MULTIVAC R230 et R240'!B:B,"=manomètre",'[1]mouv MULTIVAC R230 et R240'!G:G)</f>
        <v>#VALUE!</v>
      </c>
      <c r="G422" s="163">
        <v>2</v>
      </c>
      <c r="H422" s="167">
        <v>1</v>
      </c>
      <c r="I422" s="1" t="e">
        <f t="shared" si="26"/>
        <v>#VALUE!</v>
      </c>
      <c r="J422" s="164">
        <v>19.579999999999998</v>
      </c>
      <c r="K422" s="165" t="e">
        <f t="shared" si="28"/>
        <v>#VALUE!</v>
      </c>
      <c r="L422" s="30"/>
      <c r="M422" s="30"/>
      <c r="N422" s="30"/>
      <c r="O422" s="30"/>
      <c r="P422" s="30"/>
      <c r="Q422" s="30"/>
      <c r="R422" s="30"/>
      <c r="S422" s="30">
        <v>0</v>
      </c>
      <c r="T422" s="26"/>
      <c r="U422" s="26"/>
      <c r="V422" s="26"/>
      <c r="W422" s="26"/>
      <c r="X422" s="26"/>
      <c r="Y422" s="26"/>
      <c r="Z422" s="26"/>
      <c r="AA422" s="26"/>
      <c r="AB422" s="26"/>
      <c r="AC422" s="26"/>
      <c r="AD422" s="26"/>
      <c r="AE422" s="26"/>
      <c r="AF422" s="26"/>
      <c r="AG422" s="26"/>
      <c r="AH422" s="26"/>
      <c r="AI422" s="26"/>
      <c r="AJ422" s="26"/>
      <c r="AK422" s="26"/>
      <c r="AL422" s="26"/>
      <c r="AM422" s="26"/>
      <c r="AN422" s="26"/>
      <c r="AO422" s="26"/>
      <c r="AP422" s="26"/>
      <c r="AQ422" s="26"/>
      <c r="AR422" s="26"/>
    </row>
    <row r="423" spans="1:44" ht="15.75" x14ac:dyDescent="0.25">
      <c r="A423" s="30"/>
      <c r="B423" s="13" t="s">
        <v>708</v>
      </c>
      <c r="C423" s="170" t="s">
        <v>757</v>
      </c>
      <c r="D423" s="167">
        <v>80431211510</v>
      </c>
      <c r="E423" s="161" t="s">
        <v>22</v>
      </c>
      <c r="F423" s="162" t="e">
        <f>G423+SUMIF('[1]mouv MULTIVAC R230 et R240'!B:B,"=detendeur normal 0/6 bars entrée gaz",'[1]mouv MULTIVAC R230 et R240'!G:G)</f>
        <v>#VALUE!</v>
      </c>
      <c r="G423" s="163">
        <v>0</v>
      </c>
      <c r="H423" s="163">
        <v>0</v>
      </c>
      <c r="I423" s="1" t="e">
        <f t="shared" si="26"/>
        <v>#VALUE!</v>
      </c>
      <c r="J423" s="164">
        <v>174.19</v>
      </c>
      <c r="K423" s="165" t="e">
        <f t="shared" si="28"/>
        <v>#VALUE!</v>
      </c>
      <c r="L423" s="30"/>
      <c r="M423" s="30"/>
      <c r="N423" s="30"/>
      <c r="O423" s="30"/>
      <c r="P423" s="30"/>
      <c r="Q423" s="30"/>
      <c r="R423" s="30"/>
      <c r="S423" s="30">
        <v>0</v>
      </c>
      <c r="T423" s="26"/>
      <c r="U423" s="26"/>
      <c r="V423" s="26"/>
      <c r="W423" s="26"/>
      <c r="X423" s="26"/>
      <c r="Y423" s="26"/>
      <c r="Z423" s="26"/>
      <c r="AA423" s="26"/>
      <c r="AB423" s="26"/>
      <c r="AC423" s="26"/>
      <c r="AD423" s="26"/>
      <c r="AE423" s="26"/>
      <c r="AF423" s="26"/>
      <c r="AG423" s="26"/>
      <c r="AH423" s="26"/>
      <c r="AI423" s="26"/>
      <c r="AJ423" s="26"/>
      <c r="AK423" s="26"/>
      <c r="AL423" s="26"/>
      <c r="AM423" s="26"/>
      <c r="AN423" s="26"/>
      <c r="AO423" s="26"/>
      <c r="AP423" s="26"/>
      <c r="AQ423" s="26"/>
      <c r="AR423" s="26"/>
    </row>
    <row r="424" spans="1:44" ht="15.75" x14ac:dyDescent="0.25">
      <c r="A424" s="30"/>
      <c r="B424" s="13" t="s">
        <v>708</v>
      </c>
      <c r="C424" s="166" t="s">
        <v>758</v>
      </c>
      <c r="D424" s="167">
        <v>80431211567</v>
      </c>
      <c r="E424" s="161" t="s">
        <v>22</v>
      </c>
      <c r="F424" s="162" t="e">
        <f>G424+SUMIF('[1]mouv MULTIVAC R230 et R240'!B:B,"=régulateur de pression gaz",'[1]mouv MULTIVAC R230 et R240'!G:G)</f>
        <v>#VALUE!</v>
      </c>
      <c r="G424" s="163">
        <v>3</v>
      </c>
      <c r="H424" s="167">
        <v>1</v>
      </c>
      <c r="I424" s="1" t="e">
        <f t="shared" si="26"/>
        <v>#VALUE!</v>
      </c>
      <c r="J424" s="164">
        <v>104.5</v>
      </c>
      <c r="K424" s="165" t="e">
        <f t="shared" si="28"/>
        <v>#VALUE!</v>
      </c>
      <c r="L424" s="30"/>
      <c r="M424" s="30"/>
      <c r="N424" s="30"/>
      <c r="O424" s="30"/>
      <c r="P424" s="30"/>
      <c r="Q424" s="30"/>
      <c r="R424" s="30"/>
      <c r="S424" s="30">
        <v>0</v>
      </c>
      <c r="T424" s="26"/>
      <c r="U424" s="26"/>
      <c r="V424" s="26"/>
      <c r="W424" s="26"/>
      <c r="X424" s="26"/>
      <c r="Y424" s="26"/>
      <c r="Z424" s="26"/>
      <c r="AA424" s="26"/>
      <c r="AB424" s="26"/>
      <c r="AC424" s="26"/>
      <c r="AD424" s="26"/>
      <c r="AE424" s="26"/>
      <c r="AF424" s="26"/>
      <c r="AG424" s="26"/>
      <c r="AH424" s="26"/>
      <c r="AI424" s="26"/>
      <c r="AJ424" s="26"/>
      <c r="AK424" s="26"/>
      <c r="AL424" s="26"/>
      <c r="AM424" s="26"/>
      <c r="AN424" s="26"/>
      <c r="AO424" s="26"/>
      <c r="AP424" s="26"/>
      <c r="AQ424" s="26"/>
      <c r="AR424" s="26"/>
    </row>
    <row r="425" spans="1:44" ht="15.75" x14ac:dyDescent="0.25">
      <c r="A425" s="30"/>
      <c r="B425" s="13" t="s">
        <v>708</v>
      </c>
      <c r="C425" s="166" t="s">
        <v>759</v>
      </c>
      <c r="D425" s="167">
        <v>80431320100</v>
      </c>
      <c r="E425" s="161" t="s">
        <v>22</v>
      </c>
      <c r="F425" s="162" t="e">
        <f>G425+SUMIF('[1]mouv MULTIVAC R230 et R240'!B:B,"=Débitmètre eau",'[1]mouv MULTIVAC R230 et R240'!G:G)</f>
        <v>#VALUE!</v>
      </c>
      <c r="G425" s="163">
        <v>1</v>
      </c>
      <c r="H425" s="167">
        <v>1</v>
      </c>
      <c r="I425" s="1" t="e">
        <f t="shared" si="26"/>
        <v>#VALUE!</v>
      </c>
      <c r="J425" s="168">
        <v>103.76</v>
      </c>
      <c r="K425" s="165" t="e">
        <f t="shared" si="28"/>
        <v>#VALUE!</v>
      </c>
      <c r="L425" s="30"/>
      <c r="M425" s="30"/>
      <c r="N425" s="30"/>
      <c r="O425" s="30"/>
      <c r="P425" s="30"/>
      <c r="Q425" s="30"/>
      <c r="R425" s="30"/>
      <c r="S425" s="30">
        <v>1</v>
      </c>
      <c r="T425" s="26"/>
      <c r="U425" s="26"/>
      <c r="V425" s="26"/>
      <c r="W425" s="26"/>
      <c r="X425" s="26"/>
      <c r="Y425" s="26"/>
      <c r="Z425" s="26"/>
      <c r="AA425" s="26"/>
      <c r="AB425" s="26"/>
      <c r="AC425" s="26"/>
      <c r="AD425" s="26"/>
      <c r="AE425" s="26"/>
      <c r="AF425" s="26"/>
      <c r="AG425" s="26"/>
      <c r="AH425" s="26"/>
      <c r="AI425" s="26"/>
      <c r="AJ425" s="26"/>
      <c r="AK425" s="26"/>
      <c r="AL425" s="26"/>
      <c r="AM425" s="26"/>
      <c r="AN425" s="26"/>
      <c r="AO425" s="26"/>
      <c r="AP425" s="26"/>
      <c r="AQ425" s="26"/>
      <c r="AR425" s="26"/>
    </row>
    <row r="426" spans="1:44" ht="15.75" x14ac:dyDescent="0.25">
      <c r="A426" s="30"/>
      <c r="B426" s="13" t="s">
        <v>708</v>
      </c>
      <c r="C426" s="170" t="s">
        <v>760</v>
      </c>
      <c r="D426" s="167">
        <v>81141806525</v>
      </c>
      <c r="E426" s="161" t="s">
        <v>22</v>
      </c>
      <c r="F426" s="162" t="e">
        <f>G426+SUMIF('[1]mouv MULTIVAC R230 et R240'!B:B,"=bague d'étanchéité nylon vérin R230",'[1]mouv MULTIVAC R230 et R240'!G:G)</f>
        <v>#VALUE!</v>
      </c>
      <c r="G426" s="163">
        <v>1</v>
      </c>
      <c r="H426" s="163">
        <v>1</v>
      </c>
      <c r="I426" s="1" t="e">
        <f t="shared" si="26"/>
        <v>#VALUE!</v>
      </c>
      <c r="J426" s="164">
        <v>1.17</v>
      </c>
      <c r="K426" s="165" t="e">
        <f t="shared" si="28"/>
        <v>#VALUE!</v>
      </c>
      <c r="L426" s="30"/>
      <c r="M426" s="30"/>
      <c r="N426" s="30"/>
      <c r="O426" s="30"/>
      <c r="P426" s="30"/>
      <c r="Q426" s="30"/>
      <c r="R426" s="30"/>
      <c r="S426" s="30">
        <v>0</v>
      </c>
      <c r="T426" s="26"/>
      <c r="U426" s="26"/>
      <c r="V426" s="26"/>
      <c r="W426" s="26"/>
      <c r="X426" s="26"/>
      <c r="Y426" s="26"/>
      <c r="Z426" s="26"/>
      <c r="AA426" s="26"/>
      <c r="AB426" s="26"/>
      <c r="AC426" s="26"/>
      <c r="AD426" s="26"/>
      <c r="AE426" s="26"/>
      <c r="AF426" s="26"/>
      <c r="AG426" s="26"/>
      <c r="AH426" s="26"/>
      <c r="AI426" s="26"/>
      <c r="AJ426" s="26"/>
      <c r="AK426" s="26"/>
      <c r="AL426" s="26"/>
      <c r="AM426" s="26"/>
      <c r="AN426" s="26"/>
      <c r="AO426" s="26"/>
      <c r="AP426" s="26"/>
      <c r="AQ426" s="26"/>
      <c r="AR426" s="26"/>
    </row>
    <row r="427" spans="1:44" ht="15.75" x14ac:dyDescent="0.25">
      <c r="A427" s="30"/>
      <c r="B427" s="13" t="s">
        <v>708</v>
      </c>
      <c r="C427" s="170" t="s">
        <v>761</v>
      </c>
      <c r="D427" s="167">
        <v>81810202200</v>
      </c>
      <c r="E427" s="161" t="s">
        <v>22</v>
      </c>
      <c r="F427" s="162" t="e">
        <f>G427+SUMIF('[1]mouv MULTIVAC R230 et R240'!B:B,"=flexible haute pression",'[1]mouv MULTIVAC R230 et R240'!G:G)</f>
        <v>#VALUE!</v>
      </c>
      <c r="G427" s="163">
        <v>1</v>
      </c>
      <c r="H427" s="163">
        <v>1</v>
      </c>
      <c r="I427" s="1" t="e">
        <f t="shared" si="26"/>
        <v>#VALUE!</v>
      </c>
      <c r="J427" s="164">
        <v>99.73</v>
      </c>
      <c r="K427" s="165" t="e">
        <f t="shared" si="28"/>
        <v>#VALUE!</v>
      </c>
      <c r="L427" s="30"/>
      <c r="M427" s="30"/>
      <c r="N427" s="30"/>
      <c r="O427" s="30"/>
      <c r="P427" s="30"/>
      <c r="Q427" s="30"/>
      <c r="R427" s="30"/>
      <c r="S427" s="30">
        <v>1</v>
      </c>
      <c r="T427" s="26"/>
      <c r="U427" s="26"/>
      <c r="V427" s="26"/>
      <c r="W427" s="26"/>
      <c r="X427" s="26"/>
      <c r="Y427" s="26"/>
      <c r="Z427" s="26"/>
      <c r="AA427" s="26"/>
      <c r="AB427" s="26"/>
      <c r="AC427" s="26"/>
      <c r="AD427" s="26"/>
      <c r="AE427" s="26"/>
      <c r="AF427" s="26"/>
      <c r="AG427" s="26"/>
      <c r="AH427" s="26"/>
      <c r="AI427" s="26"/>
      <c r="AJ427" s="26"/>
      <c r="AK427" s="26"/>
      <c r="AL427" s="26"/>
      <c r="AM427" s="26"/>
      <c r="AN427" s="26"/>
      <c r="AO427" s="26"/>
      <c r="AP427" s="26"/>
      <c r="AQ427" s="26"/>
      <c r="AR427" s="26"/>
    </row>
    <row r="428" spans="1:44" ht="15.75" x14ac:dyDescent="0.25">
      <c r="A428" s="30"/>
      <c r="B428" s="13" t="s">
        <v>708</v>
      </c>
      <c r="C428" s="170" t="s">
        <v>762</v>
      </c>
      <c r="D428" s="167">
        <v>81861121032</v>
      </c>
      <c r="E428" s="161" t="s">
        <v>22</v>
      </c>
      <c r="F428" s="162" t="e">
        <f>G428+SUMIF('[1]mouv MULTIVAC R230 et R240'!B:B,"=joint torique 3,2 (étanchéité bloc formage et soudure)",'[1]mouv MULTIVAC R230 et R240'!G:G)</f>
        <v>#VALUE!</v>
      </c>
      <c r="G428" s="163">
        <v>6</v>
      </c>
      <c r="H428" s="163">
        <v>1</v>
      </c>
      <c r="I428" s="1" t="e">
        <f t="shared" si="26"/>
        <v>#VALUE!</v>
      </c>
      <c r="J428" s="164">
        <v>1.35</v>
      </c>
      <c r="K428" s="165" t="e">
        <f t="shared" si="28"/>
        <v>#VALUE!</v>
      </c>
      <c r="L428" s="30"/>
      <c r="M428" s="30"/>
      <c r="N428" s="30"/>
      <c r="O428" s="30"/>
      <c r="P428" s="30"/>
      <c r="Q428" s="30"/>
      <c r="R428" s="30"/>
      <c r="S428" s="30">
        <v>0</v>
      </c>
      <c r="T428" s="26"/>
      <c r="U428" s="26"/>
      <c r="V428" s="26"/>
      <c r="W428" s="26"/>
      <c r="X428" s="26"/>
      <c r="Y428" s="26"/>
      <c r="Z428" s="26"/>
      <c r="AA428" s="26"/>
      <c r="AB428" s="26"/>
      <c r="AC428" s="26"/>
      <c r="AD428" s="26"/>
      <c r="AE428" s="26"/>
      <c r="AF428" s="26"/>
      <c r="AG428" s="26"/>
      <c r="AH428" s="26"/>
      <c r="AI428" s="26"/>
      <c r="AJ428" s="26"/>
      <c r="AK428" s="26"/>
      <c r="AL428" s="26"/>
      <c r="AM428" s="26"/>
      <c r="AN428" s="26"/>
      <c r="AO428" s="26"/>
      <c r="AP428" s="26"/>
      <c r="AQ428" s="26"/>
      <c r="AR428" s="26"/>
    </row>
    <row r="429" spans="1:44" ht="15.75" x14ac:dyDescent="0.25">
      <c r="A429" s="30"/>
      <c r="B429" s="13" t="s">
        <v>708</v>
      </c>
      <c r="C429" s="170" t="s">
        <v>763</v>
      </c>
      <c r="D429" s="167">
        <v>85451223093</v>
      </c>
      <c r="E429" s="161" t="s">
        <v>22</v>
      </c>
      <c r="F429" s="162" t="e">
        <f>G429+SUMIF('[1]mouv MULTIVAC R230 et R240'!B:B,"=capuchon plastique prot.",'[1]mouv MULTIVAC R230 et R240'!G:G)</f>
        <v>#VALUE!</v>
      </c>
      <c r="G429" s="163">
        <v>10</v>
      </c>
      <c r="H429" s="163">
        <v>1</v>
      </c>
      <c r="I429" s="1" t="e">
        <f t="shared" si="26"/>
        <v>#VALUE!</v>
      </c>
      <c r="J429" s="164">
        <v>13.17</v>
      </c>
      <c r="K429" s="165" t="e">
        <f t="shared" si="28"/>
        <v>#VALUE!</v>
      </c>
      <c r="L429" s="30"/>
      <c r="M429" s="30"/>
      <c r="N429" s="30"/>
      <c r="O429" s="30"/>
      <c r="P429" s="30"/>
      <c r="Q429" s="30"/>
      <c r="R429" s="30"/>
      <c r="S429" s="30">
        <v>1</v>
      </c>
      <c r="T429" s="26"/>
      <c r="U429" s="26"/>
      <c r="V429" s="26"/>
      <c r="W429" s="26"/>
      <c r="X429" s="26"/>
      <c r="Y429" s="26"/>
      <c r="Z429" s="26"/>
      <c r="AA429" s="26"/>
      <c r="AB429" s="26"/>
      <c r="AC429" s="26"/>
      <c r="AD429" s="26"/>
      <c r="AE429" s="26"/>
      <c r="AF429" s="26"/>
      <c r="AG429" s="26"/>
      <c r="AH429" s="26"/>
      <c r="AI429" s="26"/>
      <c r="AJ429" s="26"/>
      <c r="AK429" s="26"/>
      <c r="AL429" s="26"/>
      <c r="AM429" s="26"/>
      <c r="AN429" s="26"/>
      <c r="AO429" s="26"/>
      <c r="AP429" s="26"/>
      <c r="AQ429" s="26"/>
      <c r="AR429" s="26"/>
    </row>
    <row r="430" spans="1:44" ht="15.75" x14ac:dyDescent="0.25">
      <c r="A430" s="30"/>
      <c r="B430" s="13" t="s">
        <v>708</v>
      </c>
      <c r="C430" s="170" t="s">
        <v>764</v>
      </c>
      <c r="D430" s="167">
        <v>85463101003</v>
      </c>
      <c r="E430" s="161" t="s">
        <v>22</v>
      </c>
      <c r="F430" s="162" t="e">
        <f>G430+SUMIF('[1]mouv MULTIVAC R230 et R240'!B:B,"=aimants ronds 7,5x7,5",'[1]mouv MULTIVAC R230 et R240'!G:G)</f>
        <v>#VALUE!</v>
      </c>
      <c r="G430" s="163">
        <v>2</v>
      </c>
      <c r="H430" s="163">
        <v>2</v>
      </c>
      <c r="I430" s="1" t="e">
        <f t="shared" si="26"/>
        <v>#VALUE!</v>
      </c>
      <c r="J430" s="164">
        <v>4.18</v>
      </c>
      <c r="K430" s="165" t="e">
        <f t="shared" si="28"/>
        <v>#VALUE!</v>
      </c>
      <c r="L430" s="30"/>
      <c r="M430" s="30"/>
      <c r="N430" s="30"/>
      <c r="O430" s="30"/>
      <c r="P430" s="30"/>
      <c r="Q430" s="30"/>
      <c r="R430" s="30"/>
      <c r="S430" s="30">
        <v>1</v>
      </c>
      <c r="T430" s="26"/>
      <c r="U430" s="26"/>
      <c r="V430" s="26"/>
      <c r="W430" s="26"/>
      <c r="X430" s="26"/>
      <c r="Y430" s="26"/>
      <c r="Z430" s="26"/>
      <c r="AA430" s="26"/>
      <c r="AB430" s="26"/>
      <c r="AC430" s="26"/>
      <c r="AD430" s="26"/>
      <c r="AE430" s="26"/>
      <c r="AF430" s="26"/>
      <c r="AG430" s="26"/>
      <c r="AH430" s="26"/>
      <c r="AI430" s="26"/>
      <c r="AJ430" s="26"/>
      <c r="AK430" s="26"/>
      <c r="AL430" s="26"/>
      <c r="AM430" s="26"/>
      <c r="AN430" s="26"/>
      <c r="AO430" s="26"/>
      <c r="AP430" s="26"/>
      <c r="AQ430" s="26"/>
      <c r="AR430" s="26"/>
    </row>
    <row r="431" spans="1:44" ht="15.75" x14ac:dyDescent="0.25">
      <c r="A431" s="30"/>
      <c r="B431" s="13" t="s">
        <v>708</v>
      </c>
      <c r="C431" s="170" t="s">
        <v>765</v>
      </c>
      <c r="D431" s="167">
        <v>85463101021</v>
      </c>
      <c r="E431" s="161" t="s">
        <v>22</v>
      </c>
      <c r="F431" s="162" t="e">
        <f>G431+SUMIF('[1]mouv MULTIVAC R230 et R240'!B:B,"=sécurité magnétique verte 6 ML",'[1]mouv MULTIVAC R230 et R240'!G:G)</f>
        <v>#VALUE!</v>
      </c>
      <c r="G431" s="163">
        <v>2</v>
      </c>
      <c r="H431" s="163">
        <v>1</v>
      </c>
      <c r="I431" s="1" t="e">
        <f t="shared" si="26"/>
        <v>#VALUE!</v>
      </c>
      <c r="J431" s="164">
        <v>92.39</v>
      </c>
      <c r="K431" s="165" t="e">
        <f t="shared" si="28"/>
        <v>#VALUE!</v>
      </c>
      <c r="L431" s="30"/>
      <c r="M431" s="30"/>
      <c r="N431" s="30"/>
      <c r="O431" s="30"/>
      <c r="P431" s="30"/>
      <c r="Q431" s="30"/>
      <c r="R431" s="30"/>
      <c r="S431" s="30">
        <v>1</v>
      </c>
      <c r="T431" s="26"/>
      <c r="U431" s="26"/>
      <c r="V431" s="26"/>
      <c r="W431" s="26"/>
      <c r="X431" s="26"/>
      <c r="Y431" s="26"/>
      <c r="Z431" s="26"/>
      <c r="AA431" s="26"/>
      <c r="AB431" s="26"/>
      <c r="AC431" s="26"/>
      <c r="AD431" s="26"/>
      <c r="AE431" s="26"/>
      <c r="AF431" s="26"/>
      <c r="AG431" s="26"/>
      <c r="AH431" s="26"/>
      <c r="AI431" s="26"/>
      <c r="AJ431" s="26"/>
      <c r="AK431" s="26"/>
      <c r="AL431" s="26"/>
      <c r="AM431" s="26"/>
      <c r="AN431" s="26"/>
      <c r="AO431" s="26"/>
      <c r="AP431" s="26"/>
      <c r="AQ431" s="26"/>
      <c r="AR431" s="26"/>
    </row>
    <row r="432" spans="1:44" ht="15.75" x14ac:dyDescent="0.25">
      <c r="A432" s="30"/>
      <c r="B432" s="13" t="s">
        <v>708</v>
      </c>
      <c r="C432" s="166" t="s">
        <v>766</v>
      </c>
      <c r="D432" s="167">
        <v>85621080231</v>
      </c>
      <c r="E432" s="161" t="s">
        <v>22</v>
      </c>
      <c r="F432" s="162" t="e">
        <f>G432+SUMIF('[1]mouv MULTIVAC R230 et R240'!B:B,"=Bloc auxiliaire",'[1]mouv MULTIVAC R230 et R240'!G:G)</f>
        <v>#VALUE!</v>
      </c>
      <c r="G432" s="163">
        <v>2</v>
      </c>
      <c r="H432" s="167">
        <v>2</v>
      </c>
      <c r="I432" s="1" t="e">
        <f t="shared" si="26"/>
        <v>#VALUE!</v>
      </c>
      <c r="J432" s="168">
        <v>13.56</v>
      </c>
      <c r="K432" s="165" t="e">
        <f t="shared" si="28"/>
        <v>#VALUE!</v>
      </c>
      <c r="L432" s="30"/>
      <c r="M432" s="30"/>
      <c r="N432" s="30"/>
      <c r="O432" s="30"/>
      <c r="P432" s="30"/>
      <c r="Q432" s="30"/>
      <c r="R432" s="30"/>
      <c r="S432" s="30">
        <v>1</v>
      </c>
      <c r="T432" s="26"/>
      <c r="U432" s="26"/>
      <c r="V432" s="26"/>
      <c r="W432" s="26"/>
      <c r="X432" s="26"/>
      <c r="Y432" s="26"/>
      <c r="Z432" s="26"/>
      <c r="AA432" s="26"/>
      <c r="AB432" s="26"/>
      <c r="AC432" s="26"/>
      <c r="AD432" s="26"/>
      <c r="AE432" s="26"/>
      <c r="AF432" s="26"/>
      <c r="AG432" s="26"/>
      <c r="AH432" s="26"/>
      <c r="AI432" s="26"/>
      <c r="AJ432" s="26"/>
      <c r="AK432" s="26"/>
      <c r="AL432" s="26"/>
      <c r="AM432" s="26"/>
      <c r="AN432" s="26"/>
      <c r="AO432" s="26"/>
      <c r="AP432" s="26"/>
      <c r="AQ432" s="26"/>
      <c r="AR432" s="26"/>
    </row>
    <row r="433" spans="1:44" ht="15.75" x14ac:dyDescent="0.25">
      <c r="A433" s="30"/>
      <c r="B433" s="13" t="s">
        <v>708</v>
      </c>
      <c r="C433" s="170" t="s">
        <v>767</v>
      </c>
      <c r="D433" s="167">
        <v>85621122202</v>
      </c>
      <c r="E433" s="161" t="s">
        <v>22</v>
      </c>
      <c r="F433" s="162" t="e">
        <f>G433+SUMIF('[1]mouv MULTIVAC R230 et R240'!B:B,"=contacteur à courant alternatif 230 V 5,5 kW",'[1]mouv MULTIVAC R230 et R240'!G:G)</f>
        <v>#VALUE!</v>
      </c>
      <c r="G433" s="163">
        <v>2</v>
      </c>
      <c r="H433" s="163">
        <v>2</v>
      </c>
      <c r="I433" s="1" t="e">
        <f t="shared" ref="I433:I496" si="29">IF(F433&lt;H433,"/!\","-")</f>
        <v>#VALUE!</v>
      </c>
      <c r="J433" s="164">
        <v>35.56</v>
      </c>
      <c r="K433" s="165" t="e">
        <f t="shared" si="28"/>
        <v>#VALUE!</v>
      </c>
      <c r="L433" s="30"/>
      <c r="M433" s="30"/>
      <c r="N433" s="30"/>
      <c r="O433" s="30"/>
      <c r="P433" s="30"/>
      <c r="Q433" s="30"/>
      <c r="R433" s="30"/>
      <c r="S433" s="30">
        <v>1</v>
      </c>
      <c r="T433" s="26"/>
      <c r="U433" s="26"/>
      <c r="V433" s="26"/>
      <c r="W433" s="26"/>
      <c r="X433" s="26"/>
      <c r="Y433" s="26"/>
      <c r="Z433" s="26"/>
      <c r="AA433" s="26"/>
      <c r="AB433" s="26"/>
      <c r="AC433" s="26"/>
      <c r="AD433" s="26"/>
      <c r="AE433" s="26"/>
      <c r="AF433" s="26"/>
      <c r="AG433" s="26"/>
      <c r="AH433" s="26"/>
      <c r="AI433" s="26"/>
      <c r="AJ433" s="26"/>
      <c r="AK433" s="26"/>
      <c r="AL433" s="26"/>
      <c r="AM433" s="26"/>
      <c r="AN433" s="26"/>
      <c r="AO433" s="26"/>
      <c r="AP433" s="26"/>
      <c r="AQ433" s="26"/>
      <c r="AR433" s="26"/>
    </row>
    <row r="434" spans="1:44" ht="15.75" x14ac:dyDescent="0.25">
      <c r="A434" s="30"/>
      <c r="B434" s="13" t="s">
        <v>708</v>
      </c>
      <c r="C434" s="170" t="s">
        <v>768</v>
      </c>
      <c r="D434" s="167">
        <v>85621122203</v>
      </c>
      <c r="E434" s="161" t="s">
        <v>22</v>
      </c>
      <c r="F434" s="162" t="e">
        <f>G434+SUMIF('[1]mouv MULTIVAC R230 et R240'!B:B,"=contacteur 230 V 7,5 KW",'[1]mouv MULTIVAC R230 et R240'!G:G)</f>
        <v>#VALUE!</v>
      </c>
      <c r="G434" s="163">
        <v>1</v>
      </c>
      <c r="H434" s="163">
        <v>1</v>
      </c>
      <c r="I434" s="1" t="e">
        <f t="shared" si="29"/>
        <v>#VALUE!</v>
      </c>
      <c r="J434" s="164">
        <v>34.94</v>
      </c>
      <c r="K434" s="165" t="e">
        <f t="shared" si="28"/>
        <v>#VALUE!</v>
      </c>
      <c r="L434" s="30"/>
      <c r="M434" s="30"/>
      <c r="N434" s="30"/>
      <c r="O434" s="30"/>
      <c r="P434" s="30"/>
      <c r="Q434" s="30"/>
      <c r="R434" s="30"/>
      <c r="S434" s="30">
        <v>0</v>
      </c>
      <c r="T434" s="26"/>
      <c r="U434" s="26"/>
      <c r="V434" s="26"/>
      <c r="W434" s="26"/>
      <c r="X434" s="26"/>
      <c r="Y434" s="26"/>
      <c r="Z434" s="26"/>
      <c r="AA434" s="26"/>
      <c r="AB434" s="26"/>
      <c r="AC434" s="26"/>
      <c r="AD434" s="26"/>
      <c r="AE434" s="26"/>
      <c r="AF434" s="26"/>
      <c r="AG434" s="26"/>
      <c r="AH434" s="26"/>
      <c r="AI434" s="26"/>
      <c r="AJ434" s="26"/>
      <c r="AK434" s="26"/>
      <c r="AL434" s="26"/>
      <c r="AM434" s="26"/>
      <c r="AN434" s="26"/>
      <c r="AO434" s="26"/>
      <c r="AP434" s="26"/>
      <c r="AQ434" s="26"/>
      <c r="AR434" s="26"/>
    </row>
    <row r="435" spans="1:44" ht="15.75" x14ac:dyDescent="0.25">
      <c r="A435" s="30"/>
      <c r="B435" s="13" t="s">
        <v>708</v>
      </c>
      <c r="C435" s="170" t="s">
        <v>769</v>
      </c>
      <c r="D435" s="167">
        <v>85621122204</v>
      </c>
      <c r="E435" s="161" t="s">
        <v>22</v>
      </c>
      <c r="F435" s="162" t="e">
        <f>G435+SUMIF('[1]mouv MULTIVAC R230 et R240'!B:B,"=contacteur 11kw/ contacteur de chauffe",'[1]mouv MULTIVAC R230 et R240'!G:G)</f>
        <v>#VALUE!</v>
      </c>
      <c r="G435" s="163">
        <v>4</v>
      </c>
      <c r="H435" s="163">
        <v>2</v>
      </c>
      <c r="I435" s="1" t="e">
        <f t="shared" si="29"/>
        <v>#VALUE!</v>
      </c>
      <c r="J435" s="164">
        <v>60.95</v>
      </c>
      <c r="K435" s="165" t="e">
        <f t="shared" si="28"/>
        <v>#VALUE!</v>
      </c>
      <c r="L435" s="30"/>
      <c r="M435" s="30"/>
      <c r="N435" s="30"/>
      <c r="O435" s="30"/>
      <c r="P435" s="30"/>
      <c r="Q435" s="30"/>
      <c r="R435" s="30"/>
      <c r="S435" s="30">
        <v>0</v>
      </c>
      <c r="T435" s="26"/>
      <c r="U435" s="26"/>
      <c r="V435" s="26"/>
      <c r="W435" s="26"/>
      <c r="X435" s="26"/>
      <c r="Y435" s="26"/>
      <c r="Z435" s="26"/>
      <c r="AA435" s="26"/>
      <c r="AB435" s="26"/>
      <c r="AC435" s="26"/>
      <c r="AD435" s="26"/>
      <c r="AE435" s="26"/>
      <c r="AF435" s="26"/>
      <c r="AG435" s="26"/>
      <c r="AH435" s="26"/>
      <c r="AI435" s="26"/>
      <c r="AJ435" s="26"/>
      <c r="AK435" s="26"/>
      <c r="AL435" s="26"/>
      <c r="AM435" s="26"/>
      <c r="AN435" s="26"/>
      <c r="AO435" s="26"/>
      <c r="AP435" s="26"/>
      <c r="AQ435" s="26"/>
      <c r="AR435" s="26"/>
    </row>
    <row r="436" spans="1:44" ht="15.75" x14ac:dyDescent="0.25">
      <c r="A436" s="30"/>
      <c r="B436" s="13" t="s">
        <v>708</v>
      </c>
      <c r="C436" s="170" t="s">
        <v>770</v>
      </c>
      <c r="D436" s="167">
        <v>85811151620</v>
      </c>
      <c r="E436" s="161" t="s">
        <v>22</v>
      </c>
      <c r="F436" s="162" t="e">
        <f>G436+SUMIF('[1]mouv MULTIVAC R230 et R240'!B:B,"=moteur lisière",'[1]mouv MULTIVAC R230 et R240'!G:G)</f>
        <v>#VALUE!</v>
      </c>
      <c r="G436" s="163">
        <v>0</v>
      </c>
      <c r="H436" s="163">
        <v>0</v>
      </c>
      <c r="I436" s="1" t="e">
        <f t="shared" si="29"/>
        <v>#VALUE!</v>
      </c>
      <c r="J436" s="164">
        <v>1180.1300000000001</v>
      </c>
      <c r="K436" s="165" t="e">
        <f t="shared" si="28"/>
        <v>#VALUE!</v>
      </c>
      <c r="L436" s="30"/>
      <c r="M436" s="30"/>
      <c r="N436" s="30"/>
      <c r="O436" s="30"/>
      <c r="P436" s="30"/>
      <c r="Q436" s="30"/>
      <c r="R436" s="30"/>
      <c r="S436" s="30">
        <v>0</v>
      </c>
      <c r="T436" s="26"/>
      <c r="U436" s="26"/>
      <c r="V436" s="26"/>
      <c r="W436" s="26"/>
      <c r="X436" s="26"/>
      <c r="Y436" s="26"/>
      <c r="Z436" s="26"/>
      <c r="AA436" s="26"/>
      <c r="AB436" s="26"/>
      <c r="AC436" s="26"/>
      <c r="AD436" s="26"/>
      <c r="AE436" s="26"/>
      <c r="AF436" s="26"/>
      <c r="AG436" s="26"/>
      <c r="AH436" s="26"/>
      <c r="AI436" s="26"/>
      <c r="AJ436" s="26"/>
      <c r="AK436" s="26"/>
      <c r="AL436" s="26"/>
      <c r="AM436" s="26"/>
      <c r="AN436" s="26"/>
      <c r="AO436" s="26"/>
      <c r="AP436" s="26"/>
      <c r="AQ436" s="26"/>
      <c r="AR436" s="26"/>
    </row>
    <row r="437" spans="1:44" ht="15.75" x14ac:dyDescent="0.25">
      <c r="A437" s="30"/>
      <c r="B437" s="13" t="s">
        <v>708</v>
      </c>
      <c r="C437" s="175" t="s">
        <v>771</v>
      </c>
      <c r="D437" s="172">
        <v>86311513003</v>
      </c>
      <c r="E437" s="161" t="s">
        <v>22</v>
      </c>
      <c r="F437" s="162" t="e">
        <f>G437+SUMIF('[1]mouv MULTIVAC R230 et R240'!B:B,"=Filtre contacteur de chauffe",'[1]mouv MULTIVAC R230 et R240'!G:G)</f>
        <v>#VALUE!</v>
      </c>
      <c r="G437" s="163">
        <v>11</v>
      </c>
      <c r="H437" s="167">
        <v>4</v>
      </c>
      <c r="I437" s="1" t="e">
        <f t="shared" si="29"/>
        <v>#VALUE!</v>
      </c>
      <c r="J437" s="168">
        <v>8.9499999999999993</v>
      </c>
      <c r="K437" s="165" t="e">
        <f t="shared" si="28"/>
        <v>#VALUE!</v>
      </c>
      <c r="L437" s="30"/>
      <c r="M437" s="30"/>
      <c r="N437" s="30"/>
      <c r="O437" s="30"/>
      <c r="P437" s="30"/>
      <c r="Q437" s="30"/>
      <c r="R437" s="30"/>
      <c r="S437" s="30">
        <v>1</v>
      </c>
      <c r="T437" s="26"/>
      <c r="U437" s="26"/>
      <c r="V437" s="26"/>
      <c r="W437" s="26"/>
      <c r="X437" s="26"/>
      <c r="Y437" s="26"/>
      <c r="Z437" s="26"/>
      <c r="AA437" s="26"/>
      <c r="AB437" s="26"/>
      <c r="AC437" s="26"/>
      <c r="AD437" s="26"/>
      <c r="AE437" s="26"/>
      <c r="AF437" s="26"/>
      <c r="AG437" s="26"/>
      <c r="AH437" s="26"/>
      <c r="AI437" s="26"/>
      <c r="AJ437" s="26"/>
      <c r="AK437" s="26"/>
      <c r="AL437" s="26"/>
      <c r="AM437" s="26"/>
      <c r="AN437" s="26"/>
      <c r="AO437" s="26"/>
      <c r="AP437" s="26"/>
      <c r="AQ437" s="26"/>
      <c r="AR437" s="26"/>
    </row>
    <row r="438" spans="1:44" ht="15.75" x14ac:dyDescent="0.25">
      <c r="A438" s="30"/>
      <c r="B438" s="13" t="s">
        <v>708</v>
      </c>
      <c r="C438" s="171" t="s">
        <v>772</v>
      </c>
      <c r="D438" s="172">
        <v>86311513003</v>
      </c>
      <c r="E438" s="161" t="s">
        <v>22</v>
      </c>
      <c r="F438" s="162" t="e">
        <f>G438+SUMIF('[1]mouv MULTIVAC R230 et R240'!B:B,"=Filtre contacteur 7,5 KW (filtres RC)",'[1]mouv MULTIVAC R230 et R240'!G:G)</f>
        <v>#VALUE!</v>
      </c>
      <c r="G438" s="163">
        <v>2</v>
      </c>
      <c r="H438" s="163">
        <v>1</v>
      </c>
      <c r="I438" s="1" t="e">
        <f t="shared" si="29"/>
        <v>#VALUE!</v>
      </c>
      <c r="J438" s="164">
        <v>15.09</v>
      </c>
      <c r="K438" s="165" t="e">
        <f t="shared" si="28"/>
        <v>#VALUE!</v>
      </c>
      <c r="L438" s="30"/>
      <c r="M438" s="30"/>
      <c r="N438" s="30"/>
      <c r="O438" s="30"/>
      <c r="P438" s="30"/>
      <c r="Q438" s="30"/>
      <c r="R438" s="30"/>
      <c r="S438" s="30">
        <v>0</v>
      </c>
      <c r="T438" s="26"/>
      <c r="U438" s="26"/>
      <c r="V438" s="26"/>
      <c r="W438" s="26"/>
      <c r="X438" s="26"/>
      <c r="Y438" s="26"/>
      <c r="Z438" s="26"/>
      <c r="AA438" s="26"/>
      <c r="AB438" s="26"/>
      <c r="AC438" s="26"/>
      <c r="AD438" s="26"/>
      <c r="AE438" s="26"/>
      <c r="AF438" s="26"/>
      <c r="AG438" s="26"/>
      <c r="AH438" s="26"/>
      <c r="AI438" s="26"/>
      <c r="AJ438" s="26"/>
      <c r="AK438" s="26"/>
      <c r="AL438" s="26"/>
      <c r="AM438" s="26"/>
      <c r="AN438" s="26"/>
      <c r="AO438" s="26"/>
      <c r="AP438" s="26"/>
      <c r="AQ438" s="26"/>
      <c r="AR438" s="26"/>
    </row>
    <row r="439" spans="1:44" ht="15.75" x14ac:dyDescent="0.25">
      <c r="A439" s="30"/>
      <c r="B439" s="13" t="s">
        <v>708</v>
      </c>
      <c r="C439" s="170" t="s">
        <v>773</v>
      </c>
      <c r="D439" s="167">
        <v>91121611030</v>
      </c>
      <c r="E439" s="161" t="s">
        <v>22</v>
      </c>
      <c r="F439" s="162" t="e">
        <f>G439+SUMIF('[1]mouv MULTIVAC R230 et R240'!B:B,"=huile blanche",'[1]mouv MULTIVAC R230 et R240'!G:G)</f>
        <v>#VALUE!</v>
      </c>
      <c r="G439" s="163">
        <v>2</v>
      </c>
      <c r="H439" s="163">
        <v>1</v>
      </c>
      <c r="I439" s="1" t="e">
        <f t="shared" si="29"/>
        <v>#VALUE!</v>
      </c>
      <c r="J439" s="164">
        <v>18.03</v>
      </c>
      <c r="K439" s="165" t="e">
        <f t="shared" si="28"/>
        <v>#VALUE!</v>
      </c>
      <c r="L439" s="30"/>
      <c r="M439" s="30"/>
      <c r="N439" s="30"/>
      <c r="O439" s="30"/>
      <c r="P439" s="30"/>
      <c r="Q439" s="30"/>
      <c r="R439" s="30"/>
      <c r="S439" s="30">
        <v>1</v>
      </c>
      <c r="T439" s="26"/>
      <c r="U439" s="26"/>
      <c r="V439" s="26"/>
      <c r="W439" s="26"/>
      <c r="X439" s="26"/>
      <c r="Y439" s="26"/>
      <c r="Z439" s="26"/>
      <c r="AA439" s="26"/>
      <c r="AB439" s="26"/>
      <c r="AC439" s="26"/>
      <c r="AD439" s="26"/>
      <c r="AE439" s="26"/>
      <c r="AF439" s="26"/>
      <c r="AG439" s="26"/>
      <c r="AH439" s="26"/>
      <c r="AI439" s="26"/>
      <c r="AJ439" s="26"/>
      <c r="AK439" s="26"/>
      <c r="AL439" s="26"/>
      <c r="AM439" s="26"/>
      <c r="AN439" s="26"/>
      <c r="AO439" s="26"/>
      <c r="AP439" s="26"/>
      <c r="AQ439" s="26"/>
      <c r="AR439" s="26"/>
    </row>
    <row r="440" spans="1:44" ht="15.75" x14ac:dyDescent="0.25">
      <c r="A440" s="30"/>
      <c r="B440" s="13" t="s">
        <v>708</v>
      </c>
      <c r="C440" s="170" t="s">
        <v>774</v>
      </c>
      <c r="D440" s="167">
        <v>91121611030</v>
      </c>
      <c r="E440" s="161" t="s">
        <v>22</v>
      </c>
      <c r="F440" s="162" t="e">
        <f>G440+SUMIF('[1]mouv MULTIVAC R230 et R240'!B:B,"=spray anti corosion",'[1]mouv MULTIVAC R230 et R240'!G:G)</f>
        <v>#VALUE!</v>
      </c>
      <c r="G440" s="163">
        <v>2</v>
      </c>
      <c r="H440" s="163">
        <v>2</v>
      </c>
      <c r="I440" s="1" t="e">
        <f t="shared" si="29"/>
        <v>#VALUE!</v>
      </c>
      <c r="J440" s="164">
        <v>18.16</v>
      </c>
      <c r="K440" s="165" t="e">
        <f t="shared" ref="K440:K454" si="30">J440*F440</f>
        <v>#VALUE!</v>
      </c>
      <c r="L440" s="30"/>
      <c r="M440" s="30"/>
      <c r="N440" s="30"/>
      <c r="O440" s="30"/>
      <c r="P440" s="30"/>
      <c r="Q440" s="30"/>
      <c r="R440" s="30"/>
      <c r="S440" s="30">
        <v>0</v>
      </c>
      <c r="T440" s="26"/>
      <c r="U440" s="26"/>
      <c r="V440" s="26"/>
      <c r="W440" s="26"/>
      <c r="X440" s="26"/>
      <c r="Y440" s="26"/>
      <c r="Z440" s="26"/>
      <c r="AA440" s="26"/>
      <c r="AB440" s="26"/>
      <c r="AC440" s="26"/>
      <c r="AD440" s="26"/>
      <c r="AE440" s="26"/>
      <c r="AF440" s="26"/>
      <c r="AG440" s="26"/>
      <c r="AH440" s="26"/>
      <c r="AI440" s="26"/>
      <c r="AJ440" s="26"/>
      <c r="AK440" s="26"/>
      <c r="AL440" s="26"/>
      <c r="AM440" s="26"/>
      <c r="AN440" s="26"/>
      <c r="AO440" s="26"/>
      <c r="AP440" s="26"/>
      <c r="AQ440" s="26"/>
      <c r="AR440" s="26"/>
    </row>
    <row r="441" spans="1:44" ht="15.75" x14ac:dyDescent="0.25">
      <c r="A441" s="30"/>
      <c r="B441" s="13" t="s">
        <v>708</v>
      </c>
      <c r="C441" s="170" t="s">
        <v>775</v>
      </c>
      <c r="D441" s="167" t="s">
        <v>776</v>
      </c>
      <c r="E441" s="161" t="s">
        <v>22</v>
      </c>
      <c r="F441" s="162" t="e">
        <f>G441+SUMIF('[1]mouv MULTIVAC R230 et R240'!B:B,"=vanne principale d'air 3/2 R230",'[1]mouv MULTIVAC R230 et R240'!G:G)</f>
        <v>#VALUE!</v>
      </c>
      <c r="G441" s="163">
        <v>1</v>
      </c>
      <c r="H441" s="163">
        <v>1</v>
      </c>
      <c r="I441" s="1" t="e">
        <f t="shared" si="29"/>
        <v>#VALUE!</v>
      </c>
      <c r="J441" s="164">
        <v>381.11</v>
      </c>
      <c r="K441" s="165" t="e">
        <f t="shared" si="30"/>
        <v>#VALUE!</v>
      </c>
      <c r="L441" s="30"/>
      <c r="M441" s="30"/>
      <c r="N441" s="30"/>
      <c r="O441" s="30"/>
      <c r="P441" s="30"/>
      <c r="Q441" s="30"/>
      <c r="R441" s="30"/>
      <c r="S441" s="30">
        <v>1</v>
      </c>
      <c r="T441" s="26"/>
      <c r="U441" s="26"/>
      <c r="V441" s="26"/>
      <c r="W441" s="26"/>
      <c r="X441" s="26"/>
      <c r="Y441" s="26"/>
      <c r="Z441" s="26"/>
      <c r="AA441" s="26"/>
      <c r="AB441" s="26"/>
      <c r="AC441" s="26"/>
      <c r="AD441" s="26"/>
      <c r="AE441" s="26"/>
      <c r="AF441" s="26"/>
      <c r="AG441" s="26"/>
      <c r="AH441" s="26"/>
      <c r="AI441" s="26"/>
      <c r="AJ441" s="26"/>
      <c r="AK441" s="26"/>
      <c r="AL441" s="26"/>
      <c r="AM441" s="26"/>
      <c r="AN441" s="26"/>
      <c r="AO441" s="26"/>
      <c r="AP441" s="26"/>
      <c r="AQ441" s="26"/>
      <c r="AR441" s="26"/>
    </row>
    <row r="442" spans="1:44" ht="15.75" x14ac:dyDescent="0.25">
      <c r="A442" s="30"/>
      <c r="B442" s="13" t="s">
        <v>708</v>
      </c>
      <c r="C442" s="170" t="s">
        <v>777</v>
      </c>
      <c r="D442" s="167">
        <v>106603811</v>
      </c>
      <c r="E442" s="161" t="s">
        <v>22</v>
      </c>
      <c r="F442" s="162" t="e">
        <f>G442+SUMIF('[1]mouv MULTIVAC R230 et R240'!B:B,"=Capteur pression R230",'[1]mouv MULTIVAC R230 et R240'!G:G)</f>
        <v>#VALUE!</v>
      </c>
      <c r="G442" s="163">
        <v>1</v>
      </c>
      <c r="H442" s="163">
        <v>0</v>
      </c>
      <c r="I442" s="1" t="e">
        <f t="shared" si="29"/>
        <v>#VALUE!</v>
      </c>
      <c r="J442" s="164">
        <v>336.06</v>
      </c>
      <c r="K442" s="165" t="e">
        <f t="shared" si="30"/>
        <v>#VALUE!</v>
      </c>
      <c r="L442" s="30"/>
      <c r="M442" s="30"/>
      <c r="N442" s="30"/>
      <c r="O442" s="30"/>
      <c r="P442" s="30"/>
      <c r="Q442" s="30"/>
      <c r="R442" s="30"/>
      <c r="S442" s="30">
        <v>1</v>
      </c>
      <c r="T442" s="26"/>
      <c r="U442" s="26"/>
      <c r="V442" s="26"/>
      <c r="W442" s="26"/>
      <c r="X442" s="26"/>
      <c r="Y442" s="26"/>
      <c r="Z442" s="26"/>
      <c r="AA442" s="26"/>
      <c r="AB442" s="26"/>
      <c r="AC442" s="26"/>
      <c r="AD442" s="26"/>
      <c r="AE442" s="26"/>
      <c r="AF442" s="26"/>
      <c r="AG442" s="26"/>
      <c r="AH442" s="26"/>
      <c r="AI442" s="26"/>
      <c r="AJ442" s="26"/>
      <c r="AK442" s="26"/>
      <c r="AL442" s="26"/>
      <c r="AM442" s="26"/>
      <c r="AN442" s="26"/>
      <c r="AO442" s="26"/>
      <c r="AP442" s="26"/>
      <c r="AQ442" s="26"/>
      <c r="AR442" s="26"/>
    </row>
    <row r="443" spans="1:44" ht="15.75" x14ac:dyDescent="0.25">
      <c r="A443" s="30"/>
      <c r="B443" s="13" t="s">
        <v>708</v>
      </c>
      <c r="C443" s="170" t="s">
        <v>778</v>
      </c>
      <c r="D443" s="167" t="s">
        <v>779</v>
      </c>
      <c r="E443" s="161" t="s">
        <v>22</v>
      </c>
      <c r="F443" s="162" t="e">
        <f>G443+SUMIF('[1]mouv MULTIVAC R230 et R240'!B:B,"=Filtre pneumatique  avant formage",'[1]mouv MULTIVAC R230 et R240'!G:G)</f>
        <v>#VALUE!</v>
      </c>
      <c r="G443" s="163">
        <v>1</v>
      </c>
      <c r="H443" s="163">
        <v>1</v>
      </c>
      <c r="I443" s="1" t="e">
        <f t="shared" si="29"/>
        <v>#VALUE!</v>
      </c>
      <c r="J443" s="164">
        <v>105.43</v>
      </c>
      <c r="K443" s="165" t="e">
        <f t="shared" si="30"/>
        <v>#VALUE!</v>
      </c>
      <c r="L443" s="30"/>
      <c r="M443" s="30"/>
      <c r="N443" s="30"/>
      <c r="O443" s="30"/>
      <c r="P443" s="30"/>
      <c r="Q443" s="30"/>
      <c r="R443" s="30"/>
      <c r="S443" s="30">
        <v>1</v>
      </c>
      <c r="T443" s="26"/>
      <c r="U443" s="26"/>
      <c r="V443" s="26"/>
      <c r="W443" s="26"/>
      <c r="X443" s="26"/>
      <c r="Y443" s="26"/>
      <c r="Z443" s="26"/>
      <c r="AA443" s="26"/>
      <c r="AB443" s="26"/>
      <c r="AC443" s="26"/>
      <c r="AD443" s="26"/>
      <c r="AE443" s="26"/>
      <c r="AF443" s="26"/>
      <c r="AG443" s="26"/>
      <c r="AH443" s="26"/>
      <c r="AI443" s="26"/>
      <c r="AJ443" s="26"/>
      <c r="AK443" s="26"/>
      <c r="AL443" s="26"/>
      <c r="AM443" s="26"/>
      <c r="AN443" s="26"/>
      <c r="AO443" s="26"/>
      <c r="AP443" s="26"/>
      <c r="AQ443" s="26"/>
      <c r="AR443" s="26"/>
    </row>
    <row r="444" spans="1:44" ht="15.75" x14ac:dyDescent="0.25">
      <c r="A444" s="30"/>
      <c r="B444" s="13" t="s">
        <v>708</v>
      </c>
      <c r="C444" s="170" t="s">
        <v>780</v>
      </c>
      <c r="D444" s="167" t="s">
        <v>781</v>
      </c>
      <c r="E444" s="161" t="s">
        <v>22</v>
      </c>
      <c r="F444" s="162" t="e">
        <f>G444+SUMIF('[1]mouv MULTIVAC R230 et R240'!B:B,"=clapet antiretour Gaz R230",'[1]mouv MULTIVAC R230 et R240'!G:G)</f>
        <v>#VALUE!</v>
      </c>
      <c r="G444" s="163">
        <v>7</v>
      </c>
      <c r="H444" s="163">
        <v>1</v>
      </c>
      <c r="I444" s="1" t="e">
        <f t="shared" si="29"/>
        <v>#VALUE!</v>
      </c>
      <c r="J444" s="164">
        <v>0</v>
      </c>
      <c r="K444" s="165" t="e">
        <f t="shared" si="30"/>
        <v>#VALUE!</v>
      </c>
      <c r="L444" s="30"/>
      <c r="M444" s="30"/>
      <c r="N444" s="30"/>
      <c r="O444" s="30"/>
      <c r="P444" s="30"/>
      <c r="Q444" s="30"/>
      <c r="R444" s="30"/>
      <c r="S444" s="30">
        <v>1</v>
      </c>
      <c r="T444" s="26"/>
      <c r="U444" s="26"/>
      <c r="V444" s="26"/>
      <c r="W444" s="26"/>
      <c r="X444" s="26"/>
      <c r="Y444" s="26"/>
      <c r="Z444" s="26"/>
      <c r="AA444" s="26"/>
      <c r="AB444" s="26"/>
      <c r="AC444" s="26"/>
      <c r="AD444" s="26"/>
      <c r="AE444" s="26"/>
      <c r="AF444" s="26"/>
      <c r="AG444" s="26"/>
      <c r="AH444" s="26"/>
      <c r="AI444" s="26"/>
      <c r="AJ444" s="26"/>
      <c r="AK444" s="26"/>
      <c r="AL444" s="26"/>
      <c r="AM444" s="26"/>
      <c r="AN444" s="26"/>
      <c r="AO444" s="26"/>
      <c r="AP444" s="26"/>
      <c r="AQ444" s="26"/>
      <c r="AR444" s="26"/>
    </row>
    <row r="445" spans="1:44" ht="15.75" x14ac:dyDescent="0.25">
      <c r="A445" s="30"/>
      <c r="B445" s="13" t="s">
        <v>708</v>
      </c>
      <c r="C445" s="170" t="s">
        <v>782</v>
      </c>
      <c r="D445" s="167" t="s">
        <v>783</v>
      </c>
      <c r="E445" s="161" t="s">
        <v>22</v>
      </c>
      <c r="F445" s="162" t="e">
        <f>G445+SUMIF('[1]mouv MULTIVAC R230 et R240'!B:B,"=Module Logique OU capteur de vide",'[1]mouv MULTIVAC R230 et R240'!G:G)</f>
        <v>#VALUE!</v>
      </c>
      <c r="G445" s="163">
        <v>2</v>
      </c>
      <c r="H445" s="163">
        <v>1</v>
      </c>
      <c r="I445" s="1" t="e">
        <f t="shared" si="29"/>
        <v>#VALUE!</v>
      </c>
      <c r="J445" s="164">
        <v>31.02</v>
      </c>
      <c r="K445" s="165" t="e">
        <f t="shared" si="30"/>
        <v>#VALUE!</v>
      </c>
      <c r="L445" s="30"/>
      <c r="M445" s="30"/>
      <c r="N445" s="30"/>
      <c r="O445" s="30"/>
      <c r="P445" s="30"/>
      <c r="Q445" s="30"/>
      <c r="R445" s="30"/>
      <c r="S445" s="30">
        <v>0</v>
      </c>
      <c r="T445" s="26"/>
      <c r="U445" s="26"/>
      <c r="V445" s="26"/>
      <c r="W445" s="26"/>
      <c r="X445" s="26"/>
      <c r="Y445" s="26"/>
      <c r="Z445" s="26"/>
      <c r="AA445" s="26"/>
      <c r="AB445" s="26"/>
      <c r="AC445" s="26"/>
      <c r="AD445" s="26"/>
      <c r="AE445" s="26"/>
      <c r="AF445" s="26"/>
      <c r="AG445" s="26"/>
      <c r="AH445" s="26"/>
      <c r="AI445" s="26"/>
      <c r="AJ445" s="26"/>
      <c r="AK445" s="26"/>
      <c r="AL445" s="26"/>
      <c r="AM445" s="26"/>
      <c r="AN445" s="26"/>
      <c r="AO445" s="26"/>
      <c r="AP445" s="26"/>
      <c r="AQ445" s="26"/>
      <c r="AR445" s="26"/>
    </row>
    <row r="446" spans="1:44" ht="15.75" x14ac:dyDescent="0.25">
      <c r="A446" s="30"/>
      <c r="B446" s="13" t="s">
        <v>708</v>
      </c>
      <c r="C446" s="170" t="s">
        <v>784</v>
      </c>
      <c r="D446" s="167" t="s">
        <v>785</v>
      </c>
      <c r="E446" s="161" t="s">
        <v>22</v>
      </c>
      <c r="F446" s="162" t="e">
        <f>G446+SUMIF('[1]mouv MULTIVAC R230 et R240'!B:B,"=filtre G1/2 filtration air comprimé formage",'[1]mouv MULTIVAC R230 et R240'!G:G)</f>
        <v>#VALUE!</v>
      </c>
      <c r="G446" s="163">
        <v>1</v>
      </c>
      <c r="H446" s="163">
        <v>1</v>
      </c>
      <c r="I446" s="1" t="e">
        <f t="shared" si="29"/>
        <v>#VALUE!</v>
      </c>
      <c r="J446" s="164">
        <v>105.43</v>
      </c>
      <c r="K446" s="165" t="e">
        <f t="shared" si="30"/>
        <v>#VALUE!</v>
      </c>
      <c r="L446" s="30"/>
      <c r="M446" s="30"/>
      <c r="N446" s="30"/>
      <c r="O446" s="30"/>
      <c r="P446" s="30"/>
      <c r="Q446" s="30"/>
      <c r="R446" s="30"/>
      <c r="S446" s="30">
        <v>0</v>
      </c>
      <c r="T446" s="26"/>
      <c r="U446" s="26"/>
      <c r="V446" s="26"/>
      <c r="W446" s="26"/>
      <c r="X446" s="26"/>
      <c r="Y446" s="26"/>
      <c r="Z446" s="26"/>
      <c r="AA446" s="26"/>
      <c r="AB446" s="26"/>
      <c r="AC446" s="26"/>
      <c r="AD446" s="26"/>
      <c r="AE446" s="26"/>
      <c r="AF446" s="26"/>
      <c r="AG446" s="26"/>
      <c r="AH446" s="26"/>
      <c r="AI446" s="26"/>
      <c r="AJ446" s="26"/>
      <c r="AK446" s="26"/>
      <c r="AL446" s="26"/>
      <c r="AM446" s="26"/>
      <c r="AN446" s="26"/>
      <c r="AO446" s="26"/>
      <c r="AP446" s="26"/>
      <c r="AQ446" s="26"/>
      <c r="AR446" s="26"/>
    </row>
    <row r="447" spans="1:44" ht="15.75" x14ac:dyDescent="0.25">
      <c r="A447" s="30"/>
      <c r="B447" s="13" t="s">
        <v>708</v>
      </c>
      <c r="C447" s="170" t="s">
        <v>786</v>
      </c>
      <c r="D447" s="167" t="s">
        <v>787</v>
      </c>
      <c r="E447" s="167" t="s">
        <v>108</v>
      </c>
      <c r="F447" s="162" t="e">
        <f>G447+SUMIF('[1]mouv MULTIVAC R230 et R240'!B:B,"=Bloc cont. Aux. 2NO-2NF",'[1]mouv MULTIVAC R230 et R240'!G:G)</f>
        <v>#VALUE!</v>
      </c>
      <c r="G447" s="163">
        <v>2</v>
      </c>
      <c r="H447" s="163">
        <v>1</v>
      </c>
      <c r="I447" s="1" t="e">
        <f t="shared" si="29"/>
        <v>#VALUE!</v>
      </c>
      <c r="J447" s="164">
        <v>7.7885200000000001</v>
      </c>
      <c r="K447" s="165" t="e">
        <f t="shared" si="30"/>
        <v>#VALUE!</v>
      </c>
      <c r="L447" s="30"/>
      <c r="M447" s="30"/>
      <c r="N447" s="30"/>
      <c r="O447" s="30"/>
      <c r="P447" s="30"/>
      <c r="Q447" s="30"/>
      <c r="R447" s="30"/>
      <c r="S447" s="30">
        <v>0</v>
      </c>
      <c r="T447" s="26"/>
      <c r="U447" s="26"/>
      <c r="V447" s="26"/>
      <c r="W447" s="26"/>
      <c r="X447" s="26"/>
      <c r="Y447" s="26"/>
      <c r="Z447" s="26"/>
      <c r="AA447" s="26"/>
      <c r="AB447" s="26"/>
      <c r="AC447" s="26"/>
      <c r="AD447" s="26"/>
      <c r="AE447" s="26"/>
      <c r="AF447" s="26"/>
      <c r="AG447" s="26"/>
      <c r="AH447" s="26"/>
      <c r="AI447" s="26"/>
      <c r="AJ447" s="26"/>
      <c r="AK447" s="26"/>
      <c r="AL447" s="26"/>
      <c r="AM447" s="26"/>
      <c r="AN447" s="26"/>
      <c r="AO447" s="26"/>
      <c r="AP447" s="26"/>
      <c r="AQ447" s="26"/>
      <c r="AR447" s="26"/>
    </row>
    <row r="448" spans="1:44" ht="15.75" x14ac:dyDescent="0.25">
      <c r="A448" s="30"/>
      <c r="B448" s="13" t="s">
        <v>708</v>
      </c>
      <c r="C448" s="170" t="s">
        <v>788</v>
      </c>
      <c r="D448" s="167" t="s">
        <v>789</v>
      </c>
      <c r="E448" s="167" t="s">
        <v>108</v>
      </c>
      <c r="F448" s="162" t="e">
        <f>G448+SUMIF('[1]mouv MULTIVAC R230 et R240'!B:B,"=Contacteur 4kw 1NO AC 230V",'[1]mouv MULTIVAC R230 et R240'!G:G)</f>
        <v>#VALUE!</v>
      </c>
      <c r="G448" s="163">
        <v>0</v>
      </c>
      <c r="H448" s="163">
        <v>1</v>
      </c>
      <c r="I448" s="1" t="e">
        <f t="shared" si="29"/>
        <v>#VALUE!</v>
      </c>
      <c r="J448" s="164">
        <v>17.497489999999999</v>
      </c>
      <c r="K448" s="165" t="e">
        <f t="shared" si="30"/>
        <v>#VALUE!</v>
      </c>
      <c r="L448" s="30"/>
      <c r="M448" s="30"/>
      <c r="N448" s="30"/>
      <c r="O448" s="30"/>
      <c r="P448" s="30"/>
      <c r="Q448" s="30"/>
      <c r="R448" s="30"/>
      <c r="S448" s="30">
        <v>1</v>
      </c>
      <c r="T448" s="26"/>
      <c r="U448" s="26"/>
      <c r="V448" s="26"/>
      <c r="W448" s="26"/>
      <c r="X448" s="26"/>
      <c r="Y448" s="26"/>
      <c r="Z448" s="26"/>
      <c r="AA448" s="26"/>
      <c r="AB448" s="26"/>
      <c r="AC448" s="26"/>
      <c r="AD448" s="26"/>
      <c r="AE448" s="26"/>
      <c r="AF448" s="26"/>
      <c r="AG448" s="26"/>
      <c r="AH448" s="26"/>
      <c r="AI448" s="26"/>
      <c r="AJ448" s="26"/>
      <c r="AK448" s="26"/>
      <c r="AL448" s="26"/>
      <c r="AM448" s="26"/>
      <c r="AN448" s="26"/>
      <c r="AO448" s="26"/>
      <c r="AP448" s="26"/>
      <c r="AQ448" s="26"/>
      <c r="AR448" s="26"/>
    </row>
    <row r="449" spans="1:44" ht="15.75" x14ac:dyDescent="0.25">
      <c r="A449" s="30"/>
      <c r="B449" s="13" t="s">
        <v>708</v>
      </c>
      <c r="C449" s="170" t="s">
        <v>790</v>
      </c>
      <c r="D449" s="167" t="s">
        <v>791</v>
      </c>
      <c r="E449" s="167" t="s">
        <v>108</v>
      </c>
      <c r="F449" s="162" t="e">
        <f>G449+SUMIF('[1]mouv MULTIVAC R230 et R240'!B:B,"=Contacteur 5,5KW 1NO  AC230V",'[1]mouv MULTIVAC R230 et R240'!G:G)</f>
        <v>#VALUE!</v>
      </c>
      <c r="G449" s="163">
        <v>0</v>
      </c>
      <c r="H449" s="163">
        <v>1</v>
      </c>
      <c r="I449" s="1" t="e">
        <f t="shared" si="29"/>
        <v>#VALUE!</v>
      </c>
      <c r="J449" s="164">
        <v>21.498439999999999</v>
      </c>
      <c r="K449" s="165" t="e">
        <f t="shared" si="30"/>
        <v>#VALUE!</v>
      </c>
      <c r="L449" s="30"/>
      <c r="M449" s="30"/>
      <c r="N449" s="30"/>
      <c r="O449" s="30"/>
      <c r="P449" s="30"/>
      <c r="Q449" s="30"/>
      <c r="R449" s="30"/>
      <c r="S449" s="30">
        <v>0</v>
      </c>
      <c r="T449" s="26"/>
      <c r="U449" s="26"/>
      <c r="V449" s="26"/>
      <c r="W449" s="26"/>
      <c r="X449" s="26"/>
      <c r="Y449" s="26"/>
      <c r="Z449" s="26"/>
      <c r="AA449" s="26"/>
      <c r="AB449" s="26"/>
      <c r="AC449" s="26"/>
      <c r="AD449" s="26"/>
      <c r="AE449" s="26"/>
      <c r="AF449" s="26"/>
      <c r="AG449" s="26"/>
      <c r="AH449" s="26"/>
      <c r="AI449" s="26"/>
      <c r="AJ449" s="26"/>
      <c r="AK449" s="26"/>
      <c r="AL449" s="26"/>
      <c r="AM449" s="26"/>
      <c r="AN449" s="26"/>
      <c r="AO449" s="26"/>
      <c r="AP449" s="26"/>
      <c r="AQ449" s="26"/>
      <c r="AR449" s="26"/>
    </row>
    <row r="450" spans="1:44" ht="15.75" x14ac:dyDescent="0.25">
      <c r="A450" s="30"/>
      <c r="B450" s="13" t="s">
        <v>708</v>
      </c>
      <c r="C450" s="170" t="s">
        <v>792</v>
      </c>
      <c r="D450" s="167" t="s">
        <v>793</v>
      </c>
      <c r="E450" s="167" t="s">
        <v>108</v>
      </c>
      <c r="F450" s="162" t="e">
        <f>G450+SUMIF('[1]mouv MULTIVAC R230 et R240'!B:B,"=Contacteur 7,5KW AC 230V",'[1]mouv MULTIVAC R230 et R240'!G:G)</f>
        <v>#VALUE!</v>
      </c>
      <c r="G450" s="163">
        <v>1</v>
      </c>
      <c r="H450" s="163">
        <v>1</v>
      </c>
      <c r="I450" s="1" t="e">
        <f t="shared" si="29"/>
        <v>#VALUE!</v>
      </c>
      <c r="J450" s="164">
        <v>27.31315</v>
      </c>
      <c r="K450" s="165" t="e">
        <f t="shared" si="30"/>
        <v>#VALUE!</v>
      </c>
      <c r="L450" s="30"/>
      <c r="M450" s="30"/>
      <c r="N450" s="30"/>
      <c r="O450" s="30"/>
      <c r="P450" s="30"/>
      <c r="Q450" s="30"/>
      <c r="R450" s="30"/>
      <c r="S450" s="30">
        <v>1</v>
      </c>
      <c r="T450" s="26"/>
      <c r="U450" s="26"/>
      <c r="V450" s="26"/>
      <c r="W450" s="26"/>
      <c r="X450" s="26"/>
      <c r="Y450" s="26"/>
      <c r="Z450" s="26"/>
      <c r="AA450" s="26"/>
      <c r="AB450" s="26"/>
      <c r="AC450" s="26"/>
      <c r="AD450" s="26"/>
      <c r="AE450" s="26"/>
      <c r="AF450" s="26"/>
      <c r="AG450" s="26"/>
      <c r="AH450" s="26"/>
      <c r="AI450" s="26"/>
      <c r="AJ450" s="26"/>
      <c r="AK450" s="26"/>
      <c r="AL450" s="26"/>
      <c r="AM450" s="26"/>
      <c r="AN450" s="26"/>
      <c r="AO450" s="26"/>
      <c r="AP450" s="26"/>
      <c r="AQ450" s="26"/>
      <c r="AR450" s="26"/>
    </row>
    <row r="451" spans="1:44" ht="15.75" x14ac:dyDescent="0.25">
      <c r="A451" s="30"/>
      <c r="B451" s="13" t="s">
        <v>708</v>
      </c>
      <c r="C451" s="170" t="s">
        <v>794</v>
      </c>
      <c r="D451" s="167" t="s">
        <v>795</v>
      </c>
      <c r="E451" s="167" t="s">
        <v>108</v>
      </c>
      <c r="F451" s="162" t="e">
        <f>G451+SUMIF('[1]mouv MULTIVAC R230 et R240'!B:B,"=Contacteur 11Kw 1NO+1NF AC230V",'[1]mouv MULTIVAC R230 et R240'!G:G)</f>
        <v>#VALUE!</v>
      </c>
      <c r="G451" s="163">
        <v>1</v>
      </c>
      <c r="H451" s="163">
        <v>1</v>
      </c>
      <c r="I451" s="1" t="e">
        <f t="shared" si="29"/>
        <v>#VALUE!</v>
      </c>
      <c r="J451" s="164">
        <v>40.116190000000003</v>
      </c>
      <c r="K451" s="165" t="e">
        <f t="shared" si="30"/>
        <v>#VALUE!</v>
      </c>
      <c r="L451" s="30"/>
      <c r="M451" s="30"/>
      <c r="N451" s="30"/>
      <c r="O451" s="30"/>
      <c r="P451" s="30"/>
      <c r="Q451" s="30"/>
      <c r="R451" s="30"/>
      <c r="S451" s="30">
        <v>0</v>
      </c>
      <c r="T451" s="26"/>
      <c r="U451" s="26"/>
      <c r="V451" s="26"/>
      <c r="W451" s="26"/>
      <c r="X451" s="26"/>
      <c r="Y451" s="26"/>
      <c r="Z451" s="26"/>
      <c r="AA451" s="26"/>
      <c r="AB451" s="26"/>
      <c r="AC451" s="26"/>
      <c r="AD451" s="26"/>
      <c r="AE451" s="26"/>
      <c r="AF451" s="26"/>
      <c r="AG451" s="26"/>
      <c r="AH451" s="26"/>
      <c r="AI451" s="26"/>
      <c r="AJ451" s="26"/>
      <c r="AK451" s="26"/>
      <c r="AL451" s="26"/>
      <c r="AM451" s="26"/>
      <c r="AN451" s="26"/>
      <c r="AO451" s="26"/>
      <c r="AP451" s="26"/>
      <c r="AQ451" s="26"/>
      <c r="AR451" s="26"/>
    </row>
    <row r="452" spans="1:44" ht="15.75" x14ac:dyDescent="0.25">
      <c r="A452" s="30"/>
      <c r="B452" s="13" t="s">
        <v>708</v>
      </c>
      <c r="C452" s="170" t="s">
        <v>796</v>
      </c>
      <c r="D452" s="167" t="s">
        <v>797</v>
      </c>
      <c r="E452" s="167" t="s">
        <v>108</v>
      </c>
      <c r="F452" s="162" t="e">
        <f>G452+SUMIF('[1]mouv MULTIVAC R230 et R240'!B:B,"=VARISTANCE 127 a 240VAC",'[1]mouv MULTIVAC R230 et R240'!G:G)</f>
        <v>#VALUE!</v>
      </c>
      <c r="G452" s="163">
        <v>2</v>
      </c>
      <c r="H452" s="163">
        <v>2</v>
      </c>
      <c r="I452" s="1" t="e">
        <f t="shared" si="29"/>
        <v>#VALUE!</v>
      </c>
      <c r="J452" s="164">
        <v>4.6535900000000003</v>
      </c>
      <c r="K452" s="165" t="e">
        <f t="shared" si="30"/>
        <v>#VALUE!</v>
      </c>
      <c r="L452" s="30"/>
      <c r="M452" s="30"/>
      <c r="N452" s="30"/>
      <c r="O452" s="30"/>
      <c r="P452" s="30"/>
      <c r="Q452" s="30"/>
      <c r="R452" s="30"/>
      <c r="S452" s="30">
        <v>1</v>
      </c>
      <c r="T452" s="26"/>
      <c r="U452" s="26"/>
      <c r="V452" s="26"/>
      <c r="W452" s="26"/>
      <c r="X452" s="26"/>
      <c r="Y452" s="26"/>
      <c r="Z452" s="26"/>
      <c r="AA452" s="26"/>
      <c r="AB452" s="26"/>
      <c r="AC452" s="26"/>
      <c r="AD452" s="26"/>
      <c r="AE452" s="26"/>
      <c r="AF452" s="26"/>
      <c r="AG452" s="26"/>
      <c r="AH452" s="26"/>
      <c r="AI452" s="26"/>
      <c r="AJ452" s="26"/>
      <c r="AK452" s="26"/>
      <c r="AL452" s="26"/>
      <c r="AM452" s="26"/>
      <c r="AN452" s="26"/>
      <c r="AO452" s="26"/>
      <c r="AP452" s="26"/>
      <c r="AQ452" s="26"/>
      <c r="AR452" s="26"/>
    </row>
    <row r="453" spans="1:44" ht="15.75" x14ac:dyDescent="0.25">
      <c r="A453" s="30"/>
      <c r="B453" s="13" t="s">
        <v>708</v>
      </c>
      <c r="C453" s="170" t="s">
        <v>798</v>
      </c>
      <c r="D453" s="167" t="s">
        <v>799</v>
      </c>
      <c r="E453" s="167" t="s">
        <v>108</v>
      </c>
      <c r="F453" s="162" t="e">
        <f>G453+SUMIF('[1]mouv MULTIVAC R230 et R240'!B:B,"=Varistance pour Contacteurs 11Kw",'[1]mouv MULTIVAC R230 et R240'!G:G)</f>
        <v>#VALUE!</v>
      </c>
      <c r="G453" s="163">
        <v>8</v>
      </c>
      <c r="H453" s="163">
        <v>3</v>
      </c>
      <c r="I453" s="1" t="e">
        <f t="shared" si="29"/>
        <v>#VALUE!</v>
      </c>
      <c r="J453" s="164">
        <v>5.6710000000000003</v>
      </c>
      <c r="K453" s="165" t="e">
        <f t="shared" si="30"/>
        <v>#VALUE!</v>
      </c>
      <c r="L453" s="30"/>
      <c r="M453" s="30"/>
      <c r="N453" s="30"/>
      <c r="O453" s="30"/>
      <c r="P453" s="30"/>
      <c r="Q453" s="30"/>
      <c r="R453" s="30"/>
      <c r="S453" s="30">
        <v>1</v>
      </c>
      <c r="T453" s="26"/>
      <c r="U453" s="26"/>
      <c r="V453" s="26"/>
      <c r="W453" s="26"/>
      <c r="X453" s="26"/>
      <c r="Y453" s="26"/>
      <c r="Z453" s="26"/>
      <c r="AA453" s="26"/>
      <c r="AB453" s="26"/>
      <c r="AC453" s="26"/>
      <c r="AD453" s="26"/>
      <c r="AE453" s="26"/>
      <c r="AF453" s="26"/>
      <c r="AG453" s="26"/>
      <c r="AH453" s="26"/>
      <c r="AI453" s="26"/>
      <c r="AJ453" s="26"/>
      <c r="AK453" s="26"/>
      <c r="AL453" s="26"/>
      <c r="AM453" s="26"/>
      <c r="AN453" s="26"/>
      <c r="AO453" s="26"/>
      <c r="AP453" s="26"/>
      <c r="AQ453" s="26"/>
      <c r="AR453" s="26"/>
    </row>
    <row r="454" spans="1:44" ht="15.75" x14ac:dyDescent="0.25">
      <c r="A454" s="30"/>
      <c r="B454" s="13" t="s">
        <v>708</v>
      </c>
      <c r="C454" s="170" t="s">
        <v>800</v>
      </c>
      <c r="D454" s="167" t="s">
        <v>801</v>
      </c>
      <c r="E454" s="167" t="s">
        <v>108</v>
      </c>
      <c r="F454" s="162" t="e">
        <f>G454+SUMIF('[1]mouv MULTIVAC R230 et R240'!B:B,"=Relais thermique 0,7-1A",'[1]mouv MULTIVAC R230 et R240'!G:G)</f>
        <v>#VALUE!</v>
      </c>
      <c r="G454" s="163">
        <v>0</v>
      </c>
      <c r="H454" s="163">
        <v>1</v>
      </c>
      <c r="I454" s="1" t="e">
        <f t="shared" si="29"/>
        <v>#VALUE!</v>
      </c>
      <c r="J454" s="164">
        <v>33.675840000000001</v>
      </c>
      <c r="K454" s="165" t="e">
        <f t="shared" si="30"/>
        <v>#VALUE!</v>
      </c>
      <c r="L454" s="30"/>
      <c r="M454" s="30"/>
      <c r="N454" s="30"/>
      <c r="O454" s="30"/>
      <c r="P454" s="30"/>
      <c r="Q454" s="30"/>
      <c r="R454" s="30"/>
      <c r="S454" s="30">
        <v>1</v>
      </c>
      <c r="T454" s="26"/>
      <c r="U454" s="26"/>
      <c r="V454" s="26"/>
      <c r="W454" s="26"/>
      <c r="X454" s="26"/>
      <c r="Y454" s="26"/>
      <c r="Z454" s="26"/>
      <c r="AA454" s="26"/>
      <c r="AB454" s="26"/>
      <c r="AC454" s="26"/>
      <c r="AD454" s="26"/>
      <c r="AE454" s="26"/>
      <c r="AF454" s="26"/>
      <c r="AG454" s="26"/>
      <c r="AH454" s="26"/>
      <c r="AI454" s="26"/>
      <c r="AJ454" s="26"/>
      <c r="AK454" s="26"/>
      <c r="AL454" s="26"/>
      <c r="AM454" s="26"/>
      <c r="AN454" s="26"/>
      <c r="AO454" s="26"/>
      <c r="AP454" s="26"/>
      <c r="AQ454" s="26"/>
      <c r="AR454" s="26"/>
    </row>
    <row r="455" spans="1:44" ht="15.75" x14ac:dyDescent="0.25">
      <c r="A455" s="30"/>
      <c r="B455" s="13" t="s">
        <v>708</v>
      </c>
      <c r="C455" s="170" t="s">
        <v>802</v>
      </c>
      <c r="D455" s="167" t="s">
        <v>803</v>
      </c>
      <c r="E455" s="167" t="s">
        <v>108</v>
      </c>
      <c r="F455" s="162" t="e">
        <f>G455+SUMIF('[1]mouv MULTIVAC R230 et R240'!B:B,"=Relais thermique 4,5-6,3A",'[1]mouv MULTIVAC R230 et R240'!G:G)</f>
        <v>#VALUE!</v>
      </c>
      <c r="G455" s="163">
        <v>0</v>
      </c>
      <c r="H455" s="163">
        <v>1</v>
      </c>
      <c r="I455" s="1" t="e">
        <f t="shared" si="29"/>
        <v>#VALUE!</v>
      </c>
      <c r="J455" s="164">
        <v>33.508299999999998</v>
      </c>
      <c r="K455" s="165" t="e">
        <f>J455*F455</f>
        <v>#VALUE!</v>
      </c>
      <c r="L455" s="30"/>
      <c r="M455" s="30"/>
      <c r="N455" s="30"/>
      <c r="O455" s="30"/>
      <c r="P455" s="30"/>
      <c r="Q455" s="30"/>
      <c r="R455" s="30"/>
      <c r="S455" s="30">
        <v>1</v>
      </c>
      <c r="T455" s="26"/>
      <c r="U455" s="26"/>
      <c r="V455" s="26"/>
      <c r="W455" s="26"/>
      <c r="X455" s="26"/>
      <c r="Y455" s="26"/>
      <c r="Z455" s="26"/>
      <c r="AA455" s="26"/>
      <c r="AB455" s="26"/>
      <c r="AC455" s="26"/>
      <c r="AD455" s="26"/>
      <c r="AE455" s="26"/>
      <c r="AF455" s="26"/>
      <c r="AG455" s="26"/>
      <c r="AH455" s="26"/>
      <c r="AI455" s="26"/>
      <c r="AJ455" s="26"/>
      <c r="AK455" s="26"/>
      <c r="AL455" s="26"/>
      <c r="AM455" s="26"/>
      <c r="AN455" s="26"/>
      <c r="AO455" s="26"/>
      <c r="AP455" s="26"/>
      <c r="AQ455" s="26"/>
      <c r="AR455" s="26"/>
    </row>
    <row r="456" spans="1:44" ht="15.75" x14ac:dyDescent="0.25">
      <c r="A456" s="30"/>
      <c r="B456" s="13" t="s">
        <v>708</v>
      </c>
      <c r="C456" s="176" t="s">
        <v>804</v>
      </c>
      <c r="D456" s="177">
        <v>100388823</v>
      </c>
      <c r="E456" s="177"/>
      <c r="F456" s="162" t="e">
        <f>G456+SUMIF('[1]mouv MULTIVAC R230 et R240'!B:B,"=Jeu de ressorts de rappel",'[1]mouv MULTIVAC R230 et R240'!G:G)</f>
        <v>#VALUE!</v>
      </c>
      <c r="G456" s="177">
        <v>1</v>
      </c>
      <c r="H456" s="177">
        <v>1</v>
      </c>
      <c r="I456" s="1" t="e">
        <f t="shared" si="29"/>
        <v>#VALUE!</v>
      </c>
      <c r="J456" s="177"/>
      <c r="K456" s="177"/>
      <c r="L456" s="30"/>
      <c r="M456" s="30"/>
      <c r="N456" s="30"/>
      <c r="O456" s="30"/>
      <c r="P456" s="30"/>
      <c r="Q456" s="30"/>
      <c r="R456" s="30"/>
      <c r="S456" s="30">
        <v>1</v>
      </c>
      <c r="T456" s="26"/>
      <c r="U456" s="26"/>
      <c r="V456" s="26"/>
      <c r="W456" s="26"/>
      <c r="X456" s="26"/>
      <c r="Y456" s="26"/>
      <c r="Z456" s="26"/>
      <c r="AA456" s="26"/>
      <c r="AB456" s="26"/>
      <c r="AC456" s="26"/>
      <c r="AD456" s="26"/>
      <c r="AE456" s="26"/>
      <c r="AF456" s="26"/>
      <c r="AG456" s="26"/>
      <c r="AH456" s="26"/>
      <c r="AI456" s="26"/>
      <c r="AJ456" s="26"/>
      <c r="AK456" s="26"/>
      <c r="AL456" s="26"/>
      <c r="AM456" s="26"/>
      <c r="AN456" s="26"/>
      <c r="AO456" s="26"/>
      <c r="AP456" s="26"/>
      <c r="AQ456" s="26"/>
      <c r="AR456" s="26"/>
    </row>
    <row r="457" spans="1:44" ht="15.75" x14ac:dyDescent="0.25">
      <c r="A457" s="30"/>
      <c r="B457" s="13" t="s">
        <v>708</v>
      </c>
      <c r="C457" s="176" t="s">
        <v>805</v>
      </c>
      <c r="D457" s="177">
        <v>100007403</v>
      </c>
      <c r="E457" s="177"/>
      <c r="F457" s="162" t="e">
        <f>G457+SUMIF('[1]mouv MULTIVAC R230 et R240'!B:B,"=douille d'aiguille",'[1]mouv MULTIVAC R230 et R240'!G:G)</f>
        <v>#VALUE!</v>
      </c>
      <c r="G457" s="177">
        <v>5</v>
      </c>
      <c r="H457" s="177">
        <v>1</v>
      </c>
      <c r="I457" s="1" t="e">
        <f t="shared" si="29"/>
        <v>#VALUE!</v>
      </c>
      <c r="J457" s="177"/>
      <c r="K457" s="177"/>
      <c r="L457" s="30"/>
      <c r="M457" s="30"/>
      <c r="N457" s="30"/>
      <c r="O457" s="30"/>
      <c r="P457" s="30"/>
      <c r="Q457" s="30"/>
      <c r="R457" s="30"/>
      <c r="S457" s="30">
        <v>0</v>
      </c>
      <c r="T457" s="26"/>
      <c r="U457" s="26"/>
      <c r="V457" s="26"/>
      <c r="W457" s="26"/>
      <c r="X457" s="26"/>
      <c r="Y457" s="26"/>
      <c r="Z457" s="26"/>
      <c r="AA457" s="26"/>
      <c r="AB457" s="26"/>
      <c r="AC457" s="26"/>
      <c r="AD457" s="26"/>
      <c r="AE457" s="26"/>
      <c r="AF457" s="26"/>
      <c r="AG457" s="26"/>
      <c r="AH457" s="26"/>
      <c r="AI457" s="26"/>
      <c r="AJ457" s="26"/>
      <c r="AK457" s="26"/>
      <c r="AL457" s="26"/>
      <c r="AM457" s="26"/>
      <c r="AN457" s="26"/>
      <c r="AO457" s="26"/>
      <c r="AP457" s="26"/>
      <c r="AQ457" s="26"/>
      <c r="AR457" s="26"/>
    </row>
    <row r="458" spans="1:44" ht="15.75" x14ac:dyDescent="0.25">
      <c r="A458" s="30"/>
      <c r="B458" s="13" t="s">
        <v>708</v>
      </c>
      <c r="C458" s="176" t="s">
        <v>806</v>
      </c>
      <c r="D458" s="177">
        <v>200150369</v>
      </c>
      <c r="E458" s="177"/>
      <c r="F458" s="162" t="e">
        <f>G458+SUMIF('[1]mouv MULTIVAC R230 et R240'!B:B,"=ressort de traction D1=12,7",'[1]mouv MULTIVAC R230 et R240'!G:G)</f>
        <v>#VALUE!</v>
      </c>
      <c r="G458" s="177">
        <v>2</v>
      </c>
      <c r="H458" s="177">
        <v>0</v>
      </c>
      <c r="I458" s="1" t="e">
        <f t="shared" si="29"/>
        <v>#VALUE!</v>
      </c>
      <c r="J458" s="177"/>
      <c r="K458" s="177"/>
      <c r="L458" s="30"/>
      <c r="M458" s="30"/>
      <c r="N458" s="30"/>
      <c r="O458" s="30"/>
      <c r="P458" s="30"/>
      <c r="Q458" s="30"/>
      <c r="R458" s="30"/>
      <c r="S458" s="30">
        <v>0</v>
      </c>
      <c r="T458" s="26"/>
      <c r="U458" s="26"/>
      <c r="V458" s="26"/>
      <c r="W458" s="26"/>
      <c r="X458" s="26"/>
      <c r="Y458" s="26"/>
      <c r="Z458" s="26"/>
      <c r="AA458" s="26"/>
      <c r="AB458" s="26"/>
      <c r="AC458" s="26"/>
      <c r="AD458" s="26"/>
      <c r="AE458" s="26"/>
      <c r="AF458" s="26"/>
      <c r="AG458" s="26"/>
      <c r="AH458" s="26"/>
      <c r="AI458" s="26"/>
      <c r="AJ458" s="26"/>
      <c r="AK458" s="26"/>
      <c r="AL458" s="26"/>
      <c r="AM458" s="26"/>
      <c r="AN458" s="26"/>
      <c r="AO458" s="26"/>
      <c r="AP458" s="26"/>
      <c r="AQ458" s="26"/>
      <c r="AR458" s="26"/>
    </row>
    <row r="459" spans="1:44" ht="15.75" x14ac:dyDescent="0.25">
      <c r="A459" s="30"/>
      <c r="B459" s="13" t="s">
        <v>708</v>
      </c>
      <c r="C459" s="176" t="s">
        <v>807</v>
      </c>
      <c r="D459" s="177">
        <v>11631038045</v>
      </c>
      <c r="E459" s="177"/>
      <c r="F459" s="162" t="e">
        <f>G459+SUMIF('[1]mouv MULTIVAC R230 et R240'!B:B,"=cache latéral rouleau film bas",'[1]mouv MULTIVAC R230 et R240'!G:G)</f>
        <v>#VALUE!</v>
      </c>
      <c r="G459" s="177">
        <v>4</v>
      </c>
      <c r="H459" s="177">
        <v>2</v>
      </c>
      <c r="I459" s="1" t="e">
        <f t="shared" si="29"/>
        <v>#VALUE!</v>
      </c>
      <c r="J459" s="177"/>
      <c r="K459" s="177"/>
      <c r="L459" s="30"/>
      <c r="M459" s="30"/>
      <c r="N459" s="30"/>
      <c r="O459" s="30"/>
      <c r="P459" s="30"/>
      <c r="Q459" s="30"/>
      <c r="R459" s="30"/>
      <c r="S459" s="30">
        <v>0</v>
      </c>
      <c r="T459" s="26"/>
      <c r="U459" s="26"/>
      <c r="V459" s="26"/>
      <c r="W459" s="26"/>
      <c r="X459" s="26"/>
      <c r="Y459" s="26"/>
      <c r="Z459" s="26"/>
      <c r="AA459" s="26"/>
      <c r="AB459" s="26"/>
      <c r="AC459" s="26"/>
      <c r="AD459" s="26"/>
      <c r="AE459" s="26"/>
      <c r="AF459" s="26"/>
      <c r="AG459" s="26"/>
      <c r="AH459" s="26"/>
      <c r="AI459" s="26"/>
      <c r="AJ459" s="26"/>
      <c r="AK459" s="26"/>
      <c r="AL459" s="26"/>
      <c r="AM459" s="26"/>
      <c r="AN459" s="26"/>
      <c r="AO459" s="26"/>
      <c r="AP459" s="26"/>
      <c r="AQ459" s="26"/>
      <c r="AR459" s="26"/>
    </row>
    <row r="460" spans="1:44" ht="15.75" x14ac:dyDescent="0.25">
      <c r="A460" s="30"/>
      <c r="B460" s="13" t="s">
        <v>708</v>
      </c>
      <c r="C460" s="176" t="s">
        <v>808</v>
      </c>
      <c r="D460" s="177">
        <v>100006548</v>
      </c>
      <c r="E460" s="177"/>
      <c r="F460" s="162" t="e">
        <f>G460+SUMIF('[1]mouv MULTIVAC R230 et R240'!B:B,"=circlips 45*2,5",'[1]mouv MULTIVAC R230 et R240'!G:G)</f>
        <v>#VALUE!</v>
      </c>
      <c r="G460" s="177">
        <v>3</v>
      </c>
      <c r="H460" s="177">
        <v>1</v>
      </c>
      <c r="I460" s="1" t="e">
        <f t="shared" si="29"/>
        <v>#VALUE!</v>
      </c>
      <c r="J460" s="177"/>
      <c r="K460" s="177"/>
      <c r="L460" s="30"/>
      <c r="M460" s="30"/>
      <c r="N460" s="30"/>
      <c r="O460" s="30"/>
      <c r="P460" s="30"/>
      <c r="Q460" s="30"/>
      <c r="R460" s="30"/>
      <c r="S460" s="30">
        <v>1</v>
      </c>
      <c r="T460" s="26"/>
      <c r="U460" s="26"/>
      <c r="V460" s="26"/>
      <c r="W460" s="26"/>
      <c r="X460" s="26"/>
      <c r="Y460" s="26"/>
      <c r="Z460" s="26"/>
      <c r="AA460" s="26"/>
      <c r="AB460" s="26"/>
      <c r="AC460" s="26"/>
      <c r="AD460" s="26"/>
      <c r="AE460" s="26"/>
      <c r="AF460" s="26"/>
      <c r="AG460" s="26"/>
      <c r="AH460" s="26"/>
      <c r="AI460" s="26"/>
      <c r="AJ460" s="26"/>
      <c r="AK460" s="26"/>
      <c r="AL460" s="26"/>
      <c r="AM460" s="26"/>
      <c r="AN460" s="26"/>
      <c r="AO460" s="26"/>
      <c r="AP460" s="26"/>
      <c r="AQ460" s="26"/>
      <c r="AR460" s="26"/>
    </row>
    <row r="461" spans="1:44" ht="15.75" x14ac:dyDescent="0.25">
      <c r="A461" s="30"/>
      <c r="B461" s="13" t="s">
        <v>708</v>
      </c>
      <c r="C461" s="176" t="s">
        <v>809</v>
      </c>
      <c r="D461" s="177">
        <v>11631068900</v>
      </c>
      <c r="E461" s="177"/>
      <c r="F461" s="162" t="e">
        <f>G461+SUMIF('[1]mouv MULTIVAC R230 et R240'!B:B,"=clamping jaw 120*22,5",'[1]mouv MULTIVAC R230 et R240'!G:G)</f>
        <v>#VALUE!</v>
      </c>
      <c r="G461" s="177">
        <v>6</v>
      </c>
      <c r="H461" s="177">
        <v>2</v>
      </c>
      <c r="I461" s="1" t="e">
        <f t="shared" si="29"/>
        <v>#VALUE!</v>
      </c>
      <c r="J461" s="177"/>
      <c r="K461" s="177"/>
      <c r="L461" s="30"/>
      <c r="M461" s="30"/>
      <c r="N461" s="30"/>
      <c r="O461" s="30"/>
      <c r="P461" s="30"/>
      <c r="Q461" s="30"/>
      <c r="R461" s="30"/>
      <c r="S461" s="30">
        <v>0</v>
      </c>
      <c r="T461" s="26"/>
      <c r="U461" s="26"/>
      <c r="V461" s="26"/>
      <c r="W461" s="26"/>
      <c r="X461" s="26"/>
      <c r="Y461" s="26"/>
      <c r="Z461" s="26"/>
      <c r="AA461" s="26"/>
      <c r="AB461" s="26"/>
      <c r="AC461" s="26"/>
      <c r="AD461" s="26"/>
      <c r="AE461" s="26"/>
      <c r="AF461" s="26"/>
      <c r="AG461" s="26"/>
      <c r="AH461" s="26"/>
      <c r="AI461" s="26"/>
      <c r="AJ461" s="26"/>
      <c r="AK461" s="26"/>
      <c r="AL461" s="26"/>
      <c r="AM461" s="26"/>
      <c r="AN461" s="26"/>
      <c r="AO461" s="26"/>
      <c r="AP461" s="26"/>
      <c r="AQ461" s="26"/>
      <c r="AR461" s="26"/>
    </row>
    <row r="462" spans="1:44" ht="15.75" x14ac:dyDescent="0.25">
      <c r="A462" s="30"/>
      <c r="B462" s="13" t="s">
        <v>708</v>
      </c>
      <c r="C462" s="176" t="s">
        <v>810</v>
      </c>
      <c r="D462" s="177">
        <v>11648268803</v>
      </c>
      <c r="E462" s="177"/>
      <c r="F462" s="162" t="e">
        <f>G462+SUMIF('[1]mouv MULTIVAC R230 et R240'!B:B,"=verouillage capots barriere soudure/formage",'[1]mouv MULTIVAC R230 et R240'!G:G)</f>
        <v>#VALUE!</v>
      </c>
      <c r="G462" s="177">
        <v>1</v>
      </c>
      <c r="H462" s="177">
        <v>1</v>
      </c>
      <c r="I462" s="1" t="e">
        <f t="shared" si="29"/>
        <v>#VALUE!</v>
      </c>
      <c r="J462" s="177"/>
      <c r="K462" s="177"/>
      <c r="L462" s="30"/>
      <c r="M462" s="30"/>
      <c r="N462" s="30"/>
      <c r="O462" s="30"/>
      <c r="P462" s="30"/>
      <c r="Q462" s="30"/>
      <c r="R462" s="30"/>
      <c r="S462" s="30">
        <v>1</v>
      </c>
      <c r="T462" s="26"/>
      <c r="U462" s="26"/>
      <c r="V462" s="26"/>
      <c r="W462" s="26"/>
      <c r="X462" s="26"/>
      <c r="Y462" s="26"/>
      <c r="Z462" s="26"/>
      <c r="AA462" s="26"/>
      <c r="AB462" s="26"/>
      <c r="AC462" s="26"/>
      <c r="AD462" s="26"/>
      <c r="AE462" s="26"/>
      <c r="AF462" s="26"/>
      <c r="AG462" s="26"/>
      <c r="AH462" s="26"/>
      <c r="AI462" s="26"/>
      <c r="AJ462" s="26"/>
      <c r="AK462" s="26"/>
      <c r="AL462" s="26"/>
      <c r="AM462" s="26"/>
      <c r="AN462" s="26"/>
      <c r="AO462" s="26"/>
      <c r="AP462" s="26"/>
      <c r="AQ462" s="26"/>
      <c r="AR462" s="26"/>
    </row>
    <row r="463" spans="1:44" ht="15.75" x14ac:dyDescent="0.25">
      <c r="A463" s="30"/>
      <c r="B463" s="13" t="s">
        <v>708</v>
      </c>
      <c r="C463" s="176" t="s">
        <v>811</v>
      </c>
      <c r="D463" s="177">
        <v>19781100900</v>
      </c>
      <c r="E463" s="177"/>
      <c r="F463" s="162" t="e">
        <f>G463+SUMIF('[1]mouv MULTIVAC R230 et R240'!B:B,"=ressort de pression D1=9",'[1]mouv MULTIVAC R230 et R240'!G:G)</f>
        <v>#VALUE!</v>
      </c>
      <c r="G463" s="177">
        <v>6</v>
      </c>
      <c r="H463" s="177">
        <v>2</v>
      </c>
      <c r="I463" s="1" t="e">
        <f t="shared" si="29"/>
        <v>#VALUE!</v>
      </c>
      <c r="J463" s="177"/>
      <c r="K463" s="177"/>
      <c r="L463" s="30"/>
      <c r="M463" s="30"/>
      <c r="N463" s="30"/>
      <c r="O463" s="30"/>
      <c r="P463" s="30"/>
      <c r="Q463" s="30"/>
      <c r="R463" s="30"/>
      <c r="S463" s="30">
        <v>0</v>
      </c>
      <c r="T463" s="26"/>
      <c r="U463" s="26"/>
      <c r="V463" s="26"/>
      <c r="W463" s="26"/>
      <c r="X463" s="26"/>
      <c r="Y463" s="26"/>
      <c r="Z463" s="26"/>
      <c r="AA463" s="26"/>
      <c r="AB463" s="26"/>
      <c r="AC463" s="26"/>
      <c r="AD463" s="26"/>
      <c r="AE463" s="26"/>
      <c r="AF463" s="26"/>
      <c r="AG463" s="26"/>
      <c r="AH463" s="26"/>
      <c r="AI463" s="26"/>
      <c r="AJ463" s="26"/>
      <c r="AK463" s="26"/>
      <c r="AL463" s="26"/>
      <c r="AM463" s="26"/>
      <c r="AN463" s="26"/>
      <c r="AO463" s="26"/>
      <c r="AP463" s="26"/>
      <c r="AQ463" s="26"/>
      <c r="AR463" s="26"/>
    </row>
    <row r="464" spans="1:44" ht="15.75" x14ac:dyDescent="0.25">
      <c r="A464" s="30"/>
      <c r="B464" s="13" t="s">
        <v>708</v>
      </c>
      <c r="C464" s="176" t="s">
        <v>812</v>
      </c>
      <c r="D464" s="177">
        <v>78351040300</v>
      </c>
      <c r="E464" s="177"/>
      <c r="F464" s="162" t="e">
        <f>G464+SUMIF('[1]mouv MULTIVAC R230 et R240'!B:B,"=joint spi D1=68 D2=40",'[1]mouv MULTIVAC R230 et R240'!G:G)</f>
        <v>#VALUE!</v>
      </c>
      <c r="G464" s="177">
        <v>1</v>
      </c>
      <c r="H464" s="177">
        <v>0</v>
      </c>
      <c r="I464" s="1" t="e">
        <f t="shared" si="29"/>
        <v>#VALUE!</v>
      </c>
      <c r="J464" s="177"/>
      <c r="K464" s="177"/>
      <c r="L464" s="30"/>
      <c r="M464" s="30"/>
      <c r="N464" s="30"/>
      <c r="O464" s="30"/>
      <c r="P464" s="30"/>
      <c r="Q464" s="30"/>
      <c r="R464" s="30"/>
      <c r="S464" s="30">
        <v>1</v>
      </c>
      <c r="T464" s="26"/>
      <c r="U464" s="26"/>
      <c r="V464" s="26"/>
      <c r="W464" s="26"/>
      <c r="X464" s="26"/>
      <c r="Y464" s="26"/>
      <c r="Z464" s="26"/>
      <c r="AA464" s="26"/>
      <c r="AB464" s="26"/>
      <c r="AC464" s="26"/>
      <c r="AD464" s="26"/>
      <c r="AE464" s="26"/>
      <c r="AF464" s="26"/>
      <c r="AG464" s="26"/>
      <c r="AH464" s="26"/>
      <c r="AI464" s="26"/>
      <c r="AJ464" s="26"/>
      <c r="AK464" s="26"/>
      <c r="AL464" s="26"/>
      <c r="AM464" s="26"/>
      <c r="AN464" s="26"/>
      <c r="AO464" s="26"/>
      <c r="AP464" s="26"/>
      <c r="AQ464" s="26"/>
      <c r="AR464" s="26"/>
    </row>
    <row r="465" spans="1:44" ht="15.75" x14ac:dyDescent="0.25">
      <c r="A465" s="30"/>
      <c r="B465" s="13" t="s">
        <v>708</v>
      </c>
      <c r="C465" s="176" t="s">
        <v>813</v>
      </c>
      <c r="D465" s="177">
        <v>105320956</v>
      </c>
      <c r="E465" s="177"/>
      <c r="F465" s="162" t="e">
        <f>G465+SUMIF('[1]mouv MULTIVAC R230 et R240'!B:B,"=VIS SW10 L1=31 L2=29",'[1]mouv MULTIVAC R230 et R240'!G:G)</f>
        <v>#VALUE!</v>
      </c>
      <c r="G465" s="177">
        <v>2</v>
      </c>
      <c r="H465" s="177">
        <v>0</v>
      </c>
      <c r="I465" s="1" t="e">
        <f t="shared" si="29"/>
        <v>#VALUE!</v>
      </c>
      <c r="J465" s="177"/>
      <c r="K465" s="177"/>
      <c r="L465" s="30"/>
      <c r="M465" s="30"/>
      <c r="N465" s="30"/>
      <c r="O465" s="30"/>
      <c r="P465" s="30"/>
      <c r="Q465" s="30"/>
      <c r="R465" s="30"/>
      <c r="S465" s="30">
        <v>1</v>
      </c>
      <c r="T465" s="26"/>
      <c r="U465" s="26"/>
      <c r="V465" s="26"/>
      <c r="W465" s="26"/>
      <c r="X465" s="26"/>
      <c r="Y465" s="26"/>
      <c r="Z465" s="26"/>
      <c r="AA465" s="26"/>
      <c r="AB465" s="26"/>
      <c r="AC465" s="26"/>
      <c r="AD465" s="26"/>
      <c r="AE465" s="26"/>
      <c r="AF465" s="26"/>
      <c r="AG465" s="26"/>
      <c r="AH465" s="26"/>
      <c r="AI465" s="26"/>
      <c r="AJ465" s="26"/>
      <c r="AK465" s="26"/>
      <c r="AL465" s="26"/>
      <c r="AM465" s="26"/>
      <c r="AN465" s="26"/>
      <c r="AO465" s="26"/>
      <c r="AP465" s="26"/>
      <c r="AQ465" s="26"/>
      <c r="AR465" s="26"/>
    </row>
    <row r="466" spans="1:44" ht="15.75" x14ac:dyDescent="0.25">
      <c r="A466" s="30"/>
      <c r="B466" s="13" t="s">
        <v>708</v>
      </c>
      <c r="C466" s="176" t="s">
        <v>814</v>
      </c>
      <c r="D466" s="177">
        <v>11631040847</v>
      </c>
      <c r="E466" s="177"/>
      <c r="F466" s="162" t="e">
        <f>G466+SUMIF('[1]mouv MULTIVAC R230 et R240'!B:B,"=VIS SW17 L1=64 L2=31",'[1]mouv MULTIVAC R230 et R240'!G:G)</f>
        <v>#VALUE!</v>
      </c>
      <c r="G466" s="177">
        <v>2</v>
      </c>
      <c r="H466" s="177">
        <v>0</v>
      </c>
      <c r="I466" s="1" t="e">
        <f t="shared" si="29"/>
        <v>#VALUE!</v>
      </c>
      <c r="J466" s="177"/>
      <c r="K466" s="177"/>
      <c r="L466" s="30"/>
      <c r="M466" s="13" t="s">
        <v>708</v>
      </c>
      <c r="N466" s="30"/>
      <c r="O466" s="30"/>
      <c r="P466" s="30"/>
      <c r="Q466" s="30"/>
      <c r="R466" s="30"/>
      <c r="S466" s="30">
        <v>1</v>
      </c>
      <c r="T466" s="26"/>
      <c r="U466" s="26"/>
      <c r="V466" s="26"/>
      <c r="W466" s="26"/>
      <c r="X466" s="26"/>
      <c r="Y466" s="26"/>
      <c r="Z466" s="26"/>
      <c r="AA466" s="26"/>
      <c r="AB466" s="26"/>
      <c r="AC466" s="26"/>
      <c r="AD466" s="26"/>
      <c r="AE466" s="26"/>
      <c r="AF466" s="26"/>
      <c r="AG466" s="26"/>
      <c r="AH466" s="26"/>
      <c r="AI466" s="26"/>
      <c r="AJ466" s="26"/>
      <c r="AK466" s="26"/>
      <c r="AL466" s="26"/>
      <c r="AM466" s="26"/>
      <c r="AN466" s="26"/>
      <c r="AO466" s="26"/>
      <c r="AP466" s="26"/>
      <c r="AQ466" s="26"/>
      <c r="AR466" s="26"/>
    </row>
    <row r="467" spans="1:44" ht="15.75" x14ac:dyDescent="0.25">
      <c r="A467" s="30"/>
      <c r="B467" s="13" t="s">
        <v>708</v>
      </c>
      <c r="C467" s="178" t="s">
        <v>815</v>
      </c>
      <c r="D467" s="28">
        <v>80275111402</v>
      </c>
      <c r="E467" s="28"/>
      <c r="F467" s="162" t="e">
        <f>G467+SUMIF('[1]mouv MULTIVAC R230 et R240'!B:B,"=joint d'étanchité",'[1]mouv MULTIVAC R230 et R240'!G:G)</f>
        <v>#VALUE!</v>
      </c>
      <c r="G467" s="28">
        <v>6</v>
      </c>
      <c r="H467" s="28">
        <v>2</v>
      </c>
      <c r="I467" s="1" t="e">
        <f t="shared" si="29"/>
        <v>#VALUE!</v>
      </c>
      <c r="J467" s="28"/>
      <c r="K467" s="28"/>
      <c r="L467" s="30"/>
      <c r="M467" s="35" t="e">
        <f>SUM(K375:K467)</f>
        <v>#VALUE!</v>
      </c>
      <c r="N467" s="30"/>
      <c r="O467" s="30"/>
      <c r="P467" s="30"/>
      <c r="Q467" s="30"/>
      <c r="R467" s="30"/>
      <c r="S467" s="30">
        <v>1</v>
      </c>
      <c r="T467" s="26"/>
      <c r="U467" s="26"/>
      <c r="V467" s="26"/>
      <c r="W467" s="26"/>
      <c r="X467" s="26"/>
      <c r="Y467" s="26"/>
      <c r="Z467" s="26"/>
      <c r="AA467" s="26"/>
      <c r="AB467" s="26"/>
      <c r="AC467" s="26"/>
      <c r="AD467" s="26"/>
      <c r="AE467" s="26"/>
      <c r="AF467" s="26"/>
      <c r="AG467" s="26"/>
      <c r="AH467" s="26"/>
      <c r="AI467" s="26"/>
      <c r="AJ467" s="26"/>
      <c r="AK467" s="26"/>
      <c r="AL467" s="26"/>
      <c r="AM467" s="26"/>
      <c r="AN467" s="26"/>
      <c r="AO467" s="26"/>
      <c r="AP467" s="26"/>
      <c r="AQ467" s="26"/>
      <c r="AR467" s="26"/>
    </row>
    <row r="468" spans="1:44" ht="15.75" x14ac:dyDescent="0.25">
      <c r="A468" s="30"/>
      <c r="B468" s="13" t="s">
        <v>816</v>
      </c>
      <c r="C468" s="99" t="s">
        <v>817</v>
      </c>
      <c r="D468" s="101">
        <v>105377188</v>
      </c>
      <c r="E468" s="179" t="s">
        <v>22</v>
      </c>
      <c r="F468" s="7" t="e">
        <f>G468+SUMIF('[1]mouv MULTIVAC DECOUPE'!B:B,"=Contre découpe (enclume) R240",'[1]mouv MULTIVAC DECOUPE'!G:G)</f>
        <v>#VALUE!</v>
      </c>
      <c r="G468" s="63">
        <v>5</v>
      </c>
      <c r="H468" s="63">
        <v>2</v>
      </c>
      <c r="I468" s="1" t="e">
        <f t="shared" si="29"/>
        <v>#VALUE!</v>
      </c>
      <c r="J468" s="66">
        <v>914.37</v>
      </c>
      <c r="K468" s="180" t="e">
        <f>J468*F468</f>
        <v>#VALUE!</v>
      </c>
      <c r="L468" s="30"/>
      <c r="M468" s="30"/>
      <c r="N468" s="30"/>
      <c r="O468" s="30"/>
      <c r="P468" s="30"/>
      <c r="Q468" s="30"/>
      <c r="R468" s="30"/>
      <c r="S468" s="30">
        <v>1</v>
      </c>
      <c r="T468" s="26"/>
      <c r="U468" s="26"/>
      <c r="V468" s="26"/>
      <c r="W468" s="26"/>
      <c r="X468" s="26"/>
      <c r="Y468" s="26"/>
      <c r="Z468" s="26"/>
      <c r="AA468" s="26"/>
      <c r="AB468" s="26"/>
      <c r="AC468" s="26"/>
      <c r="AD468" s="26"/>
      <c r="AE468" s="26"/>
      <c r="AF468" s="26"/>
      <c r="AG468" s="26"/>
      <c r="AH468" s="26"/>
      <c r="AI468" s="26"/>
      <c r="AJ468" s="26"/>
      <c r="AK468" s="26"/>
      <c r="AL468" s="26"/>
      <c r="AM468" s="26"/>
      <c r="AN468" s="26"/>
      <c r="AO468" s="26"/>
      <c r="AP468" s="26"/>
      <c r="AQ468" s="26"/>
      <c r="AR468" s="26"/>
    </row>
    <row r="469" spans="1:44" ht="15.75" x14ac:dyDescent="0.25">
      <c r="A469" s="30"/>
      <c r="B469" s="13" t="s">
        <v>816</v>
      </c>
      <c r="C469" s="102" t="s">
        <v>818</v>
      </c>
      <c r="D469" s="101">
        <v>106513175</v>
      </c>
      <c r="E469" s="179" t="s">
        <v>22</v>
      </c>
      <c r="F469" s="7" t="e">
        <f>G469+SUMIF('[1]mouv MULTIVAC DECOUPE'!B:B,"=Couteau perforation rond",'[1]mouv MULTIVAC DECOUPE'!G:G)</f>
        <v>#VALUE!</v>
      </c>
      <c r="G469" s="63">
        <v>15</v>
      </c>
      <c r="H469" s="101">
        <v>8</v>
      </c>
      <c r="I469" s="1" t="e">
        <f t="shared" si="29"/>
        <v>#VALUE!</v>
      </c>
      <c r="J469" s="181">
        <v>11.6</v>
      </c>
      <c r="K469" s="12" t="e">
        <f t="shared" ref="K469:K499" si="31">J469*F469</f>
        <v>#VALUE!</v>
      </c>
      <c r="L469" s="30"/>
      <c r="M469" s="30"/>
      <c r="N469" s="30"/>
      <c r="O469" s="30"/>
      <c r="P469" s="30"/>
      <c r="Q469" s="30"/>
      <c r="R469" s="30"/>
      <c r="S469" s="30">
        <v>0</v>
      </c>
      <c r="T469" s="26"/>
      <c r="U469" s="26"/>
      <c r="V469" s="26"/>
      <c r="W469" s="26"/>
      <c r="X469" s="26"/>
      <c r="Y469" s="26"/>
      <c r="Z469" s="26"/>
      <c r="AA469" s="26"/>
      <c r="AB469" s="26"/>
      <c r="AC469" s="26"/>
      <c r="AD469" s="26"/>
      <c r="AE469" s="26"/>
      <c r="AF469" s="26"/>
      <c r="AG469" s="26"/>
      <c r="AH469" s="26"/>
      <c r="AI469" s="26"/>
      <c r="AJ469" s="26"/>
      <c r="AK469" s="26"/>
      <c r="AL469" s="26"/>
      <c r="AM469" s="26"/>
      <c r="AN469" s="26"/>
      <c r="AO469" s="26"/>
      <c r="AP469" s="26"/>
      <c r="AQ469" s="26"/>
      <c r="AR469" s="26"/>
    </row>
    <row r="470" spans="1:44" ht="15.75" x14ac:dyDescent="0.25">
      <c r="A470" s="30"/>
      <c r="B470" s="13" t="s">
        <v>816</v>
      </c>
      <c r="C470" s="102" t="s">
        <v>819</v>
      </c>
      <c r="D470" s="101">
        <v>106542668</v>
      </c>
      <c r="E470" s="179" t="s">
        <v>22</v>
      </c>
      <c r="F470" s="7" t="e">
        <f>G470+SUMIF('[1]mouv MULTIVAC DECOUPE'!B:B,"=Couteau (poinçon) perforation ovale",'[1]mouv MULTIVAC DECOUPE'!G:G)</f>
        <v>#VALUE!</v>
      </c>
      <c r="G470" s="63">
        <v>10</v>
      </c>
      <c r="H470" s="101">
        <v>4</v>
      </c>
      <c r="I470" s="1" t="e">
        <f t="shared" si="29"/>
        <v>#VALUE!</v>
      </c>
      <c r="J470" s="181">
        <v>19.34</v>
      </c>
      <c r="K470" s="12" t="e">
        <f t="shared" si="31"/>
        <v>#VALUE!</v>
      </c>
      <c r="L470" s="30"/>
      <c r="M470" s="30"/>
      <c r="N470" s="30"/>
      <c r="O470" s="30"/>
      <c r="P470" s="30"/>
      <c r="Q470" s="30"/>
      <c r="R470" s="30"/>
      <c r="S470" s="30">
        <v>0</v>
      </c>
      <c r="T470" s="26"/>
      <c r="U470" s="26"/>
      <c r="V470" s="26"/>
      <c r="W470" s="26"/>
      <c r="X470" s="26"/>
      <c r="Y470" s="26"/>
      <c r="Z470" s="26"/>
      <c r="AA470" s="26"/>
      <c r="AB470" s="26"/>
      <c r="AC470" s="26"/>
      <c r="AD470" s="26"/>
      <c r="AE470" s="26"/>
      <c r="AF470" s="26"/>
      <c r="AG470" s="26"/>
      <c r="AH470" s="26"/>
      <c r="AI470" s="26"/>
      <c r="AJ470" s="26"/>
      <c r="AK470" s="26"/>
      <c r="AL470" s="26"/>
      <c r="AM470" s="26"/>
      <c r="AN470" s="26"/>
      <c r="AO470" s="26"/>
      <c r="AP470" s="26"/>
      <c r="AQ470" s="26"/>
      <c r="AR470" s="26"/>
    </row>
    <row r="471" spans="1:44" ht="15.75" x14ac:dyDescent="0.25">
      <c r="A471" s="30"/>
      <c r="B471" s="13" t="s">
        <v>816</v>
      </c>
      <c r="C471" s="102" t="s">
        <v>820</v>
      </c>
      <c r="D471" s="101">
        <v>11555170000</v>
      </c>
      <c r="E471" s="179" t="s">
        <v>22</v>
      </c>
      <c r="F471" s="7" t="e">
        <f>G471+SUMIF('[1]mouv MULTIVAC DECOUPE'!B:B,"=Entretoise découpe stone cut 240",'[1]mouv MULTIVAC DECOUPE'!G:G)</f>
        <v>#VALUE!</v>
      </c>
      <c r="G471" s="63">
        <v>12</v>
      </c>
      <c r="H471" s="101">
        <v>8</v>
      </c>
      <c r="I471" s="1" t="e">
        <f t="shared" si="29"/>
        <v>#VALUE!</v>
      </c>
      <c r="J471" s="181">
        <v>61.14</v>
      </c>
      <c r="K471" s="12" t="e">
        <f t="shared" si="31"/>
        <v>#VALUE!</v>
      </c>
      <c r="L471" s="30"/>
      <c r="M471" s="30"/>
      <c r="N471" s="30"/>
      <c r="O471" s="30"/>
      <c r="P471" s="30"/>
      <c r="Q471" s="30"/>
      <c r="R471" s="30"/>
      <c r="S471" s="30">
        <v>0</v>
      </c>
      <c r="T471" s="26"/>
      <c r="U471" s="26"/>
      <c r="V471" s="26"/>
      <c r="W471" s="26"/>
      <c r="X471" s="26"/>
      <c r="Y471" s="26"/>
      <c r="Z471" s="26"/>
      <c r="AA471" s="26"/>
      <c r="AB471" s="26"/>
      <c r="AC471" s="26"/>
      <c r="AD471" s="26"/>
      <c r="AE471" s="26"/>
      <c r="AF471" s="26"/>
      <c r="AG471" s="26"/>
      <c r="AH471" s="26"/>
      <c r="AI471" s="26"/>
      <c r="AJ471" s="26"/>
      <c r="AK471" s="26"/>
      <c r="AL471" s="26"/>
      <c r="AM471" s="26"/>
      <c r="AN471" s="26"/>
      <c r="AO471" s="26"/>
      <c r="AP471" s="26"/>
      <c r="AQ471" s="26"/>
      <c r="AR471" s="26"/>
    </row>
    <row r="472" spans="1:44" ht="15.75" x14ac:dyDescent="0.25">
      <c r="A472" s="30"/>
      <c r="B472" s="13" t="s">
        <v>816</v>
      </c>
      <c r="C472" s="102" t="s">
        <v>821</v>
      </c>
      <c r="D472" s="101">
        <v>11555966710</v>
      </c>
      <c r="E472" s="179" t="s">
        <v>22</v>
      </c>
      <c r="F472" s="7" t="e">
        <f>G472+SUMIF('[1]mouv MULTIVAC DECOUPE'!B:B,"=Bord extérieur à visser couteaux R240",'[1]mouv MULTIVAC DECOUPE'!G:G)</f>
        <v>#VALUE!</v>
      </c>
      <c r="G472" s="63">
        <v>2</v>
      </c>
      <c r="H472" s="101">
        <v>2</v>
      </c>
      <c r="I472" s="1" t="e">
        <f t="shared" si="29"/>
        <v>#VALUE!</v>
      </c>
      <c r="J472" s="181">
        <v>68.180000000000007</v>
      </c>
      <c r="K472" s="12" t="e">
        <f t="shared" si="31"/>
        <v>#VALUE!</v>
      </c>
      <c r="L472" s="30"/>
      <c r="M472" s="30"/>
      <c r="N472" s="30"/>
      <c r="O472" s="30"/>
      <c r="P472" s="30"/>
      <c r="Q472" s="30"/>
      <c r="R472" s="30"/>
      <c r="S472" s="30">
        <v>1</v>
      </c>
      <c r="T472" s="26"/>
      <c r="U472" s="26"/>
      <c r="V472" s="26"/>
      <c r="W472" s="26"/>
      <c r="X472" s="26"/>
      <c r="Y472" s="26"/>
      <c r="Z472" s="26"/>
      <c r="AA472" s="26"/>
      <c r="AB472" s="26"/>
      <c r="AC472" s="26"/>
      <c r="AD472" s="26"/>
      <c r="AE472" s="26"/>
      <c r="AF472" s="26"/>
      <c r="AG472" s="26"/>
      <c r="AH472" s="26"/>
      <c r="AI472" s="26"/>
      <c r="AJ472" s="26"/>
      <c r="AK472" s="26"/>
      <c r="AL472" s="26"/>
      <c r="AM472" s="26"/>
      <c r="AN472" s="26"/>
      <c r="AO472" s="26"/>
      <c r="AP472" s="26"/>
      <c r="AQ472" s="26"/>
      <c r="AR472" s="26"/>
    </row>
    <row r="473" spans="1:44" ht="15.75" x14ac:dyDescent="0.25">
      <c r="A473" s="30"/>
      <c r="B473" s="13" t="s">
        <v>816</v>
      </c>
      <c r="C473" s="102" t="s">
        <v>822</v>
      </c>
      <c r="D473" s="101">
        <v>49094340200</v>
      </c>
      <c r="E473" s="179" t="s">
        <v>22</v>
      </c>
      <c r="F473" s="7" t="e">
        <f>G473+SUMIF('[1]mouv MULTIVAC DECOUPE'!B:B,"=Contre découpe (enclume) R230",'[1]mouv MULTIVAC DECOUPE'!G:G)</f>
        <v>#VALUE!</v>
      </c>
      <c r="G473" s="63">
        <v>1</v>
      </c>
      <c r="H473" s="101">
        <v>1</v>
      </c>
      <c r="I473" s="1" t="e">
        <f t="shared" si="29"/>
        <v>#VALUE!</v>
      </c>
      <c r="J473" s="181">
        <v>68.180000000000007</v>
      </c>
      <c r="K473" s="12" t="e">
        <f t="shared" si="31"/>
        <v>#VALUE!</v>
      </c>
      <c r="L473" s="30"/>
      <c r="M473" s="30"/>
      <c r="N473" s="30"/>
      <c r="O473" s="30"/>
      <c r="P473" s="30"/>
      <c r="Q473" s="30"/>
      <c r="R473" s="30"/>
      <c r="S473" s="30">
        <v>0</v>
      </c>
      <c r="T473" s="26"/>
      <c r="U473" s="26"/>
      <c r="V473" s="26"/>
      <c r="W473" s="26"/>
      <c r="X473" s="26"/>
      <c r="Y473" s="26"/>
      <c r="Z473" s="26"/>
      <c r="AA473" s="26"/>
      <c r="AB473" s="26"/>
      <c r="AC473" s="26"/>
      <c r="AD473" s="26"/>
      <c r="AE473" s="26"/>
      <c r="AF473" s="26"/>
      <c r="AG473" s="26"/>
      <c r="AH473" s="26"/>
      <c r="AI473" s="26"/>
      <c r="AJ473" s="26"/>
      <c r="AK473" s="26"/>
      <c r="AL473" s="26"/>
      <c r="AM473" s="26"/>
      <c r="AN473" s="26"/>
      <c r="AO473" s="26"/>
      <c r="AP473" s="26"/>
      <c r="AQ473" s="26"/>
      <c r="AR473" s="26"/>
    </row>
    <row r="474" spans="1:44" ht="15.75" x14ac:dyDescent="0.25">
      <c r="A474" s="30"/>
      <c r="B474" s="13" t="s">
        <v>816</v>
      </c>
      <c r="C474" s="102" t="s">
        <v>823</v>
      </c>
      <c r="D474" s="101">
        <v>79911201210</v>
      </c>
      <c r="E474" s="179" t="s">
        <v>22</v>
      </c>
      <c r="F474" s="7" t="e">
        <f>G474+SUMIF('[1]mouv MULTIVAC DECOUPE'!B:B,"=Lame de coupe R230 ( vendu au 1m )",'[1]mouv MULTIVAC DECOUPE'!G:G)</f>
        <v>#VALUE!</v>
      </c>
      <c r="G474" s="63">
        <v>1</v>
      </c>
      <c r="H474" s="101">
        <v>1</v>
      </c>
      <c r="I474" s="1" t="e">
        <f t="shared" si="29"/>
        <v>#VALUE!</v>
      </c>
      <c r="J474" s="181">
        <v>391.83</v>
      </c>
      <c r="K474" s="12" t="e">
        <f t="shared" si="31"/>
        <v>#VALUE!</v>
      </c>
      <c r="L474" s="30"/>
      <c r="M474" s="30"/>
      <c r="N474" s="30"/>
      <c r="O474" s="30"/>
      <c r="P474" s="30"/>
      <c r="Q474" s="30"/>
      <c r="R474" s="30"/>
      <c r="S474" s="30">
        <v>1</v>
      </c>
      <c r="T474" s="26"/>
      <c r="U474" s="26"/>
      <c r="V474" s="26"/>
      <c r="W474" s="26"/>
      <c r="X474" s="26"/>
      <c r="Y474" s="26"/>
      <c r="Z474" s="26"/>
      <c r="AA474" s="26"/>
      <c r="AB474" s="26"/>
      <c r="AC474" s="26"/>
      <c r="AD474" s="26"/>
      <c r="AE474" s="26"/>
      <c r="AF474" s="26"/>
      <c r="AG474" s="26"/>
      <c r="AH474" s="26"/>
      <c r="AI474" s="26"/>
      <c r="AJ474" s="26"/>
      <c r="AK474" s="26"/>
      <c r="AL474" s="26"/>
      <c r="AM474" s="26"/>
      <c r="AN474" s="26"/>
      <c r="AO474" s="26"/>
      <c r="AP474" s="26"/>
      <c r="AQ474" s="26"/>
      <c r="AR474" s="26"/>
    </row>
    <row r="475" spans="1:44" ht="15.75" x14ac:dyDescent="0.25">
      <c r="A475" s="30"/>
      <c r="B475" s="13" t="s">
        <v>816</v>
      </c>
      <c r="C475" s="102" t="s">
        <v>824</v>
      </c>
      <c r="D475" s="101">
        <v>79913518250</v>
      </c>
      <c r="E475" s="179" t="s">
        <v>22</v>
      </c>
      <c r="F475" s="7" t="e">
        <f>G475+SUMIF('[1]mouv MULTIVAC DECOUPE'!B:B,"=Lame de coupe R240 (stone cut)",'[1]mouv MULTIVAC DECOUPE'!G:G)</f>
        <v>#VALUE!</v>
      </c>
      <c r="G475" s="63">
        <v>6</v>
      </c>
      <c r="H475" s="101">
        <v>4</v>
      </c>
      <c r="I475" s="1" t="e">
        <f t="shared" si="29"/>
        <v>#VALUE!</v>
      </c>
      <c r="J475" s="181">
        <v>249.52</v>
      </c>
      <c r="K475" s="12" t="e">
        <f t="shared" si="31"/>
        <v>#VALUE!</v>
      </c>
      <c r="L475" s="30"/>
      <c r="M475" s="30"/>
      <c r="N475" s="30"/>
      <c r="O475" s="30"/>
      <c r="P475" s="30"/>
      <c r="Q475" s="30"/>
      <c r="R475" s="30"/>
      <c r="S475" s="30">
        <v>0</v>
      </c>
      <c r="T475" s="26"/>
      <c r="U475" s="26"/>
      <c r="V475" s="26"/>
      <c r="W475" s="26"/>
      <c r="X475" s="26"/>
      <c r="Y475" s="26"/>
      <c r="Z475" s="26"/>
      <c r="AA475" s="26"/>
      <c r="AB475" s="26"/>
      <c r="AC475" s="26"/>
      <c r="AD475" s="26"/>
      <c r="AE475" s="26"/>
      <c r="AF475" s="26"/>
      <c r="AG475" s="26"/>
      <c r="AH475" s="26"/>
      <c r="AI475" s="26"/>
      <c r="AJ475" s="26"/>
      <c r="AK475" s="26"/>
      <c r="AL475" s="26"/>
      <c r="AM475" s="26"/>
      <c r="AN475" s="26"/>
      <c r="AO475" s="26"/>
      <c r="AP475" s="26"/>
      <c r="AQ475" s="26"/>
      <c r="AR475" s="26"/>
    </row>
    <row r="476" spans="1:44" ht="15.75" x14ac:dyDescent="0.25">
      <c r="A476" s="30"/>
      <c r="B476" s="13" t="s">
        <v>816</v>
      </c>
      <c r="C476" s="102" t="s">
        <v>825</v>
      </c>
      <c r="D476" s="101" t="s">
        <v>826</v>
      </c>
      <c r="E476" s="179" t="s">
        <v>22</v>
      </c>
      <c r="F476" s="7" t="e">
        <f>G476+SUMIF('[1]mouv MULTIVAC DECOUPE'!B:B,"=Lame R240 HSS",'[1]mouv MULTIVAC DECOUPE'!G:G)</f>
        <v>#VALUE!</v>
      </c>
      <c r="G476" s="63">
        <v>2</v>
      </c>
      <c r="H476" s="101">
        <v>0</v>
      </c>
      <c r="I476" s="1" t="e">
        <f t="shared" si="29"/>
        <v>#VALUE!</v>
      </c>
      <c r="J476" s="181">
        <v>94</v>
      </c>
      <c r="K476" s="12" t="e">
        <f t="shared" si="31"/>
        <v>#VALUE!</v>
      </c>
      <c r="L476" s="30"/>
      <c r="M476" s="30"/>
      <c r="N476" s="30"/>
      <c r="O476" s="30"/>
      <c r="P476" s="30"/>
      <c r="Q476" s="30"/>
      <c r="R476" s="30"/>
      <c r="S476" s="30">
        <v>1</v>
      </c>
      <c r="T476" s="26"/>
      <c r="U476" s="26"/>
      <c r="V476" s="26"/>
      <c r="W476" s="26"/>
      <c r="X476" s="26"/>
      <c r="Y476" s="26"/>
      <c r="Z476" s="26"/>
      <c r="AA476" s="26"/>
      <c r="AB476" s="26"/>
      <c r="AC476" s="26"/>
      <c r="AD476" s="26"/>
      <c r="AE476" s="26"/>
      <c r="AF476" s="26"/>
      <c r="AG476" s="26"/>
      <c r="AH476" s="26"/>
      <c r="AI476" s="26"/>
      <c r="AJ476" s="26"/>
      <c r="AK476" s="26"/>
      <c r="AL476" s="26"/>
      <c r="AM476" s="26"/>
      <c r="AN476" s="26"/>
      <c r="AO476" s="26"/>
      <c r="AP476" s="26"/>
      <c r="AQ476" s="26"/>
      <c r="AR476" s="26"/>
    </row>
    <row r="477" spans="1:44" ht="15.75" x14ac:dyDescent="0.25">
      <c r="A477" s="30"/>
      <c r="B477" s="13" t="s">
        <v>816</v>
      </c>
      <c r="C477" s="182" t="s">
        <v>827</v>
      </c>
      <c r="D477" s="101">
        <v>79915200803</v>
      </c>
      <c r="E477" s="179" t="s">
        <v>22</v>
      </c>
      <c r="F477" s="7" t="e">
        <f>G477+SUMIF('[1]mouv MULTIVAC DECOUPE'!B:B,"=couteaux circulaires R240",'[1]mouv MULTIVAC DECOUPE'!G:G)</f>
        <v>#VALUE!</v>
      </c>
      <c r="G477" s="63">
        <v>2</v>
      </c>
      <c r="H477" s="63">
        <v>3</v>
      </c>
      <c r="I477" s="1" t="e">
        <f t="shared" si="29"/>
        <v>#VALUE!</v>
      </c>
      <c r="J477" s="66">
        <v>15.74</v>
      </c>
      <c r="K477" s="12" t="e">
        <f t="shared" si="31"/>
        <v>#VALUE!</v>
      </c>
      <c r="L477" s="30"/>
      <c r="M477" s="30"/>
      <c r="N477" s="30"/>
      <c r="O477" s="30"/>
      <c r="P477" s="30"/>
      <c r="Q477" s="30"/>
      <c r="R477" s="30"/>
      <c r="S477" s="30">
        <v>1</v>
      </c>
      <c r="T477" s="26"/>
      <c r="U477" s="26"/>
      <c r="V477" s="26"/>
      <c r="W477" s="26"/>
      <c r="X477" s="26"/>
      <c r="Y477" s="26"/>
      <c r="Z477" s="26"/>
      <c r="AA477" s="26"/>
      <c r="AB477" s="26"/>
      <c r="AC477" s="26"/>
      <c r="AD477" s="26"/>
      <c r="AE477" s="26"/>
      <c r="AF477" s="26"/>
      <c r="AG477" s="26"/>
      <c r="AH477" s="26"/>
      <c r="AI477" s="26"/>
      <c r="AJ477" s="26"/>
      <c r="AK477" s="26"/>
      <c r="AL477" s="26"/>
      <c r="AM477" s="26"/>
      <c r="AN477" s="26"/>
      <c r="AO477" s="26"/>
      <c r="AP477" s="26"/>
      <c r="AQ477" s="26"/>
      <c r="AR477" s="26"/>
    </row>
    <row r="478" spans="1:44" ht="15.75" x14ac:dyDescent="0.25">
      <c r="A478" s="30"/>
      <c r="B478" s="13" t="s">
        <v>816</v>
      </c>
      <c r="C478" s="183" t="s">
        <v>828</v>
      </c>
      <c r="D478" s="101">
        <v>79915200901</v>
      </c>
      <c r="E478" s="179" t="s">
        <v>22</v>
      </c>
      <c r="F478" s="7" t="e">
        <f>G478+SUMIF('[1]mouv MULTIVAC DECOUPE'!B:B,"=couteaux circulaires R230",'[1]mouv MULTIVAC DECOUPE'!G:G)</f>
        <v>#VALUE!</v>
      </c>
      <c r="G478" s="63">
        <v>0</v>
      </c>
      <c r="H478" s="63">
        <v>3</v>
      </c>
      <c r="I478" s="1" t="e">
        <f t="shared" si="29"/>
        <v>#VALUE!</v>
      </c>
      <c r="J478" s="66">
        <v>15.74</v>
      </c>
      <c r="K478" s="12" t="e">
        <f t="shared" si="31"/>
        <v>#VALUE!</v>
      </c>
      <c r="L478" s="30"/>
      <c r="M478" s="30"/>
      <c r="N478" s="30"/>
      <c r="O478" s="30"/>
      <c r="P478" s="30"/>
      <c r="Q478" s="30"/>
      <c r="R478" s="30"/>
      <c r="S478" s="30">
        <v>1</v>
      </c>
      <c r="T478" s="26"/>
      <c r="U478" s="26"/>
      <c r="V478" s="26"/>
      <c r="W478" s="26"/>
      <c r="X478" s="26"/>
      <c r="Y478" s="26"/>
      <c r="Z478" s="26"/>
      <c r="AA478" s="26"/>
      <c r="AB478" s="26"/>
      <c r="AC478" s="26"/>
      <c r="AD478" s="26"/>
      <c r="AE478" s="26"/>
      <c r="AF478" s="26"/>
      <c r="AG478" s="26"/>
      <c r="AH478" s="26"/>
      <c r="AI478" s="26"/>
      <c r="AJ478" s="26"/>
      <c r="AK478" s="26"/>
      <c r="AL478" s="26"/>
      <c r="AM478" s="26"/>
      <c r="AN478" s="26"/>
      <c r="AO478" s="26"/>
      <c r="AP478" s="26"/>
      <c r="AQ478" s="26"/>
      <c r="AR478" s="26"/>
    </row>
    <row r="479" spans="1:44" ht="15.75" x14ac:dyDescent="0.25">
      <c r="A479" s="30"/>
      <c r="B479" s="13" t="s">
        <v>816</v>
      </c>
      <c r="C479" s="102" t="s">
        <v>829</v>
      </c>
      <c r="D479" s="101">
        <v>79935811008</v>
      </c>
      <c r="E479" s="179" t="s">
        <v>22</v>
      </c>
      <c r="F479" s="7" t="e">
        <f>G479+SUMIF('[1]mouv MULTIVAC DECOUPE'!B:B,"=Couteaux Demi-as de carreau R240",'[1]mouv MULTIVAC DECOUPE'!G:G)</f>
        <v>#VALUE!</v>
      </c>
      <c r="G479" s="63">
        <v>17</v>
      </c>
      <c r="H479" s="101">
        <v>4</v>
      </c>
      <c r="I479" s="1" t="e">
        <f t="shared" si="29"/>
        <v>#VALUE!</v>
      </c>
      <c r="J479" s="181">
        <v>28.48</v>
      </c>
      <c r="K479" s="12" t="e">
        <f t="shared" si="31"/>
        <v>#VALUE!</v>
      </c>
      <c r="L479" s="30"/>
      <c r="M479" s="30"/>
      <c r="N479" s="30"/>
      <c r="O479" s="30"/>
      <c r="P479" s="30"/>
      <c r="Q479" s="30"/>
      <c r="R479" s="30"/>
      <c r="S479" s="30">
        <v>1</v>
      </c>
      <c r="T479" s="26"/>
      <c r="U479" s="26"/>
      <c r="V479" s="26"/>
      <c r="W479" s="26"/>
      <c r="X479" s="26"/>
      <c r="Y479" s="26"/>
      <c r="Z479" s="26"/>
      <c r="AA479" s="26"/>
      <c r="AB479" s="26"/>
      <c r="AC479" s="26"/>
      <c r="AD479" s="26"/>
      <c r="AE479" s="26"/>
      <c r="AF479" s="26"/>
      <c r="AG479" s="26"/>
      <c r="AH479" s="26"/>
      <c r="AI479" s="26"/>
      <c r="AJ479" s="26"/>
      <c r="AK479" s="26"/>
      <c r="AL479" s="26"/>
      <c r="AM479" s="26"/>
      <c r="AN479" s="26"/>
      <c r="AO479" s="26"/>
      <c r="AP479" s="26"/>
      <c r="AQ479" s="26"/>
      <c r="AR479" s="26"/>
    </row>
    <row r="480" spans="1:44" ht="15.75" x14ac:dyDescent="0.25">
      <c r="A480" s="30"/>
      <c r="B480" s="13" t="s">
        <v>816</v>
      </c>
      <c r="C480" s="102" t="s">
        <v>830</v>
      </c>
      <c r="D480" s="101" t="s">
        <v>831</v>
      </c>
      <c r="E480" s="179" t="s">
        <v>22</v>
      </c>
      <c r="F480" s="7" t="e">
        <f>G480+SUMIF('[1]mouv MULTIVAC DECOUPE'!B:B,"=Demi As Acier Ht performance",'[1]mouv MULTIVAC DECOUPE'!G:G)</f>
        <v>#VALUE!</v>
      </c>
      <c r="G480" s="63">
        <v>6</v>
      </c>
      <c r="H480" s="101">
        <v>0</v>
      </c>
      <c r="I480" s="1" t="e">
        <f t="shared" si="29"/>
        <v>#VALUE!</v>
      </c>
      <c r="J480" s="181">
        <v>46.5</v>
      </c>
      <c r="K480" s="12" t="e">
        <f t="shared" si="31"/>
        <v>#VALUE!</v>
      </c>
      <c r="L480" s="30"/>
      <c r="M480" s="30"/>
      <c r="N480" s="30"/>
      <c r="O480" s="30"/>
      <c r="P480" s="30"/>
      <c r="Q480" s="30"/>
      <c r="R480" s="30"/>
      <c r="S480" s="30">
        <v>1</v>
      </c>
      <c r="T480" s="26"/>
      <c r="U480" s="26"/>
      <c r="V480" s="26"/>
      <c r="W480" s="26"/>
      <c r="X480" s="26"/>
      <c r="Y480" s="26"/>
      <c r="Z480" s="26"/>
      <c r="AA480" s="26"/>
      <c r="AB480" s="26"/>
      <c r="AC480" s="26"/>
      <c r="AD480" s="26"/>
      <c r="AE480" s="26"/>
      <c r="AF480" s="26"/>
      <c r="AG480" s="26"/>
      <c r="AH480" s="26"/>
      <c r="AI480" s="26"/>
      <c r="AJ480" s="26"/>
      <c r="AK480" s="26"/>
      <c r="AL480" s="26"/>
      <c r="AM480" s="26"/>
      <c r="AN480" s="26"/>
      <c r="AO480" s="26"/>
      <c r="AP480" s="26"/>
      <c r="AQ480" s="26"/>
      <c r="AR480" s="26"/>
    </row>
    <row r="481" spans="1:44" ht="15.75" x14ac:dyDescent="0.25">
      <c r="A481" s="30"/>
      <c r="B481" s="13" t="s">
        <v>816</v>
      </c>
      <c r="C481" s="102" t="s">
        <v>832</v>
      </c>
      <c r="D481" s="101">
        <v>79935811024</v>
      </c>
      <c r="E481" s="179" t="s">
        <v>22</v>
      </c>
      <c r="F481" s="7" t="e">
        <f>G481+SUMIF('[1]mouv MULTIVAC DECOUPE'!B:B,"=Couteaux As de carreau R240",'[1]mouv MULTIVAC DECOUPE'!G:G)</f>
        <v>#VALUE!</v>
      </c>
      <c r="G481" s="63">
        <v>13</v>
      </c>
      <c r="H481" s="101">
        <v>2</v>
      </c>
      <c r="I481" s="1" t="e">
        <f t="shared" si="29"/>
        <v>#VALUE!</v>
      </c>
      <c r="J481" s="181">
        <v>36.51</v>
      </c>
      <c r="K481" s="12" t="e">
        <f t="shared" si="31"/>
        <v>#VALUE!</v>
      </c>
      <c r="L481" s="30"/>
      <c r="M481" s="30"/>
      <c r="N481" s="30"/>
      <c r="O481" s="30"/>
      <c r="P481" s="30"/>
      <c r="Q481" s="30"/>
      <c r="R481" s="30"/>
      <c r="S481" s="30">
        <v>0</v>
      </c>
      <c r="T481" s="26"/>
      <c r="U481" s="26"/>
      <c r="V481" s="26"/>
      <c r="W481" s="26"/>
      <c r="X481" s="26"/>
      <c r="Y481" s="26"/>
      <c r="Z481" s="26"/>
      <c r="AA481" s="26"/>
      <c r="AB481" s="26"/>
      <c r="AC481" s="26"/>
      <c r="AD481" s="26"/>
      <c r="AE481" s="26"/>
      <c r="AF481" s="26"/>
      <c r="AG481" s="26"/>
      <c r="AH481" s="26"/>
      <c r="AI481" s="26"/>
      <c r="AJ481" s="26"/>
      <c r="AK481" s="26"/>
      <c r="AL481" s="26"/>
      <c r="AM481" s="26"/>
      <c r="AN481" s="26"/>
      <c r="AO481" s="26"/>
      <c r="AP481" s="26"/>
      <c r="AQ481" s="26"/>
      <c r="AR481" s="26"/>
    </row>
    <row r="482" spans="1:44" ht="15.75" x14ac:dyDescent="0.25">
      <c r="A482" s="30"/>
      <c r="B482" s="13" t="s">
        <v>816</v>
      </c>
      <c r="C482" s="102" t="s">
        <v>833</v>
      </c>
      <c r="D482" s="101" t="s">
        <v>834</v>
      </c>
      <c r="E482" s="179" t="s">
        <v>22</v>
      </c>
      <c r="F482" s="7" t="e">
        <f>G482+SUMIF('[1]mouv MULTIVAC DECOUPE'!B:B,"=As de carreau Acier Ht performance",'[1]mouv MULTIVAC DECOUPE'!G:G)</f>
        <v>#VALUE!</v>
      </c>
      <c r="G482" s="63">
        <v>8</v>
      </c>
      <c r="H482" s="101">
        <v>0</v>
      </c>
      <c r="I482" s="1" t="e">
        <f t="shared" si="29"/>
        <v>#VALUE!</v>
      </c>
      <c r="J482" s="181">
        <v>48</v>
      </c>
      <c r="K482" s="12" t="e">
        <f t="shared" si="31"/>
        <v>#VALUE!</v>
      </c>
      <c r="L482" s="30"/>
      <c r="M482" s="30"/>
      <c r="N482" s="30"/>
      <c r="O482" s="30"/>
      <c r="P482" s="30"/>
      <c r="Q482" s="30"/>
      <c r="R482" s="30"/>
      <c r="S482" s="30">
        <v>0</v>
      </c>
      <c r="T482" s="26"/>
      <c r="U482" s="26"/>
      <c r="V482" s="26"/>
      <c r="W482" s="26"/>
      <c r="X482" s="26"/>
      <c r="Y482" s="26"/>
      <c r="Z482" s="26"/>
      <c r="AA482" s="26"/>
      <c r="AB482" s="26"/>
      <c r="AC482" s="26"/>
      <c r="AD482" s="26"/>
      <c r="AE482" s="26"/>
      <c r="AF482" s="26"/>
      <c r="AG482" s="26"/>
      <c r="AH482" s="26"/>
      <c r="AI482" s="26"/>
      <c r="AJ482" s="26"/>
      <c r="AK482" s="26"/>
      <c r="AL482" s="26"/>
      <c r="AM482" s="26"/>
      <c r="AN482" s="26"/>
      <c r="AO482" s="26"/>
      <c r="AP482" s="26"/>
      <c r="AQ482" s="26"/>
      <c r="AR482" s="26"/>
    </row>
    <row r="483" spans="1:44" ht="15.75" x14ac:dyDescent="0.25">
      <c r="A483" s="30"/>
      <c r="B483" s="13" t="s">
        <v>816</v>
      </c>
      <c r="C483" s="184" t="s">
        <v>835</v>
      </c>
      <c r="D483" s="185">
        <v>19181271484</v>
      </c>
      <c r="E483" s="179" t="s">
        <v>22</v>
      </c>
      <c r="F483" s="7" t="e">
        <f>G483+SUMIF('[1]mouv MULTIVAC DECOUPE'!B:B,"=joint etanchéité UV10 (decoupe longitudinale)",'[1]mouv MULTIVAC DECOUPE'!G:G)</f>
        <v>#VALUE!</v>
      </c>
      <c r="G483" s="186">
        <v>10</v>
      </c>
      <c r="H483" s="186">
        <v>2</v>
      </c>
      <c r="I483" s="1" t="e">
        <f t="shared" si="29"/>
        <v>#VALUE!</v>
      </c>
      <c r="J483" s="187">
        <v>8.7409999999999997</v>
      </c>
      <c r="K483" s="12" t="e">
        <f t="shared" si="31"/>
        <v>#VALUE!</v>
      </c>
      <c r="L483" s="30"/>
      <c r="M483" s="30"/>
      <c r="N483" s="30"/>
      <c r="O483" s="30"/>
      <c r="P483" s="30"/>
      <c r="Q483" s="30"/>
      <c r="R483" s="30"/>
      <c r="S483" s="30">
        <v>0</v>
      </c>
      <c r="T483" s="26"/>
      <c r="U483" s="26"/>
      <c r="V483" s="26"/>
      <c r="W483" s="26"/>
      <c r="X483" s="26"/>
      <c r="Y483" s="26"/>
      <c r="Z483" s="26"/>
      <c r="AA483" s="26"/>
      <c r="AB483" s="26"/>
      <c r="AC483" s="26"/>
      <c r="AD483" s="26"/>
      <c r="AE483" s="26"/>
      <c r="AF483" s="26"/>
      <c r="AG483" s="26"/>
      <c r="AH483" s="26"/>
      <c r="AI483" s="26"/>
      <c r="AJ483" s="26"/>
      <c r="AK483" s="26"/>
      <c r="AL483" s="26"/>
      <c r="AM483" s="26"/>
      <c r="AN483" s="26"/>
      <c r="AO483" s="26"/>
      <c r="AP483" s="26"/>
      <c r="AQ483" s="26"/>
      <c r="AR483" s="26"/>
    </row>
    <row r="484" spans="1:44" ht="15.75" x14ac:dyDescent="0.25">
      <c r="A484" s="30"/>
      <c r="B484" s="13" t="s">
        <v>816</v>
      </c>
      <c r="C484" s="188" t="s">
        <v>836</v>
      </c>
      <c r="D484" s="185">
        <v>78351030100</v>
      </c>
      <c r="E484" s="179" t="s">
        <v>22</v>
      </c>
      <c r="F484" s="7" t="e">
        <f>G484+SUMIF('[1]mouv MULTIVAC DECOUPE'!B:B,"=Joint d'arbre (decoupe longitudinale)",'[1]mouv MULTIVAC DECOUPE'!G:G)</f>
        <v>#VALUE!</v>
      </c>
      <c r="G484" s="186">
        <v>1</v>
      </c>
      <c r="H484" s="186">
        <v>2</v>
      </c>
      <c r="I484" s="1" t="e">
        <f t="shared" si="29"/>
        <v>#VALUE!</v>
      </c>
      <c r="J484" s="187">
        <v>3.49</v>
      </c>
      <c r="K484" s="12" t="e">
        <f t="shared" si="31"/>
        <v>#VALUE!</v>
      </c>
      <c r="L484" s="30"/>
      <c r="M484" s="30"/>
      <c r="N484" s="30"/>
      <c r="O484" s="30"/>
      <c r="P484" s="30"/>
      <c r="Q484" s="30"/>
      <c r="R484" s="30"/>
      <c r="S484" s="30">
        <v>1</v>
      </c>
      <c r="T484" s="26"/>
      <c r="U484" s="26"/>
      <c r="V484" s="26"/>
      <c r="W484" s="26"/>
      <c r="X484" s="26"/>
      <c r="Y484" s="26"/>
      <c r="Z484" s="26"/>
      <c r="AA484" s="26"/>
      <c r="AB484" s="26"/>
      <c r="AC484" s="26"/>
      <c r="AD484" s="26"/>
      <c r="AE484" s="26"/>
      <c r="AF484" s="26"/>
      <c r="AG484" s="26"/>
      <c r="AH484" s="26"/>
      <c r="AI484" s="26"/>
      <c r="AJ484" s="26"/>
      <c r="AK484" s="26"/>
      <c r="AL484" s="26"/>
      <c r="AM484" s="26"/>
      <c r="AN484" s="26"/>
      <c r="AO484" s="26"/>
      <c r="AP484" s="26"/>
      <c r="AQ484" s="26"/>
      <c r="AR484" s="26"/>
    </row>
    <row r="485" spans="1:44" ht="15.75" x14ac:dyDescent="0.25">
      <c r="A485" s="30"/>
      <c r="B485" s="13" t="s">
        <v>816</v>
      </c>
      <c r="C485" s="188" t="s">
        <v>837</v>
      </c>
      <c r="D485" s="185">
        <v>78500060600</v>
      </c>
      <c r="E485" s="179" t="s">
        <v>22</v>
      </c>
      <c r="F485" s="7" t="e">
        <f>G485+SUMIF('[1]mouv MULTIVAC DECOUPE'!B:B,"=roulement gorge profonde  (decoupe longitudinale)",'[1]mouv MULTIVAC DECOUPE'!G:G)</f>
        <v>#VALUE!</v>
      </c>
      <c r="G485" s="186">
        <v>0</v>
      </c>
      <c r="H485" s="186">
        <v>2</v>
      </c>
      <c r="I485" s="1" t="e">
        <f t="shared" si="29"/>
        <v>#VALUE!</v>
      </c>
      <c r="J485" s="187">
        <v>27.265000000000001</v>
      </c>
      <c r="K485" s="12" t="e">
        <f t="shared" si="31"/>
        <v>#VALUE!</v>
      </c>
      <c r="L485" s="30"/>
      <c r="M485" s="30"/>
      <c r="N485" s="30"/>
      <c r="O485" s="30"/>
      <c r="P485" s="30"/>
      <c r="Q485" s="30"/>
      <c r="R485" s="30"/>
      <c r="S485" s="30">
        <v>0</v>
      </c>
      <c r="T485" s="26"/>
      <c r="U485" s="26"/>
      <c r="V485" s="26"/>
      <c r="W485" s="26"/>
      <c r="X485" s="26"/>
      <c r="Y485" s="26"/>
      <c r="Z485" s="26"/>
      <c r="AA485" s="26"/>
      <c r="AB485" s="26"/>
      <c r="AC485" s="26"/>
      <c r="AD485" s="26"/>
      <c r="AE485" s="26"/>
      <c r="AF485" s="26"/>
      <c r="AG485" s="26"/>
      <c r="AH485" s="26"/>
      <c r="AI485" s="26"/>
      <c r="AJ485" s="26"/>
      <c r="AK485" s="26"/>
      <c r="AL485" s="26"/>
      <c r="AM485" s="26"/>
      <c r="AN485" s="26"/>
      <c r="AO485" s="26"/>
      <c r="AP485" s="26"/>
      <c r="AQ485" s="26"/>
      <c r="AR485" s="26"/>
    </row>
    <row r="486" spans="1:44" ht="15.75" x14ac:dyDescent="0.25">
      <c r="A486" s="30"/>
      <c r="B486" s="13" t="s">
        <v>816</v>
      </c>
      <c r="C486" s="188" t="s">
        <v>838</v>
      </c>
      <c r="D486" s="185">
        <v>78545004500</v>
      </c>
      <c r="E486" s="179" t="s">
        <v>22</v>
      </c>
      <c r="F486" s="7" t="e">
        <f>G486+SUMIF('[1]mouv MULTIVAC DECOUPE'!B:B,"=Bague intérieur D1=50  D2=45 (decoupe longitudinale)",'[1]mouv MULTIVAC DECOUPE'!G:G)</f>
        <v>#VALUE!</v>
      </c>
      <c r="G486" s="186">
        <v>1</v>
      </c>
      <c r="H486" s="186">
        <v>2</v>
      </c>
      <c r="I486" s="1" t="e">
        <f t="shared" si="29"/>
        <v>#VALUE!</v>
      </c>
      <c r="J486" s="187">
        <v>13.52</v>
      </c>
      <c r="K486" s="12" t="e">
        <f t="shared" si="31"/>
        <v>#VALUE!</v>
      </c>
      <c r="L486" s="30"/>
      <c r="M486" s="30"/>
      <c r="N486" s="30"/>
      <c r="O486" s="30"/>
      <c r="P486" s="30"/>
      <c r="Q486" s="30"/>
      <c r="R486" s="30"/>
      <c r="S486" s="30">
        <v>1</v>
      </c>
      <c r="T486" s="26"/>
      <c r="U486" s="26"/>
      <c r="V486" s="26"/>
      <c r="W486" s="26"/>
      <c r="X486" s="26"/>
      <c r="Y486" s="26"/>
      <c r="Z486" s="26"/>
      <c r="AA486" s="26"/>
      <c r="AB486" s="26"/>
      <c r="AC486" s="26"/>
      <c r="AD486" s="26"/>
      <c r="AE486" s="26"/>
      <c r="AF486" s="26"/>
      <c r="AG486" s="26"/>
      <c r="AH486" s="26"/>
      <c r="AI486" s="26"/>
      <c r="AJ486" s="26"/>
      <c r="AK486" s="26"/>
      <c r="AL486" s="26"/>
      <c r="AM486" s="26"/>
      <c r="AN486" s="26"/>
      <c r="AO486" s="26"/>
      <c r="AP486" s="26"/>
      <c r="AQ486" s="26"/>
      <c r="AR486" s="26"/>
    </row>
    <row r="487" spans="1:44" ht="15.75" x14ac:dyDescent="0.25">
      <c r="A487" s="30"/>
      <c r="B487" s="13" t="s">
        <v>816</v>
      </c>
      <c r="C487" s="188" t="s">
        <v>839</v>
      </c>
      <c r="D487" s="185">
        <v>78352035000</v>
      </c>
      <c r="E487" s="179" t="s">
        <v>22</v>
      </c>
      <c r="F487" s="7" t="e">
        <f>G487+SUMIF('[1]mouv MULTIVAC DECOUPE'!B:B,"=Bague d'étanchéité d'arbre  (decoupe longitudinale)",'[1]mouv MULTIVAC DECOUPE'!G:G)</f>
        <v>#VALUE!</v>
      </c>
      <c r="G487" s="186">
        <v>1</v>
      </c>
      <c r="H487" s="186">
        <v>2</v>
      </c>
      <c r="I487" s="1" t="e">
        <f t="shared" si="29"/>
        <v>#VALUE!</v>
      </c>
      <c r="J487" s="187">
        <v>2.99</v>
      </c>
      <c r="K487" s="12" t="e">
        <f t="shared" si="31"/>
        <v>#VALUE!</v>
      </c>
      <c r="L487" s="30"/>
      <c r="M487" s="30"/>
      <c r="N487" s="30"/>
      <c r="O487" s="30"/>
      <c r="P487" s="30"/>
      <c r="Q487" s="30"/>
      <c r="R487" s="30"/>
      <c r="S487" s="30">
        <v>0</v>
      </c>
      <c r="T487" s="26"/>
      <c r="U487" s="26"/>
      <c r="V487" s="26"/>
      <c r="W487" s="26"/>
      <c r="X487" s="26"/>
      <c r="Y487" s="26"/>
      <c r="Z487" s="26"/>
      <c r="AA487" s="26"/>
      <c r="AB487" s="26"/>
      <c r="AC487" s="26"/>
      <c r="AD487" s="26"/>
      <c r="AE487" s="26"/>
      <c r="AF487" s="26"/>
      <c r="AG487" s="26"/>
      <c r="AH487" s="26"/>
      <c r="AI487" s="26"/>
      <c r="AJ487" s="26"/>
      <c r="AK487" s="26"/>
      <c r="AL487" s="26"/>
      <c r="AM487" s="26"/>
      <c r="AN487" s="26"/>
      <c r="AO487" s="26"/>
      <c r="AP487" s="26"/>
      <c r="AQ487" s="26"/>
      <c r="AR487" s="26"/>
    </row>
    <row r="488" spans="1:44" ht="15.75" x14ac:dyDescent="0.25">
      <c r="A488" s="30"/>
      <c r="B488" s="13" t="s">
        <v>816</v>
      </c>
      <c r="C488" s="188" t="s">
        <v>840</v>
      </c>
      <c r="D488" s="185">
        <v>78100003002</v>
      </c>
      <c r="E488" s="179" t="s">
        <v>22</v>
      </c>
      <c r="F488" s="7" t="e">
        <f>G488+SUMIF('[1]mouv MULTIVAC DECOUPE'!B:B,"=cicrclips  (decoupe longitudinale)",'[1]mouv MULTIVAC DECOUPE'!G:G)</f>
        <v>#VALUE!</v>
      </c>
      <c r="G488" s="186">
        <v>2</v>
      </c>
      <c r="H488" s="186">
        <v>2</v>
      </c>
      <c r="I488" s="1" t="e">
        <f t="shared" si="29"/>
        <v>#VALUE!</v>
      </c>
      <c r="J488" s="187">
        <v>3.2770000000000001</v>
      </c>
      <c r="K488" s="12" t="e">
        <f t="shared" si="31"/>
        <v>#VALUE!</v>
      </c>
      <c r="L488" s="30"/>
      <c r="M488" s="30"/>
      <c r="N488" s="30"/>
      <c r="O488" s="30"/>
      <c r="P488" s="30"/>
      <c r="Q488" s="30"/>
      <c r="R488" s="30"/>
      <c r="S488" s="30">
        <v>1</v>
      </c>
      <c r="T488" s="26"/>
      <c r="U488" s="26"/>
      <c r="V488" s="26"/>
      <c r="W488" s="26"/>
      <c r="X488" s="26"/>
      <c r="Y488" s="26"/>
      <c r="Z488" s="26"/>
      <c r="AA488" s="26"/>
      <c r="AB488" s="26"/>
      <c r="AC488" s="26"/>
      <c r="AD488" s="26"/>
      <c r="AE488" s="26"/>
      <c r="AF488" s="26"/>
      <c r="AG488" s="26"/>
      <c r="AH488" s="26"/>
      <c r="AI488" s="26"/>
      <c r="AJ488" s="26"/>
      <c r="AK488" s="26"/>
      <c r="AL488" s="26"/>
      <c r="AM488" s="26"/>
      <c r="AN488" s="26"/>
      <c r="AO488" s="26"/>
      <c r="AP488" s="26"/>
      <c r="AQ488" s="26"/>
      <c r="AR488" s="26"/>
    </row>
    <row r="489" spans="1:44" ht="15.75" x14ac:dyDescent="0.25">
      <c r="A489" s="30"/>
      <c r="B489" s="13" t="s">
        <v>816</v>
      </c>
      <c r="C489" s="188" t="s">
        <v>841</v>
      </c>
      <c r="D489" s="185">
        <v>105808729</v>
      </c>
      <c r="E489" s="179" t="s">
        <v>22</v>
      </c>
      <c r="F489" s="7" t="e">
        <f>G489+SUMIF('[1]mouv MULTIVAC DECOUPE'!B:B,"=contre lame circulaire  (decoupe longitudinale)",'[1]mouv MULTIVAC DECOUPE'!G:G)</f>
        <v>#VALUE!</v>
      </c>
      <c r="G489" s="186">
        <v>1</v>
      </c>
      <c r="H489" s="186">
        <v>3</v>
      </c>
      <c r="I489" s="1" t="e">
        <f t="shared" si="29"/>
        <v>#VALUE!</v>
      </c>
      <c r="J489" s="187">
        <v>127.92</v>
      </c>
      <c r="K489" s="12" t="e">
        <f t="shared" si="31"/>
        <v>#VALUE!</v>
      </c>
      <c r="L489" s="30"/>
      <c r="M489" s="30"/>
      <c r="N489" s="30"/>
      <c r="O489" s="30"/>
      <c r="P489" s="30"/>
      <c r="Q489" s="30"/>
      <c r="R489" s="30"/>
      <c r="S489" s="30">
        <v>1</v>
      </c>
      <c r="T489" s="26"/>
      <c r="U489" s="26"/>
      <c r="V489" s="26"/>
      <c r="W489" s="26"/>
      <c r="X489" s="26"/>
      <c r="Y489" s="26"/>
      <c r="Z489" s="26"/>
      <c r="AA489" s="26"/>
      <c r="AB489" s="26"/>
      <c r="AC489" s="26"/>
      <c r="AD489" s="26"/>
      <c r="AE489" s="26"/>
      <c r="AF489" s="26"/>
      <c r="AG489" s="26"/>
      <c r="AH489" s="26"/>
      <c r="AI489" s="26"/>
      <c r="AJ489" s="26"/>
      <c r="AK489" s="26"/>
      <c r="AL489" s="26"/>
      <c r="AM489" s="26"/>
      <c r="AN489" s="26"/>
      <c r="AO489" s="26"/>
      <c r="AP489" s="26"/>
      <c r="AQ489" s="26"/>
      <c r="AR489" s="26"/>
    </row>
    <row r="490" spans="1:44" ht="15.75" x14ac:dyDescent="0.25">
      <c r="A490" s="30"/>
      <c r="B490" s="13" t="s">
        <v>816</v>
      </c>
      <c r="C490" s="189" t="s">
        <v>842</v>
      </c>
      <c r="D490" s="185">
        <v>79915200803</v>
      </c>
      <c r="E490" s="179" t="s">
        <v>22</v>
      </c>
      <c r="F490" s="7" t="e">
        <f>G490+SUMIF('[1]mouv MULTIVAC DECOUPE'!B:B,"=Lame circulaire",'[1]mouv MULTIVAC DECOUPE'!G:G)</f>
        <v>#VALUE!</v>
      </c>
      <c r="G490" s="186">
        <v>6</v>
      </c>
      <c r="H490" s="186">
        <v>1</v>
      </c>
      <c r="I490" s="1" t="e">
        <f t="shared" si="29"/>
        <v>#VALUE!</v>
      </c>
      <c r="J490" s="187">
        <v>17.63</v>
      </c>
      <c r="K490" s="12" t="e">
        <f t="shared" si="31"/>
        <v>#VALUE!</v>
      </c>
      <c r="L490" s="30"/>
      <c r="M490" s="30"/>
      <c r="N490" s="30"/>
      <c r="O490" s="30"/>
      <c r="P490" s="30"/>
      <c r="Q490" s="30"/>
      <c r="R490" s="30"/>
      <c r="S490" s="30">
        <v>1</v>
      </c>
      <c r="T490" s="26"/>
      <c r="U490" s="26"/>
      <c r="V490" s="26"/>
      <c r="W490" s="26"/>
      <c r="X490" s="26"/>
      <c r="Y490" s="26"/>
      <c r="Z490" s="26"/>
      <c r="AA490" s="26"/>
      <c r="AB490" s="26"/>
      <c r="AC490" s="26"/>
      <c r="AD490" s="26"/>
      <c r="AE490" s="26"/>
      <c r="AF490" s="26"/>
      <c r="AG490" s="26"/>
      <c r="AH490" s="26"/>
      <c r="AI490" s="26"/>
      <c r="AJ490" s="26"/>
      <c r="AK490" s="26"/>
      <c r="AL490" s="26"/>
      <c r="AM490" s="26"/>
      <c r="AN490" s="26"/>
      <c r="AO490" s="26"/>
      <c r="AP490" s="26"/>
      <c r="AQ490" s="26"/>
      <c r="AR490" s="26"/>
    </row>
    <row r="491" spans="1:44" ht="15.75" x14ac:dyDescent="0.25">
      <c r="A491" s="30"/>
      <c r="B491" s="13" t="s">
        <v>816</v>
      </c>
      <c r="C491" s="4" t="s">
        <v>843</v>
      </c>
      <c r="D491" s="6">
        <v>78103350100</v>
      </c>
      <c r="E491" s="190" t="s">
        <v>22</v>
      </c>
      <c r="F491" s="7" t="e">
        <f>G491+SUMIF('[1]mouv MULTIVAC DECOUPE'!B:B,"=Rondelles d'ajustage 0,1mm (contre couteaux longitudinale)",'[1]mouv MULTIVAC DECOUPE'!G:G)</f>
        <v>#VALUE!</v>
      </c>
      <c r="G491" s="20">
        <v>2</v>
      </c>
      <c r="H491" s="20">
        <v>2</v>
      </c>
      <c r="I491" s="1" t="e">
        <f t="shared" si="29"/>
        <v>#VALUE!</v>
      </c>
      <c r="J491" s="69">
        <v>1.48</v>
      </c>
      <c r="K491" s="12" t="e">
        <f t="shared" si="31"/>
        <v>#VALUE!</v>
      </c>
      <c r="L491" s="30"/>
      <c r="M491" s="30"/>
      <c r="N491" s="30"/>
      <c r="O491" s="30"/>
      <c r="P491" s="30"/>
      <c r="Q491" s="30"/>
      <c r="R491" s="30"/>
      <c r="S491" s="30">
        <v>1</v>
      </c>
      <c r="T491" s="26"/>
      <c r="U491" s="26"/>
      <c r="V491" s="26"/>
      <c r="W491" s="26"/>
      <c r="X491" s="26"/>
      <c r="Y491" s="26"/>
      <c r="Z491" s="26"/>
      <c r="AA491" s="26"/>
      <c r="AB491" s="26"/>
      <c r="AC491" s="26"/>
      <c r="AD491" s="26"/>
      <c r="AE491" s="26"/>
      <c r="AF491" s="26"/>
      <c r="AG491" s="26"/>
      <c r="AH491" s="26"/>
      <c r="AI491" s="26"/>
      <c r="AJ491" s="26"/>
      <c r="AK491" s="26"/>
      <c r="AL491" s="26"/>
      <c r="AM491" s="26"/>
      <c r="AN491" s="26"/>
      <c r="AO491" s="26"/>
      <c r="AP491" s="26"/>
      <c r="AQ491" s="26"/>
      <c r="AR491" s="26"/>
    </row>
    <row r="492" spans="1:44" ht="15.75" x14ac:dyDescent="0.25">
      <c r="A492" s="30"/>
      <c r="B492" s="13" t="s">
        <v>816</v>
      </c>
      <c r="C492" s="4" t="s">
        <v>844</v>
      </c>
      <c r="D492" s="6">
        <v>78103350200</v>
      </c>
      <c r="E492" s="190" t="s">
        <v>22</v>
      </c>
      <c r="F492" s="7" t="e">
        <f>G492+SUMIF('[1]mouv MULTIVAC DECOUPE'!B:B,"=Rondelles d'ajustage 0,2mm (contre couteaux longitudinale)",'[1]mouv MULTIVAC DECOUPE'!G:G)</f>
        <v>#VALUE!</v>
      </c>
      <c r="G492" s="20">
        <v>0</v>
      </c>
      <c r="H492" s="20">
        <v>2</v>
      </c>
      <c r="I492" s="1" t="e">
        <f t="shared" si="29"/>
        <v>#VALUE!</v>
      </c>
      <c r="J492" s="69">
        <v>2.09</v>
      </c>
      <c r="K492" s="12" t="e">
        <f t="shared" si="31"/>
        <v>#VALUE!</v>
      </c>
      <c r="L492" s="30"/>
      <c r="M492" s="30"/>
      <c r="N492" s="30"/>
      <c r="O492" s="30"/>
      <c r="P492" s="30"/>
      <c r="Q492" s="30"/>
      <c r="R492" s="30"/>
      <c r="S492" s="30">
        <v>1</v>
      </c>
      <c r="T492" s="26"/>
      <c r="U492" s="26"/>
      <c r="V492" s="26"/>
      <c r="W492" s="26"/>
      <c r="X492" s="26"/>
      <c r="Y492" s="26"/>
      <c r="Z492" s="26"/>
      <c r="AA492" s="26"/>
      <c r="AB492" s="26"/>
      <c r="AC492" s="26"/>
      <c r="AD492" s="26"/>
      <c r="AE492" s="26"/>
      <c r="AF492" s="26"/>
      <c r="AG492" s="26"/>
      <c r="AH492" s="26"/>
      <c r="AI492" s="26"/>
      <c r="AJ492" s="26"/>
      <c r="AK492" s="26"/>
      <c r="AL492" s="26"/>
      <c r="AM492" s="26"/>
      <c r="AN492" s="26"/>
      <c r="AO492" s="26"/>
      <c r="AP492" s="26"/>
      <c r="AQ492" s="26"/>
      <c r="AR492" s="26"/>
    </row>
    <row r="493" spans="1:44" ht="15.75" x14ac:dyDescent="0.25">
      <c r="A493" s="30"/>
      <c r="B493" s="13" t="s">
        <v>816</v>
      </c>
      <c r="C493" s="4" t="s">
        <v>845</v>
      </c>
      <c r="D493" s="6">
        <v>78103350500</v>
      </c>
      <c r="E493" s="190" t="s">
        <v>22</v>
      </c>
      <c r="F493" s="7" t="e">
        <f>G493+SUMIF('[1]mouv MULTIVAC DECOUPE'!B:B,"=Rondelles d'ajustage 0,5mm (contre couteaux longitudinale)",'[1]mouv MULTIVAC DECOUPE'!G:G)</f>
        <v>#VALUE!</v>
      </c>
      <c r="G493" s="20">
        <v>6</v>
      </c>
      <c r="H493" s="20">
        <v>2</v>
      </c>
      <c r="I493" s="1" t="e">
        <f t="shared" si="29"/>
        <v>#VALUE!</v>
      </c>
      <c r="J493" s="69">
        <v>1.87</v>
      </c>
      <c r="K493" s="12" t="e">
        <f t="shared" si="31"/>
        <v>#VALUE!</v>
      </c>
      <c r="L493" s="30"/>
      <c r="M493" s="30"/>
      <c r="N493" s="30"/>
      <c r="O493" s="30"/>
      <c r="P493" s="30"/>
      <c r="Q493" s="30"/>
      <c r="R493" s="30"/>
      <c r="S493" s="30">
        <v>0</v>
      </c>
      <c r="T493" s="26"/>
      <c r="U493" s="26"/>
      <c r="V493" s="26"/>
      <c r="W493" s="26"/>
      <c r="X493" s="26"/>
      <c r="Y493" s="26"/>
      <c r="Z493" s="26"/>
      <c r="AA493" s="26"/>
      <c r="AB493" s="26"/>
      <c r="AC493" s="26"/>
      <c r="AD493" s="26"/>
      <c r="AE493" s="26"/>
      <c r="AF493" s="26"/>
      <c r="AG493" s="26"/>
      <c r="AH493" s="26"/>
      <c r="AI493" s="26"/>
      <c r="AJ493" s="26"/>
      <c r="AK493" s="26"/>
      <c r="AL493" s="26"/>
      <c r="AM493" s="26"/>
      <c r="AN493" s="26"/>
      <c r="AO493" s="26"/>
      <c r="AP493" s="26"/>
      <c r="AQ493" s="26"/>
      <c r="AR493" s="26"/>
    </row>
    <row r="494" spans="1:44" ht="15.75" x14ac:dyDescent="0.25">
      <c r="A494" s="30"/>
      <c r="B494" s="13" t="s">
        <v>816</v>
      </c>
      <c r="C494" s="4" t="s">
        <v>846</v>
      </c>
      <c r="D494" s="6">
        <v>11651246100</v>
      </c>
      <c r="E494" s="190" t="s">
        <v>22</v>
      </c>
      <c r="F494" s="7" t="e">
        <f>G494+SUMIF('[1]mouv MULTIVAC DECOUPE'!B:B,"=R230 tourillon (coupe longitud.)",'[1]mouv MULTIVAC DECOUPE'!G:G)</f>
        <v>#VALUE!</v>
      </c>
      <c r="G494" s="20">
        <v>1</v>
      </c>
      <c r="H494" s="20">
        <v>0</v>
      </c>
      <c r="I494" s="1" t="e">
        <f t="shared" si="29"/>
        <v>#VALUE!</v>
      </c>
      <c r="J494" s="69">
        <v>78.349999999999994</v>
      </c>
      <c r="K494" s="12" t="e">
        <f t="shared" si="31"/>
        <v>#VALUE!</v>
      </c>
      <c r="L494" s="30"/>
      <c r="M494" s="30"/>
      <c r="N494" s="30"/>
      <c r="O494" s="30"/>
      <c r="P494" s="30"/>
      <c r="Q494" s="30"/>
      <c r="R494" s="30"/>
      <c r="S494" s="30">
        <v>0</v>
      </c>
      <c r="T494" s="26"/>
      <c r="U494" s="26"/>
      <c r="V494" s="26"/>
      <c r="W494" s="26"/>
      <c r="X494" s="26"/>
      <c r="Y494" s="26"/>
      <c r="Z494" s="26"/>
      <c r="AA494" s="26"/>
      <c r="AB494" s="26"/>
      <c r="AC494" s="26"/>
      <c r="AD494" s="26"/>
      <c r="AE494" s="26"/>
      <c r="AF494" s="26"/>
      <c r="AG494" s="26"/>
      <c r="AH494" s="26"/>
      <c r="AI494" s="26"/>
      <c r="AJ494" s="26"/>
      <c r="AK494" s="26"/>
      <c r="AL494" s="26"/>
      <c r="AM494" s="26"/>
      <c r="AN494" s="26"/>
      <c r="AO494" s="26"/>
      <c r="AP494" s="26"/>
      <c r="AQ494" s="26"/>
      <c r="AR494" s="26"/>
    </row>
    <row r="495" spans="1:44" ht="15.75" x14ac:dyDescent="0.25">
      <c r="A495" s="30"/>
      <c r="B495" s="13" t="s">
        <v>816</v>
      </c>
      <c r="C495" s="4" t="s">
        <v>847</v>
      </c>
      <c r="D495" s="6">
        <v>11651252000</v>
      </c>
      <c r="E495" s="190" t="s">
        <v>22</v>
      </c>
      <c r="F495" s="7" t="e">
        <f>G495+SUMIF('[1]mouv MULTIVAC DECOUPE'!B:B,"=R230 plaque roulement (coupe lonitud.)",'[1]mouv MULTIVAC DECOUPE'!G:G)</f>
        <v>#VALUE!</v>
      </c>
      <c r="G495" s="20">
        <v>1</v>
      </c>
      <c r="H495" s="20">
        <v>0</v>
      </c>
      <c r="I495" s="1" t="e">
        <f t="shared" si="29"/>
        <v>#VALUE!</v>
      </c>
      <c r="J495" s="69">
        <v>92.29</v>
      </c>
      <c r="K495" s="12" t="e">
        <f t="shared" si="31"/>
        <v>#VALUE!</v>
      </c>
      <c r="L495" s="30"/>
      <c r="M495" s="30"/>
      <c r="N495" s="30"/>
      <c r="O495" s="30"/>
      <c r="P495" s="30"/>
      <c r="Q495" s="30"/>
      <c r="R495" s="30"/>
      <c r="S495" s="30">
        <v>0</v>
      </c>
      <c r="T495" s="26"/>
      <c r="U495" s="26"/>
      <c r="V495" s="26"/>
      <c r="W495" s="26"/>
      <c r="X495" s="26"/>
      <c r="Y495" s="26"/>
      <c r="Z495" s="26"/>
      <c r="AA495" s="26"/>
      <c r="AB495" s="26"/>
      <c r="AC495" s="26"/>
      <c r="AD495" s="26"/>
      <c r="AE495" s="26"/>
      <c r="AF495" s="26"/>
      <c r="AG495" s="26"/>
      <c r="AH495" s="26"/>
      <c r="AI495" s="26"/>
      <c r="AJ495" s="26"/>
      <c r="AK495" s="26"/>
      <c r="AL495" s="26"/>
      <c r="AM495" s="26"/>
      <c r="AN495" s="26"/>
      <c r="AO495" s="26"/>
      <c r="AP495" s="26"/>
      <c r="AQ495" s="26"/>
      <c r="AR495" s="26"/>
    </row>
    <row r="496" spans="1:44" ht="15.75" x14ac:dyDescent="0.25">
      <c r="A496" s="30"/>
      <c r="B496" s="13" t="s">
        <v>816</v>
      </c>
      <c r="C496" s="4" t="s">
        <v>848</v>
      </c>
      <c r="D496" s="6">
        <v>11651256002</v>
      </c>
      <c r="E496" s="190" t="s">
        <v>22</v>
      </c>
      <c r="F496" s="7" t="e">
        <f>G496+SUMIF('[1]mouv MULTIVAC DECOUPE'!B:B,"=Lame circulaire",'[1]mouv MULTIVAC DECOUPE'!G:G)</f>
        <v>#VALUE!</v>
      </c>
      <c r="G496" s="20">
        <v>1</v>
      </c>
      <c r="H496" s="20">
        <v>0</v>
      </c>
      <c r="I496" s="1" t="e">
        <f t="shared" si="29"/>
        <v>#VALUE!</v>
      </c>
      <c r="J496" s="69">
        <v>209.12</v>
      </c>
      <c r="K496" s="12" t="e">
        <f t="shared" si="31"/>
        <v>#VALUE!</v>
      </c>
      <c r="L496" s="30"/>
      <c r="M496" s="30"/>
      <c r="N496" s="30"/>
      <c r="O496" s="30"/>
      <c r="P496" s="30"/>
      <c r="Q496" s="30"/>
      <c r="R496" s="30"/>
      <c r="S496" s="30">
        <v>1</v>
      </c>
      <c r="T496" s="26"/>
      <c r="U496" s="26"/>
      <c r="V496" s="26"/>
      <c r="W496" s="26"/>
      <c r="X496" s="26"/>
      <c r="Y496" s="26"/>
      <c r="Z496" s="26"/>
      <c r="AA496" s="26"/>
      <c r="AB496" s="26"/>
      <c r="AC496" s="26"/>
      <c r="AD496" s="26"/>
      <c r="AE496" s="26"/>
      <c r="AF496" s="26"/>
      <c r="AG496" s="26"/>
      <c r="AH496" s="26"/>
      <c r="AI496" s="26"/>
      <c r="AJ496" s="26"/>
      <c r="AK496" s="26"/>
      <c r="AL496" s="26"/>
      <c r="AM496" s="26"/>
      <c r="AN496" s="26"/>
      <c r="AO496" s="26"/>
      <c r="AP496" s="26"/>
      <c r="AQ496" s="26"/>
      <c r="AR496" s="26"/>
    </row>
    <row r="497" spans="1:44" ht="15.75" x14ac:dyDescent="0.25">
      <c r="A497" s="30"/>
      <c r="B497" s="13" t="s">
        <v>816</v>
      </c>
      <c r="C497" s="4" t="s">
        <v>849</v>
      </c>
      <c r="D497" s="6">
        <v>78500510000</v>
      </c>
      <c r="E497" s="190" t="s">
        <v>22</v>
      </c>
      <c r="F497" s="7" t="e">
        <f>G497+SUMIF('[1]mouv MULTIVAC DECOUPE'!B:B,"=R230 roulement (3200 rs) (découpe circulaire)",'[1]mouv MULTIVAC DECOUPE'!G:G)</f>
        <v>#VALUE!</v>
      </c>
      <c r="G497" s="20">
        <v>1</v>
      </c>
      <c r="H497" s="20">
        <v>0</v>
      </c>
      <c r="I497" s="1" t="e">
        <f t="shared" ref="I497:I502" si="32">IF(F497&lt;H497,"/!\","-")</f>
        <v>#VALUE!</v>
      </c>
      <c r="J497" s="69">
        <v>26.38</v>
      </c>
      <c r="K497" s="12" t="e">
        <f t="shared" si="31"/>
        <v>#VALUE!</v>
      </c>
      <c r="L497" s="30"/>
      <c r="M497" s="30"/>
      <c r="N497" s="30"/>
      <c r="O497" s="30"/>
      <c r="P497" s="30"/>
      <c r="Q497" s="30"/>
      <c r="R497" s="30"/>
      <c r="S497" s="30">
        <v>0</v>
      </c>
      <c r="T497" s="26"/>
      <c r="U497" s="26"/>
      <c r="V497" s="26"/>
      <c r="W497" s="26"/>
      <c r="X497" s="26"/>
      <c r="Y497" s="26"/>
      <c r="Z497" s="26"/>
      <c r="AA497" s="26"/>
      <c r="AB497" s="26"/>
      <c r="AC497" s="26"/>
      <c r="AD497" s="26"/>
      <c r="AE497" s="26"/>
      <c r="AF497" s="26"/>
      <c r="AG497" s="26"/>
      <c r="AH497" s="26"/>
      <c r="AI497" s="26"/>
      <c r="AJ497" s="26"/>
      <c r="AK497" s="26"/>
      <c r="AL497" s="26"/>
      <c r="AM497" s="26"/>
      <c r="AN497" s="26"/>
      <c r="AO497" s="26"/>
      <c r="AP497" s="26"/>
      <c r="AQ497" s="26"/>
      <c r="AR497" s="26"/>
    </row>
    <row r="498" spans="1:44" ht="15.75" x14ac:dyDescent="0.25">
      <c r="A498" s="30"/>
      <c r="B498" s="13" t="s">
        <v>816</v>
      </c>
      <c r="C498" s="4" t="s">
        <v>850</v>
      </c>
      <c r="D498" s="6">
        <v>11651236001</v>
      </c>
      <c r="E498" s="190" t="s">
        <v>22</v>
      </c>
      <c r="F498" s="7" t="e">
        <f>G498+SUMIF('[1]mouv MULTIVAC DECOUPE'!B:B,"=Lame circulaire",'[1]mouv MULTIVAC DECOUPE'!G:G)</f>
        <v>#VALUE!</v>
      </c>
      <c r="G498" s="20">
        <v>1</v>
      </c>
      <c r="H498" s="20">
        <v>0</v>
      </c>
      <c r="I498" s="1" t="e">
        <f t="shared" si="32"/>
        <v>#VALUE!</v>
      </c>
      <c r="J498" s="69">
        <v>157.96</v>
      </c>
      <c r="K498" s="12" t="e">
        <f t="shared" si="31"/>
        <v>#VALUE!</v>
      </c>
      <c r="L498" s="30"/>
      <c r="M498" s="30"/>
      <c r="N498" s="30"/>
      <c r="O498" s="30"/>
      <c r="P498" s="30"/>
      <c r="Q498" s="30"/>
      <c r="R498" s="30"/>
      <c r="S498" s="30">
        <v>1</v>
      </c>
      <c r="T498" s="26"/>
      <c r="U498" s="26"/>
      <c r="V498" s="26"/>
      <c r="W498" s="26"/>
      <c r="X498" s="26"/>
      <c r="Y498" s="26"/>
      <c r="Z498" s="26"/>
      <c r="AA498" s="26"/>
      <c r="AB498" s="26"/>
      <c r="AC498" s="26"/>
      <c r="AD498" s="26"/>
      <c r="AE498" s="26"/>
      <c r="AF498" s="26"/>
      <c r="AG498" s="26"/>
      <c r="AH498" s="26"/>
      <c r="AI498" s="26"/>
      <c r="AJ498" s="26"/>
      <c r="AK498" s="26"/>
      <c r="AL498" s="26"/>
      <c r="AM498" s="26"/>
      <c r="AN498" s="26"/>
      <c r="AO498" s="26"/>
      <c r="AP498" s="26"/>
      <c r="AQ498" s="26"/>
      <c r="AR498" s="26"/>
    </row>
    <row r="499" spans="1:44" ht="15.75" x14ac:dyDescent="0.25">
      <c r="A499" s="30"/>
      <c r="B499" s="13" t="s">
        <v>816</v>
      </c>
      <c r="C499" s="14" t="s">
        <v>851</v>
      </c>
      <c r="D499" s="6">
        <v>11555964003</v>
      </c>
      <c r="E499" s="190" t="s">
        <v>22</v>
      </c>
      <c r="F499" s="7" t="e">
        <f>G499+SUMIF('[1]mouv MULTIVAC DECOUPE'!B:B,"=accouplement verin de découpe R230",'[1]mouv MULTIVAC DECOUPE'!G:G)</f>
        <v>#VALUE!</v>
      </c>
      <c r="G499" s="20">
        <v>1</v>
      </c>
      <c r="H499" s="6">
        <v>0</v>
      </c>
      <c r="I499" s="1" t="e">
        <f t="shared" si="32"/>
        <v>#VALUE!</v>
      </c>
      <c r="J499" s="11">
        <v>183.18</v>
      </c>
      <c r="K499" s="12" t="e">
        <f t="shared" si="31"/>
        <v>#VALUE!</v>
      </c>
      <c r="L499" s="30"/>
      <c r="M499" s="30"/>
      <c r="N499" s="30"/>
      <c r="O499" s="30"/>
      <c r="P499" s="30"/>
      <c r="Q499" s="30"/>
      <c r="R499" s="30"/>
      <c r="S499" s="30">
        <v>0</v>
      </c>
      <c r="T499" s="26"/>
      <c r="U499" s="26"/>
      <c r="V499" s="26"/>
      <c r="W499" s="26"/>
      <c r="X499" s="26"/>
      <c r="Y499" s="26"/>
      <c r="Z499" s="26"/>
      <c r="AA499" s="26"/>
      <c r="AB499" s="26"/>
      <c r="AC499" s="26"/>
      <c r="AD499" s="26"/>
      <c r="AE499" s="26"/>
      <c r="AF499" s="26"/>
      <c r="AG499" s="26"/>
      <c r="AH499" s="26"/>
      <c r="AI499" s="26"/>
      <c r="AJ499" s="26"/>
      <c r="AK499" s="26"/>
      <c r="AL499" s="26"/>
      <c r="AM499" s="26"/>
      <c r="AN499" s="26"/>
      <c r="AO499" s="26"/>
      <c r="AP499" s="26"/>
      <c r="AQ499" s="26"/>
      <c r="AR499" s="26"/>
    </row>
    <row r="500" spans="1:44" ht="15.75" x14ac:dyDescent="0.25">
      <c r="A500" s="30"/>
      <c r="B500" s="13" t="s">
        <v>816</v>
      </c>
      <c r="C500" s="191" t="s">
        <v>852</v>
      </c>
      <c r="D500" s="192">
        <v>78500030800</v>
      </c>
      <c r="E500" s="190" t="s">
        <v>22</v>
      </c>
      <c r="F500" s="7" t="e">
        <f>G500+SUMIF('[1]mouv MULTIVAC DECOUPE'!B:B,"=roulement billes gorge profonde",'[1]mouv MULTIVAC DECOUPE'!G:G)</f>
        <v>#VALUE!</v>
      </c>
      <c r="G500" s="28">
        <v>1</v>
      </c>
      <c r="H500" s="28">
        <v>0</v>
      </c>
      <c r="I500" s="1" t="e">
        <f t="shared" si="32"/>
        <v>#VALUE!</v>
      </c>
      <c r="J500" s="28"/>
      <c r="K500" s="28"/>
      <c r="L500" s="30"/>
      <c r="M500" s="30"/>
      <c r="N500" s="30"/>
      <c r="O500" s="30"/>
      <c r="P500" s="30"/>
      <c r="Q500" s="30"/>
      <c r="R500" s="30"/>
      <c r="S500" s="30">
        <v>1</v>
      </c>
      <c r="T500" s="26"/>
      <c r="U500" s="26"/>
      <c r="V500" s="26"/>
      <c r="W500" s="26"/>
      <c r="X500" s="26"/>
      <c r="Y500" s="26"/>
      <c r="Z500" s="26"/>
      <c r="AA500" s="26"/>
      <c r="AB500" s="26"/>
      <c r="AC500" s="26"/>
      <c r="AD500" s="26"/>
      <c r="AE500" s="26"/>
      <c r="AF500" s="26"/>
      <c r="AG500" s="26"/>
      <c r="AH500" s="26"/>
      <c r="AI500" s="26"/>
      <c r="AJ500" s="26"/>
      <c r="AK500" s="26"/>
      <c r="AL500" s="26"/>
      <c r="AM500" s="26"/>
      <c r="AN500" s="26"/>
      <c r="AO500" s="26"/>
      <c r="AP500" s="26"/>
      <c r="AQ500" s="26"/>
      <c r="AR500" s="26"/>
    </row>
    <row r="501" spans="1:44" ht="15.75" x14ac:dyDescent="0.25">
      <c r="A501" s="30"/>
      <c r="B501" s="13" t="s">
        <v>816</v>
      </c>
      <c r="C501" s="178" t="s">
        <v>853</v>
      </c>
      <c r="D501" s="28">
        <v>79935811003</v>
      </c>
      <c r="E501" s="190" t="s">
        <v>22</v>
      </c>
      <c r="F501" s="7" t="e">
        <f>G501+SUMIF('[1]mouv MULTIVAC DECOUPE'!B:B,"=couteau en forme d'étoile",'[1]mouv MULTIVAC DECOUPE'!G:G)</f>
        <v>#VALUE!</v>
      </c>
      <c r="G501" s="28">
        <v>1</v>
      </c>
      <c r="H501" s="28">
        <v>0</v>
      </c>
      <c r="I501" s="1" t="e">
        <f t="shared" si="32"/>
        <v>#VALUE!</v>
      </c>
      <c r="J501" s="28"/>
      <c r="K501" s="28"/>
      <c r="L501" s="30"/>
      <c r="M501" s="13" t="s">
        <v>816</v>
      </c>
      <c r="N501" s="30"/>
      <c r="O501" s="30"/>
      <c r="P501" s="30"/>
      <c r="Q501" s="30"/>
      <c r="R501" s="30"/>
      <c r="S501" s="30">
        <v>1</v>
      </c>
      <c r="T501" s="26"/>
      <c r="U501" s="26"/>
      <c r="V501" s="26"/>
      <c r="W501" s="26"/>
      <c r="X501" s="26"/>
      <c r="Y501" s="26"/>
      <c r="Z501" s="26"/>
      <c r="AA501" s="26"/>
      <c r="AB501" s="26"/>
      <c r="AC501" s="26"/>
      <c r="AD501" s="26"/>
      <c r="AE501" s="26"/>
      <c r="AF501" s="26"/>
      <c r="AG501" s="26"/>
      <c r="AH501" s="26"/>
      <c r="AI501" s="26"/>
      <c r="AJ501" s="26"/>
      <c r="AK501" s="26"/>
      <c r="AL501" s="26"/>
      <c r="AM501" s="26"/>
      <c r="AN501" s="26"/>
      <c r="AO501" s="26"/>
      <c r="AP501" s="26"/>
      <c r="AQ501" s="26"/>
      <c r="AR501" s="26"/>
    </row>
    <row r="502" spans="1:44" ht="15.75" x14ac:dyDescent="0.25">
      <c r="A502" s="30"/>
      <c r="B502" s="13" t="s">
        <v>816</v>
      </c>
      <c r="C502" s="178" t="s">
        <v>854</v>
      </c>
      <c r="D502" s="28">
        <v>75200300641</v>
      </c>
      <c r="E502" s="190" t="s">
        <v>22</v>
      </c>
      <c r="F502" s="7" t="e">
        <f>G502+SUMIF('[1]mouv MULTIVAC DECOUPE'!B:B,"=cap nut (cache vis noir)",'[1]mouv MULTIVAC DECOUPE'!G:G)</f>
        <v>#VALUE!</v>
      </c>
      <c r="G502" s="28">
        <v>10</v>
      </c>
      <c r="H502" s="28">
        <v>2</v>
      </c>
      <c r="I502" s="1" t="e">
        <f t="shared" si="32"/>
        <v>#VALUE!</v>
      </c>
      <c r="J502" s="28"/>
      <c r="K502" s="28"/>
      <c r="L502" s="30"/>
      <c r="M502" s="35" t="e">
        <f>SUM(K468:K502)</f>
        <v>#VALUE!</v>
      </c>
      <c r="N502" s="30"/>
      <c r="O502" s="30"/>
      <c r="P502" s="30"/>
      <c r="Q502" s="30"/>
      <c r="R502" s="30"/>
      <c r="S502" s="30">
        <v>1</v>
      </c>
      <c r="T502" s="26"/>
      <c r="U502" s="26"/>
      <c r="V502" s="26"/>
      <c r="W502" s="26"/>
      <c r="X502" s="26"/>
      <c r="Y502" s="26"/>
      <c r="Z502" s="26"/>
      <c r="AA502" s="26"/>
      <c r="AB502" s="26"/>
      <c r="AC502" s="26"/>
      <c r="AD502" s="26"/>
      <c r="AE502" s="26"/>
      <c r="AF502" s="26"/>
      <c r="AG502" s="26"/>
      <c r="AH502" s="26"/>
      <c r="AI502" s="26"/>
      <c r="AJ502" s="26"/>
      <c r="AK502" s="26"/>
      <c r="AL502" s="26"/>
      <c r="AM502" s="26"/>
      <c r="AN502" s="26"/>
      <c r="AO502" s="26"/>
      <c r="AP502" s="26"/>
      <c r="AQ502" s="26"/>
      <c r="AR502" s="26"/>
    </row>
    <row r="503" spans="1:44" ht="15.75" x14ac:dyDescent="0.25">
      <c r="A503" s="30"/>
      <c r="B503" s="13" t="s">
        <v>855</v>
      </c>
      <c r="C503" s="97" t="s">
        <v>856</v>
      </c>
      <c r="D503" s="5" t="s">
        <v>857</v>
      </c>
      <c r="E503" s="6" t="s">
        <v>22</v>
      </c>
      <c r="F503" s="7" t="e">
        <f>G503+SUMIF('[1]mouvement pediluve'!B:B,"=brosses",'[1]mouvement pediluve'!G:G)</f>
        <v>#VALUE!</v>
      </c>
      <c r="G503" s="6">
        <v>2</v>
      </c>
      <c r="H503" s="6">
        <v>2</v>
      </c>
      <c r="I503" s="1" t="e">
        <f>IF(F503&lt;H503,"/!\","-")</f>
        <v>#VALUE!</v>
      </c>
      <c r="J503" s="11">
        <v>142</v>
      </c>
      <c r="K503" s="12" t="e">
        <f>F503*J503</f>
        <v>#VALUE!</v>
      </c>
      <c r="L503" s="30"/>
      <c r="M503" s="30"/>
      <c r="N503" s="30"/>
      <c r="O503" s="30"/>
      <c r="P503" s="30"/>
      <c r="Q503" s="30"/>
      <c r="R503" s="30"/>
      <c r="S503" s="30">
        <v>1</v>
      </c>
      <c r="T503" s="26"/>
      <c r="U503" s="26"/>
      <c r="V503" s="26"/>
      <c r="W503" s="26"/>
      <c r="X503" s="26"/>
      <c r="Y503" s="26"/>
      <c r="Z503" s="26"/>
      <c r="AA503" s="26"/>
      <c r="AB503" s="26"/>
      <c r="AC503" s="26"/>
      <c r="AD503" s="26"/>
      <c r="AE503" s="26"/>
      <c r="AF503" s="26"/>
      <c r="AG503" s="26"/>
      <c r="AH503" s="26"/>
      <c r="AI503" s="26"/>
      <c r="AJ503" s="26"/>
      <c r="AK503" s="26"/>
      <c r="AL503" s="26"/>
      <c r="AM503" s="26"/>
      <c r="AN503" s="26"/>
      <c r="AO503" s="26"/>
      <c r="AP503" s="26"/>
      <c r="AQ503" s="26"/>
      <c r="AR503" s="26"/>
    </row>
    <row r="504" spans="1:44" ht="15.75" x14ac:dyDescent="0.25">
      <c r="A504" s="30"/>
      <c r="B504" s="13" t="s">
        <v>855</v>
      </c>
      <c r="C504" s="14" t="s">
        <v>858</v>
      </c>
      <c r="D504" s="5" t="s">
        <v>859</v>
      </c>
      <c r="E504" s="6" t="s">
        <v>22</v>
      </c>
      <c r="F504" s="7" t="e">
        <f>G504+SUMIF('[1]mouvement pediluve'!B:B,"=motoreducteur",'[1]mouvement pediluve'!G:G)</f>
        <v>#VALUE!</v>
      </c>
      <c r="G504" s="6">
        <v>1</v>
      </c>
      <c r="H504" s="6">
        <v>1</v>
      </c>
      <c r="I504" s="1" t="e">
        <f>IF(F504&lt;H504,"/!\","-")</f>
        <v>#VALUE!</v>
      </c>
      <c r="J504" s="11">
        <v>318</v>
      </c>
      <c r="K504" s="12" t="e">
        <f>F504*J504</f>
        <v>#VALUE!</v>
      </c>
      <c r="L504" s="30"/>
      <c r="M504" s="30"/>
      <c r="N504" s="30"/>
      <c r="O504" s="30"/>
      <c r="P504" s="30"/>
      <c r="Q504" s="30"/>
      <c r="R504" s="30"/>
      <c r="S504" s="30">
        <v>0</v>
      </c>
      <c r="T504" s="26"/>
      <c r="U504" s="26"/>
      <c r="V504" s="26"/>
      <c r="W504" s="26"/>
      <c r="X504" s="26"/>
      <c r="Y504" s="26"/>
      <c r="Z504" s="26"/>
      <c r="AA504" s="26"/>
      <c r="AB504" s="26"/>
      <c r="AC504" s="26"/>
      <c r="AD504" s="26"/>
      <c r="AE504" s="26"/>
      <c r="AF504" s="26"/>
      <c r="AG504" s="26"/>
      <c r="AH504" s="26"/>
      <c r="AI504" s="26"/>
      <c r="AJ504" s="26"/>
      <c r="AK504" s="26"/>
      <c r="AL504" s="26"/>
      <c r="AM504" s="26"/>
      <c r="AN504" s="26"/>
      <c r="AO504" s="26"/>
      <c r="AP504" s="26"/>
      <c r="AQ504" s="26"/>
      <c r="AR504" s="26"/>
    </row>
    <row r="505" spans="1:44" ht="15.75" x14ac:dyDescent="0.25">
      <c r="A505" s="30"/>
      <c r="B505" s="13" t="s">
        <v>855</v>
      </c>
      <c r="C505" s="14" t="s">
        <v>860</v>
      </c>
      <c r="D505" s="5" t="s">
        <v>861</v>
      </c>
      <c r="E505" s="6" t="s">
        <v>22</v>
      </c>
      <c r="F505" s="7" t="e">
        <f>G505+SUMIF('[1]mouvement pediluve'!B:B,"=kit doseur venturi",'[1]mouvement pediluve'!G:G)</f>
        <v>#VALUE!</v>
      </c>
      <c r="G505" s="6">
        <v>1</v>
      </c>
      <c r="H505" s="6">
        <v>1</v>
      </c>
      <c r="I505" s="1" t="e">
        <f>IF(F505&lt;H505,"/!\","-")</f>
        <v>#VALUE!</v>
      </c>
      <c r="J505" s="11">
        <v>130</v>
      </c>
      <c r="K505" s="12" t="e">
        <f>F505*J505</f>
        <v>#VALUE!</v>
      </c>
      <c r="L505" s="30"/>
      <c r="M505" s="30"/>
      <c r="N505" s="30"/>
      <c r="O505" s="30"/>
      <c r="P505" s="30"/>
      <c r="Q505" s="30"/>
      <c r="R505" s="30"/>
      <c r="S505" s="30">
        <v>0</v>
      </c>
      <c r="T505" s="26"/>
      <c r="U505" s="26"/>
      <c r="V505" s="26"/>
      <c r="W505" s="26"/>
      <c r="X505" s="26"/>
      <c r="Y505" s="26"/>
      <c r="Z505" s="26"/>
      <c r="AA505" s="26"/>
      <c r="AB505" s="26"/>
      <c r="AC505" s="26"/>
      <c r="AD505" s="26"/>
      <c r="AE505" s="26"/>
      <c r="AF505" s="26"/>
      <c r="AG505" s="26"/>
      <c r="AH505" s="26"/>
      <c r="AI505" s="26"/>
      <c r="AJ505" s="26"/>
      <c r="AK505" s="26"/>
      <c r="AL505" s="26"/>
      <c r="AM505" s="26"/>
      <c r="AN505" s="26"/>
      <c r="AO505" s="26"/>
      <c r="AP505" s="26"/>
      <c r="AQ505" s="26"/>
      <c r="AR505" s="26"/>
    </row>
    <row r="506" spans="1:44" ht="15.75" x14ac:dyDescent="0.25">
      <c r="A506" s="30"/>
      <c r="B506" s="13" t="s">
        <v>855</v>
      </c>
      <c r="C506" s="14" t="s">
        <v>862</v>
      </c>
      <c r="D506" s="5" t="s">
        <v>863</v>
      </c>
      <c r="E506" s="6" t="s">
        <v>22</v>
      </c>
      <c r="F506" s="7" t="e">
        <f>G506+SUMIF('[1]mouvement pediluve'!B:B,"=clapet anti-retour ",'[1]mouvement pediluve'!G:G)</f>
        <v>#VALUE!</v>
      </c>
      <c r="G506" s="6">
        <v>10</v>
      </c>
      <c r="H506" s="6">
        <v>5</v>
      </c>
      <c r="I506" s="1" t="e">
        <f>IF(F506&lt;H506,"/!\","-")</f>
        <v>#VALUE!</v>
      </c>
      <c r="J506" s="11">
        <v>20</v>
      </c>
      <c r="K506" s="12" t="e">
        <f>F506*J506</f>
        <v>#VALUE!</v>
      </c>
      <c r="L506" s="30"/>
      <c r="M506" s="13" t="s">
        <v>855</v>
      </c>
      <c r="N506" s="30"/>
      <c r="O506" s="30"/>
      <c r="P506" s="30"/>
      <c r="Q506" s="30"/>
      <c r="R506" s="30"/>
      <c r="S506" s="30">
        <v>0</v>
      </c>
      <c r="T506" s="26"/>
      <c r="U506" s="26"/>
      <c r="V506" s="26"/>
      <c r="W506" s="26"/>
      <c r="X506" s="26"/>
      <c r="Y506" s="26"/>
      <c r="Z506" s="26"/>
      <c r="AA506" s="26"/>
      <c r="AB506" s="26"/>
      <c r="AC506" s="26"/>
      <c r="AD506" s="26"/>
      <c r="AE506" s="26"/>
      <c r="AF506" s="26"/>
      <c r="AG506" s="26"/>
      <c r="AH506" s="26"/>
      <c r="AI506" s="26"/>
      <c r="AJ506" s="26"/>
      <c r="AK506" s="26"/>
      <c r="AL506" s="26"/>
      <c r="AM506" s="26"/>
      <c r="AN506" s="26"/>
      <c r="AO506" s="26"/>
      <c r="AP506" s="26"/>
      <c r="AQ506" s="26"/>
      <c r="AR506" s="26"/>
    </row>
    <row r="507" spans="1:44" ht="15.75" x14ac:dyDescent="0.25">
      <c r="A507" s="30"/>
      <c r="B507" s="13" t="s">
        <v>855</v>
      </c>
      <c r="C507" s="178" t="s">
        <v>864</v>
      </c>
      <c r="D507" s="28" t="s">
        <v>865</v>
      </c>
      <c r="E507" s="28" t="s">
        <v>22</v>
      </c>
      <c r="F507" s="28" t="e">
        <f>G507+SUMIF('[1]mouvement pediluve'!B:B,"=electrovanne 7200 24V 50/60Hz",'[1]mouvement pediluve'!G:G)</f>
        <v>#VALUE!</v>
      </c>
      <c r="G507" s="28">
        <v>1</v>
      </c>
      <c r="H507" s="28">
        <v>1</v>
      </c>
      <c r="I507" s="1" t="e">
        <f>IF(F507&lt;H507,"/!\","-")</f>
        <v>#VALUE!</v>
      </c>
      <c r="J507" s="28"/>
      <c r="K507" s="28"/>
      <c r="L507" s="30"/>
      <c r="M507" s="35" t="e">
        <f>SUM(K503:K507)</f>
        <v>#VALUE!</v>
      </c>
      <c r="N507" s="30"/>
      <c r="O507" s="30"/>
      <c r="P507" s="30"/>
      <c r="Q507" s="30"/>
      <c r="R507" s="30"/>
      <c r="S507" s="30">
        <v>1</v>
      </c>
      <c r="T507" s="27"/>
      <c r="U507" s="27"/>
      <c r="V507" s="27"/>
      <c r="W507" s="27"/>
      <c r="X507" s="27"/>
      <c r="Y507" s="27"/>
      <c r="Z507" s="27"/>
      <c r="AA507" s="27"/>
      <c r="AB507" s="27"/>
      <c r="AC507" s="27"/>
      <c r="AD507" s="27"/>
      <c r="AE507" s="27"/>
      <c r="AF507" s="27"/>
      <c r="AG507" s="27"/>
      <c r="AH507" s="27"/>
      <c r="AI507" s="27"/>
      <c r="AJ507" s="27"/>
      <c r="AK507" s="27"/>
      <c r="AL507" s="27"/>
      <c r="AM507" s="27"/>
      <c r="AN507" s="27"/>
      <c r="AO507" s="27"/>
      <c r="AP507" s="27"/>
      <c r="AQ507" s="27"/>
      <c r="AR507" s="27"/>
    </row>
    <row r="508" spans="1:44" ht="15.75" x14ac:dyDescent="0.25">
      <c r="A508" s="30"/>
      <c r="B508" s="13" t="s">
        <v>866</v>
      </c>
      <c r="C508" s="14" t="s">
        <v>867</v>
      </c>
      <c r="D508" s="5" t="s">
        <v>868</v>
      </c>
      <c r="E508" s="6" t="s">
        <v>22</v>
      </c>
      <c r="F508" s="7" t="e">
        <f>G508+SUMIF('[1]mouvement PAV'!B:B,"=kit de réparation RA0250/302 D",'[1]mouvement PAV'!G:G)</f>
        <v>#VALUE!</v>
      </c>
      <c r="G508" s="20">
        <v>0</v>
      </c>
      <c r="H508" s="6">
        <v>1</v>
      </c>
      <c r="I508" s="1" t="e">
        <f t="shared" ref="I508:I513" si="33">IF(F508&lt;H508,"/!\","-")</f>
        <v>#VALUE!</v>
      </c>
      <c r="J508" s="11">
        <v>1990.77</v>
      </c>
      <c r="K508" s="12" t="e">
        <f t="shared" ref="K508:K513" si="34">F508*J508</f>
        <v>#VALUE!</v>
      </c>
      <c r="L508" s="30"/>
      <c r="M508" s="30"/>
      <c r="N508" s="30"/>
      <c r="O508" s="30"/>
      <c r="P508" s="30"/>
      <c r="Q508" s="30"/>
      <c r="R508" s="30"/>
      <c r="S508" s="30">
        <v>0</v>
      </c>
    </row>
    <row r="509" spans="1:44" ht="15.75" x14ac:dyDescent="0.25">
      <c r="A509" s="30"/>
      <c r="B509" s="13" t="s">
        <v>866</v>
      </c>
      <c r="C509" s="14" t="s">
        <v>869</v>
      </c>
      <c r="D509" s="5" t="s">
        <v>870</v>
      </c>
      <c r="E509" s="6" t="s">
        <v>22</v>
      </c>
      <c r="F509" s="7" t="e">
        <f>G509+SUMIF('[1]mouvement PAV'!B:B,"=kit de réparation 0250 C",'[1]mouvement PAV'!G:G)</f>
        <v>#VALUE!</v>
      </c>
      <c r="G509" s="20">
        <v>0</v>
      </c>
      <c r="H509" s="6">
        <v>0</v>
      </c>
      <c r="I509" s="1" t="e">
        <f t="shared" si="33"/>
        <v>#VALUE!</v>
      </c>
      <c r="J509" s="11">
        <v>1990.77</v>
      </c>
      <c r="K509" s="12" t="e">
        <f t="shared" si="34"/>
        <v>#VALUE!</v>
      </c>
      <c r="L509" s="30"/>
      <c r="M509" s="30"/>
      <c r="N509" s="30"/>
      <c r="O509" s="30"/>
      <c r="P509" s="30"/>
      <c r="Q509" s="30"/>
      <c r="R509" s="30"/>
      <c r="S509" s="30">
        <v>1</v>
      </c>
    </row>
    <row r="510" spans="1:44" ht="15.75" x14ac:dyDescent="0.25">
      <c r="A510" s="30"/>
      <c r="B510" s="13" t="s">
        <v>866</v>
      </c>
      <c r="C510" s="14" t="s">
        <v>871</v>
      </c>
      <c r="D510" s="5" t="s">
        <v>872</v>
      </c>
      <c r="E510" s="6" t="s">
        <v>22</v>
      </c>
      <c r="F510" s="7" t="e">
        <f>G510+SUMIF('[1]mouvement PAV'!B:B,"=goujons cylindrique 160/305 C/D",'[1]mouvement PAV'!G:G)</f>
        <v>#VALUE!</v>
      </c>
      <c r="G510" s="20">
        <v>0</v>
      </c>
      <c r="H510" s="6">
        <v>1</v>
      </c>
      <c r="I510" s="1" t="e">
        <f t="shared" si="33"/>
        <v>#VALUE!</v>
      </c>
      <c r="J510" s="11">
        <v>6.22</v>
      </c>
      <c r="K510" s="12" t="e">
        <f t="shared" si="34"/>
        <v>#VALUE!</v>
      </c>
      <c r="L510" s="30"/>
      <c r="M510" s="30"/>
      <c r="N510" s="30"/>
      <c r="O510" s="30"/>
      <c r="P510" s="30"/>
      <c r="Q510" s="30"/>
      <c r="R510" s="30"/>
      <c r="S510" s="30">
        <v>0</v>
      </c>
    </row>
    <row r="511" spans="1:44" ht="15.75" x14ac:dyDescent="0.25">
      <c r="A511" s="30"/>
      <c r="B511" s="13" t="s">
        <v>866</v>
      </c>
      <c r="C511" s="14" t="s">
        <v>873</v>
      </c>
      <c r="D511" s="5" t="s">
        <v>874</v>
      </c>
      <c r="E511" s="6" t="s">
        <v>22</v>
      </c>
      <c r="F511" s="7" t="e">
        <f>G511+SUMIF('[1]mouvement PAV'!B:B,"=jeu de joint Viton RA 0250 C/D",'[1]mouvement PAV'!G:G)</f>
        <v>#VALUE!</v>
      </c>
      <c r="G511" s="20">
        <v>0</v>
      </c>
      <c r="H511" s="6">
        <v>1</v>
      </c>
      <c r="I511" s="1" t="e">
        <f t="shared" si="33"/>
        <v>#VALUE!</v>
      </c>
      <c r="J511" s="11">
        <v>407.65</v>
      </c>
      <c r="K511" s="12" t="e">
        <f t="shared" si="34"/>
        <v>#VALUE!</v>
      </c>
      <c r="L511" s="30"/>
      <c r="M511" s="30"/>
      <c r="N511" s="30"/>
      <c r="O511" s="30"/>
      <c r="P511" s="30"/>
      <c r="Q511" s="30"/>
      <c r="R511" s="30"/>
      <c r="S511" s="30">
        <v>1</v>
      </c>
    </row>
    <row r="512" spans="1:44" ht="15.75" x14ac:dyDescent="0.25">
      <c r="A512" s="30"/>
      <c r="B512" s="13" t="s">
        <v>866</v>
      </c>
      <c r="C512" s="14" t="s">
        <v>875</v>
      </c>
      <c r="D512" s="5" t="s">
        <v>876</v>
      </c>
      <c r="E512" s="6" t="s">
        <v>22</v>
      </c>
      <c r="F512" s="7" t="e">
        <f>G512+SUMIF('[1]mouvement PAV'!B:B,"=clips ventilateur",'[1]mouvement PAV'!G:G)</f>
        <v>#VALUE!</v>
      </c>
      <c r="G512" s="20">
        <v>0</v>
      </c>
      <c r="H512" s="6">
        <v>3</v>
      </c>
      <c r="I512" s="1" t="e">
        <f t="shared" si="33"/>
        <v>#VALUE!</v>
      </c>
      <c r="J512" s="11">
        <v>3.04</v>
      </c>
      <c r="K512" s="12" t="e">
        <f t="shared" si="34"/>
        <v>#VALUE!</v>
      </c>
      <c r="L512" s="30"/>
      <c r="M512" s="13" t="s">
        <v>866</v>
      </c>
      <c r="N512" s="30"/>
      <c r="O512" s="30"/>
      <c r="P512" s="30"/>
      <c r="Q512" s="30"/>
      <c r="R512" s="30"/>
      <c r="S512" s="30">
        <v>1</v>
      </c>
    </row>
    <row r="513" spans="1:19" ht="15.75" x14ac:dyDescent="0.25">
      <c r="A513" s="30"/>
      <c r="B513" s="13" t="s">
        <v>866</v>
      </c>
      <c r="C513" s="14" t="s">
        <v>877</v>
      </c>
      <c r="D513" s="5" t="s">
        <v>878</v>
      </c>
      <c r="E513" s="6" t="s">
        <v>22</v>
      </c>
      <c r="F513" s="7" t="e">
        <f>G513+SUMIF('[1]mouvement PAV'!B:B,"=kit entretien R250 C/D",'[1]mouvement PAV'!G:G)</f>
        <v>#VALUE!</v>
      </c>
      <c r="G513" s="20">
        <v>1</v>
      </c>
      <c r="H513" s="6">
        <v>1</v>
      </c>
      <c r="I513" s="1" t="e">
        <f t="shared" si="33"/>
        <v>#VALUE!</v>
      </c>
      <c r="J513" s="11">
        <v>318.16000000000003</v>
      </c>
      <c r="K513" s="12" t="e">
        <f t="shared" si="34"/>
        <v>#VALUE!</v>
      </c>
      <c r="L513" s="30"/>
      <c r="M513" s="35" t="e">
        <f>SUM(K508:K513)</f>
        <v>#VALUE!</v>
      </c>
      <c r="N513" s="30"/>
      <c r="O513" s="30"/>
      <c r="P513" s="30"/>
      <c r="Q513" s="30"/>
      <c r="R513" s="30"/>
      <c r="S513" s="30">
        <v>1</v>
      </c>
    </row>
    <row r="514" spans="1:19" ht="15.75" x14ac:dyDescent="0.25">
      <c r="A514" s="30"/>
      <c r="B514" s="13" t="s">
        <v>879</v>
      </c>
      <c r="C514" s="36" t="s">
        <v>880</v>
      </c>
      <c r="D514" s="193">
        <v>6840050</v>
      </c>
      <c r="E514" s="6" t="s">
        <v>22</v>
      </c>
      <c r="F514" s="7" t="e">
        <f>G514+SUMIF('[1]mouvement scotcheuse'!B:B,"=protege couteau 50mm",'[1]mouvement scotcheuse'!G:G)</f>
        <v>#VALUE!</v>
      </c>
      <c r="G514" s="8">
        <v>1</v>
      </c>
      <c r="H514" s="9">
        <v>1</v>
      </c>
      <c r="I514" s="1" t="e">
        <f>IF(F514&lt;H514,"/!\","-")</f>
        <v>#VALUE!</v>
      </c>
      <c r="J514" s="194">
        <v>12.28</v>
      </c>
      <c r="K514" s="12" t="e">
        <f>F514*J514</f>
        <v>#VALUE!</v>
      </c>
      <c r="L514" s="30"/>
      <c r="M514" s="30"/>
      <c r="N514" s="30"/>
      <c r="O514" s="30"/>
      <c r="P514" s="30"/>
      <c r="Q514" s="30"/>
      <c r="R514" s="30"/>
      <c r="S514" s="30">
        <v>1</v>
      </c>
    </row>
    <row r="515" spans="1:19" ht="15.75" x14ac:dyDescent="0.25">
      <c r="A515" s="30"/>
      <c r="B515" s="13" t="s">
        <v>879</v>
      </c>
      <c r="C515" s="36" t="s">
        <v>881</v>
      </c>
      <c r="D515" s="38">
        <v>309071250</v>
      </c>
      <c r="E515" s="6" t="s">
        <v>22</v>
      </c>
      <c r="F515" s="7" t="e">
        <f>G515+SUMIF('[1]mouvement scotcheuse'!B:B,"=Mandrin complet derouleur 50",'[1]mouvement scotcheuse'!G:G)</f>
        <v>#VALUE!</v>
      </c>
      <c r="G515" s="8">
        <v>1</v>
      </c>
      <c r="H515" s="9">
        <v>1</v>
      </c>
      <c r="I515" s="1" t="e">
        <f t="shared" ref="I515:I543" si="35">IF(F515&lt;H515,"/!\","-")</f>
        <v>#VALUE!</v>
      </c>
      <c r="J515" s="194">
        <v>90.36</v>
      </c>
      <c r="K515" s="12" t="e">
        <f t="shared" ref="K515:K543" si="36">F515*J515</f>
        <v>#VALUE!</v>
      </c>
      <c r="L515" s="30"/>
      <c r="M515" s="30"/>
      <c r="N515" s="30"/>
      <c r="O515" s="30"/>
      <c r="P515" s="30"/>
      <c r="Q515" s="30"/>
      <c r="R515" s="30"/>
      <c r="S515" s="30">
        <v>1</v>
      </c>
    </row>
    <row r="516" spans="1:19" ht="15.75" x14ac:dyDescent="0.25">
      <c r="A516" s="30"/>
      <c r="B516" s="13" t="s">
        <v>879</v>
      </c>
      <c r="C516" s="36" t="s">
        <v>882</v>
      </c>
      <c r="D516" s="195">
        <v>401730000</v>
      </c>
      <c r="E516" s="6" t="s">
        <v>22</v>
      </c>
      <c r="F516" s="7" t="e">
        <f>G516+SUMIF('[1]mouvement scotcheuse'!B:B,"=bague applicateur derouleur",'[1]mouvement scotcheuse'!G:G)</f>
        <v>#VALUE!</v>
      </c>
      <c r="G516" s="8">
        <v>7</v>
      </c>
      <c r="H516" s="9">
        <v>1</v>
      </c>
      <c r="I516" s="1" t="e">
        <f t="shared" si="35"/>
        <v>#VALUE!</v>
      </c>
      <c r="J516" s="194">
        <v>1</v>
      </c>
      <c r="K516" s="12" t="e">
        <f t="shared" si="36"/>
        <v>#VALUE!</v>
      </c>
      <c r="L516" s="30"/>
      <c r="M516" s="30"/>
      <c r="N516" s="30"/>
      <c r="O516" s="30"/>
      <c r="P516" s="30"/>
      <c r="Q516" s="30"/>
      <c r="R516" s="30"/>
      <c r="S516" s="30">
        <v>0</v>
      </c>
    </row>
    <row r="517" spans="1:19" ht="15.75" x14ac:dyDescent="0.25">
      <c r="A517" s="30"/>
      <c r="B517" s="13" t="s">
        <v>879</v>
      </c>
      <c r="C517" s="102" t="s">
        <v>883</v>
      </c>
      <c r="D517" s="100">
        <v>425050004</v>
      </c>
      <c r="E517" s="6" t="s">
        <v>22</v>
      </c>
      <c r="F517" s="7" t="e">
        <f>G517+SUMIF('[1]mouvement scotcheuse'!B:B,"=butée de dérouleur 1",'[1]mouvement scotcheuse'!G:G)</f>
        <v>#VALUE!</v>
      </c>
      <c r="G517" s="101">
        <v>7</v>
      </c>
      <c r="H517" s="101">
        <v>4</v>
      </c>
      <c r="I517" s="1" t="e">
        <f t="shared" si="35"/>
        <v>#VALUE!</v>
      </c>
      <c r="J517" s="196">
        <v>1.6</v>
      </c>
      <c r="K517" s="12" t="e">
        <f t="shared" si="36"/>
        <v>#VALUE!</v>
      </c>
      <c r="L517" s="30"/>
      <c r="M517" s="30"/>
      <c r="N517" s="30"/>
      <c r="O517" s="30"/>
      <c r="P517" s="30"/>
      <c r="Q517" s="30"/>
      <c r="R517" s="30"/>
      <c r="S517" s="30">
        <v>0</v>
      </c>
    </row>
    <row r="518" spans="1:19" ht="15.75" x14ac:dyDescent="0.25">
      <c r="A518" s="30"/>
      <c r="B518" s="13" t="s">
        <v>879</v>
      </c>
      <c r="C518" s="102" t="s">
        <v>884</v>
      </c>
      <c r="D518" s="100">
        <v>425050005</v>
      </c>
      <c r="E518" s="6" t="s">
        <v>22</v>
      </c>
      <c r="F518" s="7" t="e">
        <f>G518+SUMIF('[1]mouvement scotcheuse'!B:B,"=butée de dérouleur 2",'[1]mouvement scotcheuse'!G:G)</f>
        <v>#VALUE!</v>
      </c>
      <c r="G518" s="101">
        <v>6</v>
      </c>
      <c r="H518" s="101">
        <v>4</v>
      </c>
      <c r="I518" s="1" t="e">
        <f t="shared" si="35"/>
        <v>#VALUE!</v>
      </c>
      <c r="J518" s="196">
        <v>1.6</v>
      </c>
      <c r="K518" s="12" t="e">
        <f t="shared" si="36"/>
        <v>#VALUE!</v>
      </c>
      <c r="L518" s="30"/>
      <c r="M518" s="30"/>
      <c r="N518" s="30"/>
      <c r="O518" s="30"/>
      <c r="P518" s="30"/>
      <c r="Q518" s="30"/>
      <c r="R518" s="30"/>
      <c r="S518" s="30">
        <v>0</v>
      </c>
    </row>
    <row r="519" spans="1:19" ht="15.75" x14ac:dyDescent="0.25">
      <c r="A519" s="30"/>
      <c r="B519" s="13" t="s">
        <v>879</v>
      </c>
      <c r="C519" s="102" t="s">
        <v>885</v>
      </c>
      <c r="D519" s="100">
        <v>425050009</v>
      </c>
      <c r="E519" s="6" t="s">
        <v>22</v>
      </c>
      <c r="F519" s="7" t="e">
        <f>G519+SUMIF('[1]mouvement scotcheuse'!B:B,"=butée de dérouleur 8x20-9",'[1]mouvement scotcheuse'!G:G)</f>
        <v>#VALUE!</v>
      </c>
      <c r="G519" s="101">
        <v>3</v>
      </c>
      <c r="H519" s="101">
        <v>2</v>
      </c>
      <c r="I519" s="1" t="e">
        <f t="shared" si="35"/>
        <v>#VALUE!</v>
      </c>
      <c r="J519" s="196">
        <v>1.6</v>
      </c>
      <c r="K519" s="12" t="e">
        <f t="shared" si="36"/>
        <v>#VALUE!</v>
      </c>
      <c r="L519" s="30"/>
      <c r="M519" s="30"/>
      <c r="N519" s="30"/>
      <c r="O519" s="30"/>
      <c r="P519" s="30"/>
      <c r="Q519" s="30"/>
      <c r="R519" s="30"/>
      <c r="S519" s="30">
        <v>1</v>
      </c>
    </row>
    <row r="520" spans="1:19" ht="15.75" x14ac:dyDescent="0.25">
      <c r="A520" s="30"/>
      <c r="B520" s="13" t="s">
        <v>879</v>
      </c>
      <c r="C520" s="102" t="s">
        <v>886</v>
      </c>
      <c r="D520" s="100">
        <v>425227541</v>
      </c>
      <c r="E520" s="6" t="s">
        <v>22</v>
      </c>
      <c r="F520" s="7" t="e">
        <f>G520+SUMIF('[1]mouvement scotcheuse'!B:B,"=support couteau 70/50",'[1]mouvement scotcheuse'!G:G)</f>
        <v>#VALUE!</v>
      </c>
      <c r="G520" s="101">
        <v>1</v>
      </c>
      <c r="H520" s="101">
        <v>1</v>
      </c>
      <c r="I520" s="1" t="e">
        <f t="shared" si="35"/>
        <v>#VALUE!</v>
      </c>
      <c r="J520" s="196">
        <v>69.59</v>
      </c>
      <c r="K520" s="12" t="e">
        <f t="shared" si="36"/>
        <v>#VALUE!</v>
      </c>
      <c r="L520" s="30"/>
      <c r="M520" s="30"/>
      <c r="N520" s="30"/>
      <c r="O520" s="30"/>
      <c r="P520" s="30"/>
      <c r="Q520" s="30"/>
      <c r="R520" s="30"/>
      <c r="S520" s="30">
        <v>0</v>
      </c>
    </row>
    <row r="521" spans="1:19" ht="15.75" x14ac:dyDescent="0.25">
      <c r="A521" s="30"/>
      <c r="B521" s="13" t="s">
        <v>879</v>
      </c>
      <c r="C521" s="102" t="s">
        <v>887</v>
      </c>
      <c r="D521" s="100">
        <v>425280000</v>
      </c>
      <c r="E521" s="6" t="s">
        <v>22</v>
      </c>
      <c r="F521" s="7" t="e">
        <f>G521+SUMIF('[1]mouvement scotcheuse'!B:B,"=bague support couteaux",'[1]mouvement scotcheuse'!G:G)</f>
        <v>#VALUE!</v>
      </c>
      <c r="G521" s="101">
        <v>10</v>
      </c>
      <c r="H521" s="101">
        <v>2</v>
      </c>
      <c r="I521" s="1" t="e">
        <f t="shared" si="35"/>
        <v>#VALUE!</v>
      </c>
      <c r="J521" s="196">
        <v>0.8</v>
      </c>
      <c r="K521" s="12" t="e">
        <f t="shared" si="36"/>
        <v>#VALUE!</v>
      </c>
      <c r="L521" s="30"/>
      <c r="M521" s="30"/>
      <c r="N521" s="30"/>
      <c r="O521" s="30"/>
      <c r="P521" s="30"/>
      <c r="Q521" s="30"/>
      <c r="R521" s="30"/>
      <c r="S521" s="30">
        <v>1</v>
      </c>
    </row>
    <row r="522" spans="1:19" ht="15.75" x14ac:dyDescent="0.25">
      <c r="A522" s="30"/>
      <c r="B522" s="13" t="s">
        <v>879</v>
      </c>
      <c r="C522" s="102" t="s">
        <v>888</v>
      </c>
      <c r="D522" s="100">
        <v>425290000</v>
      </c>
      <c r="E522" s="6" t="s">
        <v>22</v>
      </c>
      <c r="F522" s="7" t="e">
        <f>G522+SUMIF('[1]mouvement scotcheuse'!B:B,"=ecrou support couteau",'[1]mouvement scotcheuse'!G:G)</f>
        <v>#VALUE!</v>
      </c>
      <c r="G522" s="101">
        <v>2</v>
      </c>
      <c r="H522" s="101">
        <v>2</v>
      </c>
      <c r="I522" s="1" t="e">
        <f t="shared" si="35"/>
        <v>#VALUE!</v>
      </c>
      <c r="J522" s="196">
        <v>3.73</v>
      </c>
      <c r="K522" s="12" t="e">
        <f t="shared" si="36"/>
        <v>#VALUE!</v>
      </c>
      <c r="L522" s="30"/>
      <c r="M522" s="30"/>
      <c r="N522" s="30"/>
      <c r="O522" s="30"/>
      <c r="P522" s="30"/>
      <c r="Q522" s="30"/>
      <c r="R522" s="30"/>
      <c r="S522" s="30">
        <v>0</v>
      </c>
    </row>
    <row r="523" spans="1:19" ht="15.75" x14ac:dyDescent="0.25">
      <c r="A523" s="30"/>
      <c r="B523" s="13" t="s">
        <v>879</v>
      </c>
      <c r="C523" s="102" t="s">
        <v>889</v>
      </c>
      <c r="D523" s="100">
        <v>425310752</v>
      </c>
      <c r="E523" s="6" t="s">
        <v>22</v>
      </c>
      <c r="F523" s="7" t="e">
        <f>G523+SUMIF('[1]mouvement scotcheuse'!B:B,"=applicateur 70/50 droit complet",'[1]mouvement scotcheuse'!G:G)</f>
        <v>#VALUE!</v>
      </c>
      <c r="G523" s="101">
        <v>1</v>
      </c>
      <c r="H523" s="101">
        <v>1</v>
      </c>
      <c r="I523" s="1" t="e">
        <f t="shared" si="35"/>
        <v>#VALUE!</v>
      </c>
      <c r="J523" s="196">
        <v>138</v>
      </c>
      <c r="K523" s="12" t="e">
        <f t="shared" si="36"/>
        <v>#VALUE!</v>
      </c>
      <c r="L523" s="30"/>
      <c r="M523" s="30"/>
      <c r="N523" s="30"/>
      <c r="O523" s="30"/>
      <c r="P523" s="30"/>
      <c r="Q523" s="30"/>
      <c r="R523" s="30"/>
      <c r="S523" s="30">
        <v>1</v>
      </c>
    </row>
    <row r="524" spans="1:19" ht="15.75" x14ac:dyDescent="0.25">
      <c r="A524" s="30"/>
      <c r="B524" s="13" t="s">
        <v>879</v>
      </c>
      <c r="C524" s="102" t="s">
        <v>890</v>
      </c>
      <c r="D524" s="100">
        <v>425312756</v>
      </c>
      <c r="E524" s="6" t="s">
        <v>22</v>
      </c>
      <c r="F524" s="7" t="e">
        <f>G524+SUMIF('[1]mouvement scotcheuse'!B:B,"=applicateur 70/50 gauche complet",'[1]mouvement scotcheuse'!G:G)</f>
        <v>#VALUE!</v>
      </c>
      <c r="G524" s="101">
        <v>0</v>
      </c>
      <c r="H524" s="101">
        <v>1</v>
      </c>
      <c r="I524" s="1" t="e">
        <f t="shared" si="35"/>
        <v>#VALUE!</v>
      </c>
      <c r="J524" s="196">
        <v>138</v>
      </c>
      <c r="K524" s="12" t="e">
        <f t="shared" si="36"/>
        <v>#VALUE!</v>
      </c>
      <c r="L524" s="30"/>
      <c r="M524" s="30"/>
      <c r="N524" s="30"/>
      <c r="O524" s="30"/>
      <c r="P524" s="30"/>
      <c r="Q524" s="30"/>
      <c r="R524" s="30"/>
      <c r="S524" s="30">
        <v>1</v>
      </c>
    </row>
    <row r="525" spans="1:19" ht="15.75" x14ac:dyDescent="0.25">
      <c r="A525" s="30"/>
      <c r="B525" s="13" t="s">
        <v>879</v>
      </c>
      <c r="C525" s="102" t="s">
        <v>891</v>
      </c>
      <c r="D525" s="100">
        <v>425460525</v>
      </c>
      <c r="E525" s="6" t="s">
        <v>22</v>
      </c>
      <c r="F525" s="7" t="e">
        <f>G525+SUMIF('[1]mouvement scotcheuse'!B:B,"=rouleau anti retour . 50",'[1]mouvement scotcheuse'!G:G)</f>
        <v>#VALUE!</v>
      </c>
      <c r="G525" s="101">
        <v>1</v>
      </c>
      <c r="H525" s="101">
        <v>1</v>
      </c>
      <c r="I525" s="1" t="e">
        <f t="shared" si="35"/>
        <v>#VALUE!</v>
      </c>
      <c r="J525" s="196">
        <v>32.17</v>
      </c>
      <c r="K525" s="12" t="e">
        <f t="shared" si="36"/>
        <v>#VALUE!</v>
      </c>
      <c r="L525" s="30"/>
      <c r="M525" s="30"/>
      <c r="N525" s="30"/>
      <c r="O525" s="30"/>
      <c r="P525" s="30"/>
      <c r="Q525" s="30"/>
      <c r="R525" s="30"/>
      <c r="S525" s="30">
        <v>1</v>
      </c>
    </row>
    <row r="526" spans="1:19" ht="15.75" x14ac:dyDescent="0.25">
      <c r="A526" s="30"/>
      <c r="B526" s="13" t="s">
        <v>879</v>
      </c>
      <c r="C526" s="102" t="s">
        <v>892</v>
      </c>
      <c r="D526" s="100">
        <v>425520011</v>
      </c>
      <c r="E526" s="6" t="s">
        <v>22</v>
      </c>
      <c r="F526" s="7" t="e">
        <f>G526+SUMIF('[1]mouvement scotcheuse'!B:B,"=ressort por applicateur",'[1]mouvement scotcheuse'!G:G)</f>
        <v>#VALUE!</v>
      </c>
      <c r="G526" s="101">
        <v>2</v>
      </c>
      <c r="H526" s="101">
        <v>2</v>
      </c>
      <c r="I526" s="1" t="e">
        <f t="shared" si="35"/>
        <v>#VALUE!</v>
      </c>
      <c r="J526" s="196">
        <v>2.1800000000000002</v>
      </c>
      <c r="K526" s="12" t="e">
        <f t="shared" si="36"/>
        <v>#VALUE!</v>
      </c>
      <c r="L526" s="30"/>
      <c r="M526" s="30"/>
      <c r="N526" s="30"/>
      <c r="O526" s="30"/>
      <c r="P526" s="30"/>
      <c r="Q526" s="30"/>
      <c r="R526" s="30"/>
      <c r="S526" s="30">
        <v>1</v>
      </c>
    </row>
    <row r="527" spans="1:19" ht="15.75" x14ac:dyDescent="0.25">
      <c r="A527" s="30"/>
      <c r="B527" s="13" t="s">
        <v>879</v>
      </c>
      <c r="C527" s="102" t="s">
        <v>893</v>
      </c>
      <c r="D527" s="100">
        <v>425630560</v>
      </c>
      <c r="E527" s="6" t="s">
        <v>22</v>
      </c>
      <c r="F527" s="7" t="e">
        <f>G527+SUMIF('[1]mouvement scotcheuse'!B:B,"=axe rouleau cyl. 50 (M5 L=56)",'[1]mouvement scotcheuse'!G:G)</f>
        <v>#VALUE!</v>
      </c>
      <c r="G527" s="101">
        <v>2</v>
      </c>
      <c r="H527" s="101">
        <v>1</v>
      </c>
      <c r="I527" s="1" t="e">
        <f t="shared" si="35"/>
        <v>#VALUE!</v>
      </c>
      <c r="J527" s="196">
        <v>7.51</v>
      </c>
      <c r="K527" s="12" t="e">
        <f t="shared" si="36"/>
        <v>#VALUE!</v>
      </c>
      <c r="L527" s="30"/>
      <c r="M527" s="30"/>
      <c r="N527" s="30"/>
      <c r="O527" s="30"/>
      <c r="P527" s="30"/>
      <c r="Q527" s="30"/>
      <c r="R527" s="30"/>
      <c r="S527" s="30">
        <v>1</v>
      </c>
    </row>
    <row r="528" spans="1:19" ht="15.75" x14ac:dyDescent="0.25">
      <c r="A528" s="30"/>
      <c r="B528" s="13" t="s">
        <v>879</v>
      </c>
      <c r="C528" s="102" t="s">
        <v>894</v>
      </c>
      <c r="D528" s="100">
        <v>425630630</v>
      </c>
      <c r="E528" s="6" t="s">
        <v>22</v>
      </c>
      <c r="F528" s="7" t="e">
        <f>G528+SUMIF('[1]mouvement scotcheuse'!B:B,"=axe rouleau bombé .50 (M5diam 10 L=63)",'[1]mouvement scotcheuse'!G:G)</f>
        <v>#VALUE!</v>
      </c>
      <c r="G528" s="101">
        <v>2</v>
      </c>
      <c r="H528" s="101">
        <v>1</v>
      </c>
      <c r="I528" s="1" t="e">
        <f t="shared" si="35"/>
        <v>#VALUE!</v>
      </c>
      <c r="J528" s="196">
        <v>7.51</v>
      </c>
      <c r="K528" s="12" t="e">
        <f t="shared" si="36"/>
        <v>#VALUE!</v>
      </c>
      <c r="L528" s="30"/>
      <c r="M528" s="30"/>
      <c r="N528" s="30"/>
      <c r="O528" s="30"/>
      <c r="P528" s="30"/>
      <c r="Q528" s="30"/>
      <c r="R528" s="30"/>
      <c r="S528" s="30">
        <v>0</v>
      </c>
    </row>
    <row r="529" spans="1:19" ht="15.75" x14ac:dyDescent="0.25">
      <c r="A529" s="30"/>
      <c r="B529" s="13" t="s">
        <v>879</v>
      </c>
      <c r="C529" s="102" t="s">
        <v>895</v>
      </c>
      <c r="D529" s="100">
        <v>425660525</v>
      </c>
      <c r="E529" s="197" t="s">
        <v>22</v>
      </c>
      <c r="F529" s="7" t="e">
        <f>G529+SUMIF('[1]mouvement scotcheuse'!B:B,"=rouleau cyl. 50",'[1]mouvement scotcheuse'!G:G)</f>
        <v>#VALUE!</v>
      </c>
      <c r="G529" s="101">
        <v>1</v>
      </c>
      <c r="H529" s="101">
        <v>1</v>
      </c>
      <c r="I529" s="1" t="e">
        <f t="shared" si="35"/>
        <v>#VALUE!</v>
      </c>
      <c r="J529" s="196">
        <v>23.4</v>
      </c>
      <c r="K529" s="12" t="e">
        <f t="shared" si="36"/>
        <v>#VALUE!</v>
      </c>
      <c r="L529" s="30"/>
      <c r="M529" s="30"/>
      <c r="N529" s="30"/>
      <c r="O529" s="30"/>
      <c r="P529" s="30"/>
      <c r="Q529" s="30"/>
      <c r="R529" s="30"/>
      <c r="S529" s="30">
        <v>0</v>
      </c>
    </row>
    <row r="530" spans="1:19" ht="15.75" x14ac:dyDescent="0.25">
      <c r="A530" s="30"/>
      <c r="B530" s="13" t="s">
        <v>879</v>
      </c>
      <c r="C530" s="102" t="s">
        <v>896</v>
      </c>
      <c r="D530" s="100">
        <v>425682011</v>
      </c>
      <c r="E530" s="6" t="s">
        <v>22</v>
      </c>
      <c r="F530" s="7" t="e">
        <f>G530+SUMIF('[1]mouvement scotcheuse'!B:B,"=ressort central 1,1",'[1]mouvement scotcheuse'!G:G)</f>
        <v>#VALUE!</v>
      </c>
      <c r="G530" s="101">
        <v>5</v>
      </c>
      <c r="H530" s="101">
        <v>1</v>
      </c>
      <c r="I530" s="1" t="e">
        <f t="shared" si="35"/>
        <v>#VALUE!</v>
      </c>
      <c r="J530" s="196">
        <v>2.86</v>
      </c>
      <c r="K530" s="12" t="e">
        <f t="shared" si="36"/>
        <v>#VALUE!</v>
      </c>
      <c r="L530" s="30"/>
      <c r="M530" s="30"/>
      <c r="N530" s="30"/>
      <c r="O530" s="30"/>
      <c r="P530" s="30"/>
      <c r="Q530" s="30"/>
      <c r="R530" s="30"/>
      <c r="S530" s="30">
        <v>0</v>
      </c>
    </row>
    <row r="531" spans="1:19" ht="15.75" x14ac:dyDescent="0.25">
      <c r="A531" s="30"/>
      <c r="B531" s="13" t="s">
        <v>879</v>
      </c>
      <c r="C531" s="102" t="s">
        <v>897</v>
      </c>
      <c r="D531" s="100">
        <v>425692011</v>
      </c>
      <c r="E531" s="6" t="s">
        <v>22</v>
      </c>
      <c r="F531" s="7" t="e">
        <f>G531+SUMIF('[1]mouvement scotcheuse'!B:B,"=ressort 1:1",'[1]mouvement scotcheuse'!G:G)</f>
        <v>#VALUE!</v>
      </c>
      <c r="G531" s="101">
        <v>6</v>
      </c>
      <c r="H531" s="101">
        <v>1</v>
      </c>
      <c r="I531" s="1" t="e">
        <f t="shared" si="35"/>
        <v>#VALUE!</v>
      </c>
      <c r="J531" s="196">
        <v>4.41</v>
      </c>
      <c r="K531" s="12" t="e">
        <f t="shared" si="36"/>
        <v>#VALUE!</v>
      </c>
      <c r="L531" s="30"/>
      <c r="M531" s="30"/>
      <c r="N531" s="30"/>
      <c r="O531" s="30"/>
      <c r="P531" s="30"/>
      <c r="Q531" s="30"/>
      <c r="R531" s="30"/>
      <c r="S531" s="30">
        <v>1</v>
      </c>
    </row>
    <row r="532" spans="1:19" ht="15.75" x14ac:dyDescent="0.25">
      <c r="A532" s="30"/>
      <c r="B532" s="13" t="s">
        <v>879</v>
      </c>
      <c r="C532" s="102" t="s">
        <v>898</v>
      </c>
      <c r="D532" s="100">
        <v>427450004</v>
      </c>
      <c r="E532" s="6" t="s">
        <v>22</v>
      </c>
      <c r="F532" s="7" t="e">
        <f>G532+SUMIF('[1]mouvement scotcheuse'!B:B,"=entretoise à collerette",'[1]mouvement scotcheuse'!G:G)</f>
        <v>#VALUE!</v>
      </c>
      <c r="G532" s="101">
        <v>3</v>
      </c>
      <c r="H532" s="101">
        <v>2</v>
      </c>
      <c r="I532" s="1" t="e">
        <f t="shared" si="35"/>
        <v>#VALUE!</v>
      </c>
      <c r="J532" s="196">
        <v>7.48</v>
      </c>
      <c r="K532" s="12" t="e">
        <f t="shared" si="36"/>
        <v>#VALUE!</v>
      </c>
      <c r="L532" s="30"/>
      <c r="M532" s="30"/>
      <c r="N532" s="30"/>
      <c r="O532" s="30"/>
      <c r="P532" s="30"/>
      <c r="Q532" s="30"/>
      <c r="R532" s="30"/>
      <c r="S532" s="30">
        <v>0</v>
      </c>
    </row>
    <row r="533" spans="1:19" ht="15.75" x14ac:dyDescent="0.25">
      <c r="A533" s="30"/>
      <c r="B533" s="13" t="s">
        <v>879</v>
      </c>
      <c r="C533" s="102" t="s">
        <v>899</v>
      </c>
      <c r="D533" s="100">
        <v>427450009</v>
      </c>
      <c r="E533" s="6" t="s">
        <v>22</v>
      </c>
      <c r="F533" s="7" t="e">
        <f>G533+SUMIF('[1]mouvement scotcheuse'!B:B,"=support butée",'[1]mouvement scotcheuse'!G:G)</f>
        <v>#VALUE!</v>
      </c>
      <c r="G533" s="101">
        <v>3</v>
      </c>
      <c r="H533" s="101">
        <v>2</v>
      </c>
      <c r="I533" s="1" t="e">
        <f t="shared" si="35"/>
        <v>#VALUE!</v>
      </c>
      <c r="J533" s="196">
        <v>7.02</v>
      </c>
      <c r="K533" s="12" t="e">
        <f t="shared" si="36"/>
        <v>#VALUE!</v>
      </c>
      <c r="L533" s="30"/>
      <c r="M533" s="30"/>
      <c r="N533" s="30"/>
      <c r="O533" s="30"/>
      <c r="P533" s="30"/>
      <c r="Q533" s="30"/>
      <c r="R533" s="30"/>
      <c r="S533" s="30">
        <v>1</v>
      </c>
    </row>
    <row r="534" spans="1:19" ht="15.75" x14ac:dyDescent="0.25">
      <c r="A534" s="30"/>
      <c r="B534" s="13" t="s">
        <v>879</v>
      </c>
      <c r="C534" s="102" t="s">
        <v>900</v>
      </c>
      <c r="D534" s="100">
        <v>444580625</v>
      </c>
      <c r="E534" s="6" t="s">
        <v>22</v>
      </c>
      <c r="F534" s="7" t="e">
        <f>G534+SUMIF('[1]mouvement scotcheuse'!B:B,"=rouleau bombé DER . 50",'[1]mouvement scotcheuse'!G:G)</f>
        <v>#VALUE!</v>
      </c>
      <c r="G534" s="101">
        <v>0</v>
      </c>
      <c r="H534" s="101">
        <v>1</v>
      </c>
      <c r="I534" s="1" t="e">
        <f t="shared" si="35"/>
        <v>#VALUE!</v>
      </c>
      <c r="J534" s="196">
        <v>26.6</v>
      </c>
      <c r="K534" s="12" t="e">
        <f t="shared" si="36"/>
        <v>#VALUE!</v>
      </c>
      <c r="L534" s="30"/>
      <c r="M534" s="30"/>
      <c r="N534" s="30"/>
      <c r="O534" s="30"/>
      <c r="P534" s="30"/>
      <c r="Q534" s="30"/>
      <c r="R534" s="30"/>
      <c r="S534" s="30">
        <v>0</v>
      </c>
    </row>
    <row r="535" spans="1:19" ht="15.75" x14ac:dyDescent="0.25">
      <c r="A535" s="30"/>
      <c r="B535" s="13" t="s">
        <v>879</v>
      </c>
      <c r="C535" s="102" t="s">
        <v>901</v>
      </c>
      <c r="D535" s="100">
        <v>447113051</v>
      </c>
      <c r="E535" s="6" t="s">
        <v>22</v>
      </c>
      <c r="F535" s="7" t="e">
        <f>G535+SUMIF('[1]mouvement scotcheuse'!B:B,"=rouleau anti retour noir .50",'[1]mouvement scotcheuse'!G:G)</f>
        <v>#VALUE!</v>
      </c>
      <c r="G535" s="101">
        <v>2</v>
      </c>
      <c r="H535" s="101">
        <v>1</v>
      </c>
      <c r="I535" s="1" t="e">
        <f t="shared" si="35"/>
        <v>#VALUE!</v>
      </c>
      <c r="J535" s="196">
        <v>29.69</v>
      </c>
      <c r="K535" s="12" t="e">
        <f t="shared" si="36"/>
        <v>#VALUE!</v>
      </c>
      <c r="L535" s="30"/>
      <c r="M535" s="30"/>
      <c r="N535" s="30"/>
      <c r="O535" s="30"/>
      <c r="P535" s="30"/>
      <c r="Q535" s="30"/>
      <c r="R535" s="30"/>
      <c r="S535" s="30">
        <v>1</v>
      </c>
    </row>
    <row r="536" spans="1:19" ht="15.75" x14ac:dyDescent="0.25">
      <c r="A536" s="30"/>
      <c r="B536" s="13" t="s">
        <v>879</v>
      </c>
      <c r="C536" s="102" t="s">
        <v>902</v>
      </c>
      <c r="D536" s="100">
        <v>448074051</v>
      </c>
      <c r="E536" s="6" t="s">
        <v>22</v>
      </c>
      <c r="F536" s="7" t="e">
        <f>G536+SUMIF('[1]mouvement scotcheuse'!B:B,"=couteau de dérouleur .50",'[1]mouvement scotcheuse'!G:G)</f>
        <v>#VALUE!</v>
      </c>
      <c r="G536" s="101">
        <v>4</v>
      </c>
      <c r="H536" s="101">
        <v>1</v>
      </c>
      <c r="I536" s="1" t="e">
        <f t="shared" si="35"/>
        <v>#VALUE!</v>
      </c>
      <c r="J536" s="196">
        <v>6.29</v>
      </c>
      <c r="K536" s="12" t="e">
        <f t="shared" si="36"/>
        <v>#VALUE!</v>
      </c>
      <c r="L536" s="30"/>
      <c r="M536" s="30"/>
      <c r="N536" s="30"/>
      <c r="O536" s="30"/>
      <c r="P536" s="30"/>
      <c r="Q536" s="30"/>
      <c r="R536" s="30"/>
      <c r="S536" s="30">
        <v>1</v>
      </c>
    </row>
    <row r="537" spans="1:19" ht="15.75" x14ac:dyDescent="0.25">
      <c r="A537" s="30"/>
      <c r="B537" s="13" t="s">
        <v>879</v>
      </c>
      <c r="C537" s="36" t="s">
        <v>903</v>
      </c>
      <c r="D537" s="195">
        <v>1512104008</v>
      </c>
      <c r="E537" s="6" t="s">
        <v>22</v>
      </c>
      <c r="F537" s="7" t="e">
        <f>G537+SUMIF('[1]mouvement scotcheuse'!B:B,"=vis M4X8 Din 7991",'[1]mouvement scotcheuse'!G:G)</f>
        <v>#VALUE!</v>
      </c>
      <c r="G537" s="8">
        <v>9</v>
      </c>
      <c r="H537" s="9">
        <v>1</v>
      </c>
      <c r="I537" s="1" t="e">
        <f t="shared" si="35"/>
        <v>#VALUE!</v>
      </c>
      <c r="J537" s="194">
        <v>0.34</v>
      </c>
      <c r="K537" s="12" t="e">
        <f t="shared" si="36"/>
        <v>#VALUE!</v>
      </c>
      <c r="L537" s="30"/>
      <c r="M537" s="30"/>
      <c r="N537" s="30"/>
      <c r="O537" s="30"/>
      <c r="P537" s="30"/>
      <c r="Q537" s="30"/>
      <c r="R537" s="30"/>
      <c r="S537" s="30">
        <v>1</v>
      </c>
    </row>
    <row r="538" spans="1:19" ht="15.75" x14ac:dyDescent="0.25">
      <c r="A538" s="30"/>
      <c r="B538" s="13" t="s">
        <v>879</v>
      </c>
      <c r="C538" s="102" t="s">
        <v>904</v>
      </c>
      <c r="D538" s="100" t="s">
        <v>905</v>
      </c>
      <c r="E538" s="6" t="s">
        <v>22</v>
      </c>
      <c r="F538" s="7" t="e">
        <f>G538+SUMIF('[1]mouvement scotcheuse'!B:B,"=Bande entrainement T100 (980x50)",'[1]mouvement scotcheuse'!G:G)</f>
        <v>#VALUE!</v>
      </c>
      <c r="G538" s="101">
        <v>2</v>
      </c>
      <c r="H538" s="101">
        <v>1</v>
      </c>
      <c r="I538" s="1" t="e">
        <f t="shared" si="35"/>
        <v>#VALUE!</v>
      </c>
      <c r="J538" s="196">
        <v>43.05</v>
      </c>
      <c r="K538" s="12" t="e">
        <f t="shared" si="36"/>
        <v>#VALUE!</v>
      </c>
      <c r="L538" s="30"/>
      <c r="M538" s="30"/>
      <c r="N538" s="30"/>
      <c r="O538" s="30"/>
      <c r="P538" s="30"/>
      <c r="Q538" s="30"/>
      <c r="R538" s="30"/>
      <c r="S538" s="30">
        <v>1</v>
      </c>
    </row>
    <row r="539" spans="1:19" ht="15.75" x14ac:dyDescent="0.25">
      <c r="A539" s="30"/>
      <c r="B539" s="13" t="s">
        <v>879</v>
      </c>
      <c r="C539" s="102" t="s">
        <v>906</v>
      </c>
      <c r="D539" s="100" t="s">
        <v>907</v>
      </c>
      <c r="E539" s="6" t="s">
        <v>22</v>
      </c>
      <c r="F539" s="7" t="e">
        <f>G539+SUMIF('[1]mouvement scotcheuse'!B:B,"=Bande entrainement vielle scotcheuse (980x80)",'[1]mouvement scotcheuse'!G:G)</f>
        <v>#VALUE!</v>
      </c>
      <c r="G539" s="101">
        <v>2</v>
      </c>
      <c r="H539" s="101">
        <v>1</v>
      </c>
      <c r="I539" s="1" t="e">
        <f t="shared" si="35"/>
        <v>#VALUE!</v>
      </c>
      <c r="J539" s="196">
        <v>59.2</v>
      </c>
      <c r="K539" s="12" t="e">
        <f t="shared" si="36"/>
        <v>#VALUE!</v>
      </c>
      <c r="L539" s="30"/>
      <c r="M539" s="30"/>
      <c r="N539" s="30"/>
      <c r="O539" s="30"/>
      <c r="P539" s="30"/>
      <c r="Q539" s="30"/>
      <c r="R539" s="30"/>
      <c r="S539" s="30">
        <v>1</v>
      </c>
    </row>
    <row r="540" spans="1:19" ht="15.75" x14ac:dyDescent="0.25">
      <c r="A540" s="30"/>
      <c r="B540" s="13" t="s">
        <v>879</v>
      </c>
      <c r="C540" s="102" t="s">
        <v>908</v>
      </c>
      <c r="D540" s="100" t="s">
        <v>22</v>
      </c>
      <c r="E540" s="6" t="s">
        <v>22</v>
      </c>
      <c r="F540" s="7" t="e">
        <f>G540+SUMIF('[1]mouvement scotcheuse'!B:B,"=cable acier",'[1]mouvement scotcheuse'!G:G)</f>
        <v>#VALUE!</v>
      </c>
      <c r="G540" s="101">
        <v>0</v>
      </c>
      <c r="H540" s="101">
        <v>0</v>
      </c>
      <c r="I540" s="1" t="e">
        <f t="shared" si="35"/>
        <v>#VALUE!</v>
      </c>
      <c r="J540" s="196">
        <v>0</v>
      </c>
      <c r="K540" s="12" t="e">
        <f t="shared" si="36"/>
        <v>#VALUE!</v>
      </c>
      <c r="L540" s="30"/>
      <c r="M540" s="30"/>
      <c r="N540" s="30"/>
      <c r="O540" s="30"/>
      <c r="P540" s="30"/>
      <c r="Q540" s="30"/>
      <c r="R540" s="30"/>
      <c r="S540" s="30">
        <v>0</v>
      </c>
    </row>
    <row r="541" spans="1:19" ht="15.75" x14ac:dyDescent="0.25">
      <c r="A541" s="30"/>
      <c r="B541" s="13" t="s">
        <v>879</v>
      </c>
      <c r="C541" s="198" t="s">
        <v>909</v>
      </c>
      <c r="D541" s="101">
        <v>306840050</v>
      </c>
      <c r="E541" s="6" t="s">
        <v>22</v>
      </c>
      <c r="F541" s="7" t="e">
        <f>G541+SUMIF('[1]mouvement scotcheuse'!B:B,"=Console a rouleaux  (pour boucher la scotcheuse du bas)",'[1]mouvement scotcheuse'!G:G)</f>
        <v>#VALUE!</v>
      </c>
      <c r="G541" s="101">
        <v>0</v>
      </c>
      <c r="H541" s="199">
        <v>0</v>
      </c>
      <c r="I541" s="1" t="e">
        <f t="shared" si="35"/>
        <v>#VALUE!</v>
      </c>
      <c r="J541" s="200">
        <v>250</v>
      </c>
      <c r="K541" s="12" t="e">
        <f t="shared" si="36"/>
        <v>#VALUE!</v>
      </c>
      <c r="L541" s="30"/>
      <c r="M541" s="30"/>
      <c r="N541" s="30"/>
      <c r="O541" s="30"/>
      <c r="P541" s="30"/>
      <c r="Q541" s="30"/>
      <c r="R541" s="30"/>
      <c r="S541" s="30">
        <v>0</v>
      </c>
    </row>
    <row r="542" spans="1:19" ht="15.75" x14ac:dyDescent="0.25">
      <c r="A542" s="30"/>
      <c r="B542" s="13" t="s">
        <v>879</v>
      </c>
      <c r="C542" s="198" t="s">
        <v>910</v>
      </c>
      <c r="D542" s="201" t="s">
        <v>911</v>
      </c>
      <c r="E542" s="6" t="s">
        <v>22</v>
      </c>
      <c r="F542" s="7" t="e">
        <f>G542+SUMIF('[1]mouvement scotcheuse'!B:B,"=Arrêt d'urgence",'[1]mouvement scotcheuse'!G:G)</f>
        <v>#VALUE!</v>
      </c>
      <c r="G542" s="201">
        <v>2</v>
      </c>
      <c r="H542" s="101">
        <v>1</v>
      </c>
      <c r="I542" s="1" t="e">
        <f t="shared" si="35"/>
        <v>#VALUE!</v>
      </c>
      <c r="J542" s="202">
        <v>33.01</v>
      </c>
      <c r="K542" s="12" t="e">
        <f t="shared" si="36"/>
        <v>#VALUE!</v>
      </c>
      <c r="L542" s="30"/>
      <c r="M542" s="13" t="s">
        <v>879</v>
      </c>
      <c r="N542" s="30"/>
      <c r="O542" s="30"/>
      <c r="P542" s="30"/>
      <c r="Q542" s="30"/>
      <c r="R542" s="30"/>
      <c r="S542" s="30">
        <v>0</v>
      </c>
    </row>
    <row r="543" spans="1:19" ht="15.75" x14ac:dyDescent="0.25">
      <c r="A543" s="30"/>
      <c r="B543" s="13" t="s">
        <v>879</v>
      </c>
      <c r="C543" s="203" t="s">
        <v>912</v>
      </c>
      <c r="D543" s="204">
        <v>469870000</v>
      </c>
      <c r="E543" s="155" t="s">
        <v>22</v>
      </c>
      <c r="F543" s="156" t="s">
        <v>913</v>
      </c>
      <c r="G543" s="199">
        <v>13</v>
      </c>
      <c r="H543" s="199">
        <v>2</v>
      </c>
      <c r="I543" s="157" t="str">
        <f t="shared" si="35"/>
        <v>-</v>
      </c>
      <c r="J543" s="200">
        <v>0</v>
      </c>
      <c r="K543" s="158" t="e">
        <f t="shared" si="36"/>
        <v>#VALUE!</v>
      </c>
      <c r="L543" s="30"/>
      <c r="M543" s="35" t="e">
        <f>SUM(K514:K543)</f>
        <v>#VALUE!</v>
      </c>
      <c r="N543" s="30"/>
      <c r="O543" s="30"/>
      <c r="P543" s="30"/>
      <c r="Q543" s="30"/>
      <c r="R543" s="30"/>
      <c r="S543" s="30">
        <v>1</v>
      </c>
    </row>
    <row r="544" spans="1:19" ht="15.75" x14ac:dyDescent="0.25">
      <c r="A544" s="30"/>
      <c r="B544" s="13"/>
      <c r="C544" s="205" t="s">
        <v>914</v>
      </c>
      <c r="D544" s="206"/>
      <c r="E544" s="207"/>
      <c r="F544" s="208"/>
      <c r="G544" s="209"/>
      <c r="H544" s="209"/>
      <c r="I544" s="157" t="str">
        <f>IF(F544&lt;H544,"/!\","-")</f>
        <v>-</v>
      </c>
      <c r="J544" s="210"/>
      <c r="K544" s="211">
        <f>F544*J544</f>
        <v>0</v>
      </c>
      <c r="L544" s="30"/>
      <c r="M544" s="30"/>
      <c r="N544" s="30"/>
      <c r="O544" s="30"/>
      <c r="P544" s="30"/>
      <c r="Q544" s="30"/>
      <c r="R544" s="3" t="s">
        <v>915</v>
      </c>
      <c r="S544" s="30">
        <v>0</v>
      </c>
    </row>
    <row r="545" spans="19:19" x14ac:dyDescent="0.25">
      <c r="S545" s="30"/>
    </row>
    <row r="546" spans="19:19" x14ac:dyDescent="0.25">
      <c r="S546" s="30"/>
    </row>
    <row r="547" spans="19:19" x14ac:dyDescent="0.25">
      <c r="S547" s="30"/>
    </row>
    <row r="548" spans="19:19" x14ac:dyDescent="0.25">
      <c r="S548" s="30"/>
    </row>
    <row r="549" spans="19:19" x14ac:dyDescent="0.25">
      <c r="S549" s="30"/>
    </row>
    <row r="550" spans="19:19" x14ac:dyDescent="0.25">
      <c r="S550" s="30"/>
    </row>
    <row r="551" spans="19:19" x14ac:dyDescent="0.25">
      <c r="S551" s="30"/>
    </row>
    <row r="552" spans="19:19" x14ac:dyDescent="0.25">
      <c r="S552" s="30"/>
    </row>
    <row r="553" spans="19:19" x14ac:dyDescent="0.25">
      <c r="S553" s="30"/>
    </row>
    <row r="554" spans="19:19" x14ac:dyDescent="0.25">
      <c r="S554" s="30"/>
    </row>
    <row r="555" spans="19:19" x14ac:dyDescent="0.25">
      <c r="S555" s="30"/>
    </row>
    <row r="556" spans="19:19" x14ac:dyDescent="0.25">
      <c r="S556" s="30"/>
    </row>
    <row r="557" spans="19:19" x14ac:dyDescent="0.25">
      <c r="S557" s="30"/>
    </row>
    <row r="558" spans="19:19" x14ac:dyDescent="0.25">
      <c r="S558" s="30"/>
    </row>
    <row r="559" spans="19:19" x14ac:dyDescent="0.25">
      <c r="S559" s="30"/>
    </row>
    <row r="560" spans="19:19" x14ac:dyDescent="0.25">
      <c r="S560" s="30"/>
    </row>
    <row r="561" spans="19:19" x14ac:dyDescent="0.25">
      <c r="S561" s="30"/>
    </row>
    <row r="562" spans="19:19" x14ac:dyDescent="0.25">
      <c r="S562" s="30"/>
    </row>
  </sheetData>
  <conditionalFormatting sqref="I1">
    <cfRule type="cellIs" dxfId="1139" priority="58" operator="equal">
      <formula>"/!\ a commander"</formula>
    </cfRule>
  </conditionalFormatting>
  <conditionalFormatting sqref="I2">
    <cfRule type="containsText" dxfId="1138" priority="56" operator="containsText" text="/!\">
      <formula>NOT(ISERROR(SEARCH("/!\",I2)))</formula>
    </cfRule>
  </conditionalFormatting>
  <conditionalFormatting sqref="I3:I24">
    <cfRule type="containsText" dxfId="1137" priority="54" operator="containsText" text="/!\">
      <formula>NOT(ISERROR(SEARCH("/!\",I3)))</formula>
    </cfRule>
  </conditionalFormatting>
  <conditionalFormatting sqref="I25:I26">
    <cfRule type="containsText" dxfId="1136" priority="52" operator="containsText" text="/!\">
      <formula>NOT(ISERROR(SEARCH("/!\",I25)))</formula>
    </cfRule>
  </conditionalFormatting>
  <conditionalFormatting sqref="I27:I61">
    <cfRule type="containsText" dxfId="1135" priority="50" operator="containsText" text="/!\">
      <formula>NOT(ISERROR(SEARCH("/!\",I27)))</formula>
    </cfRule>
  </conditionalFormatting>
  <conditionalFormatting sqref="I62:I108">
    <cfRule type="containsText" dxfId="1134" priority="48" operator="containsText" text="/!\">
      <formula>NOT(ISERROR(SEARCH("/!\",I62)))</formula>
    </cfRule>
  </conditionalFormatting>
  <conditionalFormatting sqref="I109:I110">
    <cfRule type="containsText" dxfId="1133" priority="46" operator="containsText" text="/!\">
      <formula>NOT(ISERROR(SEARCH("/!\",I109)))</formula>
    </cfRule>
  </conditionalFormatting>
  <conditionalFormatting sqref="I111:I118">
    <cfRule type="containsText" dxfId="1132" priority="44" operator="containsText" text="/!\">
      <formula>NOT(ISERROR(SEARCH("/!\",I111)))</formula>
    </cfRule>
  </conditionalFormatting>
  <conditionalFormatting sqref="I119:I134">
    <cfRule type="containsText" dxfId="1131" priority="42" operator="containsText" text="/!\">
      <formula>NOT(ISERROR(SEARCH("/!\",I119)))</formula>
    </cfRule>
  </conditionalFormatting>
  <conditionalFormatting sqref="I135:I152">
    <cfRule type="containsText" dxfId="1130" priority="40" operator="containsText" text="/!\">
      <formula>NOT(ISERROR(SEARCH("/!\",I135)))</formula>
    </cfRule>
  </conditionalFormatting>
  <conditionalFormatting sqref="I153:I157">
    <cfRule type="containsText" dxfId="1129" priority="38" operator="containsText" text="/!\">
      <formula>NOT(ISERROR(SEARCH("/!\",I153)))</formula>
    </cfRule>
  </conditionalFormatting>
  <conditionalFormatting sqref="I158:I164">
    <cfRule type="containsText" dxfId="1128" priority="36" operator="containsText" text="/!\">
      <formula>NOT(ISERROR(SEARCH("/!\",I158)))</formula>
    </cfRule>
  </conditionalFormatting>
  <conditionalFormatting sqref="I165:I205">
    <cfRule type="containsText" dxfId="1127" priority="34" operator="containsText" text="/!\">
      <formula>NOT(ISERROR(SEARCH("/!\",I165)))</formula>
    </cfRule>
  </conditionalFormatting>
  <conditionalFormatting sqref="I206:I213">
    <cfRule type="containsText" dxfId="1126" priority="32" operator="containsText" text="/!\">
      <formula>NOT(ISERROR(SEARCH("/!\",I206)))</formula>
    </cfRule>
  </conditionalFormatting>
  <conditionalFormatting sqref="I214:I219">
    <cfRule type="containsText" dxfId="1125" priority="30" operator="containsText" text="/!\">
      <formula>NOT(ISERROR(SEARCH("/!\",I214)))</formula>
    </cfRule>
  </conditionalFormatting>
  <conditionalFormatting sqref="I220:I221">
    <cfRule type="containsText" dxfId="1124" priority="28" operator="containsText" text="/!\">
      <formula>NOT(ISERROR(SEARCH("/!\",I220)))</formula>
    </cfRule>
  </conditionalFormatting>
  <conditionalFormatting sqref="I222:I226">
    <cfRule type="containsText" dxfId="1123" priority="26" operator="containsText" text="/!\">
      <formula>NOT(ISERROR(SEARCH("/!\",I222)))</formula>
    </cfRule>
  </conditionalFormatting>
  <conditionalFormatting sqref="I227:I228">
    <cfRule type="containsText" dxfId="1122" priority="24" operator="containsText" text="/!\">
      <formula>NOT(ISERROR(SEARCH("/!\",I227)))</formula>
    </cfRule>
  </conditionalFormatting>
  <conditionalFormatting sqref="I229:I249">
    <cfRule type="containsText" dxfId="1121" priority="22" operator="containsText" text="/!\">
      <formula>NOT(ISERROR(SEARCH("/!\",I229)))</formula>
    </cfRule>
  </conditionalFormatting>
  <conditionalFormatting sqref="I250:I261">
    <cfRule type="containsText" dxfId="1120" priority="20" operator="containsText" text="/!\">
      <formula>NOT(ISERROR(SEARCH("/!\",I250)))</formula>
    </cfRule>
  </conditionalFormatting>
  <conditionalFormatting sqref="I262:I305">
    <cfRule type="containsText" dxfId="1119" priority="18" operator="containsText" text="/!\">
      <formula>NOT(ISERROR(SEARCH("/!\",I262)))</formula>
    </cfRule>
  </conditionalFormatting>
  <conditionalFormatting sqref="I306:I322">
    <cfRule type="containsText" dxfId="1118" priority="16" operator="containsText" text="/!\">
      <formula>NOT(ISERROR(SEARCH("/!\",I306)))</formula>
    </cfRule>
  </conditionalFormatting>
  <conditionalFormatting sqref="I323:I360">
    <cfRule type="containsText" dxfId="1117" priority="14" operator="containsText" text="/!\">
      <formula>NOT(ISERROR(SEARCH("/!\",I323)))</formula>
    </cfRule>
  </conditionalFormatting>
  <conditionalFormatting sqref="I361:I367">
    <cfRule type="containsText" dxfId="1116" priority="12" operator="containsText" text="/!\">
      <formula>NOT(ISERROR(SEARCH("/!\",I361)))</formula>
    </cfRule>
  </conditionalFormatting>
  <conditionalFormatting sqref="I368">
    <cfRule type="containsText" dxfId="1115" priority="10" operator="containsText" text="/!\">
      <formula>NOT(ISERROR(SEARCH("/!\",I368)))</formula>
    </cfRule>
  </conditionalFormatting>
  <conditionalFormatting sqref="G368">
    <cfRule type="expression" dxfId="1114" priority="9">
      <formula>$E$2&lt;$C$2</formula>
    </cfRule>
  </conditionalFormatting>
  <conditionalFormatting sqref="I369:I502">
    <cfRule type="containsText" dxfId="1113" priority="7" operator="containsText" text="/!\">
      <formula>NOT(ISERROR(SEARCH("/!\",I369)))</formula>
    </cfRule>
  </conditionalFormatting>
  <conditionalFormatting sqref="I503:I507">
    <cfRule type="containsText" dxfId="1112" priority="5" operator="containsText" text="/!\">
      <formula>NOT(ISERROR(SEARCH("/!\",I503)))</formula>
    </cfRule>
  </conditionalFormatting>
  <conditionalFormatting sqref="I508:I513">
    <cfRule type="containsText" dxfId="1111" priority="3" operator="containsText" text="/!\">
      <formula>NOT(ISERROR(SEARCH("/!\",I508)))</formula>
    </cfRule>
  </conditionalFormatting>
  <conditionalFormatting sqref="I514:I543">
    <cfRule type="containsText" dxfId="1110" priority="1" operator="containsText" text="/!\">
      <formula>NOT(ISERROR(SEARCH("/!\",I514)))</formula>
    </cfRule>
  </conditionalFormatting>
  <dataValidations count="12">
    <dataValidation type="list" allowBlank="1" showInputMessage="1" showErrorMessage="1" sqref="K13 K30 K32 J31" xr:uid="{5F1A13C1-564F-4345-844C-99316EA3FA59}">
      <formula1>listetype</formula1>
    </dataValidation>
    <dataValidation type="list" allowBlank="1" showInputMessage="1" showErrorMessage="1" sqref="J13 J30 J32 I31" xr:uid="{1B769AC6-0BE6-433B-86E6-4D5F44F691C8}">
      <formula1>listesuivis</formula1>
    </dataValidation>
    <dataValidation type="list" allowBlank="1" showInputMessage="1" showErrorMessage="1" sqref="I13 H39:I41 I30 I32 H31" xr:uid="{123D7C92-EF41-4506-B016-9D3FB03D6C31}">
      <formula1>listeouinon</formula1>
    </dataValidation>
    <dataValidation type="list" allowBlank="1" showInputMessage="1" showErrorMessage="1" sqref="F13 F30 F32 E31" xr:uid="{B1D04703-A26B-4458-BD0D-1E8858396598}">
      <formula1>listen°systeme</formula1>
    </dataValidation>
    <dataValidation type="list" allowBlank="1" showInputMessage="1" showErrorMessage="1" sqref="E13 E30 E32 D31" xr:uid="{C5589025-D62A-4166-A3E5-EE3B262784E3}">
      <formula1>listesysteme</formula1>
    </dataValidation>
    <dataValidation type="list" allowBlank="1" showInputMessage="1" showErrorMessage="1" sqref="D13 D30 D32 C31" xr:uid="{ABAAE6FD-C0B3-4497-8FA1-1BF2CAD2D3F0}">
      <formula1>listetech</formula1>
    </dataValidation>
    <dataValidation type="list" allowBlank="1" showInputMessage="1" showErrorMessage="1" sqref="B39:B41 B30 B32" xr:uid="{51615D41-3FB8-47CF-9C4B-5D6038AAB094}">
      <formula1>listedate</formula1>
    </dataValidation>
    <dataValidation type="list" allowBlank="1" showInputMessage="1" showErrorMessage="1" sqref="C13 C32 B31" xr:uid="{D3760885-EA74-4791-8AFD-85DD9863C3B1}">
      <formula1>listeheure</formula1>
    </dataValidation>
    <dataValidation type="list" allowBlank="1" showInputMessage="1" showErrorMessage="1" sqref="E39" xr:uid="{584E4BA7-633F-41A9-9FAC-DD0258771905}">
      <formula1>piecesbakon</formula1>
    </dataValidation>
    <dataValidation type="list" allowBlank="1" showInputMessage="1" showErrorMessage="1" sqref="C39:C41" xr:uid="{3B551A50-204E-4E93-ABB8-E02F443187D2}">
      <formula1>tech</formula1>
    </dataValidation>
    <dataValidation type="list" allowBlank="1" showInputMessage="1" showErrorMessage="1" sqref="D39" xr:uid="{9570DCAD-A7C3-4624-BF75-BBEA031F3793}">
      <formula1>toutstock</formula1>
    </dataValidation>
    <dataValidation type="list" allowBlank="1" showInputMessage="1" showErrorMessage="1" sqref="D40:D41" xr:uid="{C226E19C-839C-4DE5-AF8D-9A996CE40468}">
      <formula1>listecom</formula1>
    </dataValidation>
  </dataValidations>
  <hyperlinks>
    <hyperlink ref="E252" r:id="rId1" xr:uid="{2912C3D4-148C-4A98-BDDA-3717F8BF4B6D}"/>
    <hyperlink ref="E308" r:id="rId2" display="sav@espera.fr " xr:uid="{575CB8CC-D887-424A-9A1C-E5C0259FDF43}"/>
    <hyperlink ref="E324" r:id="rId3" display="sav@espera.fr " xr:uid="{E27AB1BE-622D-4E33-B586-B400D86D5A22}"/>
    <hyperlink ref="E363" r:id="rId4" display="sav@espera.fr " xr:uid="{05925EC0-4628-4A8D-90C4-B89EC5F41D2F}"/>
    <hyperlink ref="E505" r:id="rId5" display="sav@espera.fr " xr:uid="{4F0A2F97-E298-4F04-8E38-C4F3398333B6}"/>
    <hyperlink ref="E510" r:id="rId6" display="sav@espera.fr " xr:uid="{8BC18770-2B5D-47F2-A137-04F5DE83F4C6}"/>
    <hyperlink ref="E516" r:id="rId7" display="sav@espera.fr " xr:uid="{44B99CA8-E8E7-4B15-8CFF-2B747EBA09CD}"/>
  </hyperlinks>
  <pageMargins left="0.7" right="0.7" top="0.75" bottom="0.75" header="0.3" footer="0.3"/>
  <pageSetup paperSize="9" orientation="portrait" r:id="rId8"/>
  <tableParts count="1">
    <tablePart r:id="rId9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7" operator="containsText" id="{0AF2286B-EA62-43FB-BBF8-508A3F634170}">
            <xm:f>NOT(ISERROR(SEARCH("-",I2)))</xm:f>
            <xm:f>"-"</xm:f>
            <x14:dxf>
              <fill>
                <patternFill>
                  <bgColor rgb="FF00B050"/>
                </patternFill>
              </fill>
            </x14:dxf>
          </x14:cfRule>
          <xm:sqref>I2</xm:sqref>
        </x14:conditionalFormatting>
        <x14:conditionalFormatting xmlns:xm="http://schemas.microsoft.com/office/excel/2006/main">
          <x14:cfRule type="containsText" priority="55" operator="containsText" id="{615A6F30-5E09-4354-9A47-6AE1F2AF4B2B}">
            <xm:f>NOT(ISERROR(SEARCH("-",I3)))</xm:f>
            <xm:f>"-"</xm:f>
            <x14:dxf>
              <fill>
                <patternFill>
                  <bgColor rgb="FF00B050"/>
                </patternFill>
              </fill>
            </x14:dxf>
          </x14:cfRule>
          <xm:sqref>I3:I24</xm:sqref>
        </x14:conditionalFormatting>
        <x14:conditionalFormatting xmlns:xm="http://schemas.microsoft.com/office/excel/2006/main">
          <x14:cfRule type="containsText" priority="53" operator="containsText" id="{814300E6-0B28-44EB-BF5A-1440687BC018}">
            <xm:f>NOT(ISERROR(SEARCH("-",I25)))</xm:f>
            <xm:f>"-"</xm:f>
            <x14:dxf>
              <fill>
                <patternFill>
                  <bgColor rgb="FF00B050"/>
                </patternFill>
              </fill>
            </x14:dxf>
          </x14:cfRule>
          <xm:sqref>I25:I26</xm:sqref>
        </x14:conditionalFormatting>
        <x14:conditionalFormatting xmlns:xm="http://schemas.microsoft.com/office/excel/2006/main">
          <x14:cfRule type="containsText" priority="51" operator="containsText" id="{AFA135A4-00A1-478E-A658-8AC1D821EBE4}">
            <xm:f>NOT(ISERROR(SEARCH("-",I27)))</xm:f>
            <xm:f>"-"</xm:f>
            <x14:dxf>
              <fill>
                <patternFill>
                  <bgColor rgb="FF00B050"/>
                </patternFill>
              </fill>
            </x14:dxf>
          </x14:cfRule>
          <xm:sqref>I27:I61</xm:sqref>
        </x14:conditionalFormatting>
        <x14:conditionalFormatting xmlns:xm="http://schemas.microsoft.com/office/excel/2006/main">
          <x14:cfRule type="containsText" priority="49" operator="containsText" id="{BA5C804C-61DE-4F25-B4C9-AE12CAD0B38D}">
            <xm:f>NOT(ISERROR(SEARCH("-",I62)))</xm:f>
            <xm:f>"-"</xm:f>
            <x14:dxf>
              <fill>
                <patternFill>
                  <bgColor rgb="FF00B050"/>
                </patternFill>
              </fill>
            </x14:dxf>
          </x14:cfRule>
          <xm:sqref>I62:I108</xm:sqref>
        </x14:conditionalFormatting>
        <x14:conditionalFormatting xmlns:xm="http://schemas.microsoft.com/office/excel/2006/main">
          <x14:cfRule type="containsText" priority="47" operator="containsText" id="{6B8EC7E9-C67A-41F5-A411-E4282488BDB4}">
            <xm:f>NOT(ISERROR(SEARCH("-",I109)))</xm:f>
            <xm:f>"-"</xm:f>
            <x14:dxf>
              <fill>
                <patternFill>
                  <bgColor rgb="FF00B050"/>
                </patternFill>
              </fill>
            </x14:dxf>
          </x14:cfRule>
          <xm:sqref>I109:I110</xm:sqref>
        </x14:conditionalFormatting>
        <x14:conditionalFormatting xmlns:xm="http://schemas.microsoft.com/office/excel/2006/main">
          <x14:cfRule type="containsText" priority="45" operator="containsText" id="{E0877FCA-F615-44A1-A70E-78501610AC3D}">
            <xm:f>NOT(ISERROR(SEARCH("-",I111)))</xm:f>
            <xm:f>"-"</xm:f>
            <x14:dxf>
              <fill>
                <patternFill>
                  <bgColor rgb="FF00B050"/>
                </patternFill>
              </fill>
            </x14:dxf>
          </x14:cfRule>
          <xm:sqref>I111:I118</xm:sqref>
        </x14:conditionalFormatting>
        <x14:conditionalFormatting xmlns:xm="http://schemas.microsoft.com/office/excel/2006/main">
          <x14:cfRule type="containsText" priority="43" operator="containsText" id="{2295092D-3B07-44F1-A597-2963D20E25F8}">
            <xm:f>NOT(ISERROR(SEARCH("-",I119)))</xm:f>
            <xm:f>"-"</xm:f>
            <x14:dxf>
              <fill>
                <patternFill>
                  <bgColor rgb="FF00B050"/>
                </patternFill>
              </fill>
            </x14:dxf>
          </x14:cfRule>
          <xm:sqref>I119:I134</xm:sqref>
        </x14:conditionalFormatting>
        <x14:conditionalFormatting xmlns:xm="http://schemas.microsoft.com/office/excel/2006/main">
          <x14:cfRule type="containsText" priority="41" operator="containsText" id="{886ACAB6-BE4F-433C-879D-F385758D118B}">
            <xm:f>NOT(ISERROR(SEARCH("-",I135)))</xm:f>
            <xm:f>"-"</xm:f>
            <x14:dxf>
              <fill>
                <patternFill>
                  <bgColor rgb="FF00B050"/>
                </patternFill>
              </fill>
            </x14:dxf>
          </x14:cfRule>
          <xm:sqref>I135:I152</xm:sqref>
        </x14:conditionalFormatting>
        <x14:conditionalFormatting xmlns:xm="http://schemas.microsoft.com/office/excel/2006/main">
          <x14:cfRule type="containsText" priority="39" operator="containsText" id="{B20AB126-D540-4747-A904-2E5BD6DBE861}">
            <xm:f>NOT(ISERROR(SEARCH("-",I153)))</xm:f>
            <xm:f>"-"</xm:f>
            <x14:dxf>
              <fill>
                <patternFill>
                  <bgColor rgb="FF00B050"/>
                </patternFill>
              </fill>
            </x14:dxf>
          </x14:cfRule>
          <xm:sqref>I153:I157</xm:sqref>
        </x14:conditionalFormatting>
        <x14:conditionalFormatting xmlns:xm="http://schemas.microsoft.com/office/excel/2006/main">
          <x14:cfRule type="containsText" priority="37" operator="containsText" id="{64F755EF-CE63-4FC9-AEC7-96E97BB198CD}">
            <xm:f>NOT(ISERROR(SEARCH("-",I158)))</xm:f>
            <xm:f>"-"</xm:f>
            <x14:dxf>
              <fill>
                <patternFill>
                  <bgColor rgb="FF00B050"/>
                </patternFill>
              </fill>
            </x14:dxf>
          </x14:cfRule>
          <xm:sqref>I158:I164</xm:sqref>
        </x14:conditionalFormatting>
        <x14:conditionalFormatting xmlns:xm="http://schemas.microsoft.com/office/excel/2006/main">
          <x14:cfRule type="containsText" priority="35" operator="containsText" id="{48040EF3-AE43-4BD3-A438-DB07621025BB}">
            <xm:f>NOT(ISERROR(SEARCH("-",I165)))</xm:f>
            <xm:f>"-"</xm:f>
            <x14:dxf>
              <fill>
                <patternFill>
                  <bgColor rgb="FF00B050"/>
                </patternFill>
              </fill>
            </x14:dxf>
          </x14:cfRule>
          <xm:sqref>I165:I205</xm:sqref>
        </x14:conditionalFormatting>
        <x14:conditionalFormatting xmlns:xm="http://schemas.microsoft.com/office/excel/2006/main">
          <x14:cfRule type="containsText" priority="33" operator="containsText" id="{533B8152-2430-4744-829A-264D531C76D0}">
            <xm:f>NOT(ISERROR(SEARCH("-",I206)))</xm:f>
            <xm:f>"-"</xm:f>
            <x14:dxf>
              <fill>
                <patternFill>
                  <bgColor rgb="FF00B050"/>
                </patternFill>
              </fill>
            </x14:dxf>
          </x14:cfRule>
          <xm:sqref>I206:I213</xm:sqref>
        </x14:conditionalFormatting>
        <x14:conditionalFormatting xmlns:xm="http://schemas.microsoft.com/office/excel/2006/main">
          <x14:cfRule type="containsText" priority="31" operator="containsText" id="{4EC77F60-A187-44DA-B2DD-6C9DE76B829D}">
            <xm:f>NOT(ISERROR(SEARCH("-",I214)))</xm:f>
            <xm:f>"-"</xm:f>
            <x14:dxf>
              <fill>
                <patternFill>
                  <bgColor rgb="FF00B050"/>
                </patternFill>
              </fill>
            </x14:dxf>
          </x14:cfRule>
          <xm:sqref>I214:I219</xm:sqref>
        </x14:conditionalFormatting>
        <x14:conditionalFormatting xmlns:xm="http://schemas.microsoft.com/office/excel/2006/main">
          <x14:cfRule type="containsText" priority="29" operator="containsText" id="{EBE6737F-4AF3-42D1-8A3F-0210D814E3C4}">
            <xm:f>NOT(ISERROR(SEARCH("-",I220)))</xm:f>
            <xm:f>"-"</xm:f>
            <x14:dxf>
              <fill>
                <patternFill>
                  <bgColor rgb="FF00B050"/>
                </patternFill>
              </fill>
            </x14:dxf>
          </x14:cfRule>
          <xm:sqref>I220:I221</xm:sqref>
        </x14:conditionalFormatting>
        <x14:conditionalFormatting xmlns:xm="http://schemas.microsoft.com/office/excel/2006/main">
          <x14:cfRule type="containsText" priority="27" operator="containsText" id="{DE571ABE-2D2A-4FEB-B3B7-D71355F9ED3B}">
            <xm:f>NOT(ISERROR(SEARCH("-",I222)))</xm:f>
            <xm:f>"-"</xm:f>
            <x14:dxf>
              <fill>
                <patternFill>
                  <bgColor rgb="FF00B050"/>
                </patternFill>
              </fill>
            </x14:dxf>
          </x14:cfRule>
          <xm:sqref>I222:I226</xm:sqref>
        </x14:conditionalFormatting>
        <x14:conditionalFormatting xmlns:xm="http://schemas.microsoft.com/office/excel/2006/main">
          <x14:cfRule type="containsText" priority="25" operator="containsText" id="{83B47D29-52C8-4628-B0D6-99ABEE8DB762}">
            <xm:f>NOT(ISERROR(SEARCH("-",I227)))</xm:f>
            <xm:f>"-"</xm:f>
            <x14:dxf>
              <fill>
                <patternFill>
                  <bgColor rgb="FF00B050"/>
                </patternFill>
              </fill>
            </x14:dxf>
          </x14:cfRule>
          <xm:sqref>I227:I228</xm:sqref>
        </x14:conditionalFormatting>
        <x14:conditionalFormatting xmlns:xm="http://schemas.microsoft.com/office/excel/2006/main">
          <x14:cfRule type="containsText" priority="23" operator="containsText" id="{04B63AB4-C7FB-4B00-92CC-6A5977217774}">
            <xm:f>NOT(ISERROR(SEARCH("-",I229)))</xm:f>
            <xm:f>"-"</xm:f>
            <x14:dxf>
              <fill>
                <patternFill>
                  <bgColor rgb="FF00B050"/>
                </patternFill>
              </fill>
            </x14:dxf>
          </x14:cfRule>
          <xm:sqref>I229:I249</xm:sqref>
        </x14:conditionalFormatting>
        <x14:conditionalFormatting xmlns:xm="http://schemas.microsoft.com/office/excel/2006/main">
          <x14:cfRule type="containsText" priority="21" operator="containsText" id="{659255D0-DA2A-4A98-BD70-698023A16A27}">
            <xm:f>NOT(ISERROR(SEARCH("-",I250)))</xm:f>
            <xm:f>"-"</xm:f>
            <x14:dxf>
              <fill>
                <patternFill>
                  <bgColor rgb="FF00B050"/>
                </patternFill>
              </fill>
            </x14:dxf>
          </x14:cfRule>
          <xm:sqref>I250:I261</xm:sqref>
        </x14:conditionalFormatting>
        <x14:conditionalFormatting xmlns:xm="http://schemas.microsoft.com/office/excel/2006/main">
          <x14:cfRule type="containsText" priority="19" operator="containsText" id="{D5D7B4A6-4982-48EB-A376-963EF6F51CB8}">
            <xm:f>NOT(ISERROR(SEARCH("-",I262)))</xm:f>
            <xm:f>"-"</xm:f>
            <x14:dxf>
              <fill>
                <patternFill>
                  <bgColor rgb="FF00B050"/>
                </patternFill>
              </fill>
            </x14:dxf>
          </x14:cfRule>
          <xm:sqref>I262:I305</xm:sqref>
        </x14:conditionalFormatting>
        <x14:conditionalFormatting xmlns:xm="http://schemas.microsoft.com/office/excel/2006/main">
          <x14:cfRule type="containsText" priority="17" operator="containsText" id="{3C35BA98-63C6-4E20-A33E-355F1898AB11}">
            <xm:f>NOT(ISERROR(SEARCH("-",I306)))</xm:f>
            <xm:f>"-"</xm:f>
            <x14:dxf>
              <fill>
                <patternFill>
                  <bgColor rgb="FF00B050"/>
                </patternFill>
              </fill>
            </x14:dxf>
          </x14:cfRule>
          <xm:sqref>I306:I322</xm:sqref>
        </x14:conditionalFormatting>
        <x14:conditionalFormatting xmlns:xm="http://schemas.microsoft.com/office/excel/2006/main">
          <x14:cfRule type="containsText" priority="15" operator="containsText" id="{8F663F47-7F1E-4111-9954-B130BAE919C3}">
            <xm:f>NOT(ISERROR(SEARCH("-",I323)))</xm:f>
            <xm:f>"-"</xm:f>
            <x14:dxf>
              <fill>
                <patternFill>
                  <bgColor rgb="FF00B050"/>
                </patternFill>
              </fill>
            </x14:dxf>
          </x14:cfRule>
          <xm:sqref>I323:I360</xm:sqref>
        </x14:conditionalFormatting>
        <x14:conditionalFormatting xmlns:xm="http://schemas.microsoft.com/office/excel/2006/main">
          <x14:cfRule type="containsText" priority="13" operator="containsText" id="{4062C901-5D39-48F6-A527-D3D54E44CEF8}">
            <xm:f>NOT(ISERROR(SEARCH("-",I361)))</xm:f>
            <xm:f>"-"</xm:f>
            <x14:dxf>
              <fill>
                <patternFill>
                  <bgColor rgb="FF00B050"/>
                </patternFill>
              </fill>
            </x14:dxf>
          </x14:cfRule>
          <xm:sqref>I361:I367</xm:sqref>
        </x14:conditionalFormatting>
        <x14:conditionalFormatting xmlns:xm="http://schemas.microsoft.com/office/excel/2006/main">
          <x14:cfRule type="containsText" priority="11" operator="containsText" id="{5CD91A84-7DBE-409C-A8F3-3E32911D0A4A}">
            <xm:f>NOT(ISERROR(SEARCH("-",I368)))</xm:f>
            <xm:f>"-"</xm:f>
            <x14:dxf>
              <fill>
                <patternFill>
                  <bgColor rgb="FF00B050"/>
                </patternFill>
              </fill>
            </x14:dxf>
          </x14:cfRule>
          <xm:sqref>I368</xm:sqref>
        </x14:conditionalFormatting>
        <x14:conditionalFormatting xmlns:xm="http://schemas.microsoft.com/office/excel/2006/main">
          <x14:cfRule type="containsText" priority="8" operator="containsText" id="{2A3FED2E-FD8F-4A79-A479-B76E064BEF9C}">
            <xm:f>NOT(ISERROR(SEARCH("-",I369)))</xm:f>
            <xm:f>"-"</xm:f>
            <x14:dxf>
              <fill>
                <patternFill>
                  <bgColor rgb="FF00B050"/>
                </patternFill>
              </fill>
            </x14:dxf>
          </x14:cfRule>
          <xm:sqref>I369:I502</xm:sqref>
        </x14:conditionalFormatting>
        <x14:conditionalFormatting xmlns:xm="http://schemas.microsoft.com/office/excel/2006/main">
          <x14:cfRule type="containsText" priority="6" operator="containsText" id="{84977E97-C87E-4B79-AE45-E9181596E3B3}">
            <xm:f>NOT(ISERROR(SEARCH("-",I503)))</xm:f>
            <xm:f>"-"</xm:f>
            <x14:dxf>
              <fill>
                <patternFill>
                  <bgColor rgb="FF00B050"/>
                </patternFill>
              </fill>
            </x14:dxf>
          </x14:cfRule>
          <xm:sqref>I503:I507</xm:sqref>
        </x14:conditionalFormatting>
        <x14:conditionalFormatting xmlns:xm="http://schemas.microsoft.com/office/excel/2006/main">
          <x14:cfRule type="containsText" priority="4" operator="containsText" id="{6B7DF81E-E2E7-4BEE-86E7-0A87ABB5FE70}">
            <xm:f>NOT(ISERROR(SEARCH("-",I508)))</xm:f>
            <xm:f>"-"</xm:f>
            <x14:dxf>
              <fill>
                <patternFill>
                  <bgColor rgb="FF00B050"/>
                </patternFill>
              </fill>
            </x14:dxf>
          </x14:cfRule>
          <xm:sqref>I508:I513</xm:sqref>
        </x14:conditionalFormatting>
        <x14:conditionalFormatting xmlns:xm="http://schemas.microsoft.com/office/excel/2006/main">
          <x14:cfRule type="containsText" priority="2" operator="containsText" id="{C0760FD5-2BF3-4127-A17A-8F8E21F32084}">
            <xm:f>NOT(ISERROR(SEARCH("-",I514)))</xm:f>
            <xm:f>"-"</xm:f>
            <x14:dxf>
              <fill>
                <patternFill>
                  <bgColor rgb="FF00B050"/>
                </patternFill>
              </fill>
            </x14:dxf>
          </x14:cfRule>
          <xm:sqref>I514:I543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D62E63-2B7A-4246-85D1-0DA02BA43F23}">
  <sheetPr codeName="Feuil3"/>
  <dimension ref="A2:AR543"/>
  <sheetViews>
    <sheetView zoomScale="85" zoomScaleNormal="85" workbookViewId="0">
      <selection activeCell="A543" sqref="A543:XFD543"/>
    </sheetView>
  </sheetViews>
  <sheetFormatPr baseColWidth="10" defaultRowHeight="15" x14ac:dyDescent="0.25"/>
  <sheetData>
    <row r="2" spans="1:44" ht="72" x14ac:dyDescent="0.25">
      <c r="A2" s="30"/>
      <c r="B2" s="33" t="s">
        <v>23</v>
      </c>
      <c r="C2" s="4" t="s">
        <v>20</v>
      </c>
      <c r="D2" s="5" t="s">
        <v>21</v>
      </c>
      <c r="E2" s="6" t="s">
        <v>22</v>
      </c>
      <c r="F2" s="7" t="e">
        <f>G2+SUMIFS([1]commande!G:G,[1]commande!E:E,"=Kit joint venturi pour adoucisseur ECOWATER modèle R46 5.1",[1]commande!I:I,"=oui")+SUMIF('[1]mouvement autoclave'!B:B,"=Kit joint venturi pour adoucisseur ECOWATER modèle R46 5.1",'[1]mouvement autoclave'!G:G)</f>
        <v>#VALUE!</v>
      </c>
      <c r="G2" s="8">
        <v>0</v>
      </c>
      <c r="H2" s="9">
        <v>1</v>
      </c>
      <c r="I2" s="1" t="e">
        <f>IF(F2&lt;H2,"/!\","-")</f>
        <v>#VALUE!</v>
      </c>
      <c r="J2" s="11">
        <v>16.3</v>
      </c>
      <c r="K2" s="12" t="e">
        <f>F2*J2</f>
        <v>#VALUE!</v>
      </c>
      <c r="L2" s="30"/>
      <c r="M2" s="3" t="e">
        <f>SUM(Tableau113[[#This Row],[prix tot]])</f>
        <v>#VALUE!</v>
      </c>
      <c r="N2" s="30"/>
      <c r="O2" s="30"/>
      <c r="P2" s="30"/>
      <c r="Q2" s="30"/>
      <c r="R2" s="30"/>
      <c r="S2" s="30">
        <v>1</v>
      </c>
      <c r="T2" s="26"/>
      <c r="U2" s="26"/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6"/>
      <c r="AJ2" s="26"/>
      <c r="AK2" s="26"/>
      <c r="AL2" s="26"/>
      <c r="AM2" s="26"/>
      <c r="AN2" s="26"/>
      <c r="AO2" s="26"/>
      <c r="AP2" s="26"/>
      <c r="AQ2" s="26"/>
      <c r="AR2" s="26"/>
    </row>
    <row r="3" spans="1:44" ht="15.75" x14ac:dyDescent="0.25">
      <c r="A3" s="30"/>
      <c r="B3" s="13" t="s">
        <v>23</v>
      </c>
      <c r="C3" s="14" t="s">
        <v>24</v>
      </c>
      <c r="D3" s="5" t="s">
        <v>25</v>
      </c>
      <c r="E3" s="15" t="s">
        <v>26</v>
      </c>
      <c r="F3" s="7" t="e">
        <f>G3+SUMIFS([1]commande!G:G,[1]commande!E:E,"=capteur de proximité",[1]commande!I:I,"=oui")+SUMIF('[1]mouvement autoclave'!B:B,"=capteur de proximité",'[1]mouvement autoclave'!G:G)</f>
        <v>#VALUE!</v>
      </c>
      <c r="G3" s="7">
        <v>1</v>
      </c>
      <c r="H3" s="6">
        <v>1</v>
      </c>
      <c r="I3" s="2" t="e">
        <f>IF(F3&lt;H3,"/!\","-")</f>
        <v>#VALUE!</v>
      </c>
      <c r="J3" s="16">
        <v>36</v>
      </c>
      <c r="K3" s="17" t="e">
        <f>F3*J3</f>
        <v>#VALUE!</v>
      </c>
      <c r="L3" s="30"/>
      <c r="M3" s="30"/>
      <c r="N3" s="30"/>
      <c r="O3" s="30"/>
      <c r="P3" s="30"/>
      <c r="Q3" s="30"/>
      <c r="R3" s="30"/>
      <c r="S3" s="30">
        <v>1</v>
      </c>
      <c r="T3" s="26"/>
      <c r="U3" s="26"/>
      <c r="V3" s="26"/>
      <c r="W3" s="26"/>
      <c r="X3" s="26"/>
      <c r="Y3" s="26"/>
      <c r="Z3" s="26"/>
      <c r="AA3" s="26"/>
      <c r="AB3" s="26"/>
      <c r="AC3" s="26"/>
      <c r="AD3" s="26"/>
      <c r="AE3" s="26"/>
      <c r="AF3" s="26"/>
      <c r="AG3" s="26"/>
      <c r="AH3" s="26"/>
      <c r="AI3" s="26"/>
      <c r="AJ3" s="26"/>
      <c r="AK3" s="26"/>
      <c r="AL3" s="26"/>
      <c r="AM3" s="26"/>
      <c r="AN3" s="26"/>
      <c r="AO3" s="26"/>
      <c r="AP3" s="26"/>
      <c r="AQ3" s="26"/>
      <c r="AR3" s="26"/>
    </row>
    <row r="4" spans="1:44" ht="15.75" x14ac:dyDescent="0.25">
      <c r="A4" s="30"/>
      <c r="B4" s="13" t="s">
        <v>23</v>
      </c>
      <c r="C4" s="14" t="s">
        <v>27</v>
      </c>
      <c r="D4" s="5" t="s">
        <v>28</v>
      </c>
      <c r="E4" s="15" t="s">
        <v>26</v>
      </c>
      <c r="F4" s="7" t="e">
        <f>G4+SUMIFS([1]commande!G:G,[1]commande!E:E,"=capteur magnétique",[1]commande!I:I,"=oui")+SUMIF('[1]mouvement autoclave'!B:B,"=capteur magnétique",'[1]mouvement autoclave'!G:G)</f>
        <v>#VALUE!</v>
      </c>
      <c r="G4" s="7">
        <v>1</v>
      </c>
      <c r="H4" s="6">
        <v>1</v>
      </c>
      <c r="I4" s="2" t="e">
        <f t="shared" ref="I4" si="0">IF(F4&lt;H4,"/!\","-")</f>
        <v>#VALUE!</v>
      </c>
      <c r="J4" s="16">
        <v>36</v>
      </c>
      <c r="K4" s="17" t="e">
        <f t="shared" ref="K4" si="1">F4*J4</f>
        <v>#VALUE!</v>
      </c>
      <c r="L4" s="30"/>
      <c r="M4" s="30"/>
      <c r="N4" s="30"/>
      <c r="O4" s="30"/>
      <c r="P4" s="30"/>
      <c r="Q4" s="30"/>
      <c r="R4" s="30"/>
      <c r="S4" s="30">
        <v>1</v>
      </c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  <c r="AI4" s="26"/>
      <c r="AJ4" s="26"/>
      <c r="AK4" s="26"/>
      <c r="AL4" s="26"/>
      <c r="AM4" s="26"/>
      <c r="AN4" s="26"/>
      <c r="AO4" s="26"/>
      <c r="AP4" s="26"/>
      <c r="AQ4" s="26"/>
      <c r="AR4" s="26"/>
    </row>
    <row r="6" spans="1:44" ht="15.75" x14ac:dyDescent="0.25">
      <c r="A6" s="30"/>
      <c r="B6" s="13" t="s">
        <v>23</v>
      </c>
      <c r="C6" s="14" t="s">
        <v>32</v>
      </c>
      <c r="D6" s="5" t="s">
        <v>33</v>
      </c>
      <c r="E6" s="15" t="s">
        <v>26</v>
      </c>
      <c r="F6" s="7" t="e">
        <f>G6+SUMIFS([1]commande!G:G,[1]commande!E:E,"=disjoncteur 0,5",[1]commande!I:I,"=oui")+SUMIF('[1]mouvement autoclave'!B:B,"=disjoncteur 0,5",'[1]mouvement autoclave'!G:G)</f>
        <v>#VALUE!</v>
      </c>
      <c r="G6" s="7">
        <v>1</v>
      </c>
      <c r="H6" s="6">
        <v>0</v>
      </c>
      <c r="I6" s="2" t="e">
        <f t="shared" ref="I6:I10" si="2">IF(F6&lt;H6,"/!\","-")</f>
        <v>#VALUE!</v>
      </c>
      <c r="J6" s="16">
        <v>18.53</v>
      </c>
      <c r="K6" s="17" t="e">
        <f t="shared" ref="K6:K10" si="3">F6*J6</f>
        <v>#VALUE!</v>
      </c>
      <c r="L6" s="30"/>
      <c r="M6" s="30"/>
      <c r="N6" s="30"/>
      <c r="O6" s="30"/>
      <c r="P6" s="30"/>
      <c r="Q6" s="30"/>
      <c r="R6" s="30"/>
      <c r="S6" s="30">
        <v>1</v>
      </c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</row>
    <row r="7" spans="1:44" ht="36" x14ac:dyDescent="0.25">
      <c r="A7" s="30"/>
      <c r="B7" s="13" t="s">
        <v>23</v>
      </c>
      <c r="C7" s="18" t="s">
        <v>34</v>
      </c>
      <c r="D7" s="5" t="s">
        <v>35</v>
      </c>
      <c r="E7" s="19" t="s">
        <v>35</v>
      </c>
      <c r="F7" s="7" t="e">
        <f>G7+SUMIFS([1]commande!G:G,[1]commande!E:E,"=filtres 100 microns cintropur",[1]commande!I:I,"=oui")+SUMIF('[1]mouvement autoclave'!B:B,"=filtres 100 microns cintropur",'[1]mouvement autoclave'!G:G)</f>
        <v>#VALUE!</v>
      </c>
      <c r="G7" s="7">
        <v>0</v>
      </c>
      <c r="H7" s="20">
        <v>1</v>
      </c>
      <c r="I7" s="2" t="e">
        <f t="shared" si="2"/>
        <v>#VALUE!</v>
      </c>
      <c r="J7" s="21">
        <v>5</v>
      </c>
      <c r="K7" s="17" t="e">
        <f t="shared" si="3"/>
        <v>#VALUE!</v>
      </c>
      <c r="L7" s="30"/>
      <c r="M7" s="30"/>
      <c r="N7" s="30"/>
      <c r="O7" s="30"/>
      <c r="P7" s="30"/>
      <c r="Q7" s="30"/>
      <c r="R7" s="30"/>
      <c r="S7" s="30">
        <v>1</v>
      </c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  <c r="AL7" s="26"/>
      <c r="AM7" s="26"/>
      <c r="AN7" s="26"/>
      <c r="AO7" s="26"/>
      <c r="AP7" s="26"/>
      <c r="AQ7" s="26"/>
      <c r="AR7" s="26"/>
    </row>
    <row r="8" spans="1:44" ht="48" x14ac:dyDescent="0.25">
      <c r="A8" s="30"/>
      <c r="B8" s="13" t="s">
        <v>23</v>
      </c>
      <c r="C8" s="18" t="s">
        <v>36</v>
      </c>
      <c r="D8" s="5">
        <v>96488302</v>
      </c>
      <c r="E8" s="19" t="s">
        <v>37</v>
      </c>
      <c r="F8" s="7" t="e">
        <f>G8+SUMIFS([1]commande!G:G,[1]commande!E:E,"=garniture type BAQE pour pompe 11Kw",[1]commande!I:I,"=oui")+SUMIF('[1]mouvement autoclave'!B:B,"=garniture type BAQE pour pompe 11Kw",'[1]mouvement autoclave'!G:G)</f>
        <v>#VALUE!</v>
      </c>
      <c r="G8" s="7">
        <v>1</v>
      </c>
      <c r="H8" s="20">
        <v>1</v>
      </c>
      <c r="I8" s="2" t="e">
        <f t="shared" si="2"/>
        <v>#VALUE!</v>
      </c>
      <c r="J8" s="21">
        <v>161</v>
      </c>
      <c r="K8" s="17" t="e">
        <f t="shared" si="3"/>
        <v>#VALUE!</v>
      </c>
      <c r="L8" s="30"/>
      <c r="M8" s="30"/>
      <c r="N8" s="30"/>
      <c r="O8" s="30"/>
      <c r="P8" s="30"/>
      <c r="Q8" s="30"/>
      <c r="R8" s="30"/>
      <c r="S8" s="30">
        <v>1</v>
      </c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</row>
    <row r="9" spans="1:44" ht="15.75" x14ac:dyDescent="0.25">
      <c r="A9" s="30"/>
      <c r="B9" s="13" t="s">
        <v>23</v>
      </c>
      <c r="C9" s="14" t="s">
        <v>38</v>
      </c>
      <c r="D9" s="5">
        <v>97757659</v>
      </c>
      <c r="E9" s="34" t="s">
        <v>39</v>
      </c>
      <c r="F9" s="7" t="e">
        <f>G9+SUMIFS([1]commande!G:G,[1]commande!E:E,"=NB joint de corps pompe 11Kw",[1]commande!I:I,"=oui")+SUMIF('[1]mouvement autoclave'!B:B,"=NB joint de corps pompe 11Kw",'[1]mouvement autoclave'!G:G)</f>
        <v>#VALUE!</v>
      </c>
      <c r="G9" s="7">
        <v>2</v>
      </c>
      <c r="H9" s="6">
        <v>1</v>
      </c>
      <c r="I9" s="2" t="e">
        <f t="shared" si="2"/>
        <v>#VALUE!</v>
      </c>
      <c r="J9" s="16">
        <v>75.459999999999994</v>
      </c>
      <c r="K9" s="17" t="e">
        <f t="shared" si="3"/>
        <v>#VALUE!</v>
      </c>
      <c r="L9" s="30"/>
      <c r="M9" s="30"/>
      <c r="N9" s="30"/>
      <c r="O9" s="30"/>
      <c r="P9" s="30"/>
      <c r="Q9" s="30"/>
      <c r="R9" s="30"/>
      <c r="S9" s="30">
        <v>1</v>
      </c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</row>
    <row r="10" spans="1:44" ht="15.75" x14ac:dyDescent="0.25">
      <c r="A10" s="30"/>
      <c r="B10" s="13" t="s">
        <v>23</v>
      </c>
      <c r="C10" s="22" t="s">
        <v>40</v>
      </c>
      <c r="D10" s="23" t="s">
        <v>41</v>
      </c>
      <c r="E10" s="24" t="s">
        <v>42</v>
      </c>
      <c r="F10" s="7" t="e">
        <f>G10+SUMIFS([1]commande!G:G,[1]commande!E:E,"=I.H.M autoclave",[1]commande!I:I,"=oui")+SUMIF('[1]mouvement autoclave'!B:B,"=I.H.M autoclave",'[1]mouvement autoclave'!G:G)</f>
        <v>#VALUE!</v>
      </c>
      <c r="G10" s="25">
        <v>1</v>
      </c>
      <c r="H10" s="25">
        <v>1</v>
      </c>
      <c r="I10" s="2" t="e">
        <f t="shared" si="2"/>
        <v>#VALUE!</v>
      </c>
      <c r="J10" s="16">
        <v>1995</v>
      </c>
      <c r="K10" s="17" t="e">
        <f t="shared" si="3"/>
        <v>#VALUE!</v>
      </c>
      <c r="L10" s="30"/>
      <c r="M10" s="30"/>
      <c r="N10" s="30"/>
      <c r="O10" s="30"/>
      <c r="P10" s="30"/>
      <c r="Q10" s="30"/>
      <c r="R10" s="30"/>
      <c r="S10" s="30">
        <v>1</v>
      </c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  <c r="AM10" s="26"/>
      <c r="AN10" s="26"/>
      <c r="AO10" s="26"/>
      <c r="AP10" s="26"/>
      <c r="AQ10" s="26"/>
      <c r="AR10" s="26"/>
    </row>
    <row r="14" spans="1:44" ht="15" customHeight="1" x14ac:dyDescent="0.25">
      <c r="A14" s="30"/>
      <c r="B14" s="13" t="s">
        <v>23</v>
      </c>
      <c r="C14" s="14" t="s">
        <v>50</v>
      </c>
      <c r="D14" s="5" t="s">
        <v>51</v>
      </c>
      <c r="E14" s="15" t="s">
        <v>26</v>
      </c>
      <c r="F14" s="7" t="e">
        <f>G14+SUMIFS([1]commande!G:G,[1]commande!E:E,"=manomètre 0-6 bar G1/2 100mm",[1]commande!I:I,"=oui")+SUMIF('[1]mouvement autoclave'!B:B,"=manomètre 0-6 bar G1/2 100mm",'[1]mouvement autoclave'!G:G)</f>
        <v>#VALUE!</v>
      </c>
      <c r="G14" s="7">
        <v>1</v>
      </c>
      <c r="H14" s="6">
        <v>1</v>
      </c>
      <c r="I14" s="2" t="e">
        <f t="shared" ref="I14" si="4">IF(F14&lt;H14,"/!\","-")</f>
        <v>#VALUE!</v>
      </c>
      <c r="J14" s="16">
        <v>81.99</v>
      </c>
      <c r="K14" s="17" t="e">
        <f t="shared" ref="K14" si="5">F14*J14</f>
        <v>#VALUE!</v>
      </c>
      <c r="L14" s="30"/>
      <c r="M14" s="30"/>
      <c r="N14" s="30"/>
      <c r="O14" s="30"/>
      <c r="P14" s="30"/>
      <c r="Q14" s="30"/>
      <c r="R14" s="30"/>
      <c r="S14" s="30">
        <v>1</v>
      </c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</row>
    <row r="16" spans="1:44" ht="14.45" customHeight="1" x14ac:dyDescent="0.25">
      <c r="A16" s="30"/>
      <c r="B16" s="13" t="s">
        <v>23</v>
      </c>
      <c r="C16" s="14" t="s">
        <v>54</v>
      </c>
      <c r="D16" s="5" t="s">
        <v>55</v>
      </c>
      <c r="E16" s="15" t="s">
        <v>26</v>
      </c>
      <c r="F16" s="7" t="e">
        <f>G16+SUMIFS([1]commande!G:G,[1]commande!E:E,"=Pile chlorure de thionyle 3,6V 2400mAh",[1]commande!I:I,"=oui")+SUMIF('[1]mouvement autoclave'!B:B,"=Pile chlorure de thionyle 3,6V 2400mAh",'[1]mouvement autoclave'!G:G)</f>
        <v>#VALUE!</v>
      </c>
      <c r="G16" s="7">
        <v>0</v>
      </c>
      <c r="H16" s="6">
        <v>2</v>
      </c>
      <c r="I16" s="2" t="e">
        <f t="shared" ref="I16" si="6">IF(F16&lt;H16,"/!\","-")</f>
        <v>#VALUE!</v>
      </c>
      <c r="J16" s="16">
        <v>7.32</v>
      </c>
      <c r="K16" s="17" t="e">
        <f t="shared" ref="K16" si="7">F16*J16</f>
        <v>#VALUE!</v>
      </c>
      <c r="L16" s="30"/>
      <c r="M16" s="30"/>
      <c r="N16" s="30"/>
      <c r="O16" s="30"/>
      <c r="P16" s="30"/>
      <c r="Q16" s="30"/>
      <c r="R16" s="30"/>
      <c r="S16" s="30">
        <v>1</v>
      </c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  <c r="AM16" s="26"/>
      <c r="AN16" s="26"/>
      <c r="AO16" s="26"/>
      <c r="AP16" s="26"/>
      <c r="AQ16" s="26"/>
      <c r="AR16" s="26"/>
    </row>
    <row r="18" spans="1:44" ht="14.45" customHeight="1" x14ac:dyDescent="0.25">
      <c r="A18" s="30"/>
      <c r="B18" s="13" t="s">
        <v>23</v>
      </c>
      <c r="C18" s="14" t="s">
        <v>58</v>
      </c>
      <c r="D18" s="5" t="s">
        <v>59</v>
      </c>
      <c r="E18" s="15" t="s">
        <v>39</v>
      </c>
      <c r="F18" s="7" t="e">
        <f>G18+SUMIFS([1]commande!G:G,[1]commande!E:E,"=vanne de process dn 100 pn 25",[1]commande!I:I,"=oui")+SUMIF('[1]mouvement autoclave'!B:B,"=vanne de process dn 100 pn 25",'[1]mouvement autoclave'!G:G)</f>
        <v>#VALUE!</v>
      </c>
      <c r="G18" s="7">
        <v>1</v>
      </c>
      <c r="H18" s="6">
        <v>1</v>
      </c>
      <c r="I18" s="2" t="e">
        <f t="shared" ref="I18:I22" si="8">IF(F18&lt;H18,"/!\","-")</f>
        <v>#VALUE!</v>
      </c>
      <c r="J18" s="16">
        <v>2014</v>
      </c>
      <c r="K18" s="17" t="e">
        <f t="shared" ref="K18:K22" si="9">F18*J18</f>
        <v>#VALUE!</v>
      </c>
      <c r="L18" s="30"/>
      <c r="M18" s="30"/>
      <c r="N18" s="30"/>
      <c r="O18" s="30"/>
      <c r="P18" s="30"/>
      <c r="Q18" s="30"/>
      <c r="R18" s="30"/>
      <c r="S18" s="30">
        <v>1</v>
      </c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26"/>
      <c r="AE18" s="26"/>
      <c r="AF18" s="26"/>
      <c r="AG18" s="26"/>
      <c r="AH18" s="26"/>
      <c r="AI18" s="26"/>
      <c r="AJ18" s="26"/>
      <c r="AK18" s="26"/>
      <c r="AL18" s="26"/>
      <c r="AM18" s="26"/>
      <c r="AN18" s="26"/>
      <c r="AO18" s="26"/>
      <c r="AP18" s="26"/>
      <c r="AQ18" s="26"/>
      <c r="AR18" s="26"/>
    </row>
    <row r="19" spans="1:44" ht="14.45" customHeight="1" x14ac:dyDescent="0.25">
      <c r="A19" s="30"/>
      <c r="B19" s="13" t="s">
        <v>23</v>
      </c>
      <c r="C19" s="14" t="s">
        <v>60</v>
      </c>
      <c r="D19" s="5" t="s">
        <v>61</v>
      </c>
      <c r="E19" s="15" t="s">
        <v>39</v>
      </c>
      <c r="F19" s="7" t="e">
        <f>G19+SUMIFS([1]commande!G:G,[1]commande!E:E,"=vanne de process dn 20 pn 25",[1]commande!I:I,"=oui")+SUMIF('[1]mouvement autoclave'!B:B,"=vanne de process dn 20 pn 25",'[1]mouvement autoclave'!G:G)</f>
        <v>#VALUE!</v>
      </c>
      <c r="G19" s="7">
        <v>1</v>
      </c>
      <c r="H19" s="6">
        <v>1</v>
      </c>
      <c r="I19" s="2" t="e">
        <f t="shared" si="8"/>
        <v>#VALUE!</v>
      </c>
      <c r="J19" s="16">
        <v>360</v>
      </c>
      <c r="K19" s="17" t="e">
        <f t="shared" si="9"/>
        <v>#VALUE!</v>
      </c>
      <c r="L19" s="30"/>
      <c r="M19" s="30"/>
      <c r="N19" s="30"/>
      <c r="O19" s="30"/>
      <c r="P19" s="30"/>
      <c r="Q19" s="30"/>
      <c r="R19" s="30"/>
      <c r="S19" s="30">
        <v>1</v>
      </c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6"/>
      <c r="AL19" s="26"/>
      <c r="AM19" s="26"/>
      <c r="AN19" s="26"/>
      <c r="AO19" s="26"/>
      <c r="AP19" s="26"/>
      <c r="AQ19" s="26"/>
      <c r="AR19" s="26"/>
    </row>
    <row r="20" spans="1:44" ht="14.45" customHeight="1" x14ac:dyDescent="0.25">
      <c r="A20" s="30"/>
      <c r="B20" s="13" t="s">
        <v>23</v>
      </c>
      <c r="C20" s="14" t="s">
        <v>62</v>
      </c>
      <c r="D20" s="5" t="s">
        <v>63</v>
      </c>
      <c r="E20" s="15" t="s">
        <v>39</v>
      </c>
      <c r="F20" s="7" t="e">
        <f>G20+SUMIF('[1]mouvement autoclave'!B:B,"=vanne de process dn 40",'[1]mouvement autoclave'!G:G)</f>
        <v>#VALUE!</v>
      </c>
      <c r="G20" s="7">
        <v>1</v>
      </c>
      <c r="H20" s="6">
        <v>1</v>
      </c>
      <c r="I20" s="2" t="e">
        <f t="shared" si="8"/>
        <v>#VALUE!</v>
      </c>
      <c r="J20" s="16">
        <v>651</v>
      </c>
      <c r="K20" s="17" t="e">
        <f t="shared" si="9"/>
        <v>#VALUE!</v>
      </c>
      <c r="L20" s="30"/>
      <c r="M20" s="30"/>
      <c r="N20" s="30"/>
      <c r="O20" s="30"/>
      <c r="P20" s="30"/>
      <c r="Q20" s="30"/>
      <c r="R20" s="30"/>
      <c r="S20" s="30">
        <v>1</v>
      </c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26"/>
      <c r="AL20" s="26"/>
      <c r="AM20" s="26"/>
      <c r="AN20" s="26"/>
      <c r="AO20" s="26"/>
      <c r="AP20" s="26"/>
      <c r="AQ20" s="26"/>
      <c r="AR20" s="26"/>
    </row>
    <row r="21" spans="1:44" ht="14.45" customHeight="1" x14ac:dyDescent="0.25">
      <c r="A21" s="30"/>
      <c r="B21" s="13" t="s">
        <v>23</v>
      </c>
      <c r="C21" s="14" t="s">
        <v>64</v>
      </c>
      <c r="D21" s="5" t="s">
        <v>65</v>
      </c>
      <c r="E21" s="15" t="s">
        <v>39</v>
      </c>
      <c r="F21" s="7" t="e">
        <f>G21+SUMIF('[1]mouvement autoclave'!B:B,"=vanne de process dn 40 pn 25 316L",'[1]mouvement autoclave'!G:G)</f>
        <v>#VALUE!</v>
      </c>
      <c r="G21" s="7">
        <v>1</v>
      </c>
      <c r="H21" s="6">
        <v>1</v>
      </c>
      <c r="I21" s="2" t="e">
        <f t="shared" si="8"/>
        <v>#VALUE!</v>
      </c>
      <c r="J21" s="16">
        <v>355</v>
      </c>
      <c r="K21" s="17" t="e">
        <f t="shared" si="9"/>
        <v>#VALUE!</v>
      </c>
      <c r="L21" s="30"/>
      <c r="M21" s="30"/>
      <c r="N21" s="30"/>
      <c r="O21" s="30"/>
      <c r="P21" s="30"/>
      <c r="Q21" s="30"/>
      <c r="R21" s="30"/>
      <c r="S21" s="30">
        <v>1</v>
      </c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26"/>
      <c r="AP21" s="26"/>
      <c r="AQ21" s="26"/>
      <c r="AR21" s="26"/>
    </row>
    <row r="22" spans="1:44" ht="14.45" customHeight="1" x14ac:dyDescent="0.25">
      <c r="A22" s="30"/>
      <c r="B22" s="13" t="s">
        <v>23</v>
      </c>
      <c r="C22" s="14" t="s">
        <v>66</v>
      </c>
      <c r="D22" s="5" t="s">
        <v>67</v>
      </c>
      <c r="E22" s="15" t="s">
        <v>39</v>
      </c>
      <c r="F22" s="7" t="e">
        <f>G22+SUMIF('[1]mouvement autoclave'!B:B,"=vanne de process dn 50 pn 25",'[1]mouvement autoclave'!G:G)</f>
        <v>#VALUE!</v>
      </c>
      <c r="G22" s="7">
        <v>1</v>
      </c>
      <c r="H22" s="6">
        <v>1</v>
      </c>
      <c r="I22" s="2" t="e">
        <f t="shared" si="8"/>
        <v>#VALUE!</v>
      </c>
      <c r="J22" s="16">
        <v>760</v>
      </c>
      <c r="K22" s="17" t="e">
        <f t="shared" si="9"/>
        <v>#VALUE!</v>
      </c>
      <c r="L22" s="30"/>
      <c r="M22" s="30"/>
      <c r="N22" s="30"/>
      <c r="O22" s="30"/>
      <c r="P22" s="30"/>
      <c r="Q22" s="30"/>
      <c r="R22" s="30"/>
      <c r="S22" s="30">
        <v>1</v>
      </c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  <c r="AL22" s="26"/>
      <c r="AM22" s="26"/>
      <c r="AN22" s="26"/>
      <c r="AO22" s="26"/>
      <c r="AP22" s="26"/>
      <c r="AQ22" s="26"/>
      <c r="AR22" s="26"/>
    </row>
    <row r="26" spans="1:44" ht="14.45" customHeight="1" x14ac:dyDescent="0.25">
      <c r="A26" s="30"/>
      <c r="B26" s="13" t="s">
        <v>71</v>
      </c>
      <c r="C26" s="36" t="s">
        <v>75</v>
      </c>
      <c r="D26" s="38" t="s">
        <v>76</v>
      </c>
      <c r="E26" s="6" t="s">
        <v>74</v>
      </c>
      <c r="F26" s="7" t="e">
        <f>G26+SUMIF('[1]mouvement autolaveuse'!B:B,"=Courroie dentee",'[1]mouvement autolaveuse'!G:G)</f>
        <v>#VALUE!</v>
      </c>
      <c r="G26" s="7">
        <v>2</v>
      </c>
      <c r="H26" s="7">
        <v>2</v>
      </c>
      <c r="I26" s="10" t="e">
        <f>IF(F26&lt;H26,"/!\","-")</f>
        <v>#VALUE!</v>
      </c>
      <c r="J26" s="11">
        <v>12.74</v>
      </c>
      <c r="K26" s="12" t="e">
        <f>F26*J26</f>
        <v>#VALUE!</v>
      </c>
      <c r="L26" s="30"/>
      <c r="M26" s="35" t="e">
        <f>SUM(K25:K26)</f>
        <v>#VALUE!</v>
      </c>
      <c r="N26" s="30"/>
      <c r="O26" s="30"/>
      <c r="P26" s="30"/>
      <c r="Q26" s="30"/>
      <c r="R26" s="30"/>
      <c r="S26" s="30">
        <v>1</v>
      </c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26"/>
      <c r="AE26" s="26"/>
      <c r="AF26" s="26"/>
      <c r="AG26" s="26"/>
      <c r="AH26" s="26"/>
      <c r="AI26" s="26"/>
      <c r="AJ26" s="26"/>
      <c r="AK26" s="26"/>
      <c r="AL26" s="26"/>
      <c r="AM26" s="26"/>
      <c r="AN26" s="26"/>
      <c r="AO26" s="26"/>
      <c r="AP26" s="26"/>
      <c r="AQ26" s="26"/>
      <c r="AR26" s="26"/>
    </row>
    <row r="28" spans="1:44" ht="15" customHeight="1" x14ac:dyDescent="0.25">
      <c r="A28" s="30"/>
      <c r="B28" s="39" t="s">
        <v>77</v>
      </c>
      <c r="C28" s="45" t="s">
        <v>80</v>
      </c>
      <c r="D28" s="41" t="s">
        <v>81</v>
      </c>
      <c r="E28" s="46" t="s">
        <v>22</v>
      </c>
      <c r="F28" s="43" t="e">
        <f>G28+SUMIF('[1]mouvement bakon'!B:B,"=joint de type quad ring diam 28,17 x 3,53 mm (cylindre de dosage à piston)",'[1]mouvement bakon'!G:G)</f>
        <v>#VALUE!</v>
      </c>
      <c r="G28" s="43">
        <v>36</v>
      </c>
      <c r="H28" s="44">
        <v>16</v>
      </c>
      <c r="I28" s="2" t="e">
        <f t="shared" ref="I28" si="10">IF(F28&lt;H28,"/!\","-")</f>
        <v>#VALUE!</v>
      </c>
      <c r="J28" s="16">
        <v>23.5</v>
      </c>
      <c r="K28" s="17" t="e">
        <f t="shared" ref="K28" si="11">F28*J28</f>
        <v>#VALUE!</v>
      </c>
      <c r="L28" s="30"/>
      <c r="M28" s="30"/>
      <c r="N28" s="30"/>
      <c r="O28" s="30"/>
      <c r="P28" s="30"/>
      <c r="Q28" s="30"/>
      <c r="R28" s="30"/>
      <c r="S28" s="30">
        <v>1</v>
      </c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  <c r="AM28" s="26"/>
      <c r="AN28" s="26"/>
      <c r="AO28" s="26"/>
      <c r="AP28" s="26"/>
      <c r="AQ28" s="26"/>
      <c r="AR28" s="26"/>
    </row>
    <row r="30" spans="1:44" ht="15.75" x14ac:dyDescent="0.25">
      <c r="A30" s="30"/>
      <c r="B30" s="39" t="s">
        <v>77</v>
      </c>
      <c r="C30" s="40" t="s">
        <v>84</v>
      </c>
      <c r="D30" s="41" t="s">
        <v>85</v>
      </c>
      <c r="E30" s="46" t="s">
        <v>22</v>
      </c>
      <c r="F30" s="43" t="e">
        <f>G30+SUMIF('[1]mouvement bakon'!B:B,"=joint torique Dim 49,5 x 3 mm (bloc de dosage à piston)",'[1]mouvement bakon'!G:G)</f>
        <v>#VALUE!</v>
      </c>
      <c r="G30" s="43">
        <v>3</v>
      </c>
      <c r="H30" s="44">
        <v>16</v>
      </c>
      <c r="I30" s="2" t="e">
        <f t="shared" ref="I30:I34" si="12">IF(F30&lt;H30,"/!\","-")</f>
        <v>#VALUE!</v>
      </c>
      <c r="J30" s="16">
        <v>14.8</v>
      </c>
      <c r="K30" s="17" t="e">
        <f t="shared" ref="K30:K34" si="13">F30*J30</f>
        <v>#VALUE!</v>
      </c>
      <c r="L30" s="30"/>
      <c r="M30" s="30"/>
      <c r="N30" s="30"/>
      <c r="O30" s="30"/>
      <c r="P30" s="30"/>
      <c r="Q30" s="30"/>
      <c r="R30" s="30"/>
      <c r="S30" s="30">
        <v>1</v>
      </c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  <c r="AM30" s="26"/>
      <c r="AN30" s="26"/>
      <c r="AO30" s="26"/>
      <c r="AP30" s="26"/>
      <c r="AQ30" s="26"/>
      <c r="AR30" s="26"/>
    </row>
    <row r="31" spans="1:44" ht="15.75" x14ac:dyDescent="0.25">
      <c r="A31" s="30"/>
      <c r="B31" s="39" t="s">
        <v>77</v>
      </c>
      <c r="C31" s="40" t="s">
        <v>86</v>
      </c>
      <c r="D31" s="41" t="s">
        <v>87</v>
      </c>
      <c r="E31" s="46" t="s">
        <v>22</v>
      </c>
      <c r="F31" s="43" t="e">
        <f>G31+SUMIF('[1]mouvement bakon'!B:B,"=joint torique Dim 35 x 2,5 mm (tubes de distribution sauce)",'[1]mouvement bakon'!G:G)</f>
        <v>#VALUE!</v>
      </c>
      <c r="G31" s="43">
        <v>7</v>
      </c>
      <c r="H31" s="44">
        <v>16</v>
      </c>
      <c r="I31" s="2" t="e">
        <f t="shared" si="12"/>
        <v>#VALUE!</v>
      </c>
      <c r="J31" s="16">
        <v>7.7</v>
      </c>
      <c r="K31" s="17" t="e">
        <f t="shared" si="13"/>
        <v>#VALUE!</v>
      </c>
      <c r="L31" s="30"/>
      <c r="M31" s="30"/>
      <c r="N31" s="30"/>
      <c r="O31" s="30"/>
      <c r="P31" s="30"/>
      <c r="Q31" s="30"/>
      <c r="R31" s="30"/>
      <c r="S31" s="30">
        <v>1</v>
      </c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/>
      <c r="AN31" s="26"/>
      <c r="AO31" s="26"/>
      <c r="AP31" s="26"/>
      <c r="AQ31" s="26"/>
      <c r="AR31" s="26"/>
    </row>
    <row r="32" spans="1:44" ht="72" x14ac:dyDescent="0.25">
      <c r="A32" s="30"/>
      <c r="B32" s="39" t="s">
        <v>77</v>
      </c>
      <c r="C32" s="45" t="s">
        <v>88</v>
      </c>
      <c r="D32" s="41"/>
      <c r="E32" s="44" t="s">
        <v>22</v>
      </c>
      <c r="F32" s="43" t="e">
        <f>G32+SUMIF('[1]mouvement bakon'!B:B,"=joint torique Dim 18 x 2,5 mm (vérin pneumatique tête de dressage)",'[1]mouvement bakon'!G:G)</f>
        <v>#VALUE!</v>
      </c>
      <c r="G32" s="43">
        <v>-7</v>
      </c>
      <c r="H32" s="44">
        <v>16</v>
      </c>
      <c r="I32" s="2" t="e">
        <f t="shared" si="12"/>
        <v>#VALUE!</v>
      </c>
      <c r="J32" s="11">
        <v>0</v>
      </c>
      <c r="K32" s="17" t="e">
        <f t="shared" si="13"/>
        <v>#VALUE!</v>
      </c>
      <c r="L32" s="30"/>
      <c r="M32" s="30"/>
      <c r="N32" s="30"/>
      <c r="O32" s="30"/>
      <c r="P32" s="30"/>
      <c r="Q32" s="30"/>
      <c r="R32" s="30"/>
      <c r="S32" s="30">
        <v>1</v>
      </c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26"/>
      <c r="AE32" s="26"/>
      <c r="AF32" s="26"/>
      <c r="AG32" s="26"/>
      <c r="AH32" s="26"/>
      <c r="AI32" s="26"/>
      <c r="AJ32" s="26"/>
      <c r="AK32" s="26"/>
      <c r="AL32" s="26"/>
      <c r="AM32" s="26"/>
      <c r="AN32" s="26"/>
      <c r="AO32" s="26"/>
      <c r="AP32" s="26"/>
      <c r="AQ32" s="26"/>
      <c r="AR32" s="26"/>
    </row>
    <row r="33" spans="1:44" ht="15.75" x14ac:dyDescent="0.25">
      <c r="A33" s="30"/>
      <c r="B33" s="39" t="s">
        <v>77</v>
      </c>
      <c r="C33" s="40" t="s">
        <v>89</v>
      </c>
      <c r="D33" s="41" t="s">
        <v>90</v>
      </c>
      <c r="E33" s="44" t="s">
        <v>22</v>
      </c>
      <c r="F33" s="43" t="e">
        <f>G33+SUMIF('[1]mouvement bakon'!B:B,"=roulement axe trémie",'[1]mouvement bakon'!G:G)</f>
        <v>#VALUE!</v>
      </c>
      <c r="G33" s="43">
        <v>7</v>
      </c>
      <c r="H33" s="44">
        <v>2</v>
      </c>
      <c r="I33" s="2" t="e">
        <f t="shared" si="12"/>
        <v>#VALUE!</v>
      </c>
      <c r="J33" s="11">
        <v>0</v>
      </c>
      <c r="K33" s="17" t="e">
        <f t="shared" si="13"/>
        <v>#VALUE!</v>
      </c>
      <c r="L33" s="30"/>
      <c r="M33" s="30"/>
      <c r="N33" s="30"/>
      <c r="O33" s="30"/>
      <c r="P33" s="30"/>
      <c r="Q33" s="30"/>
      <c r="R33" s="30"/>
      <c r="S33" s="30">
        <v>1</v>
      </c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26"/>
      <c r="AE33" s="26"/>
      <c r="AF33" s="26"/>
      <c r="AG33" s="26"/>
      <c r="AH33" s="26"/>
      <c r="AI33" s="26"/>
      <c r="AJ33" s="26"/>
      <c r="AK33" s="26"/>
      <c r="AL33" s="26"/>
      <c r="AM33" s="26"/>
      <c r="AN33" s="26"/>
      <c r="AO33" s="26"/>
      <c r="AP33" s="26"/>
      <c r="AQ33" s="26"/>
      <c r="AR33" s="26"/>
    </row>
    <row r="34" spans="1:44" ht="15.75" x14ac:dyDescent="0.25">
      <c r="A34" s="30"/>
      <c r="B34" s="47" t="s">
        <v>77</v>
      </c>
      <c r="C34" s="48" t="s">
        <v>91</v>
      </c>
      <c r="D34" s="49">
        <v>6201</v>
      </c>
      <c r="E34" s="50" t="s">
        <v>22</v>
      </c>
      <c r="F34" s="51" t="e">
        <f>G34+SUMIF('[1]mouvement bakon'!B:B,"=Roulement support Trémie",'[1]mouvement bakon'!G:G)</f>
        <v>#VALUE!</v>
      </c>
      <c r="G34" s="51">
        <v>0</v>
      </c>
      <c r="H34" s="50">
        <v>2</v>
      </c>
      <c r="I34" s="2" t="e">
        <f t="shared" si="12"/>
        <v>#VALUE!</v>
      </c>
      <c r="J34" s="11">
        <v>0</v>
      </c>
      <c r="K34" s="17" t="e">
        <f t="shared" si="13"/>
        <v>#VALUE!</v>
      </c>
      <c r="L34" s="30"/>
      <c r="M34" s="30"/>
      <c r="N34" s="30"/>
      <c r="O34" s="30"/>
      <c r="P34" s="30"/>
      <c r="Q34" s="30"/>
      <c r="R34" s="30"/>
      <c r="S34" s="30">
        <v>1</v>
      </c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"/>
      <c r="AE34" s="26"/>
      <c r="AF34" s="26"/>
      <c r="AG34" s="26"/>
      <c r="AH34" s="26"/>
      <c r="AI34" s="26"/>
      <c r="AJ34" s="26"/>
      <c r="AK34" s="26"/>
      <c r="AL34" s="26"/>
      <c r="AM34" s="26"/>
      <c r="AN34" s="26"/>
      <c r="AO34" s="26"/>
      <c r="AP34" s="26"/>
      <c r="AQ34" s="26"/>
      <c r="AR34" s="26"/>
    </row>
    <row r="38" spans="1:44" ht="15.75" x14ac:dyDescent="0.25">
      <c r="A38" s="30"/>
      <c r="B38" s="56" t="s">
        <v>77</v>
      </c>
      <c r="C38" s="57" t="s">
        <v>98</v>
      </c>
      <c r="D38" s="58" t="s">
        <v>99</v>
      </c>
      <c r="E38" s="59" t="s">
        <v>22</v>
      </c>
      <c r="F38" s="60" t="e">
        <f>G38+SUMIF('[1]mouvement bakon'!B:B,"=capot harting 16 poles",'[1]mouvement bakon'!G:G)</f>
        <v>#VALUE!</v>
      </c>
      <c r="G38" s="60">
        <v>0</v>
      </c>
      <c r="H38" s="59">
        <v>2</v>
      </c>
      <c r="I38" s="2" t="e">
        <f t="shared" ref="I38" si="14">IF(F38&lt;H38,"/!\","-")</f>
        <v>#VALUE!</v>
      </c>
      <c r="J38" s="11">
        <v>7.3049999999999997</v>
      </c>
      <c r="K38" s="17" t="e">
        <f t="shared" ref="K38" si="15">F38*J38</f>
        <v>#VALUE!</v>
      </c>
      <c r="L38" s="30"/>
      <c r="M38" s="30"/>
      <c r="N38" s="30"/>
      <c r="O38" s="30"/>
      <c r="P38" s="30"/>
      <c r="Q38" s="30"/>
      <c r="R38" s="30"/>
      <c r="S38" s="30">
        <v>1</v>
      </c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  <c r="AM38" s="26"/>
      <c r="AN38" s="26"/>
      <c r="AO38" s="26"/>
      <c r="AP38" s="26"/>
      <c r="AQ38" s="26"/>
      <c r="AR38" s="26"/>
    </row>
    <row r="40" spans="1:44" ht="15.75" x14ac:dyDescent="0.25">
      <c r="A40" s="30"/>
      <c r="B40" s="56" t="s">
        <v>77</v>
      </c>
      <c r="C40" s="57" t="s">
        <v>102</v>
      </c>
      <c r="D40" s="58" t="s">
        <v>103</v>
      </c>
      <c r="E40" s="59" t="s">
        <v>22</v>
      </c>
      <c r="F40" s="60" t="e">
        <f>G40+SUMIF('[1]mouvement bakon'!B:B,"=connecteurs 9 broches prise harting f",'[1]mouvement bakon'!G:G)</f>
        <v>#VALUE!</v>
      </c>
      <c r="G40" s="60">
        <v>0</v>
      </c>
      <c r="H40" s="59">
        <v>1</v>
      </c>
      <c r="I40" s="2" t="e">
        <f t="shared" ref="I40" si="16">IF(F40&lt;H40,"/!\","-")</f>
        <v>#VALUE!</v>
      </c>
      <c r="J40" s="11">
        <v>28.96</v>
      </c>
      <c r="K40" s="17" t="e">
        <f t="shared" ref="K40" si="17">F40*J40</f>
        <v>#VALUE!</v>
      </c>
      <c r="L40" s="30"/>
      <c r="M40" s="30"/>
      <c r="N40" s="30"/>
      <c r="O40" s="30"/>
      <c r="P40" s="30"/>
      <c r="Q40" s="30"/>
      <c r="R40" s="30"/>
      <c r="S40" s="30">
        <v>1</v>
      </c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  <c r="AO40" s="26"/>
      <c r="AP40" s="26"/>
      <c r="AQ40" s="26"/>
      <c r="AR40" s="26"/>
    </row>
    <row r="42" spans="1:44" ht="15.75" x14ac:dyDescent="0.25">
      <c r="A42" s="30"/>
      <c r="B42" s="13" t="s">
        <v>77</v>
      </c>
      <c r="C42" s="14" t="s">
        <v>106</v>
      </c>
      <c r="D42" s="5" t="s">
        <v>107</v>
      </c>
      <c r="E42" s="6" t="s">
        <v>108</v>
      </c>
      <c r="F42" s="7" t="e">
        <f>G42+SUMIF('[1]mouvement bakon'!B:B,"=connecteur F HARTING HAN8 16A",'[1]mouvement bakon'!G:G)</f>
        <v>#VALUE!</v>
      </c>
      <c r="G42" s="7">
        <v>4</v>
      </c>
      <c r="H42" s="6">
        <v>1</v>
      </c>
      <c r="I42" s="2" t="e">
        <f t="shared" ref="I42:I46" si="18">IF(F42&lt;H42,"/!\","-")</f>
        <v>#VALUE!</v>
      </c>
      <c r="J42" s="11">
        <v>13.667999999999999</v>
      </c>
      <c r="K42" s="17" t="e">
        <f t="shared" ref="K42:K46" si="19">F42*J42</f>
        <v>#VALUE!</v>
      </c>
      <c r="L42" s="30"/>
      <c r="M42" s="30"/>
      <c r="N42" s="30"/>
      <c r="O42" s="30"/>
      <c r="P42" s="30"/>
      <c r="Q42" s="30"/>
      <c r="R42" s="30"/>
      <c r="S42" s="30">
        <v>1</v>
      </c>
      <c r="T42" s="26"/>
      <c r="U42" s="26"/>
      <c r="V42" s="26"/>
      <c r="W42" s="26"/>
      <c r="X42" s="26"/>
      <c r="Y42" s="26"/>
      <c r="Z42" s="26"/>
      <c r="AA42" s="26"/>
      <c r="AB42" s="26"/>
      <c r="AC42" s="26"/>
      <c r="AD42" s="26"/>
      <c r="AE42" s="26"/>
      <c r="AF42" s="26"/>
      <c r="AG42" s="26"/>
      <c r="AH42" s="26"/>
      <c r="AI42" s="26"/>
      <c r="AJ42" s="26"/>
      <c r="AK42" s="26"/>
      <c r="AL42" s="26"/>
      <c r="AM42" s="26"/>
      <c r="AN42" s="26"/>
      <c r="AO42" s="26"/>
      <c r="AP42" s="26"/>
      <c r="AQ42" s="26"/>
      <c r="AR42" s="26"/>
    </row>
    <row r="43" spans="1:44" ht="15.75" x14ac:dyDescent="0.25">
      <c r="A43" s="30"/>
      <c r="B43" s="13" t="s">
        <v>77</v>
      </c>
      <c r="C43" s="14" t="s">
        <v>109</v>
      </c>
      <c r="D43" s="5" t="s">
        <v>110</v>
      </c>
      <c r="E43" s="6" t="s">
        <v>108</v>
      </c>
      <c r="F43" s="7" t="e">
        <f>G43+SUMIF('[1]mouvement bakon'!B:B,"=connecteur M HARTING HAN8 16A ",'[1]mouvement bakon'!G:G)</f>
        <v>#VALUE!</v>
      </c>
      <c r="G43" s="7">
        <v>5</v>
      </c>
      <c r="H43" s="6">
        <v>1</v>
      </c>
      <c r="I43" s="2" t="e">
        <f t="shared" si="18"/>
        <v>#VALUE!</v>
      </c>
      <c r="J43" s="11">
        <v>13.294</v>
      </c>
      <c r="K43" s="17" t="e">
        <f t="shared" si="19"/>
        <v>#VALUE!</v>
      </c>
      <c r="L43" s="30"/>
      <c r="M43" s="30"/>
      <c r="N43" s="30"/>
      <c r="O43" s="30"/>
      <c r="P43" s="30"/>
      <c r="Q43" s="30"/>
      <c r="R43" s="30"/>
      <c r="S43" s="30">
        <v>1</v>
      </c>
      <c r="T43" s="26"/>
      <c r="U43" s="26"/>
      <c r="V43" s="26"/>
      <c r="W43" s="26"/>
      <c r="X43" s="26"/>
      <c r="Y43" s="26"/>
      <c r="Z43" s="26"/>
      <c r="AA43" s="26"/>
      <c r="AB43" s="26"/>
      <c r="AC43" s="26"/>
      <c r="AD43" s="26"/>
      <c r="AE43" s="26"/>
      <c r="AF43" s="26"/>
      <c r="AG43" s="26"/>
      <c r="AH43" s="26"/>
      <c r="AI43" s="26"/>
      <c r="AJ43" s="26"/>
      <c r="AK43" s="26"/>
      <c r="AL43" s="26"/>
      <c r="AM43" s="26"/>
      <c r="AN43" s="26"/>
      <c r="AO43" s="26"/>
      <c r="AP43" s="26"/>
      <c r="AQ43" s="26"/>
      <c r="AR43" s="26"/>
    </row>
    <row r="44" spans="1:44" ht="15.75" x14ac:dyDescent="0.25">
      <c r="A44" s="30"/>
      <c r="B44" s="13" t="s">
        <v>77</v>
      </c>
      <c r="C44" s="14" t="s">
        <v>111</v>
      </c>
      <c r="D44" s="5" t="s">
        <v>112</v>
      </c>
      <c r="E44" s="6" t="s">
        <v>108</v>
      </c>
      <c r="F44" s="7" t="e">
        <f>G44+SUMIF('[1]mouvement bakon'!B:B,"=connecteur F HARTING HAN8 10A ",'[1]mouvement bakon'!G:G)</f>
        <v>#VALUE!</v>
      </c>
      <c r="G44" s="7">
        <v>7</v>
      </c>
      <c r="H44" s="6">
        <v>2</v>
      </c>
      <c r="I44" s="2" t="e">
        <f t="shared" si="18"/>
        <v>#VALUE!</v>
      </c>
      <c r="J44" s="11">
        <v>18.6495</v>
      </c>
      <c r="K44" s="17" t="e">
        <f t="shared" si="19"/>
        <v>#VALUE!</v>
      </c>
      <c r="L44" s="30"/>
      <c r="M44" s="30"/>
      <c r="N44" s="30"/>
      <c r="O44" s="30"/>
      <c r="P44" s="30"/>
      <c r="Q44" s="30"/>
      <c r="R44" s="30"/>
      <c r="S44" s="30">
        <v>1</v>
      </c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26"/>
      <c r="AE44" s="26"/>
      <c r="AF44" s="26"/>
      <c r="AG44" s="26"/>
      <c r="AH44" s="26"/>
      <c r="AI44" s="26"/>
      <c r="AJ44" s="26"/>
      <c r="AK44" s="26"/>
      <c r="AL44" s="26"/>
      <c r="AM44" s="26"/>
      <c r="AN44" s="26"/>
      <c r="AO44" s="26"/>
      <c r="AP44" s="26"/>
      <c r="AQ44" s="26"/>
      <c r="AR44" s="26"/>
    </row>
    <row r="45" spans="1:44" ht="15.75" x14ac:dyDescent="0.25">
      <c r="A45" s="30"/>
      <c r="B45" s="13" t="s">
        <v>77</v>
      </c>
      <c r="C45" s="14" t="s">
        <v>113</v>
      </c>
      <c r="D45" s="5" t="s">
        <v>114</v>
      </c>
      <c r="E45" s="6" t="s">
        <v>108</v>
      </c>
      <c r="F45" s="7" t="e">
        <f>G45+SUMIF('[1]mouvement bakon'!B:B,"=connecteur M HARTING HAN8 10A ",'[1]mouvement bakon'!G:G)</f>
        <v>#VALUE!</v>
      </c>
      <c r="G45" s="7">
        <v>9</v>
      </c>
      <c r="H45" s="6">
        <v>2</v>
      </c>
      <c r="I45" s="2" t="e">
        <f t="shared" si="18"/>
        <v>#VALUE!</v>
      </c>
      <c r="J45" s="11">
        <v>16.178999999999998</v>
      </c>
      <c r="K45" s="17" t="e">
        <f t="shared" si="19"/>
        <v>#VALUE!</v>
      </c>
      <c r="L45" s="30"/>
      <c r="M45" s="30"/>
      <c r="N45" s="30"/>
      <c r="O45" s="30"/>
      <c r="P45" s="30"/>
      <c r="Q45" s="30"/>
      <c r="R45" s="30"/>
      <c r="S45" s="30">
        <v>1</v>
      </c>
      <c r="T45" s="26"/>
      <c r="U45" s="26"/>
      <c r="V45" s="26"/>
      <c r="W45" s="26"/>
      <c r="X45" s="26"/>
      <c r="Y45" s="26"/>
      <c r="Z45" s="26"/>
      <c r="AA45" s="26"/>
      <c r="AB45" s="26"/>
      <c r="AC45" s="26"/>
      <c r="AD45" s="26"/>
      <c r="AE45" s="26"/>
      <c r="AF45" s="26"/>
      <c r="AG45" s="26"/>
      <c r="AH45" s="26"/>
      <c r="AI45" s="26"/>
      <c r="AJ45" s="26"/>
      <c r="AK45" s="26"/>
      <c r="AL45" s="26"/>
      <c r="AM45" s="26"/>
      <c r="AN45" s="26"/>
      <c r="AO45" s="26"/>
      <c r="AP45" s="26"/>
      <c r="AQ45" s="26"/>
      <c r="AR45" s="26"/>
    </row>
    <row r="46" spans="1:44" ht="15.75" x14ac:dyDescent="0.25">
      <c r="A46" s="30"/>
      <c r="B46" s="13" t="s">
        <v>77</v>
      </c>
      <c r="C46" s="14" t="s">
        <v>115</v>
      </c>
      <c r="D46" s="5" t="s">
        <v>116</v>
      </c>
      <c r="E46" s="6" t="s">
        <v>96</v>
      </c>
      <c r="F46" s="7" t="e">
        <f>G46+SUMIF('[1]mouvement bakon'!B:B,"=équerre mal 1/8 T6",'[1]mouvement bakon'!G:G)</f>
        <v>#VALUE!</v>
      </c>
      <c r="G46" s="7">
        <v>4</v>
      </c>
      <c r="H46" s="6">
        <v>2</v>
      </c>
      <c r="I46" s="2" t="e">
        <f t="shared" si="18"/>
        <v>#VALUE!</v>
      </c>
      <c r="J46" s="11">
        <v>2.91</v>
      </c>
      <c r="K46" s="17" t="e">
        <f t="shared" si="19"/>
        <v>#VALUE!</v>
      </c>
      <c r="L46" s="30"/>
      <c r="M46" s="30"/>
      <c r="N46" s="30"/>
      <c r="O46" s="30"/>
      <c r="P46" s="30"/>
      <c r="Q46" s="30"/>
      <c r="R46" s="30"/>
      <c r="S46" s="30">
        <v>1</v>
      </c>
      <c r="T46" s="26"/>
      <c r="U46" s="26"/>
      <c r="V46" s="26"/>
      <c r="W46" s="26"/>
      <c r="X46" s="26"/>
      <c r="Y46" s="26"/>
      <c r="Z46" s="26"/>
      <c r="AA46" s="26"/>
      <c r="AB46" s="26"/>
      <c r="AC46" s="26"/>
      <c r="AD46" s="26"/>
      <c r="AE46" s="26"/>
      <c r="AF46" s="26"/>
      <c r="AG46" s="26"/>
      <c r="AH46" s="26"/>
      <c r="AI46" s="26"/>
      <c r="AJ46" s="26"/>
      <c r="AK46" s="26"/>
      <c r="AL46" s="26"/>
      <c r="AM46" s="26"/>
      <c r="AN46" s="26"/>
      <c r="AO46" s="26"/>
      <c r="AP46" s="26"/>
      <c r="AQ46" s="26"/>
      <c r="AR46" s="26"/>
    </row>
    <row r="50" spans="1:44" ht="15.75" x14ac:dyDescent="0.25">
      <c r="A50" s="30"/>
      <c r="B50" s="13" t="s">
        <v>77</v>
      </c>
      <c r="C50" s="14" t="s">
        <v>123</v>
      </c>
      <c r="D50" s="5" t="s">
        <v>124</v>
      </c>
      <c r="E50" s="6" t="s">
        <v>22</v>
      </c>
      <c r="F50" s="7" t="e">
        <f>G50+SUMIF('[1]mouvement bakon'!B:B,"=vérin compact",'[1]mouvement bakon'!G:G)</f>
        <v>#VALUE!</v>
      </c>
      <c r="G50" s="7">
        <v>1</v>
      </c>
      <c r="H50" s="6">
        <v>1</v>
      </c>
      <c r="I50" s="2" t="e">
        <f t="shared" ref="I50" si="20">IF(F50&lt;H50,"/!\","-")</f>
        <v>#VALUE!</v>
      </c>
      <c r="J50" s="11">
        <v>66.7</v>
      </c>
      <c r="K50" s="17" t="e">
        <f t="shared" ref="K50" si="21">F50*J50</f>
        <v>#VALUE!</v>
      </c>
      <c r="L50" s="30"/>
      <c r="M50" s="30"/>
      <c r="N50" s="30"/>
      <c r="O50" s="30"/>
      <c r="P50" s="30"/>
      <c r="Q50" s="30"/>
      <c r="R50" s="30"/>
      <c r="S50" s="30">
        <v>1</v>
      </c>
      <c r="T50" s="26"/>
      <c r="U50" s="26"/>
      <c r="V50" s="26"/>
      <c r="W50" s="26"/>
      <c r="X50" s="26"/>
      <c r="Y50" s="26"/>
      <c r="Z50" s="26"/>
      <c r="AA50" s="26"/>
      <c r="AB50" s="26"/>
      <c r="AC50" s="26"/>
      <c r="AD50" s="26"/>
      <c r="AE50" s="26"/>
      <c r="AF50" s="26"/>
      <c r="AG50" s="26"/>
      <c r="AH50" s="26"/>
      <c r="AI50" s="26"/>
      <c r="AJ50" s="26"/>
      <c r="AK50" s="26"/>
      <c r="AL50" s="26"/>
      <c r="AM50" s="26"/>
      <c r="AN50" s="26"/>
      <c r="AO50" s="26"/>
      <c r="AP50" s="26"/>
      <c r="AQ50" s="26"/>
      <c r="AR50" s="26"/>
    </row>
    <row r="52" spans="1:44" ht="15.75" x14ac:dyDescent="0.25">
      <c r="A52" s="30"/>
      <c r="B52" s="13" t="s">
        <v>77</v>
      </c>
      <c r="C52" s="14" t="s">
        <v>126</v>
      </c>
      <c r="D52" s="5" t="s">
        <v>127</v>
      </c>
      <c r="E52" s="6" t="s">
        <v>22</v>
      </c>
      <c r="F52" s="7" t="e">
        <f>G52+SUMIF('[1]mouvement bakon'!B:B,"=capteur ILS",'[1]mouvement bakon'!G:G)</f>
        <v>#VALUE!</v>
      </c>
      <c r="G52" s="7">
        <v>2</v>
      </c>
      <c r="H52" s="6">
        <v>1</v>
      </c>
      <c r="I52" s="2" t="e">
        <f t="shared" ref="I52" si="22">IF(F52&lt;H52,"/!\","-")</f>
        <v>#VALUE!</v>
      </c>
      <c r="J52" s="11">
        <v>39.69</v>
      </c>
      <c r="K52" s="17" t="e">
        <f t="shared" ref="K52" si="23">F52*J52</f>
        <v>#VALUE!</v>
      </c>
      <c r="L52" s="30"/>
      <c r="M52" s="30"/>
      <c r="N52" s="30"/>
      <c r="O52" s="30"/>
      <c r="P52" s="30"/>
      <c r="Q52" s="30"/>
      <c r="R52" s="30"/>
      <c r="S52" s="30">
        <v>1</v>
      </c>
      <c r="T52" s="26"/>
      <c r="U52" s="26"/>
      <c r="V52" s="26"/>
      <c r="W52" s="26"/>
      <c r="X52" s="26"/>
      <c r="Y52" s="26"/>
      <c r="Z52" s="26"/>
      <c r="AA52" s="26"/>
      <c r="AB52" s="26"/>
      <c r="AC52" s="26"/>
      <c r="AD52" s="26"/>
      <c r="AE52" s="26"/>
      <c r="AF52" s="26"/>
      <c r="AG52" s="26"/>
      <c r="AH52" s="26"/>
      <c r="AI52" s="26"/>
      <c r="AJ52" s="26"/>
      <c r="AK52" s="26"/>
      <c r="AL52" s="26"/>
      <c r="AM52" s="26"/>
      <c r="AN52" s="26"/>
      <c r="AO52" s="26"/>
      <c r="AP52" s="26"/>
      <c r="AQ52" s="26"/>
      <c r="AR52" s="26"/>
    </row>
    <row r="54" spans="1:44" ht="15.75" x14ac:dyDescent="0.25">
      <c r="A54" s="30"/>
      <c r="B54" s="13" t="s">
        <v>77</v>
      </c>
      <c r="C54" s="14" t="s">
        <v>130</v>
      </c>
      <c r="D54" s="5" t="s">
        <v>131</v>
      </c>
      <c r="E54" s="6" t="s">
        <v>22</v>
      </c>
      <c r="F54" s="7" t="e">
        <f>G54+SUMIF('[1]mouvement bakon'!B:B,"=Joint 2",'[1]mouvement bakon'!G:G)</f>
        <v>#VALUE!</v>
      </c>
      <c r="G54" s="7">
        <v>8</v>
      </c>
      <c r="H54" s="6">
        <v>8</v>
      </c>
      <c r="I54" s="2" t="e">
        <f t="shared" ref="I54:I58" si="24">IF(F54&lt;H54,"/!\","-")</f>
        <v>#VALUE!</v>
      </c>
      <c r="J54" s="11">
        <v>1.85</v>
      </c>
      <c r="K54" s="17" t="e">
        <f t="shared" ref="K54:K58" si="25">F54*J54</f>
        <v>#VALUE!</v>
      </c>
      <c r="L54" s="30"/>
      <c r="M54" s="30"/>
      <c r="N54" s="30"/>
      <c r="O54" s="30"/>
      <c r="P54" s="30"/>
      <c r="Q54" s="30"/>
      <c r="R54" s="30"/>
      <c r="S54" s="30">
        <v>1</v>
      </c>
      <c r="T54" s="26"/>
      <c r="U54" s="26"/>
      <c r="V54" s="26"/>
      <c r="W54" s="26"/>
      <c r="X54" s="26"/>
      <c r="Y54" s="26"/>
      <c r="Z54" s="26"/>
      <c r="AA54" s="26"/>
      <c r="AB54" s="26"/>
      <c r="AC54" s="26"/>
      <c r="AD54" s="26"/>
      <c r="AE54" s="26"/>
      <c r="AF54" s="26"/>
      <c r="AG54" s="26"/>
      <c r="AH54" s="26"/>
      <c r="AI54" s="26"/>
      <c r="AJ54" s="26"/>
      <c r="AK54" s="26"/>
      <c r="AL54" s="26"/>
      <c r="AM54" s="26"/>
      <c r="AN54" s="26"/>
      <c r="AO54" s="26"/>
      <c r="AP54" s="26"/>
      <c r="AQ54" s="26"/>
      <c r="AR54" s="26"/>
    </row>
    <row r="55" spans="1:44" ht="15.75" x14ac:dyDescent="0.25">
      <c r="A55" s="30"/>
      <c r="B55" s="13" t="s">
        <v>77</v>
      </c>
      <c r="C55" s="14" t="s">
        <v>132</v>
      </c>
      <c r="D55" s="5" t="s">
        <v>133</v>
      </c>
      <c r="E55" s="6" t="s">
        <v>22</v>
      </c>
      <c r="F55" s="7" t="e">
        <f>G55+SUMIF('[1]mouvement bakon'!B:B,"=joint 3",'[1]mouvement bakon'!G:G)</f>
        <v>#VALUE!</v>
      </c>
      <c r="G55" s="7">
        <v>12</v>
      </c>
      <c r="H55" s="6">
        <v>8</v>
      </c>
      <c r="I55" s="2" t="e">
        <f t="shared" si="24"/>
        <v>#VALUE!</v>
      </c>
      <c r="J55" s="11">
        <v>8.3800000000000008</v>
      </c>
      <c r="K55" s="17" t="e">
        <f t="shared" si="25"/>
        <v>#VALUE!</v>
      </c>
      <c r="L55" s="30"/>
      <c r="M55" s="30"/>
      <c r="N55" s="30"/>
      <c r="O55" s="30"/>
      <c r="P55" s="30"/>
      <c r="Q55" s="30"/>
      <c r="R55" s="30"/>
      <c r="S55" s="30">
        <v>1</v>
      </c>
      <c r="T55" s="26"/>
      <c r="U55" s="26"/>
      <c r="V55" s="26"/>
      <c r="W55" s="26"/>
      <c r="X55" s="26"/>
      <c r="Y55" s="26"/>
      <c r="Z55" s="26"/>
      <c r="AA55" s="26"/>
      <c r="AB55" s="26"/>
      <c r="AC55" s="26"/>
      <c r="AD55" s="26"/>
      <c r="AE55" s="26"/>
      <c r="AF55" s="26"/>
      <c r="AG55" s="26"/>
      <c r="AH55" s="26"/>
      <c r="AI55" s="26"/>
      <c r="AJ55" s="26"/>
      <c r="AK55" s="26"/>
      <c r="AL55" s="26"/>
      <c r="AM55" s="26"/>
      <c r="AN55" s="26"/>
      <c r="AO55" s="26"/>
      <c r="AP55" s="26"/>
      <c r="AQ55" s="26"/>
      <c r="AR55" s="26"/>
    </row>
    <row r="56" spans="1:44" ht="15.75" x14ac:dyDescent="0.25">
      <c r="A56" s="30"/>
      <c r="B56" s="13" t="s">
        <v>77</v>
      </c>
      <c r="C56" s="14" t="s">
        <v>134</v>
      </c>
      <c r="D56" s="5" t="s">
        <v>135</v>
      </c>
      <c r="E56" s="6" t="s">
        <v>22</v>
      </c>
      <c r="F56" s="7" t="e">
        <f>G56+SUMIF('[1]mouvement bakon'!B:B,"=Joint 4",'[1]mouvement bakon'!G:G)</f>
        <v>#VALUE!</v>
      </c>
      <c r="G56" s="7">
        <v>4</v>
      </c>
      <c r="H56" s="6">
        <v>4</v>
      </c>
      <c r="I56" s="2" t="e">
        <f t="shared" si="24"/>
        <v>#VALUE!</v>
      </c>
      <c r="J56" s="11">
        <v>5.38</v>
      </c>
      <c r="K56" s="17" t="e">
        <f t="shared" si="25"/>
        <v>#VALUE!</v>
      </c>
      <c r="L56" s="30"/>
      <c r="M56" s="30"/>
      <c r="N56" s="30"/>
      <c r="O56" s="30"/>
      <c r="P56" s="30"/>
      <c r="Q56" s="30"/>
      <c r="R56" s="30"/>
      <c r="S56" s="30">
        <v>1</v>
      </c>
      <c r="T56" s="26"/>
      <c r="U56" s="26"/>
      <c r="V56" s="26"/>
      <c r="W56" s="26"/>
      <c r="X56" s="26"/>
      <c r="Y56" s="26"/>
      <c r="Z56" s="26"/>
      <c r="AA56" s="26"/>
      <c r="AB56" s="26"/>
      <c r="AC56" s="26"/>
      <c r="AD56" s="26"/>
      <c r="AE56" s="26"/>
      <c r="AF56" s="26"/>
      <c r="AG56" s="26"/>
      <c r="AH56" s="26"/>
      <c r="AI56" s="26"/>
      <c r="AJ56" s="26"/>
      <c r="AK56" s="26"/>
      <c r="AL56" s="26"/>
      <c r="AM56" s="26"/>
      <c r="AN56" s="26"/>
      <c r="AO56" s="26"/>
      <c r="AP56" s="26"/>
      <c r="AQ56" s="26"/>
      <c r="AR56" s="26"/>
    </row>
    <row r="57" spans="1:44" ht="15.75" x14ac:dyDescent="0.25">
      <c r="A57" s="30"/>
      <c r="B57" s="13" t="s">
        <v>77</v>
      </c>
      <c r="C57" s="14" t="s">
        <v>136</v>
      </c>
      <c r="D57" s="5" t="s">
        <v>137</v>
      </c>
      <c r="E57" s="6" t="s">
        <v>22</v>
      </c>
      <c r="F57" s="7" t="e">
        <f>G57+SUMIF('[1]mouvement bakon'!B:B,"=Distributeur 5/3",'[1]mouvement bakon'!G:G)</f>
        <v>#VALUE!</v>
      </c>
      <c r="G57" s="7">
        <v>1</v>
      </c>
      <c r="H57" s="6">
        <v>1</v>
      </c>
      <c r="I57" s="2" t="e">
        <f t="shared" si="24"/>
        <v>#VALUE!</v>
      </c>
      <c r="J57" s="11">
        <v>133.85</v>
      </c>
      <c r="K57" s="17" t="e">
        <f t="shared" si="25"/>
        <v>#VALUE!</v>
      </c>
      <c r="L57" s="30"/>
      <c r="M57" s="30"/>
      <c r="N57" s="30"/>
      <c r="O57" s="30"/>
      <c r="P57" s="30"/>
      <c r="Q57" s="30"/>
      <c r="R57" s="30"/>
      <c r="S57" s="30">
        <v>1</v>
      </c>
      <c r="T57" s="26"/>
      <c r="U57" s="26"/>
      <c r="V57" s="26"/>
      <c r="W57" s="26"/>
      <c r="X57" s="26"/>
      <c r="Y57" s="26"/>
      <c r="Z57" s="26"/>
      <c r="AA57" s="26"/>
      <c r="AB57" s="26"/>
      <c r="AC57" s="26"/>
      <c r="AD57" s="26"/>
      <c r="AE57" s="26"/>
      <c r="AF57" s="26"/>
      <c r="AG57" s="26"/>
      <c r="AH57" s="26"/>
      <c r="AI57" s="26"/>
      <c r="AJ57" s="26"/>
      <c r="AK57" s="26"/>
      <c r="AL57" s="26"/>
      <c r="AM57" s="26"/>
      <c r="AN57" s="26"/>
      <c r="AO57" s="26"/>
      <c r="AP57" s="26"/>
      <c r="AQ57" s="26"/>
      <c r="AR57" s="26"/>
    </row>
    <row r="58" spans="1:44" ht="15.75" x14ac:dyDescent="0.25">
      <c r="A58" s="30"/>
      <c r="B58" s="13" t="s">
        <v>77</v>
      </c>
      <c r="C58" s="14" t="s">
        <v>138</v>
      </c>
      <c r="D58" s="5" t="s">
        <v>139</v>
      </c>
      <c r="E58" s="6" t="s">
        <v>22</v>
      </c>
      <c r="F58" s="7" t="e">
        <f>G58+SUMIF('[1]mouvement bakon'!B:B,"=Distributeur 5/2",'[1]mouvement bakon'!G:G)</f>
        <v>#VALUE!</v>
      </c>
      <c r="G58" s="7">
        <v>2</v>
      </c>
      <c r="H58" s="6">
        <v>1</v>
      </c>
      <c r="I58" s="2" t="e">
        <f t="shared" si="24"/>
        <v>#VALUE!</v>
      </c>
      <c r="J58" s="11">
        <v>84.11</v>
      </c>
      <c r="K58" s="17" t="e">
        <f t="shared" si="25"/>
        <v>#VALUE!</v>
      </c>
      <c r="L58" s="30"/>
      <c r="M58" s="30"/>
      <c r="N58" s="30"/>
      <c r="O58" s="30"/>
      <c r="P58" s="30"/>
      <c r="Q58" s="30"/>
      <c r="R58" s="30"/>
      <c r="S58" s="30">
        <v>1</v>
      </c>
      <c r="T58" s="26"/>
      <c r="U58" s="26"/>
      <c r="V58" s="26"/>
      <c r="W58" s="26"/>
      <c r="X58" s="26"/>
      <c r="Y58" s="26"/>
      <c r="Z58" s="26"/>
      <c r="AA58" s="26"/>
      <c r="AB58" s="26"/>
      <c r="AC58" s="26"/>
      <c r="AD58" s="26"/>
      <c r="AE58" s="26"/>
      <c r="AF58" s="26"/>
      <c r="AG58" s="26"/>
      <c r="AH58" s="26"/>
      <c r="AI58" s="26"/>
      <c r="AJ58" s="26"/>
      <c r="AK58" s="26"/>
      <c r="AL58" s="26"/>
      <c r="AM58" s="26"/>
      <c r="AN58" s="26"/>
      <c r="AO58" s="26"/>
      <c r="AP58" s="26"/>
      <c r="AQ58" s="26"/>
      <c r="AR58" s="26"/>
    </row>
    <row r="62" spans="1:44" ht="60" x14ac:dyDescent="0.25">
      <c r="A62" s="30"/>
      <c r="B62" s="13" t="s">
        <v>146</v>
      </c>
      <c r="C62" s="62" t="s">
        <v>3</v>
      </c>
      <c r="D62" s="63" t="s">
        <v>147</v>
      </c>
      <c r="E62" s="63" t="s">
        <v>22</v>
      </c>
      <c r="F62" s="64" t="e">
        <f>G62+SUMIF('[1]mouvement batteurs cuves'!B:B,"=afficheur rotation fouet WEST 6100+",'[1]mouvement batteurs cuves'!G:G)</f>
        <v>#VALUE!</v>
      </c>
      <c r="G62" s="63">
        <v>2</v>
      </c>
      <c r="H62" s="63">
        <v>1</v>
      </c>
      <c r="I62" s="65" t="e">
        <f t="shared" ref="I62" si="26">IF(F62&lt;H62,"/!\","-")</f>
        <v>#VALUE!</v>
      </c>
      <c r="J62" s="66">
        <v>295.58999999999997</v>
      </c>
      <c r="K62" s="67" t="e">
        <f t="shared" ref="K62" si="27">F62*J62</f>
        <v>#VALUE!</v>
      </c>
      <c r="L62" s="30"/>
      <c r="M62" s="30"/>
      <c r="N62" s="30"/>
      <c r="O62" s="30"/>
      <c r="P62" s="30"/>
      <c r="Q62" s="30"/>
      <c r="R62" s="30"/>
      <c r="S62" s="30">
        <v>1</v>
      </c>
      <c r="T62" s="26"/>
      <c r="U62" s="26"/>
      <c r="V62" s="26"/>
      <c r="W62" s="26"/>
      <c r="X62" s="26"/>
      <c r="Y62" s="26"/>
      <c r="Z62" s="26"/>
      <c r="AA62" s="26"/>
      <c r="AB62" s="26"/>
      <c r="AC62" s="26"/>
      <c r="AD62" s="26"/>
      <c r="AE62" s="26"/>
      <c r="AF62" s="26"/>
      <c r="AG62" s="26"/>
      <c r="AH62" s="26"/>
      <c r="AI62" s="26"/>
      <c r="AJ62" s="26"/>
      <c r="AK62" s="26"/>
      <c r="AL62" s="26"/>
      <c r="AM62" s="26"/>
      <c r="AN62" s="26"/>
      <c r="AO62" s="26"/>
      <c r="AP62" s="26"/>
      <c r="AQ62" s="26"/>
      <c r="AR62" s="26"/>
    </row>
    <row r="64" spans="1:44" ht="24" x14ac:dyDescent="0.25">
      <c r="A64" s="30"/>
      <c r="B64" s="13" t="s">
        <v>146</v>
      </c>
      <c r="C64" s="70" t="s">
        <v>150</v>
      </c>
      <c r="D64" s="71" t="s">
        <v>151</v>
      </c>
      <c r="E64" s="71" t="s">
        <v>22</v>
      </c>
      <c r="F64" s="64" t="e">
        <f>G64+SUMIF('[1]mouvement batteurs cuves'!B:B,"=Bague retenue 150L",'[1]mouvement batteurs cuves'!G:G)</f>
        <v>#VALUE!</v>
      </c>
      <c r="G64" s="63">
        <v>5</v>
      </c>
      <c r="H64" s="71">
        <v>2</v>
      </c>
      <c r="I64" s="65" t="e">
        <f t="shared" ref="I64" si="28">IF(F64&lt;H64,"/!\","-")</f>
        <v>#VALUE!</v>
      </c>
      <c r="J64" s="72">
        <v>0</v>
      </c>
      <c r="K64" s="67" t="e">
        <f t="shared" ref="K64" si="29">F64*J64</f>
        <v>#VALUE!</v>
      </c>
      <c r="L64" s="30"/>
      <c r="M64" s="30"/>
      <c r="N64" s="30"/>
      <c r="O64" s="30"/>
      <c r="P64" s="30"/>
      <c r="Q64" s="30"/>
      <c r="R64" s="30"/>
      <c r="S64" s="30">
        <v>1</v>
      </c>
      <c r="T64" s="26"/>
      <c r="U64" s="26"/>
      <c r="V64" s="26"/>
      <c r="W64" s="26"/>
      <c r="X64" s="26"/>
      <c r="Y64" s="26"/>
      <c r="Z64" s="26"/>
      <c r="AA64" s="26"/>
      <c r="AB64" s="26"/>
      <c r="AC64" s="26"/>
      <c r="AD64" s="26"/>
      <c r="AE64" s="26"/>
      <c r="AF64" s="26"/>
      <c r="AG64" s="26"/>
      <c r="AH64" s="26"/>
      <c r="AI64" s="26"/>
      <c r="AJ64" s="26"/>
      <c r="AK64" s="26"/>
      <c r="AL64" s="26"/>
      <c r="AM64" s="26"/>
      <c r="AN64" s="26"/>
      <c r="AO64" s="26"/>
      <c r="AP64" s="26"/>
      <c r="AQ64" s="26"/>
      <c r="AR64" s="26"/>
    </row>
    <row r="66" spans="1:44" ht="24" x14ac:dyDescent="0.25">
      <c r="A66" s="30"/>
      <c r="B66" s="13" t="s">
        <v>146</v>
      </c>
      <c r="C66" s="62" t="s">
        <v>155</v>
      </c>
      <c r="D66" s="63" t="s">
        <v>156</v>
      </c>
      <c r="E66" s="63" t="s">
        <v>154</v>
      </c>
      <c r="F66" s="64" t="e">
        <f>G66+SUMIF('[1]mouvement batteurs cuves'!B:B,"=bande de raclage 80 L ",'[1]mouvement batteurs cuves'!G:G)</f>
        <v>#VALUE!</v>
      </c>
      <c r="G66" s="63">
        <v>7</v>
      </c>
      <c r="H66" s="63">
        <v>1</v>
      </c>
      <c r="I66" s="65" t="e">
        <f t="shared" ref="I66:I70" si="30">IF(F66&lt;H66,"/!\","-")</f>
        <v>#VALUE!</v>
      </c>
      <c r="J66" s="66">
        <v>43.8</v>
      </c>
      <c r="K66" s="67" t="e">
        <f t="shared" ref="K66:K70" si="31">F66*J66</f>
        <v>#VALUE!</v>
      </c>
      <c r="L66" s="30"/>
      <c r="M66" s="30"/>
      <c r="N66" s="30"/>
      <c r="O66" s="30"/>
      <c r="P66" s="30"/>
      <c r="Q66" s="30"/>
      <c r="R66" s="30"/>
      <c r="S66" s="30">
        <v>1</v>
      </c>
      <c r="T66" s="26"/>
      <c r="U66" s="26"/>
      <c r="V66" s="26"/>
      <c r="W66" s="26"/>
      <c r="X66" s="26"/>
      <c r="Y66" s="26"/>
      <c r="Z66" s="26"/>
      <c r="AA66" s="26"/>
      <c r="AB66" s="26"/>
      <c r="AC66" s="26"/>
      <c r="AD66" s="26"/>
      <c r="AE66" s="26"/>
      <c r="AF66" s="26"/>
      <c r="AG66" s="26"/>
      <c r="AH66" s="26"/>
      <c r="AI66" s="26"/>
      <c r="AJ66" s="26"/>
      <c r="AK66" s="26"/>
      <c r="AL66" s="26"/>
      <c r="AM66" s="26"/>
      <c r="AN66" s="26"/>
      <c r="AO66" s="26"/>
      <c r="AP66" s="26"/>
      <c r="AQ66" s="26"/>
      <c r="AR66" s="26"/>
    </row>
    <row r="67" spans="1:44" ht="24" x14ac:dyDescent="0.25">
      <c r="A67" s="30"/>
      <c r="B67" s="13" t="s">
        <v>146</v>
      </c>
      <c r="C67" s="4" t="s">
        <v>157</v>
      </c>
      <c r="D67" s="20" t="s">
        <v>158</v>
      </c>
      <c r="E67" s="20" t="s">
        <v>22</v>
      </c>
      <c r="F67" s="7" t="e">
        <f>G67+SUMIF('[1]mouvement batteurs cuves'!B:B,"=Butée Arriere Batteur ",'[1]mouvement batteurs cuves'!G:G)</f>
        <v>#VALUE!</v>
      </c>
      <c r="G67" s="63">
        <v>4</v>
      </c>
      <c r="H67" s="20">
        <v>1</v>
      </c>
      <c r="I67" s="68" t="e">
        <f t="shared" si="30"/>
        <v>#VALUE!</v>
      </c>
      <c r="J67" s="69">
        <v>14.1</v>
      </c>
      <c r="K67" s="17" t="e">
        <f t="shared" si="31"/>
        <v>#VALUE!</v>
      </c>
      <c r="L67" s="30"/>
      <c r="M67" s="30"/>
      <c r="N67" s="30"/>
      <c r="O67" s="30"/>
      <c r="P67" s="30"/>
      <c r="Q67" s="30"/>
      <c r="R67" s="30"/>
      <c r="S67" s="30">
        <v>1</v>
      </c>
      <c r="T67" s="26"/>
      <c r="U67" s="26"/>
      <c r="V67" s="26"/>
      <c r="W67" s="26"/>
      <c r="X67" s="26"/>
      <c r="Y67" s="26"/>
      <c r="Z67" s="26"/>
      <c r="AA67" s="26"/>
      <c r="AB67" s="26"/>
      <c r="AC67" s="26"/>
      <c r="AD67" s="26"/>
      <c r="AE67" s="26"/>
      <c r="AF67" s="26"/>
      <c r="AG67" s="26"/>
      <c r="AH67" s="26"/>
      <c r="AI67" s="26"/>
      <c r="AJ67" s="26"/>
      <c r="AK67" s="26"/>
      <c r="AL67" s="26"/>
      <c r="AM67" s="26"/>
      <c r="AN67" s="26"/>
      <c r="AO67" s="26"/>
      <c r="AP67" s="26"/>
      <c r="AQ67" s="26"/>
      <c r="AR67" s="26"/>
    </row>
    <row r="68" spans="1:44" ht="36" x14ac:dyDescent="0.25">
      <c r="A68" s="30"/>
      <c r="B68" s="13" t="s">
        <v>146</v>
      </c>
      <c r="C68" s="70" t="s">
        <v>159</v>
      </c>
      <c r="D68" s="71" t="s">
        <v>160</v>
      </c>
      <c r="E68" s="71" t="s">
        <v>22</v>
      </c>
      <c r="F68" s="64" t="e">
        <f>G68+SUMIF('[1]mouvement batteurs cuves'!B:B,"=Butée FDC presence cuve",'[1]mouvement batteurs cuves'!G:G)</f>
        <v>#VALUE!</v>
      </c>
      <c r="G68" s="63">
        <v>3</v>
      </c>
      <c r="H68" s="71">
        <v>1</v>
      </c>
      <c r="I68" s="65" t="e">
        <f t="shared" si="30"/>
        <v>#VALUE!</v>
      </c>
      <c r="J68" s="72">
        <v>12.51</v>
      </c>
      <c r="K68" s="67" t="e">
        <f t="shared" si="31"/>
        <v>#VALUE!</v>
      </c>
      <c r="L68" s="30"/>
      <c r="M68" s="30"/>
      <c r="N68" s="30"/>
      <c r="O68" s="30"/>
      <c r="P68" s="30"/>
      <c r="Q68" s="30"/>
      <c r="R68" s="30"/>
      <c r="S68" s="30">
        <v>1</v>
      </c>
      <c r="T68" s="26"/>
      <c r="U68" s="26"/>
      <c r="V68" s="26"/>
      <c r="W68" s="26"/>
      <c r="X68" s="26"/>
      <c r="Y68" s="26"/>
      <c r="Z68" s="26"/>
      <c r="AA68" s="26"/>
      <c r="AB68" s="26"/>
      <c r="AC68" s="26"/>
      <c r="AD68" s="26"/>
      <c r="AE68" s="26"/>
      <c r="AF68" s="26"/>
      <c r="AG68" s="26"/>
      <c r="AH68" s="26"/>
      <c r="AI68" s="26"/>
      <c r="AJ68" s="26"/>
      <c r="AK68" s="26"/>
      <c r="AL68" s="26"/>
      <c r="AM68" s="26"/>
      <c r="AN68" s="26"/>
      <c r="AO68" s="26"/>
      <c r="AP68" s="26"/>
      <c r="AQ68" s="26"/>
      <c r="AR68" s="26"/>
    </row>
    <row r="69" spans="1:44" ht="48" x14ac:dyDescent="0.25">
      <c r="A69" s="30"/>
      <c r="B69" s="13" t="s">
        <v>146</v>
      </c>
      <c r="C69" s="4" t="s">
        <v>161</v>
      </c>
      <c r="D69" s="20" t="s">
        <v>162</v>
      </c>
      <c r="E69" s="20" t="s">
        <v>22</v>
      </c>
      <c r="F69" s="7" t="e">
        <f>G69+SUMIF('[1]mouvement batteurs cuves'!B:B,"=Capot Prise Harting sortie coudée",'[1]mouvement batteurs cuves'!G:G)</f>
        <v>#VALUE!</v>
      </c>
      <c r="G69" s="63">
        <v>5</v>
      </c>
      <c r="H69" s="20">
        <v>2</v>
      </c>
      <c r="I69" s="68" t="e">
        <f t="shared" si="30"/>
        <v>#VALUE!</v>
      </c>
      <c r="J69" s="69">
        <v>13.86</v>
      </c>
      <c r="K69" s="17" t="e">
        <f t="shared" si="31"/>
        <v>#VALUE!</v>
      </c>
      <c r="L69" s="30"/>
      <c r="M69" s="30"/>
      <c r="N69" s="30"/>
      <c r="O69" s="30"/>
      <c r="P69" s="30"/>
      <c r="Q69" s="30"/>
      <c r="R69" s="30"/>
      <c r="S69" s="30">
        <v>1</v>
      </c>
      <c r="T69" s="26"/>
      <c r="U69" s="26"/>
      <c r="V69" s="26"/>
      <c r="W69" s="26"/>
      <c r="X69" s="26"/>
      <c r="Y69" s="26"/>
      <c r="Z69" s="26"/>
      <c r="AA69" s="26"/>
      <c r="AB69" s="26"/>
      <c r="AC69" s="26"/>
      <c r="AD69" s="26"/>
      <c r="AE69" s="26"/>
      <c r="AF69" s="26"/>
      <c r="AG69" s="26"/>
      <c r="AH69" s="26"/>
      <c r="AI69" s="26"/>
      <c r="AJ69" s="26"/>
      <c r="AK69" s="26"/>
      <c r="AL69" s="26"/>
      <c r="AM69" s="26"/>
      <c r="AN69" s="26"/>
      <c r="AO69" s="26"/>
      <c r="AP69" s="26"/>
      <c r="AQ69" s="26"/>
      <c r="AR69" s="26"/>
    </row>
    <row r="70" spans="1:44" ht="72" x14ac:dyDescent="0.25">
      <c r="A70" s="30"/>
      <c r="B70" s="13" t="s">
        <v>146</v>
      </c>
      <c r="C70" s="70" t="s">
        <v>163</v>
      </c>
      <c r="D70" s="71" t="s">
        <v>164</v>
      </c>
      <c r="E70" s="71" t="s">
        <v>22</v>
      </c>
      <c r="F70" s="64" t="e">
        <f>G70+SUMIF('[1]mouvement batteurs cuves'!B:B,"=Capteur de fin de course Telemecanique, NO/NF, 10 A, 240V, IP66",'[1]mouvement batteurs cuves'!G:G)</f>
        <v>#VALUE!</v>
      </c>
      <c r="G70" s="63">
        <v>1</v>
      </c>
      <c r="H70" s="71">
        <v>1</v>
      </c>
      <c r="I70" s="65" t="e">
        <f t="shared" si="30"/>
        <v>#VALUE!</v>
      </c>
      <c r="J70" s="72">
        <v>45.5</v>
      </c>
      <c r="K70" s="67" t="e">
        <f t="shared" si="31"/>
        <v>#VALUE!</v>
      </c>
      <c r="L70" s="30"/>
      <c r="M70" s="30"/>
      <c r="N70" s="30"/>
      <c r="O70" s="30"/>
      <c r="P70" s="30"/>
      <c r="Q70" s="30"/>
      <c r="R70" s="30"/>
      <c r="S70" s="30">
        <v>1</v>
      </c>
      <c r="T70" s="26"/>
      <c r="U70" s="26"/>
      <c r="V70" s="26"/>
      <c r="W70" s="26"/>
      <c r="X70" s="26"/>
      <c r="Y70" s="26"/>
      <c r="Z70" s="26"/>
      <c r="AA70" s="26"/>
      <c r="AB70" s="26"/>
      <c r="AC70" s="26"/>
      <c r="AD70" s="26"/>
      <c r="AE70" s="26"/>
      <c r="AF70" s="26"/>
      <c r="AG70" s="26"/>
      <c r="AH70" s="26"/>
      <c r="AI70" s="26"/>
      <c r="AJ70" s="26"/>
      <c r="AK70" s="26"/>
      <c r="AL70" s="26"/>
      <c r="AM70" s="26"/>
      <c r="AN70" s="26"/>
      <c r="AO70" s="26"/>
      <c r="AP70" s="26"/>
      <c r="AQ70" s="26"/>
      <c r="AR70" s="26"/>
    </row>
    <row r="74" spans="1:44" ht="60" x14ac:dyDescent="0.25">
      <c r="A74" s="30"/>
      <c r="B74" s="13" t="s">
        <v>146</v>
      </c>
      <c r="C74" s="70" t="s">
        <v>170</v>
      </c>
      <c r="D74" s="71" t="s">
        <v>171</v>
      </c>
      <c r="E74" s="75" t="s">
        <v>22</v>
      </c>
      <c r="F74" s="64" t="e">
        <f>G74+SUMIF('[1]mouvement batteurs cuves'!B:B,"=Clapet anti-retour HR012 pompe hydraulique",'[1]mouvement batteurs cuves'!G:G)</f>
        <v>#VALUE!</v>
      </c>
      <c r="G74" s="63">
        <v>0</v>
      </c>
      <c r="H74" s="71">
        <v>1</v>
      </c>
      <c r="I74" s="65" t="e">
        <f t="shared" ref="I74" si="32">IF(F74&lt;H74,"/!\","-")</f>
        <v>#VALUE!</v>
      </c>
      <c r="J74" s="72">
        <v>0</v>
      </c>
      <c r="K74" s="67" t="e">
        <f t="shared" ref="K74" si="33">F74*J74</f>
        <v>#VALUE!</v>
      </c>
      <c r="L74" s="30"/>
      <c r="M74" s="30"/>
      <c r="N74" s="30"/>
      <c r="O74" s="30"/>
      <c r="P74" s="30"/>
      <c r="Q74" s="30"/>
      <c r="R74" s="30"/>
      <c r="S74" s="30">
        <v>1</v>
      </c>
      <c r="T74" s="26"/>
      <c r="U74" s="26"/>
      <c r="V74" s="26"/>
      <c r="W74" s="26"/>
      <c r="X74" s="26"/>
      <c r="Y74" s="26"/>
      <c r="Z74" s="26"/>
      <c r="AA74" s="26"/>
      <c r="AB74" s="26"/>
      <c r="AC74" s="26"/>
      <c r="AD74" s="26"/>
      <c r="AE74" s="26"/>
      <c r="AF74" s="26"/>
      <c r="AG74" s="26"/>
      <c r="AH74" s="26"/>
      <c r="AI74" s="26"/>
      <c r="AJ74" s="26"/>
      <c r="AK74" s="26"/>
      <c r="AL74" s="26"/>
      <c r="AM74" s="26"/>
      <c r="AN74" s="26"/>
      <c r="AO74" s="26"/>
      <c r="AP74" s="26"/>
      <c r="AQ74" s="26"/>
      <c r="AR74" s="26"/>
    </row>
    <row r="76" spans="1:44" ht="72" x14ac:dyDescent="0.25">
      <c r="A76" s="30"/>
      <c r="B76" s="13" t="s">
        <v>146</v>
      </c>
      <c r="C76" s="70" t="s">
        <v>174</v>
      </c>
      <c r="D76" s="71" t="s">
        <v>175</v>
      </c>
      <c r="E76" s="71" t="s">
        <v>22</v>
      </c>
      <c r="F76" s="64" t="e">
        <f>G76+SUMIF('[1]mouvement batteurs cuves'!B:B,"=Connecteur d'alimentation, Han B Series Entrée latérale,",'[1]mouvement batteurs cuves'!G:G)</f>
        <v>#VALUE!</v>
      </c>
      <c r="G76" s="63">
        <v>2</v>
      </c>
      <c r="H76" s="71">
        <v>1</v>
      </c>
      <c r="I76" s="65" t="e">
        <f t="shared" ref="I76" si="34">IF(F76&lt;H76,"/!\","-")</f>
        <v>#VALUE!</v>
      </c>
      <c r="J76" s="72">
        <v>11.17</v>
      </c>
      <c r="K76" s="67" t="e">
        <f t="shared" ref="K76" si="35">F76*J76</f>
        <v>#VALUE!</v>
      </c>
      <c r="L76" s="30"/>
      <c r="M76" s="30"/>
      <c r="N76" s="30"/>
      <c r="O76" s="30"/>
      <c r="P76" s="30"/>
      <c r="Q76" s="30"/>
      <c r="R76" s="30"/>
      <c r="S76" s="30">
        <v>1</v>
      </c>
      <c r="T76" s="26"/>
      <c r="U76" s="26"/>
      <c r="V76" s="26"/>
      <c r="W76" s="26"/>
      <c r="X76" s="26"/>
      <c r="Y76" s="26"/>
      <c r="Z76" s="26"/>
      <c r="AA76" s="26"/>
      <c r="AB76" s="26"/>
      <c r="AC76" s="26"/>
      <c r="AD76" s="26"/>
      <c r="AE76" s="26"/>
      <c r="AF76" s="26"/>
      <c r="AG76" s="26"/>
      <c r="AH76" s="26"/>
      <c r="AI76" s="26"/>
      <c r="AJ76" s="26"/>
      <c r="AK76" s="26"/>
      <c r="AL76" s="26"/>
      <c r="AM76" s="26"/>
      <c r="AN76" s="26"/>
      <c r="AO76" s="26"/>
      <c r="AP76" s="26"/>
      <c r="AQ76" s="26"/>
      <c r="AR76" s="26"/>
    </row>
    <row r="78" spans="1:44" ht="60" x14ac:dyDescent="0.25">
      <c r="A78" s="30"/>
      <c r="B78" s="13" t="s">
        <v>146</v>
      </c>
      <c r="C78" s="62" t="s">
        <v>177</v>
      </c>
      <c r="D78" s="63" t="s">
        <v>178</v>
      </c>
      <c r="E78" s="63" t="s">
        <v>22</v>
      </c>
      <c r="F78" s="64" t="e">
        <f>G78+SUMIF('[1]mouvement batteurs cuves'!B:B,"=Electrodistributeur Hydraulique pour verins leve cuve",'[1]mouvement batteurs cuves'!G:G)</f>
        <v>#VALUE!</v>
      </c>
      <c r="G78" s="63">
        <v>1</v>
      </c>
      <c r="H78" s="63">
        <v>1</v>
      </c>
      <c r="I78" s="65" t="e">
        <f t="shared" ref="I78:I82" si="36">IF(F78&lt;H78,"/!\","-")</f>
        <v>#VALUE!</v>
      </c>
      <c r="J78" s="66">
        <v>355.1</v>
      </c>
      <c r="K78" s="67" t="e">
        <f t="shared" ref="K78:K82" si="37">F78*J78</f>
        <v>#VALUE!</v>
      </c>
      <c r="L78" s="30"/>
      <c r="M78" s="30"/>
      <c r="N78" s="30"/>
      <c r="O78" s="30"/>
      <c r="P78" s="30"/>
      <c r="Q78" s="30"/>
      <c r="R78" s="30"/>
      <c r="S78" s="30">
        <v>1</v>
      </c>
      <c r="T78" s="26"/>
      <c r="U78" s="26"/>
      <c r="V78" s="26"/>
      <c r="W78" s="26"/>
      <c r="X78" s="26"/>
      <c r="Y78" s="26"/>
      <c r="Z78" s="26"/>
      <c r="AA78" s="26"/>
      <c r="AB78" s="26"/>
      <c r="AC78" s="26"/>
      <c r="AD78" s="26"/>
      <c r="AE78" s="26"/>
      <c r="AF78" s="26"/>
      <c r="AG78" s="26"/>
      <c r="AH78" s="26"/>
      <c r="AI78" s="26"/>
      <c r="AJ78" s="26"/>
      <c r="AK78" s="26"/>
      <c r="AL78" s="26"/>
      <c r="AM78" s="26"/>
      <c r="AN78" s="26"/>
      <c r="AO78" s="26"/>
      <c r="AP78" s="26"/>
      <c r="AQ78" s="26"/>
      <c r="AR78" s="26"/>
    </row>
    <row r="79" spans="1:44" ht="48" x14ac:dyDescent="0.25">
      <c r="A79" s="30"/>
      <c r="B79" s="13" t="s">
        <v>146</v>
      </c>
      <c r="C79" s="4" t="s">
        <v>5</v>
      </c>
      <c r="D79" s="20" t="s">
        <v>179</v>
      </c>
      <c r="E79" s="20" t="s">
        <v>22</v>
      </c>
      <c r="F79" s="7" t="e">
        <f>G79+SUMIF('[1]mouvement batteurs cuves'!B:B,"=Fin de course Cablé (levée cuve)",'[1]mouvement batteurs cuves'!G:G)</f>
        <v>#VALUE!</v>
      </c>
      <c r="G79" s="63">
        <v>3</v>
      </c>
      <c r="H79" s="20">
        <v>1</v>
      </c>
      <c r="I79" s="68" t="e">
        <f t="shared" si="36"/>
        <v>#VALUE!</v>
      </c>
      <c r="J79" s="69">
        <v>151.5</v>
      </c>
      <c r="K79" s="17" t="e">
        <f t="shared" si="37"/>
        <v>#VALUE!</v>
      </c>
      <c r="L79" s="30"/>
      <c r="M79" s="30"/>
      <c r="N79" s="30"/>
      <c r="O79" s="30"/>
      <c r="P79" s="30"/>
      <c r="Q79" s="30"/>
      <c r="R79" s="30"/>
      <c r="S79" s="30">
        <v>1</v>
      </c>
      <c r="T79" s="26"/>
      <c r="U79" s="26"/>
      <c r="V79" s="26"/>
      <c r="W79" s="26"/>
      <c r="X79" s="26"/>
      <c r="Y79" s="26"/>
      <c r="Z79" s="26"/>
      <c r="AA79" s="26"/>
      <c r="AB79" s="26"/>
      <c r="AC79" s="26"/>
      <c r="AD79" s="26"/>
      <c r="AE79" s="26"/>
      <c r="AF79" s="26"/>
      <c r="AG79" s="26"/>
      <c r="AH79" s="26"/>
      <c r="AI79" s="26"/>
      <c r="AJ79" s="26"/>
      <c r="AK79" s="26"/>
      <c r="AL79" s="26"/>
      <c r="AM79" s="26"/>
      <c r="AN79" s="26"/>
      <c r="AO79" s="26"/>
      <c r="AP79" s="26"/>
      <c r="AQ79" s="26"/>
      <c r="AR79" s="26"/>
    </row>
    <row r="80" spans="1:44" ht="48" x14ac:dyDescent="0.25">
      <c r="A80" s="30"/>
      <c r="B80" s="13" t="s">
        <v>146</v>
      </c>
      <c r="C80" s="62" t="s">
        <v>180</v>
      </c>
      <c r="D80" s="63">
        <v>98603041</v>
      </c>
      <c r="E80" s="63" t="s">
        <v>22</v>
      </c>
      <c r="F80" s="64" t="e">
        <f>G80+SUMIF('[1]mouvement batteurs cuves'!B:B,"=fond de boitier en fonte d'aluminium",'[1]mouvement batteurs cuves'!G:G)</f>
        <v>#VALUE!</v>
      </c>
      <c r="G80" s="63">
        <v>3</v>
      </c>
      <c r="H80" s="63">
        <v>3</v>
      </c>
      <c r="I80" s="65" t="e">
        <f t="shared" si="36"/>
        <v>#VALUE!</v>
      </c>
      <c r="J80" s="66">
        <v>15.6</v>
      </c>
      <c r="K80" s="67" t="e">
        <f t="shared" si="37"/>
        <v>#VALUE!</v>
      </c>
      <c r="L80" s="30"/>
      <c r="M80" s="30"/>
      <c r="N80" s="30"/>
      <c r="O80" s="30"/>
      <c r="P80" s="30"/>
      <c r="Q80" s="30"/>
      <c r="R80" s="30"/>
      <c r="S80" s="30">
        <v>1</v>
      </c>
      <c r="T80" s="26"/>
      <c r="U80" s="26"/>
      <c r="V80" s="26"/>
      <c r="W80" s="26"/>
      <c r="X80" s="26"/>
      <c r="Y80" s="26"/>
      <c r="Z80" s="26"/>
      <c r="AA80" s="26"/>
      <c r="AB80" s="26"/>
      <c r="AC80" s="26"/>
      <c r="AD80" s="26"/>
      <c r="AE80" s="26"/>
      <c r="AF80" s="26"/>
      <c r="AG80" s="26"/>
      <c r="AH80" s="26"/>
      <c r="AI80" s="26"/>
      <c r="AJ80" s="26"/>
      <c r="AK80" s="26"/>
      <c r="AL80" s="26"/>
      <c r="AM80" s="26"/>
      <c r="AN80" s="26"/>
      <c r="AO80" s="26"/>
      <c r="AP80" s="26"/>
      <c r="AQ80" s="26"/>
      <c r="AR80" s="26"/>
    </row>
    <row r="81" spans="1:44" ht="48" x14ac:dyDescent="0.25">
      <c r="A81" s="30"/>
      <c r="B81" s="13" t="s">
        <v>146</v>
      </c>
      <c r="C81" s="62" t="s">
        <v>181</v>
      </c>
      <c r="D81" s="63" t="s">
        <v>182</v>
      </c>
      <c r="E81" s="63" t="s">
        <v>183</v>
      </c>
      <c r="F81" s="7" t="e">
        <f>G81+SUMIF('[1]mouvement batteurs cuves'!B:B,"=fouet pour cuve 150 l",'[1]mouvement batteurs cuves'!G:G)</f>
        <v>#VALUE!</v>
      </c>
      <c r="G81" s="63">
        <v>0</v>
      </c>
      <c r="H81" s="63">
        <v>1</v>
      </c>
      <c r="I81" s="68" t="e">
        <f t="shared" si="36"/>
        <v>#VALUE!</v>
      </c>
      <c r="J81" s="66">
        <v>1188.8</v>
      </c>
      <c r="K81" s="17" t="e">
        <f t="shared" si="37"/>
        <v>#VALUE!</v>
      </c>
      <c r="L81" s="30"/>
      <c r="M81" s="30"/>
      <c r="N81" s="30"/>
      <c r="O81" s="30"/>
      <c r="P81" s="30"/>
      <c r="Q81" s="30"/>
      <c r="R81" s="30"/>
      <c r="S81" s="30">
        <v>1</v>
      </c>
      <c r="T81" s="26"/>
      <c r="U81" s="26"/>
      <c r="V81" s="26"/>
      <c r="W81" s="26"/>
      <c r="X81" s="26"/>
      <c r="Y81" s="26"/>
      <c r="Z81" s="26"/>
      <c r="AA81" s="26"/>
      <c r="AB81" s="26"/>
      <c r="AC81" s="26"/>
      <c r="AD81" s="26"/>
      <c r="AE81" s="26"/>
      <c r="AF81" s="26"/>
      <c r="AG81" s="26"/>
      <c r="AH81" s="26"/>
      <c r="AI81" s="26"/>
      <c r="AJ81" s="26"/>
      <c r="AK81" s="26"/>
      <c r="AL81" s="26"/>
      <c r="AM81" s="26"/>
      <c r="AN81" s="26"/>
      <c r="AO81" s="26"/>
      <c r="AP81" s="26"/>
      <c r="AQ81" s="26"/>
      <c r="AR81" s="26"/>
    </row>
    <row r="82" spans="1:44" ht="48" x14ac:dyDescent="0.25">
      <c r="A82" s="30"/>
      <c r="B82" s="13" t="s">
        <v>146</v>
      </c>
      <c r="C82" s="62" t="s">
        <v>184</v>
      </c>
      <c r="D82" s="63" t="s">
        <v>185</v>
      </c>
      <c r="E82" s="63" t="s">
        <v>183</v>
      </c>
      <c r="F82" s="64" t="e">
        <f>G82+SUMIF('[1]mouvement batteurs cuves'!B:B,"=fouet pour cuve 80 L",'[1]mouvement batteurs cuves'!G:G)</f>
        <v>#VALUE!</v>
      </c>
      <c r="G82" s="63">
        <v>0</v>
      </c>
      <c r="H82" s="63">
        <v>1</v>
      </c>
      <c r="I82" s="65" t="e">
        <f t="shared" si="36"/>
        <v>#VALUE!</v>
      </c>
      <c r="J82" s="66">
        <v>438.1</v>
      </c>
      <c r="K82" s="67" t="e">
        <f t="shared" si="37"/>
        <v>#VALUE!</v>
      </c>
      <c r="L82" s="30"/>
      <c r="M82" s="30"/>
      <c r="N82" s="30"/>
      <c r="O82" s="30"/>
      <c r="P82" s="30"/>
      <c r="Q82" s="30"/>
      <c r="R82" s="30"/>
      <c r="S82" s="30">
        <v>1</v>
      </c>
      <c r="T82" s="26"/>
      <c r="U82" s="26"/>
      <c r="V82" s="26"/>
      <c r="W82" s="26"/>
      <c r="X82" s="26"/>
      <c r="Y82" s="26"/>
      <c r="Z82" s="26"/>
      <c r="AA82" s="26"/>
      <c r="AB82" s="26"/>
      <c r="AC82" s="26"/>
      <c r="AD82" s="26"/>
      <c r="AE82" s="26"/>
      <c r="AF82" s="26"/>
      <c r="AG82" s="26"/>
      <c r="AH82" s="26"/>
      <c r="AI82" s="26"/>
      <c r="AJ82" s="26"/>
      <c r="AK82" s="26"/>
      <c r="AL82" s="26"/>
      <c r="AM82" s="26"/>
      <c r="AN82" s="26"/>
      <c r="AO82" s="26"/>
      <c r="AP82" s="26"/>
      <c r="AQ82" s="26"/>
      <c r="AR82" s="26"/>
    </row>
    <row r="86" spans="1:44" ht="60" x14ac:dyDescent="0.25">
      <c r="A86" s="30"/>
      <c r="B86" s="13" t="s">
        <v>146</v>
      </c>
      <c r="C86" s="62" t="s">
        <v>192</v>
      </c>
      <c r="D86" s="63" t="s">
        <v>193</v>
      </c>
      <c r="E86" s="63" t="s">
        <v>22</v>
      </c>
      <c r="F86" s="55" t="e">
        <f>G86+SUMIF('[1]mouvement batteurs cuves'!B:B,"=Huile Hydraulique Alimentaire Verins Batteurs",'[1]mouvement batteurs cuves'!G:G)</f>
        <v>#VALUE!</v>
      </c>
      <c r="G86" s="76">
        <v>4</v>
      </c>
      <c r="H86" s="63">
        <v>5</v>
      </c>
      <c r="I86" s="65" t="e">
        <f t="shared" ref="I86" si="38">IF(F86&lt;H86,"/!\","-")</f>
        <v>#VALUE!</v>
      </c>
      <c r="J86" s="66">
        <v>4.5</v>
      </c>
      <c r="K86" s="67" t="e">
        <f t="shared" ref="K86" si="39">F86*J86</f>
        <v>#VALUE!</v>
      </c>
      <c r="L86" s="30"/>
      <c r="M86" s="30"/>
      <c r="N86" s="30"/>
      <c r="O86" s="30"/>
      <c r="P86" s="30"/>
      <c r="Q86" s="30"/>
      <c r="R86" s="30"/>
      <c r="S86" s="30">
        <v>1</v>
      </c>
      <c r="T86" s="26"/>
      <c r="U86" s="26"/>
      <c r="V86" s="26"/>
      <c r="W86" s="26"/>
      <c r="X86" s="26"/>
      <c r="Y86" s="26"/>
      <c r="Z86" s="26"/>
      <c r="AA86" s="26"/>
      <c r="AB86" s="26"/>
      <c r="AC86" s="26"/>
      <c r="AD86" s="26"/>
      <c r="AE86" s="26"/>
      <c r="AF86" s="26"/>
      <c r="AG86" s="26"/>
      <c r="AH86" s="26"/>
      <c r="AI86" s="26"/>
      <c r="AJ86" s="26"/>
      <c r="AK86" s="26"/>
      <c r="AL86" s="26"/>
      <c r="AM86" s="26"/>
      <c r="AN86" s="26"/>
      <c r="AO86" s="26"/>
      <c r="AP86" s="26"/>
      <c r="AQ86" s="26"/>
      <c r="AR86" s="26"/>
    </row>
    <row r="88" spans="1:44" ht="72" x14ac:dyDescent="0.25">
      <c r="A88" s="30"/>
      <c r="B88" s="13" t="s">
        <v>146</v>
      </c>
      <c r="C88" s="62" t="s">
        <v>6</v>
      </c>
      <c r="D88" s="63" t="s">
        <v>195</v>
      </c>
      <c r="E88" s="63" t="s">
        <v>22</v>
      </c>
      <c r="F88" s="64" t="e">
        <f>G88+SUMIF('[1]mouvement batteurs cuves'!B:B,"=Insert Han E Femelle 16 Contacts sur 2 Rangées,500 V 16A ",'[1]mouvement batteurs cuves'!G:G)</f>
        <v>#VALUE!</v>
      </c>
      <c r="G88" s="63">
        <v>3</v>
      </c>
      <c r="H88" s="63">
        <v>1</v>
      </c>
      <c r="I88" s="65" t="e">
        <f t="shared" ref="I88" si="40">IF(F88&lt;H88,"/!\","-")</f>
        <v>#VALUE!</v>
      </c>
      <c r="J88" s="66">
        <v>12.38</v>
      </c>
      <c r="K88" s="67" t="e">
        <f t="shared" ref="K88" si="41">F88*J88</f>
        <v>#VALUE!</v>
      </c>
      <c r="L88" s="30"/>
      <c r="M88" s="30"/>
      <c r="N88" s="30"/>
      <c r="O88" s="30"/>
      <c r="P88" s="30"/>
      <c r="Q88" s="30"/>
      <c r="R88" s="30"/>
      <c r="S88" s="30">
        <v>1</v>
      </c>
      <c r="T88" s="26"/>
      <c r="U88" s="26"/>
      <c r="V88" s="26"/>
      <c r="W88" s="26"/>
      <c r="X88" s="26"/>
      <c r="Y88" s="26"/>
      <c r="Z88" s="26"/>
      <c r="AA88" s="26"/>
      <c r="AB88" s="26"/>
      <c r="AC88" s="26"/>
      <c r="AD88" s="26"/>
      <c r="AE88" s="26"/>
      <c r="AF88" s="26"/>
      <c r="AG88" s="26"/>
      <c r="AH88" s="26"/>
      <c r="AI88" s="26"/>
      <c r="AJ88" s="26"/>
      <c r="AK88" s="26"/>
      <c r="AL88" s="26"/>
      <c r="AM88" s="26"/>
      <c r="AN88" s="26"/>
      <c r="AO88" s="26"/>
      <c r="AP88" s="26"/>
      <c r="AQ88" s="26"/>
      <c r="AR88" s="26"/>
    </row>
    <row r="90" spans="1:44" ht="48" x14ac:dyDescent="0.25">
      <c r="A90" s="30"/>
      <c r="B90" s="13" t="s">
        <v>146</v>
      </c>
      <c r="C90" s="70" t="s">
        <v>197</v>
      </c>
      <c r="D90" s="71" t="s">
        <v>22</v>
      </c>
      <c r="E90" s="71" t="s">
        <v>22</v>
      </c>
      <c r="F90" s="64" t="e">
        <f>G90+SUMIF('[1]mouvement batteurs cuves'!B:B,"=joint suiffé (tresse 100% PTFE 12x12)",'[1]mouvement batteurs cuves'!G:G)</f>
        <v>#VALUE!</v>
      </c>
      <c r="G90" s="63">
        <v>1</v>
      </c>
      <c r="H90" s="71">
        <v>1</v>
      </c>
      <c r="I90" s="65" t="e">
        <f t="shared" ref="I90:I94" si="42">IF(F90&lt;H90,"/!\","-")</f>
        <v>#VALUE!</v>
      </c>
      <c r="J90" s="72">
        <v>0</v>
      </c>
      <c r="K90" s="67" t="e">
        <f t="shared" ref="K90:K94" si="43">F90*J90</f>
        <v>#VALUE!</v>
      </c>
      <c r="L90" s="30"/>
      <c r="M90" s="30"/>
      <c r="N90" s="30"/>
      <c r="O90" s="30"/>
      <c r="P90" s="30"/>
      <c r="Q90" s="30"/>
      <c r="R90" s="30"/>
      <c r="S90" s="30">
        <v>1</v>
      </c>
      <c r="T90" s="26"/>
      <c r="U90" s="26"/>
      <c r="V90" s="26"/>
      <c r="W90" s="26"/>
      <c r="X90" s="26"/>
      <c r="Y90" s="26"/>
      <c r="Z90" s="26"/>
      <c r="AA90" s="26"/>
      <c r="AB90" s="26"/>
      <c r="AC90" s="26"/>
      <c r="AD90" s="26"/>
      <c r="AE90" s="26"/>
      <c r="AF90" s="26"/>
      <c r="AG90" s="26"/>
      <c r="AH90" s="26"/>
      <c r="AI90" s="26"/>
      <c r="AJ90" s="26"/>
      <c r="AK90" s="26"/>
      <c r="AL90" s="26"/>
      <c r="AM90" s="26"/>
      <c r="AN90" s="26"/>
      <c r="AO90" s="26"/>
      <c r="AP90" s="26"/>
      <c r="AQ90" s="26"/>
      <c r="AR90" s="26"/>
    </row>
    <row r="91" spans="1:44" ht="48" x14ac:dyDescent="0.25">
      <c r="A91" s="30"/>
      <c r="B91" s="13" t="s">
        <v>146</v>
      </c>
      <c r="C91" s="62" t="s">
        <v>7</v>
      </c>
      <c r="D91" s="63" t="s">
        <v>145</v>
      </c>
      <c r="E91" s="63" t="s">
        <v>22</v>
      </c>
      <c r="F91" s="7" t="e">
        <f>G91+SUMIF('[1]mouvement batteurs cuves'!B:B,"=LEVIER EASY-LOCK PRISE HARTING ",'[1]mouvement batteurs cuves'!G:G)</f>
        <v>#VALUE!</v>
      </c>
      <c r="G91" s="63">
        <v>13</v>
      </c>
      <c r="H91" s="63">
        <v>2</v>
      </c>
      <c r="I91" s="68" t="e">
        <f t="shared" si="42"/>
        <v>#VALUE!</v>
      </c>
      <c r="J91" s="66">
        <v>4.28</v>
      </c>
      <c r="K91" s="17" t="e">
        <f t="shared" si="43"/>
        <v>#VALUE!</v>
      </c>
      <c r="L91" s="30"/>
      <c r="M91" s="30"/>
      <c r="N91" s="30"/>
      <c r="O91" s="30"/>
      <c r="P91" s="30"/>
      <c r="Q91" s="30"/>
      <c r="R91" s="30"/>
      <c r="S91" s="30">
        <v>1</v>
      </c>
      <c r="T91" s="26"/>
      <c r="U91" s="26"/>
      <c r="V91" s="26"/>
      <c r="W91" s="26"/>
      <c r="X91" s="26"/>
      <c r="Y91" s="26"/>
      <c r="Z91" s="26"/>
      <c r="AA91" s="26"/>
      <c r="AB91" s="26"/>
      <c r="AC91" s="26"/>
      <c r="AD91" s="26"/>
      <c r="AE91" s="26"/>
      <c r="AF91" s="26"/>
      <c r="AG91" s="26"/>
      <c r="AH91" s="26"/>
      <c r="AI91" s="26"/>
      <c r="AJ91" s="26"/>
      <c r="AK91" s="26"/>
      <c r="AL91" s="26"/>
      <c r="AM91" s="26"/>
      <c r="AN91" s="26"/>
      <c r="AO91" s="26"/>
      <c r="AP91" s="26"/>
      <c r="AQ91" s="26"/>
      <c r="AR91" s="26"/>
    </row>
    <row r="92" spans="1:44" ht="60" x14ac:dyDescent="0.25">
      <c r="A92" s="30"/>
      <c r="B92" s="13" t="s">
        <v>146</v>
      </c>
      <c r="C92" s="62" t="s">
        <v>198</v>
      </c>
      <c r="D92" s="63" t="s">
        <v>199</v>
      </c>
      <c r="E92" s="63" t="s">
        <v>22</v>
      </c>
      <c r="F92" s="64" t="e">
        <f>G92+SUMIF('[1]mouvement batteurs cuves'!B:B,"=MODULE SECURITE ACOTOM COM3C 24V batteur 2",'[1]mouvement batteurs cuves'!G:G)</f>
        <v>#VALUE!</v>
      </c>
      <c r="G92" s="63">
        <v>0</v>
      </c>
      <c r="H92" s="63">
        <v>1</v>
      </c>
      <c r="I92" s="65" t="e">
        <f t="shared" si="42"/>
        <v>#VALUE!</v>
      </c>
      <c r="J92" s="66">
        <v>196.86</v>
      </c>
      <c r="K92" s="67" t="e">
        <f t="shared" si="43"/>
        <v>#VALUE!</v>
      </c>
      <c r="L92" s="30"/>
      <c r="M92" s="30"/>
      <c r="N92" s="30"/>
      <c r="O92" s="30"/>
      <c r="P92" s="30"/>
      <c r="Q92" s="30"/>
      <c r="R92" s="30"/>
      <c r="S92" s="30">
        <v>1</v>
      </c>
      <c r="T92" s="26"/>
      <c r="U92" s="26"/>
      <c r="V92" s="26"/>
      <c r="W92" s="26"/>
      <c r="X92" s="26"/>
      <c r="Y92" s="26"/>
      <c r="Z92" s="26"/>
      <c r="AA92" s="26"/>
      <c r="AB92" s="26"/>
      <c r="AC92" s="26"/>
      <c r="AD92" s="26"/>
      <c r="AE92" s="26"/>
      <c r="AF92" s="26"/>
      <c r="AG92" s="26"/>
      <c r="AH92" s="26"/>
      <c r="AI92" s="26"/>
      <c r="AJ92" s="26"/>
      <c r="AK92" s="26"/>
      <c r="AL92" s="26"/>
      <c r="AM92" s="26"/>
      <c r="AN92" s="26"/>
      <c r="AO92" s="26"/>
      <c r="AP92" s="26"/>
      <c r="AQ92" s="26"/>
      <c r="AR92" s="26"/>
    </row>
    <row r="93" spans="1:44" ht="36" x14ac:dyDescent="0.25">
      <c r="A93" s="30"/>
      <c r="B93" s="13" t="s">
        <v>146</v>
      </c>
      <c r="C93" s="4" t="s">
        <v>200</v>
      </c>
      <c r="D93" s="20" t="s">
        <v>201</v>
      </c>
      <c r="E93" s="20" t="s">
        <v>22</v>
      </c>
      <c r="F93" s="7" t="e">
        <f>G93+SUMIF('[1]mouvement batteurs cuves'!B:B,"=Potentiometre vitesse rotation BAT3",'[1]mouvement batteurs cuves'!G:G)</f>
        <v>#VALUE!</v>
      </c>
      <c r="G93" s="63">
        <v>1</v>
      </c>
      <c r="H93" s="20">
        <v>1</v>
      </c>
      <c r="I93" s="68" t="e">
        <f t="shared" si="42"/>
        <v>#VALUE!</v>
      </c>
      <c r="J93" s="69">
        <v>54.09</v>
      </c>
      <c r="K93" s="17" t="e">
        <f t="shared" si="43"/>
        <v>#VALUE!</v>
      </c>
      <c r="L93" s="30"/>
      <c r="M93" s="30"/>
      <c r="N93" s="30"/>
      <c r="O93" s="30"/>
      <c r="P93" s="30"/>
      <c r="Q93" s="30"/>
      <c r="R93" s="30"/>
      <c r="S93" s="30">
        <v>1</v>
      </c>
      <c r="T93" s="26"/>
      <c r="U93" s="26"/>
      <c r="V93" s="26"/>
      <c r="W93" s="26"/>
      <c r="X93" s="26"/>
      <c r="Y93" s="26"/>
      <c r="Z93" s="26"/>
      <c r="AA93" s="26"/>
      <c r="AB93" s="26"/>
      <c r="AC93" s="26"/>
      <c r="AD93" s="26"/>
      <c r="AE93" s="26"/>
      <c r="AF93" s="26"/>
      <c r="AG93" s="26"/>
      <c r="AH93" s="26"/>
      <c r="AI93" s="26"/>
      <c r="AJ93" s="26"/>
      <c r="AK93" s="26"/>
      <c r="AL93" s="26"/>
      <c r="AM93" s="26"/>
      <c r="AN93" s="26"/>
      <c r="AO93" s="26"/>
      <c r="AP93" s="26"/>
      <c r="AQ93" s="26"/>
      <c r="AR93" s="26"/>
    </row>
    <row r="94" spans="1:44" ht="48" x14ac:dyDescent="0.25">
      <c r="A94" s="30"/>
      <c r="B94" s="13" t="s">
        <v>146</v>
      </c>
      <c r="C94" s="70" t="s">
        <v>202</v>
      </c>
      <c r="D94" s="71" t="s">
        <v>203</v>
      </c>
      <c r="E94" s="71" t="s">
        <v>22</v>
      </c>
      <c r="F94" s="64" t="e">
        <f>G94+SUMIF('[1]mouvement batteurs cuves'!B:B,"=poussoir de FDC presence cuve",'[1]mouvement batteurs cuves'!G:G)</f>
        <v>#VALUE!</v>
      </c>
      <c r="G94" s="63">
        <v>3</v>
      </c>
      <c r="H94" s="71">
        <v>1</v>
      </c>
      <c r="I94" s="65" t="e">
        <f t="shared" si="42"/>
        <v>#VALUE!</v>
      </c>
      <c r="J94" s="72">
        <v>44.79</v>
      </c>
      <c r="K94" s="67" t="e">
        <f t="shared" si="43"/>
        <v>#VALUE!</v>
      </c>
      <c r="L94" s="30"/>
      <c r="M94" s="30"/>
      <c r="N94" s="30"/>
      <c r="O94" s="30"/>
      <c r="P94" s="30"/>
      <c r="Q94" s="30"/>
      <c r="R94" s="30"/>
      <c r="S94" s="30">
        <v>1</v>
      </c>
      <c r="T94" s="26"/>
      <c r="U94" s="26"/>
      <c r="V94" s="26"/>
      <c r="W94" s="26"/>
      <c r="X94" s="26"/>
      <c r="Y94" s="26"/>
      <c r="Z94" s="26"/>
      <c r="AA94" s="26"/>
      <c r="AB94" s="26"/>
      <c r="AC94" s="26"/>
      <c r="AD94" s="26"/>
      <c r="AE94" s="26"/>
      <c r="AF94" s="26"/>
      <c r="AG94" s="26"/>
      <c r="AH94" s="26"/>
      <c r="AI94" s="26"/>
      <c r="AJ94" s="26"/>
      <c r="AK94" s="26"/>
      <c r="AL94" s="26"/>
      <c r="AM94" s="26"/>
      <c r="AN94" s="26"/>
      <c r="AO94" s="26"/>
      <c r="AP94" s="26"/>
      <c r="AQ94" s="26"/>
      <c r="AR94" s="26"/>
    </row>
    <row r="98" spans="1:44" ht="84" x14ac:dyDescent="0.25">
      <c r="A98" s="30"/>
      <c r="B98" s="13" t="s">
        <v>146</v>
      </c>
      <c r="C98" s="70" t="s">
        <v>211</v>
      </c>
      <c r="D98" s="71" t="s">
        <v>212</v>
      </c>
      <c r="E98" s="71" t="s">
        <v>22</v>
      </c>
      <c r="F98" s="64" t="e">
        <f>G98+SUMIF('[1]mouvement batteurs cuves'!B:B,"=Roulement à billes SKF 6207-2RS1, Rainure profonde, 35mmx72mm",'[1]mouvement batteurs cuves'!G:G)</f>
        <v>#VALUE!</v>
      </c>
      <c r="G98" s="63">
        <v>1</v>
      </c>
      <c r="H98" s="71">
        <v>2</v>
      </c>
      <c r="I98" s="65" t="e">
        <f t="shared" ref="I98" si="44">IF(F98&lt;H98,"/!\","-")</f>
        <v>#VALUE!</v>
      </c>
      <c r="J98" s="72">
        <v>12.93</v>
      </c>
      <c r="K98" s="67" t="e">
        <f t="shared" ref="K98" si="45">F98*J98</f>
        <v>#VALUE!</v>
      </c>
      <c r="L98" s="30"/>
      <c r="M98" s="30"/>
      <c r="N98" s="30"/>
      <c r="O98" s="30"/>
      <c r="P98" s="30"/>
      <c r="Q98" s="30"/>
      <c r="R98" s="30"/>
      <c r="S98" s="30">
        <v>1</v>
      </c>
      <c r="T98" s="26"/>
      <c r="U98" s="26"/>
      <c r="V98" s="26"/>
      <c r="W98" s="26"/>
      <c r="X98" s="26"/>
      <c r="Y98" s="26"/>
      <c r="Z98" s="26"/>
      <c r="AA98" s="26"/>
      <c r="AB98" s="26"/>
      <c r="AC98" s="26"/>
      <c r="AD98" s="26"/>
      <c r="AE98" s="26"/>
      <c r="AF98" s="26"/>
      <c r="AG98" s="26"/>
      <c r="AH98" s="26"/>
      <c r="AI98" s="26"/>
      <c r="AJ98" s="26"/>
      <c r="AK98" s="26"/>
      <c r="AL98" s="26"/>
      <c r="AM98" s="26"/>
      <c r="AN98" s="26"/>
      <c r="AO98" s="26"/>
      <c r="AP98" s="26"/>
      <c r="AQ98" s="26"/>
      <c r="AR98" s="26"/>
    </row>
    <row r="100" spans="1:44" ht="24" x14ac:dyDescent="0.25">
      <c r="A100" s="30"/>
      <c r="B100" s="13" t="s">
        <v>146</v>
      </c>
      <c r="C100" s="70" t="s">
        <v>215</v>
      </c>
      <c r="D100" s="71" t="s">
        <v>22</v>
      </c>
      <c r="E100" s="71" t="s">
        <v>22</v>
      </c>
      <c r="F100" s="64" t="e">
        <f>G100+SUMIF('[1]mouvement batteurs cuves'!B:B,"=Roulement capot grille",'[1]mouvement batteurs cuves'!G:G)</f>
        <v>#VALUE!</v>
      </c>
      <c r="G100" s="63">
        <v>3</v>
      </c>
      <c r="H100" s="71">
        <v>3</v>
      </c>
      <c r="I100" s="65" t="e">
        <f t="shared" ref="I100" si="46">IF(F100&lt;H100,"/!\","-")</f>
        <v>#VALUE!</v>
      </c>
      <c r="J100" s="72">
        <v>0</v>
      </c>
      <c r="K100" s="67" t="e">
        <f t="shared" ref="K100" si="47">F100*J100</f>
        <v>#VALUE!</v>
      </c>
      <c r="L100" s="30"/>
      <c r="M100" s="30"/>
      <c r="N100" s="30"/>
      <c r="O100" s="30"/>
      <c r="P100" s="30"/>
      <c r="Q100" s="30"/>
      <c r="R100" s="30"/>
      <c r="S100" s="30">
        <v>1</v>
      </c>
      <c r="T100" s="26"/>
      <c r="U100" s="26"/>
      <c r="V100" s="26"/>
      <c r="W100" s="26"/>
      <c r="X100" s="26"/>
      <c r="Y100" s="26"/>
      <c r="Z100" s="26"/>
      <c r="AA100" s="26"/>
      <c r="AB100" s="26"/>
      <c r="AC100" s="26"/>
      <c r="AD100" s="26"/>
      <c r="AE100" s="26"/>
      <c r="AF100" s="26"/>
      <c r="AG100" s="26"/>
      <c r="AH100" s="26"/>
      <c r="AI100" s="26"/>
      <c r="AJ100" s="26"/>
      <c r="AK100" s="26"/>
      <c r="AL100" s="26"/>
      <c r="AM100" s="26"/>
      <c r="AN100" s="26"/>
      <c r="AO100" s="26"/>
      <c r="AP100" s="26"/>
      <c r="AQ100" s="26"/>
      <c r="AR100" s="26"/>
    </row>
    <row r="102" spans="1:44" ht="36" x14ac:dyDescent="0.25">
      <c r="A102" s="30"/>
      <c r="B102" s="13" t="s">
        <v>146</v>
      </c>
      <c r="C102" s="62" t="s">
        <v>218</v>
      </c>
      <c r="D102" s="77" t="s">
        <v>22</v>
      </c>
      <c r="E102" s="63" t="s">
        <v>22</v>
      </c>
      <c r="F102" s="64" t="e">
        <f>G102+SUMIF('[1]mouvement batteurs cuves'!B:B,"=soupapes, 2882/d10c/s-ptfe",'[1]mouvement batteurs cuves'!G:G)</f>
        <v>#VALUE!</v>
      </c>
      <c r="G102" s="63">
        <v>4</v>
      </c>
      <c r="H102" s="63">
        <v>1</v>
      </c>
      <c r="I102" s="65" t="e">
        <f t="shared" ref="I102:I105" si="48">IF(F102&lt;H102,"/!\","-")</f>
        <v>#VALUE!</v>
      </c>
      <c r="J102" s="66">
        <v>219.83</v>
      </c>
      <c r="K102" s="67" t="e">
        <f t="shared" ref="K102:K105" si="49">F102*J102</f>
        <v>#VALUE!</v>
      </c>
      <c r="L102" s="30"/>
      <c r="M102" s="30"/>
      <c r="N102" s="30"/>
      <c r="O102" s="30"/>
      <c r="P102" s="30"/>
      <c r="Q102" s="30"/>
      <c r="R102" s="30"/>
      <c r="S102" s="30">
        <v>1</v>
      </c>
      <c r="T102" s="26"/>
      <c r="U102" s="26"/>
      <c r="V102" s="26"/>
      <c r="W102" s="26"/>
      <c r="X102" s="26"/>
      <c r="Y102" s="26"/>
      <c r="Z102" s="26"/>
      <c r="AA102" s="26"/>
      <c r="AB102" s="26"/>
      <c r="AC102" s="26"/>
      <c r="AD102" s="26"/>
      <c r="AE102" s="26"/>
      <c r="AF102" s="26"/>
      <c r="AG102" s="26"/>
      <c r="AH102" s="26"/>
      <c r="AI102" s="26"/>
      <c r="AJ102" s="26"/>
      <c r="AK102" s="26"/>
      <c r="AL102" s="26"/>
      <c r="AM102" s="26"/>
      <c r="AN102" s="26"/>
      <c r="AO102" s="26"/>
      <c r="AP102" s="26"/>
      <c r="AQ102" s="26"/>
      <c r="AR102" s="26"/>
    </row>
    <row r="103" spans="1:44" ht="72" x14ac:dyDescent="0.25">
      <c r="A103" s="30"/>
      <c r="B103" s="13" t="s">
        <v>146</v>
      </c>
      <c r="C103" s="4" t="s">
        <v>8</v>
      </c>
      <c r="D103" s="78" t="s">
        <v>219</v>
      </c>
      <c r="E103" s="79" t="s">
        <v>22</v>
      </c>
      <c r="F103" s="7" t="e">
        <f>G103+SUMIF('[1]mouvement batteurs cuves'!B:B,"=Tête + roulette Capteur de fin de course Telemecanique ZCKD21",'[1]mouvement batteurs cuves'!G:G)</f>
        <v>#VALUE!</v>
      </c>
      <c r="G103" s="63">
        <v>2</v>
      </c>
      <c r="H103" s="20">
        <v>1</v>
      </c>
      <c r="I103" s="68" t="e">
        <f t="shared" si="48"/>
        <v>#VALUE!</v>
      </c>
      <c r="J103" s="69">
        <v>22.34</v>
      </c>
      <c r="K103" s="17" t="e">
        <f t="shared" si="49"/>
        <v>#VALUE!</v>
      </c>
      <c r="L103" s="30"/>
      <c r="M103" s="30"/>
      <c r="N103" s="30"/>
      <c r="O103" s="30"/>
      <c r="P103" s="30"/>
      <c r="Q103" s="30"/>
      <c r="R103" s="30"/>
      <c r="S103" s="30">
        <v>1</v>
      </c>
      <c r="T103" s="26"/>
      <c r="U103" s="26"/>
      <c r="V103" s="26"/>
      <c r="W103" s="26"/>
      <c r="X103" s="26"/>
      <c r="Y103" s="26"/>
      <c r="Z103" s="26"/>
      <c r="AA103" s="26"/>
      <c r="AB103" s="26"/>
      <c r="AC103" s="26"/>
      <c r="AD103" s="26"/>
      <c r="AE103" s="26"/>
      <c r="AF103" s="26"/>
      <c r="AG103" s="26"/>
      <c r="AH103" s="26"/>
      <c r="AI103" s="26"/>
      <c r="AJ103" s="26"/>
      <c r="AK103" s="26"/>
      <c r="AL103" s="26"/>
      <c r="AM103" s="26"/>
      <c r="AN103" s="26"/>
      <c r="AO103" s="26"/>
      <c r="AP103" s="26"/>
      <c r="AQ103" s="26"/>
      <c r="AR103" s="26"/>
    </row>
    <row r="104" spans="1:44" ht="48" x14ac:dyDescent="0.25">
      <c r="A104" s="30"/>
      <c r="B104" s="13" t="s">
        <v>146</v>
      </c>
      <c r="C104" s="62" t="s">
        <v>220</v>
      </c>
      <c r="D104" s="77" t="s">
        <v>221</v>
      </c>
      <c r="E104" s="63" t="s">
        <v>183</v>
      </c>
      <c r="F104" s="64" t="e">
        <f>G104+SUMIF('[1]mouvement batteurs cuves'!B:B,"=tête de fouet",'[1]mouvement batteurs cuves'!G:G)</f>
        <v>#VALUE!</v>
      </c>
      <c r="G104" s="63">
        <v>0</v>
      </c>
      <c r="H104" s="63">
        <v>1</v>
      </c>
      <c r="I104" s="65" t="e">
        <f t="shared" si="48"/>
        <v>#VALUE!</v>
      </c>
      <c r="J104" s="66">
        <v>292.39999999999998</v>
      </c>
      <c r="K104" s="67" t="e">
        <f t="shared" si="49"/>
        <v>#VALUE!</v>
      </c>
      <c r="L104" s="30"/>
      <c r="M104" s="30"/>
      <c r="N104" s="30"/>
      <c r="O104" s="30"/>
      <c r="P104" s="30"/>
      <c r="Q104" s="30"/>
      <c r="R104" s="30"/>
      <c r="S104" s="30">
        <v>1</v>
      </c>
      <c r="T104" s="26"/>
      <c r="U104" s="26"/>
      <c r="V104" s="26"/>
      <c r="W104" s="26"/>
      <c r="X104" s="26"/>
      <c r="Y104" s="26"/>
      <c r="Z104" s="26"/>
      <c r="AA104" s="26"/>
      <c r="AB104" s="26"/>
      <c r="AC104" s="26"/>
      <c r="AD104" s="26"/>
      <c r="AE104" s="26"/>
      <c r="AF104" s="26"/>
      <c r="AG104" s="26"/>
      <c r="AH104" s="26"/>
      <c r="AI104" s="26"/>
      <c r="AJ104" s="26"/>
      <c r="AK104" s="26"/>
      <c r="AL104" s="26"/>
      <c r="AM104" s="26"/>
      <c r="AN104" s="26"/>
      <c r="AO104" s="26"/>
      <c r="AP104" s="26"/>
      <c r="AQ104" s="26"/>
      <c r="AR104" s="26"/>
    </row>
    <row r="105" spans="1:44" ht="48" x14ac:dyDescent="0.25">
      <c r="A105" s="30"/>
      <c r="B105" s="13" t="s">
        <v>146</v>
      </c>
      <c r="C105" s="80" t="s">
        <v>222</v>
      </c>
      <c r="D105" s="78" t="s">
        <v>223</v>
      </c>
      <c r="E105" s="78" t="s">
        <v>22</v>
      </c>
      <c r="F105" s="81" t="e">
        <f>G105+SUMIF('[1]mouvement batteurs cuves'!B:B,"=Verin hydraulique montée cuve L=735",'[1]mouvement batteurs cuves'!G:G)</f>
        <v>#VALUE!</v>
      </c>
      <c r="G105" s="77">
        <v>0</v>
      </c>
      <c r="H105" s="78">
        <v>1</v>
      </c>
      <c r="I105" s="82" t="e">
        <f t="shared" si="48"/>
        <v>#VALUE!</v>
      </c>
      <c r="J105" s="83">
        <v>1192.1500000000001</v>
      </c>
      <c r="K105" s="84" t="e">
        <f t="shared" si="49"/>
        <v>#VALUE!</v>
      </c>
      <c r="L105" s="30"/>
      <c r="M105" s="30"/>
      <c r="N105" s="30"/>
      <c r="O105" s="30"/>
      <c r="P105" s="30"/>
      <c r="Q105" s="30"/>
      <c r="R105" s="30"/>
      <c r="S105" s="30">
        <v>1</v>
      </c>
      <c r="T105" s="26"/>
      <c r="U105" s="26"/>
      <c r="V105" s="26"/>
      <c r="W105" s="26"/>
      <c r="X105" s="26"/>
      <c r="Y105" s="26"/>
      <c r="Z105" s="26"/>
      <c r="AA105" s="26"/>
      <c r="AB105" s="26"/>
      <c r="AC105" s="26"/>
      <c r="AD105" s="26"/>
      <c r="AE105" s="26"/>
      <c r="AF105" s="26"/>
      <c r="AG105" s="26"/>
      <c r="AH105" s="26"/>
      <c r="AI105" s="26"/>
      <c r="AJ105" s="26"/>
      <c r="AK105" s="26"/>
      <c r="AL105" s="26"/>
      <c r="AM105" s="26"/>
      <c r="AN105" s="26"/>
      <c r="AO105" s="26"/>
      <c r="AP105" s="26"/>
      <c r="AQ105" s="26"/>
      <c r="AR105" s="26"/>
    </row>
    <row r="106" spans="1:44" ht="60" x14ac:dyDescent="0.25">
      <c r="A106" s="30"/>
      <c r="B106" s="13" t="s">
        <v>146</v>
      </c>
      <c r="C106" s="85" t="s">
        <v>224</v>
      </c>
      <c r="D106" s="86" t="s">
        <v>225</v>
      </c>
      <c r="E106" s="86" t="s">
        <v>226</v>
      </c>
      <c r="F106" s="87" t="e">
        <f>G106+SUMIF('[1]mouvement batteurs cuves'!B:B,"=protection facade pour afficheur rotation fouet WEST 6100+",'[1]mouvement batteurs cuves'!G:G)</f>
        <v>#VALUE!</v>
      </c>
      <c r="G106" s="77">
        <v>4</v>
      </c>
      <c r="H106" s="86">
        <v>1</v>
      </c>
      <c r="I106" s="88" t="e">
        <f>IF(F106&lt;H106,"/!\","-")</f>
        <v>#VALUE!</v>
      </c>
      <c r="J106" s="89"/>
      <c r="K106" s="90" t="e">
        <f>F106*J106</f>
        <v>#VALUE!</v>
      </c>
      <c r="L106" s="30"/>
      <c r="M106" s="30"/>
      <c r="N106" s="30"/>
      <c r="O106" s="30"/>
      <c r="P106" s="30"/>
      <c r="Q106" s="30"/>
      <c r="R106" s="30"/>
      <c r="S106" s="30">
        <v>1</v>
      </c>
      <c r="T106" s="26"/>
      <c r="U106" s="26"/>
      <c r="V106" s="26"/>
      <c r="W106" s="26"/>
      <c r="X106" s="26"/>
      <c r="Y106" s="26"/>
      <c r="Z106" s="26"/>
      <c r="AA106" s="26"/>
      <c r="AB106" s="26"/>
      <c r="AC106" s="26"/>
      <c r="AD106" s="26"/>
      <c r="AE106" s="26"/>
      <c r="AF106" s="26"/>
      <c r="AG106" s="26"/>
      <c r="AH106" s="26"/>
      <c r="AI106" s="26"/>
      <c r="AJ106" s="26"/>
      <c r="AK106" s="26"/>
      <c r="AL106" s="26"/>
      <c r="AM106" s="26"/>
      <c r="AN106" s="26"/>
      <c r="AO106" s="26"/>
      <c r="AP106" s="26"/>
      <c r="AQ106" s="26"/>
      <c r="AR106" s="26"/>
    </row>
    <row r="110" spans="1:44" ht="15.75" x14ac:dyDescent="0.25">
      <c r="A110" s="30"/>
      <c r="B110" s="61" t="s">
        <v>230</v>
      </c>
      <c r="C110" s="14" t="s">
        <v>234</v>
      </c>
      <c r="D110" s="5" t="s">
        <v>235</v>
      </c>
      <c r="E110" s="6" t="s">
        <v>74</v>
      </c>
      <c r="F110" s="7" t="e">
        <f>G110+SUMIF('[1]mouvement casier chaussure'!B:B,"=moteur tangentiel",'[1]mouvement casier chaussure'!G:G)</f>
        <v>#VALUE!</v>
      </c>
      <c r="G110" s="7">
        <v>2</v>
      </c>
      <c r="H110" s="6">
        <v>1</v>
      </c>
      <c r="I110" s="1" t="e">
        <f>IF(F110&lt;H110,"/!\","-")</f>
        <v>#VALUE!</v>
      </c>
      <c r="J110" s="11">
        <v>141.1</v>
      </c>
      <c r="K110" s="12" t="e">
        <f>F110*J110</f>
        <v>#VALUE!</v>
      </c>
      <c r="L110" s="30"/>
      <c r="M110" s="35" t="e">
        <f>SUM(K109:K110)</f>
        <v>#VALUE!</v>
      </c>
      <c r="N110" s="30"/>
      <c r="O110" s="30"/>
      <c r="P110" s="30"/>
      <c r="Q110" s="30"/>
      <c r="R110" s="30"/>
      <c r="S110" s="30">
        <v>1</v>
      </c>
      <c r="T110" s="26"/>
      <c r="U110" s="26"/>
      <c r="V110" s="26"/>
      <c r="W110" s="26"/>
      <c r="X110" s="26"/>
      <c r="Y110" s="26"/>
      <c r="Z110" s="26"/>
      <c r="AA110" s="26"/>
      <c r="AB110" s="26"/>
      <c r="AC110" s="26"/>
      <c r="AD110" s="26"/>
      <c r="AE110" s="26"/>
      <c r="AF110" s="26"/>
      <c r="AG110" s="26"/>
      <c r="AH110" s="26"/>
      <c r="AI110" s="26"/>
      <c r="AJ110" s="26"/>
      <c r="AK110" s="26"/>
      <c r="AL110" s="26"/>
      <c r="AM110" s="26"/>
      <c r="AN110" s="26"/>
      <c r="AO110" s="26"/>
      <c r="AP110" s="26"/>
      <c r="AQ110" s="26"/>
      <c r="AR110" s="26"/>
    </row>
    <row r="112" spans="1:44" ht="15.75" x14ac:dyDescent="0.25">
      <c r="A112" s="30"/>
      <c r="B112" s="13" t="s">
        <v>236</v>
      </c>
      <c r="C112" s="14" t="s">
        <v>238</v>
      </c>
      <c r="D112" s="25" t="s">
        <v>239</v>
      </c>
      <c r="E112" s="11" t="s">
        <v>22</v>
      </c>
      <c r="F112" s="7" t="e">
        <f>G112+SUMIF('[1]mouvement CDL'!B:B,"=Kit enrouleur double pour dévidoir inox",'[1]mouvement CDL'!G:G)</f>
        <v>#VALUE!</v>
      </c>
      <c r="G112" s="7">
        <v>1</v>
      </c>
      <c r="H112" s="6">
        <v>1</v>
      </c>
      <c r="I112" s="68" t="e">
        <f t="shared" ref="I112" si="50">IF(F112&lt;H112,"/!\","-")</f>
        <v>#VALUE!</v>
      </c>
      <c r="J112" s="16"/>
      <c r="K112" s="17" t="e">
        <f t="shared" ref="K112" si="51">F112*J112</f>
        <v>#VALUE!</v>
      </c>
      <c r="L112" s="30"/>
      <c r="M112" s="30"/>
      <c r="N112" s="30"/>
      <c r="O112" s="30"/>
      <c r="P112" s="30"/>
      <c r="Q112" s="30"/>
      <c r="R112" s="30"/>
      <c r="S112" s="30">
        <v>1</v>
      </c>
      <c r="T112" s="26"/>
      <c r="U112" s="26"/>
      <c r="V112" s="26"/>
      <c r="W112" s="26"/>
      <c r="X112" s="26"/>
      <c r="Y112" s="26"/>
      <c r="Z112" s="26"/>
      <c r="AA112" s="26"/>
      <c r="AB112" s="26"/>
      <c r="AC112" s="26"/>
      <c r="AD112" s="26"/>
      <c r="AE112" s="26"/>
      <c r="AF112" s="26"/>
      <c r="AG112" s="26"/>
      <c r="AH112" s="26"/>
      <c r="AI112" s="26"/>
      <c r="AJ112" s="26"/>
      <c r="AK112" s="26"/>
      <c r="AL112" s="26"/>
      <c r="AM112" s="26"/>
      <c r="AN112" s="26"/>
      <c r="AO112" s="26"/>
      <c r="AP112" s="26"/>
      <c r="AQ112" s="26"/>
      <c r="AR112" s="26"/>
    </row>
    <row r="114" spans="1:44" ht="15.75" x14ac:dyDescent="0.25">
      <c r="A114" s="30"/>
      <c r="B114" s="13" t="s">
        <v>236</v>
      </c>
      <c r="C114" s="14" t="s">
        <v>242</v>
      </c>
      <c r="D114" s="25" t="s">
        <v>243</v>
      </c>
      <c r="E114" s="11" t="s">
        <v>22</v>
      </c>
      <c r="F114" s="7" t="e">
        <f>G114+SUMIF('[1]mouvement CDL'!B:B,"=Pistolet eau corps acier/inox",'[1]mouvement CDL'!G:G)</f>
        <v>#VALUE!</v>
      </c>
      <c r="G114" s="7">
        <v>1</v>
      </c>
      <c r="H114" s="6">
        <v>2</v>
      </c>
      <c r="I114" s="68" t="e">
        <f t="shared" ref="I114:I118" si="52">IF(F114&lt;H114,"/!\","-")</f>
        <v>#VALUE!</v>
      </c>
      <c r="J114" s="16"/>
      <c r="K114" s="17" t="e">
        <f t="shared" ref="K114:K118" si="53">F114*J114</f>
        <v>#VALUE!</v>
      </c>
      <c r="L114" s="30"/>
      <c r="M114" s="30"/>
      <c r="N114" s="30"/>
      <c r="O114" s="30"/>
      <c r="P114" s="30"/>
      <c r="Q114" s="30"/>
      <c r="R114" s="30"/>
      <c r="S114" s="30">
        <v>1</v>
      </c>
      <c r="T114" s="26"/>
      <c r="U114" s="26"/>
      <c r="V114" s="26"/>
      <c r="W114" s="26"/>
      <c r="X114" s="26"/>
      <c r="Y114" s="26"/>
      <c r="Z114" s="26"/>
      <c r="AA114" s="26"/>
      <c r="AB114" s="26"/>
      <c r="AC114" s="26"/>
      <c r="AD114" s="26"/>
      <c r="AE114" s="26"/>
      <c r="AF114" s="26"/>
      <c r="AG114" s="26"/>
      <c r="AH114" s="26"/>
      <c r="AI114" s="26"/>
      <c r="AJ114" s="26"/>
      <c r="AK114" s="26"/>
      <c r="AL114" s="26"/>
      <c r="AM114" s="26"/>
      <c r="AN114" s="26"/>
      <c r="AO114" s="26"/>
      <c r="AP114" s="26"/>
      <c r="AQ114" s="26"/>
      <c r="AR114" s="26"/>
    </row>
    <row r="115" spans="1:44" ht="15.75" x14ac:dyDescent="0.25">
      <c r="A115" s="30"/>
      <c r="B115" s="13" t="s">
        <v>236</v>
      </c>
      <c r="C115" s="91" t="s">
        <v>244</v>
      </c>
      <c r="D115" s="92" t="s">
        <v>22</v>
      </c>
      <c r="E115" s="93" t="s">
        <v>22</v>
      </c>
      <c r="F115" s="64" t="e">
        <f>G115+SUMIF('[1]mouvement CDL'!B:B,"=Ressort cliquet centrale de lavage",'[1]mouvement CDL'!G:G)</f>
        <v>#VALUE!</v>
      </c>
      <c r="G115" s="64">
        <v>7</v>
      </c>
      <c r="H115" s="94">
        <v>4</v>
      </c>
      <c r="I115" s="65" t="e">
        <f t="shared" si="52"/>
        <v>#VALUE!</v>
      </c>
      <c r="J115" s="95">
        <v>8.8000000000000007</v>
      </c>
      <c r="K115" s="67" t="e">
        <f t="shared" si="53"/>
        <v>#VALUE!</v>
      </c>
      <c r="L115" s="30"/>
      <c r="M115" s="30"/>
      <c r="N115" s="30"/>
      <c r="O115" s="30"/>
      <c r="P115" s="30"/>
      <c r="Q115" s="30"/>
      <c r="R115" s="30"/>
      <c r="S115" s="30">
        <v>1</v>
      </c>
      <c r="T115" s="26"/>
      <c r="U115" s="26"/>
      <c r="V115" s="26"/>
      <c r="W115" s="26"/>
      <c r="X115" s="26"/>
      <c r="Y115" s="26"/>
      <c r="Z115" s="26"/>
      <c r="AA115" s="26"/>
      <c r="AB115" s="26"/>
      <c r="AC115" s="26"/>
      <c r="AD115" s="26"/>
      <c r="AE115" s="26"/>
      <c r="AF115" s="26"/>
      <c r="AG115" s="26"/>
      <c r="AH115" s="26"/>
      <c r="AI115" s="26"/>
      <c r="AJ115" s="26"/>
      <c r="AK115" s="26"/>
      <c r="AL115" s="26"/>
      <c r="AM115" s="26"/>
      <c r="AN115" s="26"/>
      <c r="AO115" s="26"/>
      <c r="AP115" s="26"/>
      <c r="AQ115" s="26"/>
      <c r="AR115" s="26"/>
    </row>
    <row r="116" spans="1:44" ht="15.75" x14ac:dyDescent="0.25">
      <c r="A116" s="30"/>
      <c r="B116" s="13" t="s">
        <v>236</v>
      </c>
      <c r="C116" s="14" t="s">
        <v>245</v>
      </c>
      <c r="D116" s="25" t="s">
        <v>22</v>
      </c>
      <c r="E116" s="11" t="s">
        <v>22</v>
      </c>
      <c r="F116" s="7" t="e">
        <f>G116+SUMIF('[1]mouvement CDL'!B:B,"=tuyau 12x20 /10 ML",'[1]mouvement CDL'!G:G)</f>
        <v>#VALUE!</v>
      </c>
      <c r="G116" s="7">
        <v>0</v>
      </c>
      <c r="H116" s="6">
        <v>2</v>
      </c>
      <c r="I116" s="68" t="e">
        <f t="shared" si="52"/>
        <v>#VALUE!</v>
      </c>
      <c r="J116" s="16">
        <v>39.33</v>
      </c>
      <c r="K116" s="17" t="e">
        <f t="shared" si="53"/>
        <v>#VALUE!</v>
      </c>
      <c r="L116" s="30"/>
      <c r="M116" s="30"/>
      <c r="N116" s="30"/>
      <c r="O116" s="30"/>
      <c r="P116" s="30"/>
      <c r="Q116" s="30"/>
      <c r="R116" s="30"/>
      <c r="S116" s="30">
        <v>1</v>
      </c>
      <c r="T116" s="26"/>
      <c r="U116" s="26"/>
      <c r="V116" s="26"/>
      <c r="W116" s="26"/>
      <c r="X116" s="26"/>
      <c r="Y116" s="26"/>
      <c r="Z116" s="26"/>
      <c r="AA116" s="26"/>
      <c r="AB116" s="26"/>
      <c r="AC116" s="26"/>
      <c r="AD116" s="26"/>
      <c r="AE116" s="26"/>
      <c r="AF116" s="26"/>
      <c r="AG116" s="26"/>
      <c r="AH116" s="26"/>
      <c r="AI116" s="26"/>
      <c r="AJ116" s="26"/>
      <c r="AK116" s="26"/>
      <c r="AL116" s="26"/>
      <c r="AM116" s="26"/>
      <c r="AN116" s="26"/>
      <c r="AO116" s="26"/>
      <c r="AP116" s="26"/>
      <c r="AQ116" s="26"/>
      <c r="AR116" s="26"/>
    </row>
    <row r="117" spans="1:44" ht="15.75" x14ac:dyDescent="0.25">
      <c r="A117" s="30"/>
      <c r="B117" s="13" t="s">
        <v>236</v>
      </c>
      <c r="C117" s="91" t="s">
        <v>246</v>
      </c>
      <c r="D117" s="92" t="s">
        <v>22</v>
      </c>
      <c r="E117" s="93" t="s">
        <v>22</v>
      </c>
      <c r="F117" s="64" t="e">
        <f>G117+SUMIF('[1]mouvement CDL'!B:B,"=tuyaux 12x20/ 15 ML",'[1]mouvement CDL'!G:G)</f>
        <v>#VALUE!</v>
      </c>
      <c r="G117" s="64">
        <v>0</v>
      </c>
      <c r="H117" s="94">
        <v>2</v>
      </c>
      <c r="I117" s="65" t="e">
        <f t="shared" si="52"/>
        <v>#VALUE!</v>
      </c>
      <c r="J117" s="95">
        <v>54.07</v>
      </c>
      <c r="K117" s="67" t="e">
        <f t="shared" si="53"/>
        <v>#VALUE!</v>
      </c>
      <c r="L117" s="30"/>
      <c r="M117" s="3" t="s">
        <v>247</v>
      </c>
      <c r="N117" s="30"/>
      <c r="O117" s="30"/>
      <c r="P117" s="30"/>
      <c r="Q117" s="30"/>
      <c r="R117" s="30"/>
      <c r="S117" s="30">
        <v>1</v>
      </c>
      <c r="T117" s="26"/>
      <c r="U117" s="26"/>
      <c r="V117" s="26"/>
      <c r="W117" s="26"/>
      <c r="X117" s="26"/>
      <c r="Y117" s="26"/>
      <c r="Z117" s="26"/>
      <c r="AA117" s="26"/>
      <c r="AB117" s="26"/>
      <c r="AC117" s="26"/>
      <c r="AD117" s="26"/>
      <c r="AE117" s="26"/>
      <c r="AF117" s="26"/>
      <c r="AG117" s="26"/>
      <c r="AH117" s="26"/>
      <c r="AI117" s="26"/>
      <c r="AJ117" s="26"/>
      <c r="AK117" s="26"/>
      <c r="AL117" s="26"/>
      <c r="AM117" s="26"/>
      <c r="AN117" s="26"/>
      <c r="AO117" s="26"/>
      <c r="AP117" s="26"/>
      <c r="AQ117" s="26"/>
      <c r="AR117" s="26"/>
    </row>
    <row r="118" spans="1:44" ht="15.75" x14ac:dyDescent="0.25">
      <c r="A118" s="30"/>
      <c r="B118" s="13" t="s">
        <v>236</v>
      </c>
      <c r="C118" s="14" t="s">
        <v>248</v>
      </c>
      <c r="D118" s="25" t="s">
        <v>22</v>
      </c>
      <c r="E118" s="11" t="s">
        <v>22</v>
      </c>
      <c r="F118" s="7" t="e">
        <f>G118+SUMIF('[1]mouvement CDL'!B:B,"=venturi centrale de lavage",'[1]mouvement CDL'!G:G)</f>
        <v>#VALUE!</v>
      </c>
      <c r="G118" s="7">
        <v>0</v>
      </c>
      <c r="H118" s="6">
        <v>1</v>
      </c>
      <c r="I118" s="68" t="e">
        <f t="shared" si="52"/>
        <v>#VALUE!</v>
      </c>
      <c r="J118" s="16">
        <v>7</v>
      </c>
      <c r="K118" s="17" t="e">
        <f t="shared" si="53"/>
        <v>#VALUE!</v>
      </c>
      <c r="L118" s="30"/>
      <c r="M118" s="35" t="e">
        <f>SUM(K111:K118)</f>
        <v>#VALUE!</v>
      </c>
      <c r="N118" s="30"/>
      <c r="O118" s="30"/>
      <c r="P118" s="30"/>
      <c r="Q118" s="30"/>
      <c r="R118" s="30"/>
      <c r="S118" s="30">
        <v>1</v>
      </c>
      <c r="T118" s="26"/>
      <c r="U118" s="26"/>
      <c r="V118" s="26"/>
      <c r="W118" s="26"/>
      <c r="X118" s="26"/>
      <c r="Y118" s="26"/>
      <c r="Z118" s="26"/>
      <c r="AA118" s="26"/>
      <c r="AB118" s="26"/>
      <c r="AC118" s="26"/>
      <c r="AD118" s="26"/>
      <c r="AE118" s="26"/>
      <c r="AF118" s="26"/>
      <c r="AG118" s="26"/>
      <c r="AH118" s="26"/>
      <c r="AI118" s="26"/>
      <c r="AJ118" s="26"/>
      <c r="AK118" s="26"/>
      <c r="AL118" s="26"/>
      <c r="AM118" s="26"/>
      <c r="AN118" s="26"/>
      <c r="AO118" s="26"/>
      <c r="AP118" s="26"/>
      <c r="AQ118" s="26"/>
      <c r="AR118" s="26"/>
    </row>
    <row r="122" spans="1:44" ht="15.75" x14ac:dyDescent="0.25">
      <c r="A122" s="30"/>
      <c r="B122" s="13" t="s">
        <v>249</v>
      </c>
      <c r="C122" s="14" t="s">
        <v>256</v>
      </c>
      <c r="D122" s="5" t="s">
        <v>257</v>
      </c>
      <c r="E122" s="11" t="s">
        <v>252</v>
      </c>
      <c r="F122" s="7" t="e">
        <f>G122+SUMIF('[1]mouvement CV'!B:B,"=clapet valve de contrôle(sièges inox)",'[1]mouvement CV'!G:G)</f>
        <v>#VALUE!</v>
      </c>
      <c r="G122" s="7">
        <v>2</v>
      </c>
      <c r="H122" s="6">
        <v>2</v>
      </c>
      <c r="I122" s="68" t="e">
        <f t="shared" ref="I122" si="54">IF(F122&lt;H122,"/!\","-")</f>
        <v>#VALUE!</v>
      </c>
      <c r="J122" s="11">
        <v>76.650000000000006</v>
      </c>
      <c r="K122" s="17" t="e">
        <f t="shared" ref="K122" si="55">F122*J122</f>
        <v>#VALUE!</v>
      </c>
      <c r="L122" s="30"/>
      <c r="M122" s="30"/>
      <c r="N122" s="30"/>
      <c r="O122" s="30"/>
      <c r="P122" s="30"/>
      <c r="Q122" s="30"/>
      <c r="R122" s="30"/>
      <c r="S122" s="30">
        <v>1</v>
      </c>
      <c r="T122" s="26"/>
      <c r="U122" s="26"/>
      <c r="V122" s="26"/>
      <c r="W122" s="26"/>
      <c r="X122" s="26"/>
      <c r="Y122" s="26"/>
      <c r="Z122" s="26"/>
      <c r="AA122" s="26"/>
      <c r="AB122" s="26"/>
      <c r="AC122" s="26"/>
      <c r="AD122" s="26"/>
      <c r="AE122" s="26"/>
      <c r="AF122" s="26"/>
      <c r="AG122" s="26"/>
      <c r="AH122" s="26"/>
      <c r="AI122" s="26"/>
      <c r="AJ122" s="26"/>
      <c r="AK122" s="26"/>
      <c r="AL122" s="26"/>
      <c r="AM122" s="26"/>
      <c r="AN122" s="26"/>
      <c r="AO122" s="26"/>
      <c r="AP122" s="26"/>
      <c r="AQ122" s="26"/>
      <c r="AR122" s="26"/>
    </row>
    <row r="124" spans="1:44" ht="15.75" x14ac:dyDescent="0.25">
      <c r="A124" s="30"/>
      <c r="B124" s="13" t="s">
        <v>249</v>
      </c>
      <c r="C124" s="14" t="s">
        <v>260</v>
      </c>
      <c r="D124" s="5" t="s">
        <v>261</v>
      </c>
      <c r="E124" s="11" t="s">
        <v>252</v>
      </c>
      <c r="F124" s="7" t="e">
        <f>G124+SUMIF('[1]mouvement CV'!B:B,"=disque de diaphragme",'[1]mouvement CV'!G:G)</f>
        <v>#VALUE!</v>
      </c>
      <c r="G124" s="7">
        <v>1</v>
      </c>
      <c r="H124" s="6">
        <v>1</v>
      </c>
      <c r="I124" s="68" t="e">
        <f t="shared" ref="I124" si="56">IF(F124&lt;H124,"/!\","-")</f>
        <v>#VALUE!</v>
      </c>
      <c r="J124" s="11">
        <v>15.48</v>
      </c>
      <c r="K124" s="17" t="e">
        <f t="shared" ref="K124" si="57">F124*J124</f>
        <v>#VALUE!</v>
      </c>
      <c r="L124" s="30"/>
      <c r="M124" s="30"/>
      <c r="N124" s="30"/>
      <c r="O124" s="30"/>
      <c r="P124" s="30"/>
      <c r="Q124" s="30"/>
      <c r="R124" s="30"/>
      <c r="S124" s="30">
        <v>1</v>
      </c>
      <c r="T124" s="26"/>
      <c r="U124" s="26"/>
      <c r="V124" s="26"/>
      <c r="W124" s="26"/>
      <c r="X124" s="26"/>
      <c r="Y124" s="26"/>
      <c r="Z124" s="26"/>
      <c r="AA124" s="26"/>
      <c r="AB124" s="26"/>
      <c r="AC124" s="26"/>
      <c r="AD124" s="26"/>
      <c r="AE124" s="26"/>
      <c r="AF124" s="26"/>
      <c r="AG124" s="26"/>
      <c r="AH124" s="26"/>
      <c r="AI124" s="26"/>
      <c r="AJ124" s="26"/>
      <c r="AK124" s="26"/>
      <c r="AL124" s="26"/>
      <c r="AM124" s="26"/>
      <c r="AN124" s="26"/>
      <c r="AO124" s="26"/>
      <c r="AP124" s="26"/>
      <c r="AQ124" s="26"/>
      <c r="AR124" s="26"/>
    </row>
    <row r="126" spans="1:44" ht="15.75" x14ac:dyDescent="0.25">
      <c r="A126" s="30"/>
      <c r="B126" s="13" t="s">
        <v>249</v>
      </c>
      <c r="C126" s="14" t="s">
        <v>264</v>
      </c>
      <c r="D126" s="5">
        <v>16547</v>
      </c>
      <c r="E126" s="11" t="s">
        <v>252</v>
      </c>
      <c r="F126" s="7" t="e">
        <f>G126+SUMIF('[1]mouvement CV'!B:B,"=joint, rondelles cuivre clapet",'[1]mouvement CV'!G:G)</f>
        <v>#VALUE!</v>
      </c>
      <c r="G126" s="7">
        <v>2</v>
      </c>
      <c r="H126" s="6">
        <v>2</v>
      </c>
      <c r="I126" s="68" t="e">
        <f t="shared" ref="I126:I130" si="58">IF(F126&lt;H126,"/!\","-")</f>
        <v>#VALUE!</v>
      </c>
      <c r="J126" s="11">
        <v>6.91</v>
      </c>
      <c r="K126" s="17" t="e">
        <f t="shared" ref="K126:K130" si="59">F126*J126</f>
        <v>#VALUE!</v>
      </c>
      <c r="L126" s="30"/>
      <c r="M126" s="30"/>
      <c r="N126" s="30"/>
      <c r="O126" s="30"/>
      <c r="P126" s="30"/>
      <c r="Q126" s="30"/>
      <c r="R126" s="30"/>
      <c r="S126" s="30">
        <v>1</v>
      </c>
      <c r="T126" s="26"/>
      <c r="U126" s="26"/>
      <c r="V126" s="26"/>
      <c r="W126" s="26"/>
      <c r="X126" s="26"/>
      <c r="Y126" s="26"/>
      <c r="Z126" s="26"/>
      <c r="AA126" s="26"/>
      <c r="AB126" s="26"/>
      <c r="AC126" s="26"/>
      <c r="AD126" s="26"/>
      <c r="AE126" s="26"/>
      <c r="AF126" s="26"/>
      <c r="AG126" s="26"/>
      <c r="AH126" s="26"/>
      <c r="AI126" s="26"/>
      <c r="AJ126" s="26"/>
      <c r="AK126" s="26"/>
      <c r="AL126" s="26"/>
      <c r="AM126" s="26"/>
      <c r="AN126" s="26"/>
      <c r="AO126" s="26"/>
      <c r="AP126" s="26"/>
      <c r="AQ126" s="26"/>
      <c r="AR126" s="26"/>
    </row>
    <row r="127" spans="1:44" ht="15.75" x14ac:dyDescent="0.25">
      <c r="A127" s="30"/>
      <c r="B127" s="13" t="s">
        <v>249</v>
      </c>
      <c r="C127" s="91" t="s">
        <v>265</v>
      </c>
      <c r="D127" s="96" t="s">
        <v>266</v>
      </c>
      <c r="E127" s="93" t="s">
        <v>22</v>
      </c>
      <c r="F127" s="64" t="e">
        <f>G127+SUMIF('[1]mouvement CV'!B:B,"=PT100 6 connexions t° serpentin",'[1]mouvement CV'!G:G)</f>
        <v>#VALUE!</v>
      </c>
      <c r="G127" s="64">
        <v>1</v>
      </c>
      <c r="H127" s="94">
        <v>1</v>
      </c>
      <c r="I127" s="65" t="e">
        <f t="shared" si="58"/>
        <v>#VALUE!</v>
      </c>
      <c r="J127" s="93"/>
      <c r="K127" s="67" t="e">
        <f t="shared" si="59"/>
        <v>#VALUE!</v>
      </c>
      <c r="L127" s="30"/>
      <c r="M127" s="30"/>
      <c r="N127" s="30"/>
      <c r="O127" s="30"/>
      <c r="P127" s="30"/>
      <c r="Q127" s="30"/>
      <c r="R127" s="30"/>
      <c r="S127" s="30">
        <v>1</v>
      </c>
      <c r="T127" s="26"/>
      <c r="U127" s="26"/>
      <c r="V127" s="26"/>
      <c r="W127" s="26"/>
      <c r="X127" s="26"/>
      <c r="Y127" s="26"/>
      <c r="Z127" s="26"/>
      <c r="AA127" s="26"/>
      <c r="AB127" s="26"/>
      <c r="AC127" s="26"/>
      <c r="AD127" s="26"/>
      <c r="AE127" s="26"/>
      <c r="AF127" s="26"/>
      <c r="AG127" s="26"/>
      <c r="AH127" s="26"/>
      <c r="AI127" s="26"/>
      <c r="AJ127" s="26"/>
      <c r="AK127" s="26"/>
      <c r="AL127" s="26"/>
      <c r="AM127" s="26"/>
      <c r="AN127" s="26"/>
      <c r="AO127" s="26"/>
      <c r="AP127" s="26"/>
      <c r="AQ127" s="26"/>
      <c r="AR127" s="26"/>
    </row>
    <row r="128" spans="1:44" ht="15.75" x14ac:dyDescent="0.25">
      <c r="A128" s="30"/>
      <c r="B128" s="13" t="s">
        <v>249</v>
      </c>
      <c r="C128" s="14" t="s">
        <v>267</v>
      </c>
      <c r="D128" s="5">
        <v>25004200410008</v>
      </c>
      <c r="E128" s="11" t="s">
        <v>268</v>
      </c>
      <c r="F128" s="7" t="e">
        <f>G128+SUMIF('[1]mouvement CV'!B:B,"=purgeur Gestra pn 40",'[1]mouvement CV'!G:G)</f>
        <v>#VALUE!</v>
      </c>
      <c r="G128" s="7">
        <v>0</v>
      </c>
      <c r="H128" s="6">
        <v>1</v>
      </c>
      <c r="I128" s="68" t="e">
        <f t="shared" si="58"/>
        <v>#VALUE!</v>
      </c>
      <c r="J128" s="11">
        <v>258</v>
      </c>
      <c r="K128" s="17" t="e">
        <f t="shared" si="59"/>
        <v>#VALUE!</v>
      </c>
      <c r="L128" s="30"/>
      <c r="M128" s="30"/>
      <c r="N128" s="30"/>
      <c r="O128" s="30"/>
      <c r="P128" s="30"/>
      <c r="Q128" s="30"/>
      <c r="R128" s="30"/>
      <c r="S128" s="30">
        <v>1</v>
      </c>
      <c r="T128" s="26"/>
      <c r="U128" s="26"/>
      <c r="V128" s="26"/>
      <c r="W128" s="26"/>
      <c r="X128" s="26"/>
      <c r="Y128" s="26"/>
      <c r="Z128" s="26"/>
      <c r="AA128" s="26"/>
      <c r="AB128" s="26"/>
      <c r="AC128" s="26"/>
      <c r="AD128" s="26"/>
      <c r="AE128" s="26"/>
      <c r="AF128" s="26"/>
      <c r="AG128" s="26"/>
      <c r="AH128" s="26"/>
      <c r="AI128" s="26"/>
      <c r="AJ128" s="26"/>
      <c r="AK128" s="26"/>
      <c r="AL128" s="26"/>
      <c r="AM128" s="26"/>
      <c r="AN128" s="26"/>
      <c r="AO128" s="26"/>
      <c r="AP128" s="26"/>
      <c r="AQ128" s="26"/>
      <c r="AR128" s="26"/>
    </row>
    <row r="129" spans="1:44" ht="36" x14ac:dyDescent="0.25">
      <c r="A129" s="30"/>
      <c r="B129" s="13" t="s">
        <v>249</v>
      </c>
      <c r="C129" s="70" t="s">
        <v>269</v>
      </c>
      <c r="D129" s="96" t="s">
        <v>270</v>
      </c>
      <c r="E129" s="93" t="s">
        <v>268</v>
      </c>
      <c r="F129" s="64" t="e">
        <f>G129+SUMIF('[1]mouvement CV'!B:B,"=régulateur purgeur Gestra ",'[1]mouvement CV'!G:G)</f>
        <v>#VALUE!</v>
      </c>
      <c r="G129" s="64">
        <v>0</v>
      </c>
      <c r="H129" s="94">
        <v>1</v>
      </c>
      <c r="I129" s="65" t="e">
        <f t="shared" si="58"/>
        <v>#VALUE!</v>
      </c>
      <c r="J129" s="93">
        <v>190</v>
      </c>
      <c r="K129" s="67" t="e">
        <f t="shared" si="59"/>
        <v>#VALUE!</v>
      </c>
      <c r="L129" s="30"/>
      <c r="M129" s="30"/>
      <c r="N129" s="30"/>
      <c r="O129" s="30"/>
      <c r="P129" s="30"/>
      <c r="Q129" s="30"/>
      <c r="R129" s="30"/>
      <c r="S129" s="30">
        <v>1</v>
      </c>
      <c r="T129" s="26"/>
      <c r="U129" s="26"/>
      <c r="V129" s="26"/>
      <c r="W129" s="26"/>
      <c r="X129" s="26"/>
      <c r="Y129" s="26"/>
      <c r="Z129" s="26"/>
      <c r="AA129" s="26"/>
      <c r="AB129" s="26"/>
      <c r="AC129" s="26"/>
      <c r="AD129" s="26"/>
      <c r="AE129" s="26"/>
      <c r="AF129" s="26"/>
      <c r="AG129" s="26"/>
      <c r="AH129" s="26"/>
      <c r="AI129" s="26"/>
      <c r="AJ129" s="26"/>
      <c r="AK129" s="26"/>
      <c r="AL129" s="26"/>
      <c r="AM129" s="26"/>
      <c r="AN129" s="26"/>
      <c r="AO129" s="26"/>
      <c r="AP129" s="26"/>
      <c r="AQ129" s="26"/>
      <c r="AR129" s="26"/>
    </row>
    <row r="130" spans="1:44" ht="15.75" x14ac:dyDescent="0.25">
      <c r="A130" s="30"/>
      <c r="B130" s="13" t="s">
        <v>249</v>
      </c>
      <c r="C130" s="14" t="s">
        <v>271</v>
      </c>
      <c r="D130" s="5" t="s">
        <v>272</v>
      </c>
      <c r="E130" s="11" t="s">
        <v>252</v>
      </c>
      <c r="F130" s="7" t="e">
        <f>G130+SUMIF('[1]mouvement CV'!B:B,"=ressort clapet pompe aspiration",'[1]mouvement CV'!G:G)</f>
        <v>#VALUE!</v>
      </c>
      <c r="G130" s="7">
        <v>1</v>
      </c>
      <c r="H130" s="6">
        <v>1</v>
      </c>
      <c r="I130" s="68" t="e">
        <f t="shared" si="58"/>
        <v>#VALUE!</v>
      </c>
      <c r="J130" s="11">
        <v>3.84</v>
      </c>
      <c r="K130" s="17" t="e">
        <f t="shared" si="59"/>
        <v>#VALUE!</v>
      </c>
      <c r="L130" s="30"/>
      <c r="M130" s="30"/>
      <c r="N130" s="30"/>
      <c r="O130" s="30"/>
      <c r="P130" s="30"/>
      <c r="Q130" s="30"/>
      <c r="R130" s="30"/>
      <c r="S130" s="30">
        <v>1</v>
      </c>
      <c r="T130" s="26"/>
      <c r="U130" s="26"/>
      <c r="V130" s="26"/>
      <c r="W130" s="26"/>
      <c r="X130" s="26"/>
      <c r="Y130" s="26"/>
      <c r="Z130" s="26"/>
      <c r="AA130" s="26"/>
      <c r="AB130" s="26"/>
      <c r="AC130" s="26"/>
      <c r="AD130" s="26"/>
      <c r="AE130" s="26"/>
      <c r="AF130" s="26"/>
      <c r="AG130" s="26"/>
      <c r="AH130" s="26"/>
      <c r="AI130" s="26"/>
      <c r="AJ130" s="26"/>
      <c r="AK130" s="26"/>
      <c r="AL130" s="26"/>
      <c r="AM130" s="26"/>
      <c r="AN130" s="26"/>
      <c r="AO130" s="26"/>
      <c r="AP130" s="26"/>
      <c r="AQ130" s="26"/>
      <c r="AR130" s="26"/>
    </row>
    <row r="134" spans="1:44" ht="15.75" x14ac:dyDescent="0.25">
      <c r="A134" s="30"/>
      <c r="B134" s="13" t="s">
        <v>249</v>
      </c>
      <c r="C134" s="14" t="s">
        <v>280</v>
      </c>
      <c r="D134" s="5" t="s">
        <v>281</v>
      </c>
      <c r="E134" s="11" t="s">
        <v>252</v>
      </c>
      <c r="F134" s="7" t="e">
        <f>G134+SUMIF('[1]mouvement CV'!B:B,"=tuyau raccord pompe/bache",'[1]mouvement CV'!G:G)</f>
        <v>#VALUE!</v>
      </c>
      <c r="G134" s="7">
        <v>0</v>
      </c>
      <c r="H134" s="6">
        <v>1</v>
      </c>
      <c r="I134" s="68" t="e">
        <f t="shared" ref="I134" si="60">IF(F134&lt;H134,"/!\","-")</f>
        <v>#VALUE!</v>
      </c>
      <c r="J134" s="11">
        <v>6.76</v>
      </c>
      <c r="K134" s="17" t="e">
        <f t="shared" ref="K134" si="61">F134*J134</f>
        <v>#VALUE!</v>
      </c>
      <c r="L134" s="30"/>
      <c r="M134" s="35" t="e">
        <f>SUM(K119:K134)</f>
        <v>#VALUE!</v>
      </c>
      <c r="N134" s="30"/>
      <c r="O134" s="30"/>
      <c r="P134" s="30"/>
      <c r="Q134" s="30"/>
      <c r="R134" s="30"/>
      <c r="S134" s="30">
        <v>1</v>
      </c>
      <c r="T134" s="26"/>
      <c r="U134" s="26"/>
      <c r="V134" s="26"/>
      <c r="W134" s="26"/>
      <c r="X134" s="26"/>
      <c r="Y134" s="26"/>
      <c r="Z134" s="26"/>
      <c r="AA134" s="26"/>
      <c r="AB134" s="26"/>
      <c r="AC134" s="26"/>
      <c r="AD134" s="26"/>
      <c r="AE134" s="26"/>
      <c r="AF134" s="26"/>
      <c r="AG134" s="26"/>
      <c r="AH134" s="26"/>
      <c r="AI134" s="26"/>
      <c r="AJ134" s="26"/>
      <c r="AK134" s="26"/>
      <c r="AL134" s="26"/>
      <c r="AM134" s="26"/>
      <c r="AN134" s="26"/>
      <c r="AO134" s="26"/>
      <c r="AP134" s="26"/>
      <c r="AQ134" s="26"/>
      <c r="AR134" s="26"/>
    </row>
    <row r="136" spans="1:44" ht="15.75" x14ac:dyDescent="0.25">
      <c r="A136" s="30"/>
      <c r="B136" s="13" t="s">
        <v>282</v>
      </c>
      <c r="C136" s="14" t="s">
        <v>285</v>
      </c>
      <c r="D136" s="5">
        <v>104129</v>
      </c>
      <c r="E136" s="6" t="s">
        <v>284</v>
      </c>
      <c r="F136" s="7" t="e">
        <f>G136+SUMIF('[1]mouvement clippeuse'!B:B,"=CAPTEUR secu fca 3442",'[1]mouvement clippeuse'!G:G)</f>
        <v>#VALUE!</v>
      </c>
      <c r="G136" s="7">
        <v>1</v>
      </c>
      <c r="H136" s="6">
        <v>1</v>
      </c>
      <c r="I136" s="2" t="e">
        <f t="shared" ref="I136" si="62">IF(F136&lt;H136,"/!\","-")</f>
        <v>#VALUE!</v>
      </c>
      <c r="J136" s="11">
        <v>104.06</v>
      </c>
      <c r="K136" s="17" t="e">
        <f t="shared" ref="K136" si="63">F136*J136</f>
        <v>#VALUE!</v>
      </c>
      <c r="L136" s="30"/>
      <c r="M136" s="30"/>
      <c r="N136" s="30"/>
      <c r="O136" s="30"/>
      <c r="P136" s="30"/>
      <c r="Q136" s="30"/>
      <c r="R136" s="30"/>
      <c r="S136" s="30">
        <v>1</v>
      </c>
      <c r="T136" s="26"/>
      <c r="U136" s="26"/>
      <c r="V136" s="26"/>
      <c r="W136" s="26"/>
      <c r="X136" s="26"/>
      <c r="Y136" s="26"/>
      <c r="Z136" s="26"/>
      <c r="AA136" s="26"/>
      <c r="AB136" s="26"/>
      <c r="AC136" s="26"/>
      <c r="AD136" s="26"/>
      <c r="AE136" s="26"/>
      <c r="AF136" s="26"/>
      <c r="AG136" s="26"/>
      <c r="AH136" s="26"/>
      <c r="AI136" s="26"/>
      <c r="AJ136" s="26"/>
      <c r="AK136" s="26"/>
      <c r="AL136" s="26"/>
      <c r="AM136" s="26"/>
      <c r="AN136" s="26"/>
      <c r="AO136" s="26"/>
      <c r="AP136" s="26"/>
      <c r="AQ136" s="26"/>
      <c r="AR136" s="26"/>
    </row>
    <row r="138" spans="1:44" ht="15.75" x14ac:dyDescent="0.25">
      <c r="A138" s="30"/>
      <c r="B138" s="13" t="s">
        <v>282</v>
      </c>
      <c r="C138" s="14" t="s">
        <v>287</v>
      </c>
      <c r="D138" s="5">
        <v>56209</v>
      </c>
      <c r="E138" s="6" t="s">
        <v>284</v>
      </c>
      <c r="F138" s="7" t="e">
        <f>G138+SUMIF('[1]mouvement clippeuse'!B:B,"=CHAINES AVANCES AGRAFEE",'[1]mouvement clippeuse'!G:G)</f>
        <v>#VALUE!</v>
      </c>
      <c r="G138" s="7">
        <v>1</v>
      </c>
      <c r="H138" s="6">
        <v>1</v>
      </c>
      <c r="I138" s="2" t="e">
        <f t="shared" ref="I138:I142" si="64">IF(F138&lt;H138,"/!\","-")</f>
        <v>#VALUE!</v>
      </c>
      <c r="J138" s="11">
        <v>63.3</v>
      </c>
      <c r="K138" s="17" t="e">
        <f t="shared" ref="K138:K142" si="65">F138*J138</f>
        <v>#VALUE!</v>
      </c>
      <c r="L138" s="30"/>
      <c r="M138" s="30"/>
      <c r="N138" s="30"/>
      <c r="O138" s="30"/>
      <c r="P138" s="30"/>
      <c r="Q138" s="30"/>
      <c r="R138" s="30"/>
      <c r="S138" s="30">
        <v>1</v>
      </c>
      <c r="T138" s="26"/>
      <c r="U138" s="26"/>
      <c r="V138" s="26"/>
      <c r="W138" s="26"/>
      <c r="X138" s="26"/>
      <c r="Y138" s="26"/>
      <c r="Z138" s="26"/>
      <c r="AA138" s="26"/>
      <c r="AB138" s="26"/>
      <c r="AC138" s="26"/>
      <c r="AD138" s="26"/>
      <c r="AE138" s="26"/>
      <c r="AF138" s="26"/>
      <c r="AG138" s="26"/>
      <c r="AH138" s="26"/>
      <c r="AI138" s="26"/>
      <c r="AJ138" s="26"/>
      <c r="AK138" s="26"/>
      <c r="AL138" s="26"/>
      <c r="AM138" s="26"/>
      <c r="AN138" s="26"/>
      <c r="AO138" s="26"/>
      <c r="AP138" s="26"/>
      <c r="AQ138" s="26"/>
      <c r="AR138" s="26"/>
    </row>
    <row r="139" spans="1:44" ht="60" x14ac:dyDescent="0.25">
      <c r="A139" s="30"/>
      <c r="B139" s="13" t="s">
        <v>282</v>
      </c>
      <c r="C139" s="4" t="s">
        <v>288</v>
      </c>
      <c r="D139" s="5">
        <v>146497</v>
      </c>
      <c r="E139" s="6" t="s">
        <v>284</v>
      </c>
      <c r="F139" s="7" t="e">
        <f>G139+SUMIF('[1]mouvement clippeuse'!B:B,"=COURROIE ref: STD 800 S8M CXA marque Continental",'[1]mouvement clippeuse'!G:G)</f>
        <v>#VALUE!</v>
      </c>
      <c r="G139" s="7">
        <v>2</v>
      </c>
      <c r="H139" s="6">
        <v>1</v>
      </c>
      <c r="I139" s="2" t="e">
        <f t="shared" si="64"/>
        <v>#VALUE!</v>
      </c>
      <c r="J139" s="11">
        <v>116.81</v>
      </c>
      <c r="K139" s="17" t="e">
        <f t="shared" si="65"/>
        <v>#VALUE!</v>
      </c>
      <c r="L139" s="30"/>
      <c r="M139" s="30"/>
      <c r="N139" s="30"/>
      <c r="O139" s="30"/>
      <c r="P139" s="30"/>
      <c r="Q139" s="30"/>
      <c r="R139" s="30"/>
      <c r="S139" s="30">
        <v>1</v>
      </c>
      <c r="T139" s="26"/>
      <c r="U139" s="26"/>
      <c r="V139" s="26"/>
      <c r="W139" s="26"/>
      <c r="X139" s="26"/>
      <c r="Y139" s="26"/>
      <c r="Z139" s="26"/>
      <c r="AA139" s="26"/>
      <c r="AB139" s="26"/>
      <c r="AC139" s="26"/>
      <c r="AD139" s="26"/>
      <c r="AE139" s="26"/>
      <c r="AF139" s="26"/>
      <c r="AG139" s="26"/>
      <c r="AH139" s="26"/>
      <c r="AI139" s="26"/>
      <c r="AJ139" s="26"/>
      <c r="AK139" s="26"/>
      <c r="AL139" s="26"/>
      <c r="AM139" s="26"/>
      <c r="AN139" s="26"/>
      <c r="AO139" s="26"/>
      <c r="AP139" s="26"/>
      <c r="AQ139" s="26"/>
      <c r="AR139" s="26"/>
    </row>
    <row r="140" spans="1:44" ht="15.75" x14ac:dyDescent="0.25">
      <c r="A140" s="30"/>
      <c r="B140" s="13" t="s">
        <v>282</v>
      </c>
      <c r="C140" s="14" t="s">
        <v>289</v>
      </c>
      <c r="D140" s="5">
        <v>143082</v>
      </c>
      <c r="E140" s="6" t="s">
        <v>284</v>
      </c>
      <c r="F140" s="7" t="e">
        <f>G140+SUMIF('[1]mouvement clippeuse'!B:B,"=COUTEAU fca 3442",'[1]mouvement clippeuse'!G:G)</f>
        <v>#VALUE!</v>
      </c>
      <c r="G140" s="7">
        <v>0</v>
      </c>
      <c r="H140" s="6">
        <v>1</v>
      </c>
      <c r="I140" s="2" t="e">
        <f t="shared" si="64"/>
        <v>#VALUE!</v>
      </c>
      <c r="J140" s="11">
        <v>57.61</v>
      </c>
      <c r="K140" s="17" t="e">
        <f t="shared" si="65"/>
        <v>#VALUE!</v>
      </c>
      <c r="L140" s="30"/>
      <c r="M140" s="30"/>
      <c r="N140" s="30"/>
      <c r="O140" s="30"/>
      <c r="P140" s="30"/>
      <c r="Q140" s="30"/>
      <c r="R140" s="30"/>
      <c r="S140" s="30">
        <v>1</v>
      </c>
      <c r="T140" s="26"/>
      <c r="U140" s="26"/>
      <c r="V140" s="26"/>
      <c r="W140" s="26"/>
      <c r="X140" s="26"/>
      <c r="Y140" s="26"/>
      <c r="Z140" s="26"/>
      <c r="AA140" s="26"/>
      <c r="AB140" s="26"/>
      <c r="AC140" s="26"/>
      <c r="AD140" s="26"/>
      <c r="AE140" s="26"/>
      <c r="AF140" s="26"/>
      <c r="AG140" s="26"/>
      <c r="AH140" s="26"/>
      <c r="AI140" s="26"/>
      <c r="AJ140" s="26"/>
      <c r="AK140" s="26"/>
      <c r="AL140" s="26"/>
      <c r="AM140" s="26"/>
      <c r="AN140" s="26"/>
      <c r="AO140" s="26"/>
      <c r="AP140" s="26"/>
      <c r="AQ140" s="26"/>
      <c r="AR140" s="26"/>
    </row>
    <row r="141" spans="1:44" ht="15.75" x14ac:dyDescent="0.25">
      <c r="A141" s="30"/>
      <c r="B141" s="13" t="s">
        <v>282</v>
      </c>
      <c r="C141" s="14" t="s">
        <v>290</v>
      </c>
      <c r="D141" s="5">
        <v>17997</v>
      </c>
      <c r="E141" s="6" t="s">
        <v>284</v>
      </c>
      <c r="F141" s="7" t="e">
        <f>G141+SUMIF('[1]mouvement clippeuse'!B:B,"=Embout caoutchouc frein dévidoir",'[1]mouvement clippeuse'!G:G)</f>
        <v>#VALUE!</v>
      </c>
      <c r="G141" s="7">
        <v>2</v>
      </c>
      <c r="H141" s="6">
        <v>2</v>
      </c>
      <c r="I141" s="2" t="e">
        <f t="shared" si="64"/>
        <v>#VALUE!</v>
      </c>
      <c r="J141" s="69"/>
      <c r="K141" s="17" t="e">
        <f t="shared" si="65"/>
        <v>#VALUE!</v>
      </c>
      <c r="L141" s="30"/>
      <c r="M141" s="30"/>
      <c r="N141" s="30"/>
      <c r="O141" s="30"/>
      <c r="P141" s="30"/>
      <c r="Q141" s="30"/>
      <c r="R141" s="30"/>
      <c r="S141" s="30">
        <v>1</v>
      </c>
      <c r="T141" s="26"/>
      <c r="U141" s="26"/>
      <c r="V141" s="26"/>
      <c r="W141" s="26"/>
      <c r="X141" s="26"/>
      <c r="Y141" s="26"/>
      <c r="Z141" s="26"/>
      <c r="AA141" s="26"/>
      <c r="AB141" s="26"/>
      <c r="AC141" s="26"/>
      <c r="AD141" s="26"/>
      <c r="AE141" s="26"/>
      <c r="AF141" s="26"/>
      <c r="AG141" s="26"/>
      <c r="AH141" s="26"/>
      <c r="AI141" s="26"/>
      <c r="AJ141" s="26"/>
      <c r="AK141" s="26"/>
      <c r="AL141" s="26"/>
      <c r="AM141" s="26"/>
      <c r="AN141" s="26"/>
      <c r="AO141" s="26"/>
      <c r="AP141" s="26"/>
      <c r="AQ141" s="26"/>
      <c r="AR141" s="26"/>
    </row>
    <row r="142" spans="1:44" ht="15.75" x14ac:dyDescent="0.25">
      <c r="A142" s="30"/>
      <c r="B142" s="13" t="s">
        <v>282</v>
      </c>
      <c r="C142" s="14" t="s">
        <v>291</v>
      </c>
      <c r="D142" s="5">
        <v>140947</v>
      </c>
      <c r="E142" s="6" t="s">
        <v>284</v>
      </c>
      <c r="F142" s="7" t="e">
        <f>G142+SUMIF('[1]mouvement clippeuse'!B:B,"=galet d=26",'[1]mouvement clippeuse'!G:G)</f>
        <v>#VALUE!</v>
      </c>
      <c r="G142" s="7">
        <v>1</v>
      </c>
      <c r="H142" s="6">
        <v>1</v>
      </c>
      <c r="I142" s="2" t="e">
        <f t="shared" si="64"/>
        <v>#VALUE!</v>
      </c>
      <c r="J142" s="11">
        <v>140.77000000000001</v>
      </c>
      <c r="K142" s="17" t="e">
        <f t="shared" si="65"/>
        <v>#VALUE!</v>
      </c>
      <c r="L142" s="30"/>
      <c r="M142" s="30"/>
      <c r="N142" s="30"/>
      <c r="O142" s="30"/>
      <c r="P142" s="30"/>
      <c r="Q142" s="30"/>
      <c r="R142" s="30"/>
      <c r="S142" s="30">
        <v>1</v>
      </c>
      <c r="T142" s="26"/>
      <c r="U142" s="26"/>
      <c r="V142" s="26"/>
      <c r="W142" s="26"/>
      <c r="X142" s="26"/>
      <c r="Y142" s="26"/>
      <c r="Z142" s="26"/>
      <c r="AA142" s="26"/>
      <c r="AB142" s="26"/>
      <c r="AC142" s="26"/>
      <c r="AD142" s="26"/>
      <c r="AE142" s="26"/>
      <c r="AF142" s="26"/>
      <c r="AG142" s="26"/>
      <c r="AH142" s="26"/>
      <c r="AI142" s="26"/>
      <c r="AJ142" s="26"/>
      <c r="AK142" s="26"/>
      <c r="AL142" s="26"/>
      <c r="AM142" s="26"/>
      <c r="AN142" s="26"/>
      <c r="AO142" s="26"/>
      <c r="AP142" s="26"/>
      <c r="AQ142" s="26"/>
      <c r="AR142" s="26"/>
    </row>
    <row r="146" spans="1:44" ht="15.75" x14ac:dyDescent="0.25">
      <c r="A146" s="30"/>
      <c r="B146" s="13" t="s">
        <v>282</v>
      </c>
      <c r="C146" s="14" t="s">
        <v>295</v>
      </c>
      <c r="D146" s="5">
        <v>23679</v>
      </c>
      <c r="E146" s="6" t="s">
        <v>284</v>
      </c>
      <c r="F146" s="7" t="e">
        <f>G146+SUMIF('[1]mouvement clippeuse'!B:B,"=rotule de droite",'[1]mouvement clippeuse'!G:G)</f>
        <v>#VALUE!</v>
      </c>
      <c r="G146" s="7">
        <v>0</v>
      </c>
      <c r="H146" s="6">
        <v>1</v>
      </c>
      <c r="I146" s="2" t="e">
        <f t="shared" ref="I146" si="66">IF(F146&lt;H146,"/!\","-")</f>
        <v>#VALUE!</v>
      </c>
      <c r="J146" s="11">
        <v>103.49</v>
      </c>
      <c r="K146" s="17" t="e">
        <f t="shared" ref="K146" si="67">F146*J146</f>
        <v>#VALUE!</v>
      </c>
      <c r="L146" s="30"/>
      <c r="M146" s="30"/>
      <c r="N146" s="30"/>
      <c r="O146" s="30"/>
      <c r="P146" s="30"/>
      <c r="Q146" s="30"/>
      <c r="R146" s="30"/>
      <c r="S146" s="30">
        <v>1</v>
      </c>
      <c r="T146" s="26"/>
      <c r="U146" s="26"/>
      <c r="V146" s="26"/>
      <c r="W146" s="26"/>
      <c r="X146" s="26"/>
      <c r="Y146" s="26"/>
      <c r="Z146" s="26"/>
      <c r="AA146" s="26"/>
      <c r="AB146" s="26"/>
      <c r="AC146" s="26"/>
      <c r="AD146" s="26"/>
      <c r="AE146" s="26"/>
      <c r="AF146" s="26"/>
      <c r="AG146" s="26"/>
      <c r="AH146" s="26"/>
      <c r="AI146" s="26"/>
      <c r="AJ146" s="26"/>
      <c r="AK146" s="26"/>
      <c r="AL146" s="26"/>
      <c r="AM146" s="26"/>
      <c r="AN146" s="26"/>
      <c r="AO146" s="26"/>
      <c r="AP146" s="26"/>
      <c r="AQ146" s="26"/>
      <c r="AR146" s="26"/>
    </row>
    <row r="148" spans="1:44" ht="15.75" x14ac:dyDescent="0.25">
      <c r="A148" s="30"/>
      <c r="B148" s="13" t="s">
        <v>282</v>
      </c>
      <c r="C148" s="14" t="s">
        <v>297</v>
      </c>
      <c r="D148" s="5">
        <v>12319</v>
      </c>
      <c r="E148" s="6" t="s">
        <v>284</v>
      </c>
      <c r="F148" s="7" t="e">
        <f>G148+SUMIF('[1]mouvement clippeuse'!B:B,"=rotule droit",'[1]mouvement clippeuse'!G:G)</f>
        <v>#VALUE!</v>
      </c>
      <c r="G148" s="7">
        <v>0</v>
      </c>
      <c r="H148" s="6">
        <v>1</v>
      </c>
      <c r="I148" s="2" t="e">
        <f t="shared" ref="I148" si="68">IF(F148&lt;H148,"/!\","-")</f>
        <v>#VALUE!</v>
      </c>
      <c r="J148" s="11">
        <v>80.569999999999993</v>
      </c>
      <c r="K148" s="17" t="e">
        <f t="shared" ref="K148" si="69">F148*J148</f>
        <v>#VALUE!</v>
      </c>
      <c r="L148" s="30"/>
      <c r="M148" s="30"/>
      <c r="N148" s="30"/>
      <c r="O148" s="30"/>
      <c r="P148" s="30"/>
      <c r="Q148" s="30"/>
      <c r="R148" s="30"/>
      <c r="S148" s="30">
        <v>1</v>
      </c>
      <c r="T148" s="26"/>
      <c r="U148" s="26"/>
      <c r="V148" s="26"/>
      <c r="W148" s="26"/>
      <c r="X148" s="26"/>
      <c r="Y148" s="26"/>
      <c r="Z148" s="26"/>
      <c r="AA148" s="26"/>
      <c r="AB148" s="26"/>
      <c r="AC148" s="26"/>
      <c r="AD148" s="26"/>
      <c r="AE148" s="26"/>
      <c r="AF148" s="26"/>
      <c r="AG148" s="26"/>
      <c r="AH148" s="26"/>
      <c r="AI148" s="26"/>
      <c r="AJ148" s="26"/>
      <c r="AK148" s="26"/>
      <c r="AL148" s="26"/>
      <c r="AM148" s="26"/>
      <c r="AN148" s="26"/>
      <c r="AO148" s="26"/>
      <c r="AP148" s="26"/>
      <c r="AQ148" s="26"/>
      <c r="AR148" s="26"/>
    </row>
    <row r="150" spans="1:44" ht="15.75" x14ac:dyDescent="0.25">
      <c r="A150" s="30"/>
      <c r="B150" s="13" t="s">
        <v>282</v>
      </c>
      <c r="C150" s="14" t="s">
        <v>299</v>
      </c>
      <c r="D150" s="5">
        <v>12304</v>
      </c>
      <c r="E150" s="6" t="s">
        <v>284</v>
      </c>
      <c r="F150" s="7" t="e">
        <f>G150+SUMIF('[1]mouvement clippeuse'!B:B,"=roulement à aiguille (04)",'[1]mouvement clippeuse'!G:G)</f>
        <v>#VALUE!</v>
      </c>
      <c r="G150" s="7">
        <v>0</v>
      </c>
      <c r="H150" s="6">
        <v>2</v>
      </c>
      <c r="I150" s="2" t="e">
        <f t="shared" ref="I150:I154" si="70">IF(F150&lt;H150,"/!\","-")</f>
        <v>#VALUE!</v>
      </c>
      <c r="J150" s="11">
        <v>53.7</v>
      </c>
      <c r="K150" s="17" t="e">
        <f t="shared" ref="K150:K154" si="71">F150*J150</f>
        <v>#VALUE!</v>
      </c>
      <c r="L150" s="30"/>
      <c r="M150" s="30"/>
      <c r="N150" s="30"/>
      <c r="O150" s="30"/>
      <c r="P150" s="30"/>
      <c r="Q150" s="30"/>
      <c r="R150" s="30"/>
      <c r="S150" s="30">
        <v>1</v>
      </c>
      <c r="T150" s="26"/>
      <c r="U150" s="26"/>
      <c r="V150" s="26"/>
      <c r="W150" s="26"/>
      <c r="X150" s="26"/>
      <c r="Y150" s="26"/>
      <c r="Z150" s="26"/>
      <c r="AA150" s="26"/>
      <c r="AB150" s="26"/>
      <c r="AC150" s="26"/>
      <c r="AD150" s="26"/>
      <c r="AE150" s="26"/>
      <c r="AF150" s="26"/>
      <c r="AG150" s="26"/>
      <c r="AH150" s="26"/>
      <c r="AI150" s="26"/>
      <c r="AJ150" s="26"/>
      <c r="AK150" s="26"/>
      <c r="AL150" s="26"/>
      <c r="AM150" s="26"/>
      <c r="AN150" s="26"/>
      <c r="AO150" s="26"/>
      <c r="AP150" s="26"/>
      <c r="AQ150" s="26"/>
      <c r="AR150" s="26"/>
    </row>
    <row r="151" spans="1:44" ht="15.75" x14ac:dyDescent="0.25">
      <c r="A151" s="30"/>
      <c r="B151" s="13" t="s">
        <v>282</v>
      </c>
      <c r="C151" s="14" t="s">
        <v>300</v>
      </c>
      <c r="D151" s="5">
        <v>12352</v>
      </c>
      <c r="E151" s="6" t="s">
        <v>284</v>
      </c>
      <c r="F151" s="7" t="e">
        <f>G151+SUMIF('[1]mouvement clippeuse'!B:B,"=roulement à aiguille (52)",'[1]mouvement clippeuse'!G:G)</f>
        <v>#VALUE!</v>
      </c>
      <c r="G151" s="7">
        <v>0</v>
      </c>
      <c r="H151" s="6">
        <v>2</v>
      </c>
      <c r="I151" s="2" t="e">
        <f t="shared" si="70"/>
        <v>#VALUE!</v>
      </c>
      <c r="J151" s="11">
        <v>45.01</v>
      </c>
      <c r="K151" s="17" t="e">
        <f t="shared" si="71"/>
        <v>#VALUE!</v>
      </c>
      <c r="L151" s="30"/>
      <c r="M151" s="3" t="s">
        <v>282</v>
      </c>
      <c r="N151" s="30"/>
      <c r="O151" s="30"/>
      <c r="P151" s="30"/>
      <c r="Q151" s="30"/>
      <c r="R151" s="30"/>
      <c r="S151" s="30">
        <v>1</v>
      </c>
      <c r="T151" s="26"/>
      <c r="U151" s="26"/>
      <c r="V151" s="26"/>
      <c r="W151" s="26"/>
      <c r="X151" s="26"/>
      <c r="Y151" s="26"/>
      <c r="Z151" s="26"/>
      <c r="AA151" s="26"/>
      <c r="AB151" s="26"/>
      <c r="AC151" s="26"/>
      <c r="AD151" s="26"/>
      <c r="AE151" s="26"/>
      <c r="AF151" s="26"/>
      <c r="AG151" s="26"/>
      <c r="AH151" s="26"/>
      <c r="AI151" s="26"/>
      <c r="AJ151" s="26"/>
      <c r="AK151" s="26"/>
      <c r="AL151" s="26"/>
      <c r="AM151" s="26"/>
      <c r="AN151" s="26"/>
      <c r="AO151" s="26"/>
      <c r="AP151" s="26"/>
      <c r="AQ151" s="26"/>
      <c r="AR151" s="26"/>
    </row>
    <row r="152" spans="1:44" ht="15.75" x14ac:dyDescent="0.25">
      <c r="A152" s="30"/>
      <c r="B152" s="13" t="s">
        <v>282</v>
      </c>
      <c r="C152" s="14" t="s">
        <v>301</v>
      </c>
      <c r="D152" s="5">
        <v>146536</v>
      </c>
      <c r="E152" s="6" t="s">
        <v>284</v>
      </c>
      <c r="F152" s="7" t="e">
        <f>G152+SUMIF('[1]mouvement clippeuse'!B:B,"=Cable VEMAG R500",'[1]mouvement clippeuse'!G:G)</f>
        <v>#VALUE!</v>
      </c>
      <c r="G152" s="7">
        <v>0</v>
      </c>
      <c r="H152" s="6">
        <v>1</v>
      </c>
      <c r="I152" s="2" t="e">
        <f t="shared" si="70"/>
        <v>#VALUE!</v>
      </c>
      <c r="J152" s="11">
        <v>438.11</v>
      </c>
      <c r="K152" s="17" t="e">
        <f t="shared" si="71"/>
        <v>#VALUE!</v>
      </c>
      <c r="L152" s="30"/>
      <c r="M152" s="35" t="e">
        <f>SUM(K135:K152)</f>
        <v>#VALUE!</v>
      </c>
      <c r="N152" s="30"/>
      <c r="O152" s="30"/>
      <c r="P152" s="30"/>
      <c r="Q152" s="30"/>
      <c r="R152" s="30"/>
      <c r="S152" s="30">
        <v>1</v>
      </c>
      <c r="T152" s="26"/>
      <c r="U152" s="26"/>
      <c r="V152" s="26"/>
      <c r="W152" s="26"/>
      <c r="X152" s="26"/>
      <c r="Y152" s="26"/>
      <c r="Z152" s="26"/>
      <c r="AA152" s="26"/>
      <c r="AB152" s="26"/>
      <c r="AC152" s="26"/>
      <c r="AD152" s="26"/>
      <c r="AE152" s="26"/>
      <c r="AF152" s="26"/>
      <c r="AG152" s="26"/>
      <c r="AH152" s="26"/>
      <c r="AI152" s="26"/>
      <c r="AJ152" s="26"/>
      <c r="AK152" s="26"/>
      <c r="AL152" s="26"/>
      <c r="AM152" s="26"/>
      <c r="AN152" s="26"/>
      <c r="AO152" s="26"/>
      <c r="AP152" s="26"/>
      <c r="AQ152" s="26"/>
      <c r="AR152" s="26"/>
    </row>
    <row r="153" spans="1:44" ht="120" x14ac:dyDescent="0.25">
      <c r="A153" s="30"/>
      <c r="B153" s="13" t="s">
        <v>302</v>
      </c>
      <c r="C153" s="98" t="s">
        <v>303</v>
      </c>
      <c r="D153" s="5" t="s">
        <v>304</v>
      </c>
      <c r="E153" s="6" t="s">
        <v>305</v>
      </c>
      <c r="F153" s="7" t="e">
        <f>G153+SUMIF('[1]mouvement CEM'!B:B,"=Capteur photoélectrique, Cylindrique, Lumière rouge, LED, 0,05 → 7 m, NPN, 100 mA, Câble, IP67",'[1]mouvement CEM'!G:G)</f>
        <v>#VALUE!</v>
      </c>
      <c r="G153" s="7">
        <v>1</v>
      </c>
      <c r="H153" s="6">
        <v>1</v>
      </c>
      <c r="I153" s="2" t="e">
        <f t="shared" si="70"/>
        <v>#VALUE!</v>
      </c>
      <c r="J153" s="16">
        <v>61.24</v>
      </c>
      <c r="K153" s="17" t="e">
        <f t="shared" si="71"/>
        <v>#VALUE!</v>
      </c>
      <c r="L153" s="30"/>
      <c r="M153" s="30"/>
      <c r="N153" s="30"/>
      <c r="O153" s="30"/>
      <c r="P153" s="30"/>
      <c r="Q153" s="30"/>
      <c r="R153" s="30"/>
      <c r="S153" s="30">
        <v>1</v>
      </c>
      <c r="T153" s="26"/>
      <c r="U153" s="26"/>
      <c r="V153" s="26"/>
      <c r="W153" s="26"/>
      <c r="X153" s="26"/>
      <c r="Y153" s="26"/>
      <c r="Z153" s="26"/>
      <c r="AA153" s="26"/>
      <c r="AB153" s="26"/>
      <c r="AC153" s="26"/>
      <c r="AD153" s="26"/>
      <c r="AE153" s="26"/>
      <c r="AF153" s="26"/>
      <c r="AG153" s="26"/>
      <c r="AH153" s="26"/>
      <c r="AI153" s="26"/>
      <c r="AJ153" s="26"/>
      <c r="AK153" s="26"/>
      <c r="AL153" s="26"/>
      <c r="AM153" s="26"/>
      <c r="AN153" s="26"/>
      <c r="AO153" s="26"/>
      <c r="AP153" s="26"/>
      <c r="AQ153" s="26"/>
      <c r="AR153" s="26"/>
    </row>
    <row r="154" spans="1:44" ht="15.75" x14ac:dyDescent="0.25">
      <c r="A154" s="30"/>
      <c r="B154" s="13" t="s">
        <v>302</v>
      </c>
      <c r="C154" s="14" t="s">
        <v>306</v>
      </c>
      <c r="D154" s="5" t="s">
        <v>307</v>
      </c>
      <c r="E154" s="6" t="s">
        <v>305</v>
      </c>
      <c r="F154" s="7" t="e">
        <f>G154+SUMIF('[1]mouvement CEM'!B:B,"=courroie d'entrainement enrouleur glassine",'[1]mouvement CEM'!G:G)</f>
        <v>#VALUE!</v>
      </c>
      <c r="G154" s="7">
        <v>1</v>
      </c>
      <c r="H154" s="6">
        <v>1</v>
      </c>
      <c r="I154" s="2" t="e">
        <f t="shared" si="70"/>
        <v>#VALUE!</v>
      </c>
      <c r="J154" s="16">
        <v>31.95</v>
      </c>
      <c r="K154" s="17" t="e">
        <f t="shared" si="71"/>
        <v>#VALUE!</v>
      </c>
      <c r="L154" s="30"/>
      <c r="M154" s="30"/>
      <c r="N154" s="30"/>
      <c r="O154" s="30"/>
      <c r="P154" s="30"/>
      <c r="Q154" s="30"/>
      <c r="R154" s="30"/>
      <c r="S154" s="30">
        <v>1</v>
      </c>
      <c r="T154" s="26"/>
      <c r="U154" s="26"/>
      <c r="V154" s="26"/>
      <c r="W154" s="26"/>
      <c r="X154" s="26"/>
      <c r="Y154" s="26"/>
      <c r="Z154" s="26"/>
      <c r="AA154" s="26"/>
      <c r="AB154" s="26"/>
      <c r="AC154" s="26"/>
      <c r="AD154" s="26"/>
      <c r="AE154" s="26"/>
      <c r="AF154" s="26"/>
      <c r="AG154" s="26"/>
      <c r="AH154" s="26"/>
      <c r="AI154" s="26"/>
      <c r="AJ154" s="26"/>
      <c r="AK154" s="26"/>
      <c r="AL154" s="26"/>
      <c r="AM154" s="26"/>
      <c r="AN154" s="26"/>
      <c r="AO154" s="26"/>
      <c r="AP154" s="26"/>
      <c r="AQ154" s="26"/>
      <c r="AR154" s="26"/>
    </row>
    <row r="158" spans="1:44" ht="15.75" x14ac:dyDescent="0.25">
      <c r="A158" s="30"/>
      <c r="B158" s="13" t="s">
        <v>315</v>
      </c>
      <c r="C158" s="99" t="s">
        <v>316</v>
      </c>
      <c r="D158" s="100" t="s">
        <v>317</v>
      </c>
      <c r="E158" s="101" t="s">
        <v>318</v>
      </c>
      <c r="F158" s="7" t="e">
        <f>G158+SUMIF('[1]mouvement coupe légume'!B:B,"=Pilon",'[1]mouvement coupe légume'!G:G)</f>
        <v>#VALUE!</v>
      </c>
      <c r="G158" s="63">
        <v>1</v>
      </c>
      <c r="H158" s="63">
        <v>1</v>
      </c>
      <c r="I158" s="2" t="e">
        <f t="shared" ref="I158" si="72">IF(F158&lt;H158,"/!\","-")</f>
        <v>#VALUE!</v>
      </c>
      <c r="J158" s="66">
        <v>98.52</v>
      </c>
      <c r="K158" s="17" t="e">
        <f t="shared" ref="K158" si="73">F158*J158</f>
        <v>#VALUE!</v>
      </c>
      <c r="L158" s="30"/>
      <c r="M158" s="30"/>
      <c r="N158" s="30"/>
      <c r="O158" s="30"/>
      <c r="P158" s="30"/>
      <c r="Q158" s="30"/>
      <c r="R158" s="30"/>
      <c r="S158" s="30">
        <v>1</v>
      </c>
      <c r="T158" s="26"/>
      <c r="U158" s="26"/>
      <c r="V158" s="26"/>
      <c r="W158" s="26"/>
      <c r="X158" s="26"/>
      <c r="Y158" s="26"/>
      <c r="Z158" s="26"/>
      <c r="AA158" s="26"/>
      <c r="AB158" s="26"/>
      <c r="AC158" s="26"/>
      <c r="AD158" s="26"/>
      <c r="AE158" s="26"/>
      <c r="AF158" s="26"/>
      <c r="AG158" s="26"/>
      <c r="AH158" s="26"/>
      <c r="AI158" s="26"/>
      <c r="AJ158" s="26"/>
      <c r="AK158" s="26"/>
      <c r="AL158" s="26"/>
      <c r="AM158" s="26"/>
      <c r="AN158" s="26"/>
      <c r="AO158" s="26"/>
      <c r="AP158" s="26"/>
      <c r="AQ158" s="26"/>
      <c r="AR158" s="26"/>
    </row>
    <row r="160" spans="1:44" ht="15.75" x14ac:dyDescent="0.25">
      <c r="A160" s="30"/>
      <c r="B160" s="13" t="s">
        <v>315</v>
      </c>
      <c r="C160" s="102" t="s">
        <v>321</v>
      </c>
      <c r="D160" s="100" t="s">
        <v>322</v>
      </c>
      <c r="E160" s="101" t="s">
        <v>318</v>
      </c>
      <c r="F160" s="7" t="e">
        <f>G160+SUMIF('[1]mouvement coupe légume'!B:B,"=Verrou",'[1]mouvement coupe légume'!G:G)</f>
        <v>#VALUE!</v>
      </c>
      <c r="G160" s="63">
        <v>1</v>
      </c>
      <c r="H160" s="63">
        <v>1</v>
      </c>
      <c r="I160" s="2" t="e">
        <f t="shared" ref="I160" si="74">IF(F160&lt;H160,"/!\","-")</f>
        <v>#VALUE!</v>
      </c>
      <c r="J160" s="66">
        <v>50.21</v>
      </c>
      <c r="K160" s="17" t="e">
        <f t="shared" ref="K160" si="75">F160*J160</f>
        <v>#VALUE!</v>
      </c>
      <c r="L160" s="30"/>
      <c r="M160" s="30"/>
      <c r="N160" s="30"/>
      <c r="O160" s="30"/>
      <c r="P160" s="30"/>
      <c r="Q160" s="30"/>
      <c r="R160" s="30"/>
      <c r="S160" s="30">
        <v>1</v>
      </c>
      <c r="T160" s="26"/>
      <c r="U160" s="26"/>
      <c r="V160" s="26"/>
      <c r="W160" s="26"/>
      <c r="X160" s="26"/>
      <c r="Y160" s="26"/>
      <c r="Z160" s="26"/>
      <c r="AA160" s="26"/>
      <c r="AB160" s="26"/>
      <c r="AC160" s="26"/>
      <c r="AD160" s="26"/>
      <c r="AE160" s="26"/>
      <c r="AF160" s="26"/>
      <c r="AG160" s="26"/>
      <c r="AH160" s="26"/>
      <c r="AI160" s="26"/>
      <c r="AJ160" s="26"/>
      <c r="AK160" s="26"/>
      <c r="AL160" s="26"/>
      <c r="AM160" s="26"/>
      <c r="AN160" s="26"/>
      <c r="AO160" s="26"/>
      <c r="AP160" s="26"/>
      <c r="AQ160" s="26"/>
      <c r="AR160" s="26"/>
    </row>
    <row r="162" spans="1:44" ht="15.75" x14ac:dyDescent="0.25">
      <c r="A162" s="30"/>
      <c r="B162" s="13" t="s">
        <v>315</v>
      </c>
      <c r="C162" s="102" t="s">
        <v>325</v>
      </c>
      <c r="D162" s="100" t="s">
        <v>326</v>
      </c>
      <c r="E162" s="101" t="s">
        <v>318</v>
      </c>
      <c r="F162" s="7" t="e">
        <f>G162+SUMIF('[1]mouvement coupe légume'!B:B,"=Butées plastique",'[1]mouvement coupe légume'!G:G)</f>
        <v>#VALUE!</v>
      </c>
      <c r="G162" s="63">
        <v>1</v>
      </c>
      <c r="H162" s="63">
        <v>1</v>
      </c>
      <c r="I162" s="2" t="e">
        <f t="shared" ref="I162:I164" si="76">IF(F162&lt;H162,"/!\","-")</f>
        <v>#VALUE!</v>
      </c>
      <c r="J162" s="66">
        <v>37.1</v>
      </c>
      <c r="K162" s="17" t="e">
        <f t="shared" ref="K162:K164" si="77">F162*J162</f>
        <v>#VALUE!</v>
      </c>
      <c r="L162" s="30"/>
      <c r="M162" s="30"/>
      <c r="N162" s="30"/>
      <c r="O162" s="30"/>
      <c r="P162" s="30"/>
      <c r="Q162" s="30"/>
      <c r="R162" s="30"/>
      <c r="S162" s="30">
        <v>1</v>
      </c>
      <c r="T162" s="26"/>
      <c r="U162" s="26"/>
      <c r="V162" s="26"/>
      <c r="W162" s="26"/>
      <c r="X162" s="26"/>
      <c r="Y162" s="26"/>
      <c r="Z162" s="26"/>
      <c r="AA162" s="26"/>
      <c r="AB162" s="26"/>
      <c r="AC162" s="26"/>
      <c r="AD162" s="26"/>
      <c r="AE162" s="26"/>
      <c r="AF162" s="26"/>
      <c r="AG162" s="26"/>
      <c r="AH162" s="26"/>
      <c r="AI162" s="26"/>
      <c r="AJ162" s="26"/>
      <c r="AK162" s="26"/>
      <c r="AL162" s="26"/>
      <c r="AM162" s="26"/>
      <c r="AN162" s="26"/>
      <c r="AO162" s="26"/>
      <c r="AP162" s="26"/>
      <c r="AQ162" s="26"/>
      <c r="AR162" s="26"/>
    </row>
    <row r="163" spans="1:44" ht="15.75" x14ac:dyDescent="0.25">
      <c r="A163" s="30"/>
      <c r="B163" s="13" t="s">
        <v>315</v>
      </c>
      <c r="C163" s="102" t="s">
        <v>327</v>
      </c>
      <c r="D163" s="100" t="s">
        <v>328</v>
      </c>
      <c r="E163" s="101" t="s">
        <v>318</v>
      </c>
      <c r="F163" s="7" t="e">
        <f>G163+SUMIF('[1]mouvement coupe légume'!B:B,"=Bague Articulée",'[1]mouvement coupe légume'!G:G)</f>
        <v>#VALUE!</v>
      </c>
      <c r="G163" s="63">
        <v>3</v>
      </c>
      <c r="H163" s="63">
        <v>1</v>
      </c>
      <c r="I163" s="2" t="e">
        <f t="shared" si="76"/>
        <v>#VALUE!</v>
      </c>
      <c r="J163" s="66">
        <v>22.84</v>
      </c>
      <c r="K163" s="17" t="e">
        <f t="shared" si="77"/>
        <v>#VALUE!</v>
      </c>
      <c r="L163" s="30"/>
      <c r="M163" s="3" t="s">
        <v>329</v>
      </c>
      <c r="N163" s="30"/>
      <c r="O163" s="30"/>
      <c r="P163" s="30"/>
      <c r="Q163" s="30"/>
      <c r="R163" s="30"/>
      <c r="S163" s="30">
        <v>1</v>
      </c>
      <c r="T163" s="26"/>
      <c r="U163" s="26"/>
      <c r="V163" s="26"/>
      <c r="W163" s="26"/>
      <c r="X163" s="26"/>
      <c r="Y163" s="26"/>
      <c r="Z163" s="26"/>
      <c r="AA163" s="26"/>
      <c r="AB163" s="26"/>
      <c r="AC163" s="26"/>
      <c r="AD163" s="26"/>
      <c r="AE163" s="26"/>
      <c r="AF163" s="26"/>
      <c r="AG163" s="26"/>
      <c r="AH163" s="26"/>
      <c r="AI163" s="26"/>
      <c r="AJ163" s="26"/>
      <c r="AK163" s="26"/>
      <c r="AL163" s="26"/>
      <c r="AM163" s="26"/>
      <c r="AN163" s="26"/>
      <c r="AO163" s="26"/>
      <c r="AP163" s="26"/>
      <c r="AQ163" s="26"/>
      <c r="AR163" s="26"/>
    </row>
    <row r="164" spans="1:44" ht="15.75" x14ac:dyDescent="0.25">
      <c r="A164" s="30"/>
      <c r="B164" s="13" t="s">
        <v>315</v>
      </c>
      <c r="C164" s="102" t="s">
        <v>330</v>
      </c>
      <c r="D164" s="100" t="s">
        <v>331</v>
      </c>
      <c r="E164" s="101" t="s">
        <v>318</v>
      </c>
      <c r="F164" s="7" t="e">
        <f>G164+SUMIF('[1]mouvement coupe légume'!B:B,"=Bagues",'[1]mouvement coupe légume'!G:G)</f>
        <v>#VALUE!</v>
      </c>
      <c r="G164" s="63">
        <v>1</v>
      </c>
      <c r="H164" s="63">
        <v>1</v>
      </c>
      <c r="I164" s="2" t="e">
        <f t="shared" si="76"/>
        <v>#VALUE!</v>
      </c>
      <c r="J164" s="66">
        <v>20</v>
      </c>
      <c r="K164" s="17" t="e">
        <f t="shared" si="77"/>
        <v>#VALUE!</v>
      </c>
      <c r="L164" s="30"/>
      <c r="M164" s="35" t="e">
        <f>SUM(K158:K164)</f>
        <v>#VALUE!</v>
      </c>
      <c r="N164" s="30"/>
      <c r="O164" s="30"/>
      <c r="P164" s="30"/>
      <c r="Q164" s="30"/>
      <c r="R164" s="30"/>
      <c r="S164" s="30">
        <v>1</v>
      </c>
      <c r="T164" s="26"/>
      <c r="U164" s="26"/>
      <c r="V164" s="26"/>
      <c r="W164" s="26"/>
      <c r="X164" s="26"/>
      <c r="Y164" s="26"/>
      <c r="Z164" s="26"/>
      <c r="AA164" s="26"/>
      <c r="AB164" s="26"/>
      <c r="AC164" s="26"/>
      <c r="AD164" s="26"/>
      <c r="AE164" s="26"/>
      <c r="AF164" s="26"/>
      <c r="AG164" s="26"/>
      <c r="AH164" s="26"/>
      <c r="AI164" s="26"/>
      <c r="AJ164" s="26"/>
      <c r="AK164" s="26"/>
      <c r="AL164" s="26"/>
      <c r="AM164" s="26"/>
      <c r="AN164" s="26"/>
      <c r="AO164" s="26"/>
      <c r="AP164" s="26"/>
      <c r="AQ164" s="26"/>
      <c r="AR164" s="26"/>
    </row>
    <row r="165" spans="1:44" ht="15.75" x14ac:dyDescent="0.25">
      <c r="A165" s="30"/>
      <c r="B165" s="103" t="s">
        <v>332</v>
      </c>
      <c r="C165" s="104" t="s">
        <v>333</v>
      </c>
      <c r="D165" s="105" t="s">
        <v>334</v>
      </c>
      <c r="E165" s="105" t="s">
        <v>335</v>
      </c>
      <c r="F165" s="106" t="e">
        <f>G165+SUMIF('[1]mouvement crepiere'!B:B,"=JOINT TORIQUE SEPHAT (59)",'[1]mouvement crepiere'!G:G)</f>
        <v>#VALUE!</v>
      </c>
      <c r="G165" s="106">
        <v>7</v>
      </c>
      <c r="H165" s="101">
        <v>1</v>
      </c>
      <c r="I165" s="107" t="e">
        <f>IF(F165&lt;H165,"/!\","-")</f>
        <v>#VALUE!</v>
      </c>
      <c r="J165" s="101">
        <v>0</v>
      </c>
      <c r="K165" s="108" t="e">
        <f>F165*J165</f>
        <v>#VALUE!</v>
      </c>
      <c r="L165" s="30"/>
      <c r="M165" s="30"/>
      <c r="N165" s="30"/>
      <c r="O165" s="30"/>
      <c r="P165" s="30"/>
      <c r="Q165" s="30"/>
      <c r="R165" s="30"/>
      <c r="S165" s="30">
        <v>1</v>
      </c>
      <c r="T165" s="26"/>
      <c r="U165" s="26"/>
      <c r="V165" s="26"/>
      <c r="W165" s="26"/>
      <c r="X165" s="26"/>
      <c r="Y165" s="26"/>
      <c r="Z165" s="26"/>
      <c r="AA165" s="26"/>
      <c r="AB165" s="26"/>
      <c r="AC165" s="26"/>
      <c r="AD165" s="26"/>
      <c r="AE165" s="26"/>
      <c r="AF165" s="26"/>
      <c r="AG165" s="26"/>
      <c r="AH165" s="26"/>
      <c r="AI165" s="26"/>
      <c r="AJ165" s="26"/>
      <c r="AK165" s="26"/>
      <c r="AL165" s="26"/>
      <c r="AM165" s="26"/>
      <c r="AN165" s="26"/>
      <c r="AO165" s="26"/>
      <c r="AP165" s="26"/>
      <c r="AQ165" s="26"/>
      <c r="AR165" s="26"/>
    </row>
    <row r="166" spans="1:44" ht="15.75" x14ac:dyDescent="0.25">
      <c r="A166" s="30"/>
      <c r="B166" s="103" t="s">
        <v>332</v>
      </c>
      <c r="C166" s="109" t="s">
        <v>336</v>
      </c>
      <c r="D166" s="105" t="s">
        <v>337</v>
      </c>
      <c r="E166" s="105" t="s">
        <v>335</v>
      </c>
      <c r="F166" s="106" t="e">
        <f>G166+SUMIF('[1]mouvement crepiere'!B:B,"=JOINT TORIQUE SEPHAT (19)",'[1]mouvement crepiere'!G:G)</f>
        <v>#VALUE!</v>
      </c>
      <c r="G166" s="106">
        <v>0</v>
      </c>
      <c r="H166" s="101">
        <v>1</v>
      </c>
      <c r="I166" s="107" t="e">
        <f t="shared" ref="I166" si="78">IF(F166&lt;H166,"/!\","-")</f>
        <v>#VALUE!</v>
      </c>
      <c r="J166" s="101">
        <v>0</v>
      </c>
      <c r="K166" s="108" t="e">
        <f t="shared" ref="K166" si="79">F166*J166</f>
        <v>#VALUE!</v>
      </c>
      <c r="L166" s="30"/>
      <c r="M166" s="30"/>
      <c r="N166" s="30"/>
      <c r="O166" s="30"/>
      <c r="P166" s="30"/>
      <c r="Q166" s="30"/>
      <c r="R166" s="30"/>
      <c r="S166" s="30">
        <v>1</v>
      </c>
      <c r="T166" s="26"/>
      <c r="U166" s="26"/>
      <c r="V166" s="26"/>
      <c r="W166" s="26"/>
      <c r="X166" s="26"/>
      <c r="Y166" s="26"/>
      <c r="Z166" s="26"/>
      <c r="AA166" s="26"/>
      <c r="AB166" s="26"/>
      <c r="AC166" s="26"/>
      <c r="AD166" s="26"/>
      <c r="AE166" s="26"/>
      <c r="AF166" s="26"/>
      <c r="AG166" s="26"/>
      <c r="AH166" s="26"/>
      <c r="AI166" s="26"/>
      <c r="AJ166" s="26"/>
      <c r="AK166" s="26"/>
      <c r="AL166" s="26"/>
      <c r="AM166" s="26"/>
      <c r="AN166" s="26"/>
      <c r="AO166" s="26"/>
      <c r="AP166" s="26"/>
      <c r="AQ166" s="26"/>
      <c r="AR166" s="26"/>
    </row>
    <row r="170" spans="1:44" ht="15.75" x14ac:dyDescent="0.25">
      <c r="A170" s="30"/>
      <c r="B170" s="103" t="s">
        <v>332</v>
      </c>
      <c r="C170" s="109" t="s">
        <v>347</v>
      </c>
      <c r="D170" s="105" t="s">
        <v>348</v>
      </c>
      <c r="E170" s="105" t="s">
        <v>26</v>
      </c>
      <c r="F170" s="106" t="e">
        <f>G170+SUMIF('[1]mouvement crepiere'!B:B,"=arret d'urgence",'[1]mouvement crepiere'!G:G)</f>
        <v>#VALUE!</v>
      </c>
      <c r="G170" s="106">
        <v>1</v>
      </c>
      <c r="H170" s="101">
        <v>1</v>
      </c>
      <c r="I170" s="107" t="e">
        <f t="shared" ref="I170" si="80">IF(F170&lt;H170,"/!\","-")</f>
        <v>#VALUE!</v>
      </c>
      <c r="J170" s="111">
        <v>33.9</v>
      </c>
      <c r="K170" s="108" t="e">
        <f t="shared" ref="K170" si="81">F170*J170</f>
        <v>#VALUE!</v>
      </c>
      <c r="L170" s="30"/>
      <c r="M170" s="30"/>
      <c r="N170" s="30"/>
      <c r="O170" s="30"/>
      <c r="P170" s="30"/>
      <c r="Q170" s="30"/>
      <c r="R170" s="30"/>
      <c r="S170" s="30">
        <v>1</v>
      </c>
      <c r="T170" s="26"/>
      <c r="U170" s="26"/>
      <c r="V170" s="26"/>
      <c r="W170" s="26"/>
      <c r="X170" s="26"/>
      <c r="Y170" s="26"/>
      <c r="Z170" s="26"/>
      <c r="AA170" s="26"/>
      <c r="AB170" s="26"/>
      <c r="AC170" s="26"/>
      <c r="AD170" s="26"/>
      <c r="AE170" s="26"/>
      <c r="AF170" s="26"/>
      <c r="AG170" s="26"/>
      <c r="AH170" s="26"/>
      <c r="AI170" s="26"/>
      <c r="AJ170" s="26"/>
      <c r="AK170" s="26"/>
      <c r="AL170" s="26"/>
      <c r="AM170" s="26"/>
      <c r="AN170" s="26"/>
      <c r="AO170" s="26"/>
      <c r="AP170" s="26"/>
      <c r="AQ170" s="26"/>
      <c r="AR170" s="26"/>
    </row>
    <row r="172" spans="1:44" ht="144" x14ac:dyDescent="0.25">
      <c r="A172" s="30"/>
      <c r="B172" s="103" t="s">
        <v>332</v>
      </c>
      <c r="C172" s="110" t="s">
        <v>351</v>
      </c>
      <c r="D172" s="105" t="s">
        <v>352</v>
      </c>
      <c r="E172" s="105" t="s">
        <v>22</v>
      </c>
      <c r="F172" s="106" t="e">
        <f>G172+SUMIF('[1]mouvement crepiere'!B:B,"=I.H.M siemens doseuse à crêpes, API - Extension d'écran Siemens TP 177micro 6AV6640-0CA11-0AX1 320 x 240 pix 1 pc(s)",'[1]mouvement crepiere'!G:G)</f>
        <v>#VALUE!</v>
      </c>
      <c r="G172" s="106">
        <v>1</v>
      </c>
      <c r="H172" s="101">
        <v>1</v>
      </c>
      <c r="I172" s="107" t="e">
        <f t="shared" ref="I172" si="82">IF(F172&lt;H172,"/!\","-")</f>
        <v>#VALUE!</v>
      </c>
      <c r="J172" s="111">
        <v>1099</v>
      </c>
      <c r="K172" s="108" t="e">
        <f t="shared" ref="K172" si="83">F172*J172</f>
        <v>#VALUE!</v>
      </c>
      <c r="L172" s="30"/>
      <c r="M172" s="30"/>
      <c r="N172" s="30"/>
      <c r="O172" s="30"/>
      <c r="P172" s="30"/>
      <c r="Q172" s="30"/>
      <c r="R172" s="30"/>
      <c r="S172" s="30">
        <v>1</v>
      </c>
      <c r="T172" s="26"/>
      <c r="U172" s="26"/>
      <c r="V172" s="26"/>
      <c r="W172" s="26"/>
      <c r="X172" s="26"/>
      <c r="Y172" s="26"/>
      <c r="Z172" s="26"/>
      <c r="AA172" s="26"/>
      <c r="AB172" s="26"/>
      <c r="AC172" s="26"/>
      <c r="AD172" s="26"/>
      <c r="AE172" s="26"/>
      <c r="AF172" s="26"/>
      <c r="AG172" s="26"/>
      <c r="AH172" s="26"/>
      <c r="AI172" s="26"/>
      <c r="AJ172" s="26"/>
      <c r="AK172" s="26"/>
      <c r="AL172" s="26"/>
      <c r="AM172" s="26"/>
      <c r="AN172" s="26"/>
      <c r="AO172" s="26"/>
      <c r="AP172" s="26"/>
      <c r="AQ172" s="26"/>
      <c r="AR172" s="26"/>
    </row>
    <row r="174" spans="1:44" ht="15.75" x14ac:dyDescent="0.25">
      <c r="A174" s="30"/>
      <c r="B174" s="103" t="s">
        <v>332</v>
      </c>
      <c r="C174" s="109" t="s">
        <v>355</v>
      </c>
      <c r="D174" s="105" t="s">
        <v>356</v>
      </c>
      <c r="E174" s="105" t="s">
        <v>343</v>
      </c>
      <c r="F174" s="106" t="e">
        <f>G174+SUMIF('[1]mouvement crepiere'!B:B,"=Axe clapet de dosage",'[1]mouvement crepiere'!G:G)</f>
        <v>#VALUE!</v>
      </c>
      <c r="G174" s="106">
        <v>2</v>
      </c>
      <c r="H174" s="101">
        <v>4</v>
      </c>
      <c r="I174" s="107" t="e">
        <f t="shared" ref="I174:I178" si="84">IF(F174&lt;H174,"/!\","-")</f>
        <v>#VALUE!</v>
      </c>
      <c r="J174" s="111">
        <v>26.08</v>
      </c>
      <c r="K174" s="108" t="e">
        <f t="shared" ref="K174:K178" si="85">F174*J174</f>
        <v>#VALUE!</v>
      </c>
      <c r="L174" s="30"/>
      <c r="M174" s="30"/>
      <c r="N174" s="30"/>
      <c r="O174" s="30"/>
      <c r="P174" s="30"/>
      <c r="Q174" s="30"/>
      <c r="R174" s="30"/>
      <c r="S174" s="30">
        <v>1</v>
      </c>
      <c r="T174" s="26"/>
      <c r="U174" s="26"/>
      <c r="V174" s="26"/>
      <c r="W174" s="26"/>
      <c r="X174" s="26"/>
      <c r="Y174" s="26"/>
      <c r="Z174" s="26"/>
      <c r="AA174" s="26"/>
      <c r="AB174" s="26"/>
      <c r="AC174" s="26"/>
      <c r="AD174" s="26"/>
      <c r="AE174" s="26"/>
      <c r="AF174" s="26"/>
      <c r="AG174" s="26"/>
      <c r="AH174" s="26"/>
      <c r="AI174" s="26"/>
      <c r="AJ174" s="26"/>
      <c r="AK174" s="26"/>
      <c r="AL174" s="26"/>
      <c r="AM174" s="26"/>
      <c r="AN174" s="26"/>
      <c r="AO174" s="26"/>
      <c r="AP174" s="26"/>
      <c r="AQ174" s="26"/>
      <c r="AR174" s="26"/>
    </row>
    <row r="175" spans="1:44" ht="15.75" x14ac:dyDescent="0.25">
      <c r="A175" s="30"/>
      <c r="B175" s="103" t="s">
        <v>332</v>
      </c>
      <c r="C175" s="109" t="s">
        <v>357</v>
      </c>
      <c r="D175" s="105" t="s">
        <v>358</v>
      </c>
      <c r="E175" s="105" t="s">
        <v>343</v>
      </c>
      <c r="F175" s="63" t="e">
        <f>G175+SUMIF('[1]mouvement crepiere'!B:B,"=galets",'[1]mouvement crepiere'!G:G)</f>
        <v>#VALUE!</v>
      </c>
      <c r="G175" s="63">
        <v>8</v>
      </c>
      <c r="H175" s="101">
        <v>4</v>
      </c>
      <c r="I175" s="107" t="e">
        <f t="shared" si="84"/>
        <v>#VALUE!</v>
      </c>
      <c r="J175" s="111">
        <v>9.41</v>
      </c>
      <c r="K175" s="108" t="e">
        <f t="shared" si="85"/>
        <v>#VALUE!</v>
      </c>
      <c r="L175" s="30"/>
      <c r="M175" s="30"/>
      <c r="N175" s="30"/>
      <c r="O175" s="30"/>
      <c r="P175" s="30"/>
      <c r="Q175" s="30"/>
      <c r="R175" s="30"/>
      <c r="S175" s="30">
        <v>1</v>
      </c>
      <c r="T175" s="26"/>
      <c r="U175" s="26"/>
      <c r="V175" s="26"/>
      <c r="W175" s="26"/>
      <c r="X175" s="26"/>
      <c r="Y175" s="26"/>
      <c r="Z175" s="26"/>
      <c r="AA175" s="26"/>
      <c r="AB175" s="26"/>
      <c r="AC175" s="26"/>
      <c r="AD175" s="26"/>
      <c r="AE175" s="26"/>
      <c r="AF175" s="26"/>
      <c r="AG175" s="26"/>
      <c r="AH175" s="26"/>
      <c r="AI175" s="26"/>
      <c r="AJ175" s="26"/>
      <c r="AK175" s="26"/>
      <c r="AL175" s="26"/>
      <c r="AM175" s="26"/>
      <c r="AN175" s="26"/>
      <c r="AO175" s="26"/>
      <c r="AP175" s="26"/>
      <c r="AQ175" s="26"/>
      <c r="AR175" s="26"/>
    </row>
    <row r="176" spans="1:44" ht="15.75" x14ac:dyDescent="0.25">
      <c r="A176" s="30"/>
      <c r="B176" s="103" t="s">
        <v>332</v>
      </c>
      <c r="C176" s="109" t="s">
        <v>359</v>
      </c>
      <c r="D176" s="105" t="s">
        <v>360</v>
      </c>
      <c r="E176" s="105" t="s">
        <v>343</v>
      </c>
      <c r="F176" s="63" t="e">
        <f>G176+SUMIF('[1]mouvement crepiere'!B:B,"=Pince d'accrochage",'[1]mouvement crepiere'!G:G)</f>
        <v>#VALUE!</v>
      </c>
      <c r="G176" s="63">
        <v>2</v>
      </c>
      <c r="H176" s="101">
        <v>1</v>
      </c>
      <c r="I176" s="107" t="e">
        <f t="shared" si="84"/>
        <v>#VALUE!</v>
      </c>
      <c r="J176" s="111">
        <v>19.559999999999999</v>
      </c>
      <c r="K176" s="108" t="e">
        <f t="shared" si="85"/>
        <v>#VALUE!</v>
      </c>
      <c r="L176" s="30"/>
      <c r="M176" s="30"/>
      <c r="N176" s="30"/>
      <c r="O176" s="30"/>
      <c r="P176" s="30"/>
      <c r="Q176" s="30"/>
      <c r="R176" s="30"/>
      <c r="S176" s="30">
        <v>1</v>
      </c>
      <c r="T176" s="26"/>
      <c r="U176" s="26"/>
      <c r="V176" s="26"/>
      <c r="W176" s="26"/>
      <c r="X176" s="26"/>
      <c r="Y176" s="26"/>
      <c r="Z176" s="26"/>
      <c r="AA176" s="26"/>
      <c r="AB176" s="26"/>
      <c r="AC176" s="26"/>
      <c r="AD176" s="26"/>
      <c r="AE176" s="26"/>
      <c r="AF176" s="26"/>
      <c r="AG176" s="26"/>
      <c r="AH176" s="26"/>
      <c r="AI176" s="26"/>
      <c r="AJ176" s="26"/>
      <c r="AK176" s="26"/>
      <c r="AL176" s="26"/>
      <c r="AM176" s="26"/>
      <c r="AN176" s="26"/>
      <c r="AO176" s="26"/>
      <c r="AP176" s="26"/>
      <c r="AQ176" s="26"/>
      <c r="AR176" s="26"/>
    </row>
    <row r="177" spans="1:44" ht="15.75" x14ac:dyDescent="0.25">
      <c r="A177" s="30"/>
      <c r="B177" s="103" t="s">
        <v>332</v>
      </c>
      <c r="C177" s="109" t="s">
        <v>361</v>
      </c>
      <c r="D177" s="105" t="s">
        <v>362</v>
      </c>
      <c r="E177" s="105" t="s">
        <v>343</v>
      </c>
      <c r="F177" s="106" t="e">
        <f>G177+SUMIF('[1]mouvement crepiere'!B:B,"=bagues hd levier clapet",'[1]mouvement crepiere'!G:G)</f>
        <v>#VALUE!</v>
      </c>
      <c r="G177" s="106">
        <v>8</v>
      </c>
      <c r="H177" s="101">
        <v>4</v>
      </c>
      <c r="I177" s="107" t="e">
        <f t="shared" si="84"/>
        <v>#VALUE!</v>
      </c>
      <c r="J177" s="111">
        <v>6.19</v>
      </c>
      <c r="K177" s="108" t="e">
        <f t="shared" si="85"/>
        <v>#VALUE!</v>
      </c>
      <c r="L177" s="30"/>
      <c r="M177" s="30"/>
      <c r="N177" s="30"/>
      <c r="O177" s="30"/>
      <c r="P177" s="30"/>
      <c r="Q177" s="30"/>
      <c r="R177" s="30"/>
      <c r="S177" s="30">
        <v>1</v>
      </c>
      <c r="T177" s="26"/>
      <c r="U177" s="26"/>
      <c r="V177" s="26"/>
      <c r="W177" s="26"/>
      <c r="X177" s="26"/>
      <c r="Y177" s="26"/>
      <c r="Z177" s="26"/>
      <c r="AA177" s="26"/>
      <c r="AB177" s="26"/>
      <c r="AC177" s="26"/>
      <c r="AD177" s="26"/>
      <c r="AE177" s="26"/>
      <c r="AF177" s="26"/>
      <c r="AG177" s="26"/>
      <c r="AH177" s="26"/>
      <c r="AI177" s="26"/>
      <c r="AJ177" s="26"/>
      <c r="AK177" s="26"/>
      <c r="AL177" s="26"/>
      <c r="AM177" s="26"/>
      <c r="AN177" s="26"/>
      <c r="AO177" s="26"/>
      <c r="AP177" s="26"/>
      <c r="AQ177" s="26"/>
      <c r="AR177" s="26"/>
    </row>
    <row r="178" spans="1:44" ht="15.75" x14ac:dyDescent="0.25">
      <c r="A178" s="30"/>
      <c r="B178" s="103" t="s">
        <v>332</v>
      </c>
      <c r="C178" s="109" t="s">
        <v>363</v>
      </c>
      <c r="D178" s="105" t="s">
        <v>364</v>
      </c>
      <c r="E178" s="105" t="s">
        <v>343</v>
      </c>
      <c r="F178" s="106" t="e">
        <f>G178+SUMIF('[1]mouvement crepiere'!B:B,"=Tête de dosage",'[1]mouvement crepiere'!G:G)</f>
        <v>#VALUE!</v>
      </c>
      <c r="G178" s="106">
        <v>2</v>
      </c>
      <c r="H178" s="101">
        <v>3</v>
      </c>
      <c r="I178" s="107" t="e">
        <f t="shared" si="84"/>
        <v>#VALUE!</v>
      </c>
      <c r="J178" s="111">
        <v>45.64</v>
      </c>
      <c r="K178" s="108" t="e">
        <f t="shared" si="85"/>
        <v>#VALUE!</v>
      </c>
      <c r="L178" s="30"/>
      <c r="M178" s="30"/>
      <c r="N178" s="30"/>
      <c r="O178" s="30"/>
      <c r="P178" s="30"/>
      <c r="Q178" s="30"/>
      <c r="R178" s="30"/>
      <c r="S178" s="30">
        <v>1</v>
      </c>
      <c r="T178" s="26"/>
      <c r="U178" s="26"/>
      <c r="V178" s="26"/>
      <c r="W178" s="26"/>
      <c r="X178" s="26"/>
      <c r="Y178" s="26"/>
      <c r="Z178" s="26"/>
      <c r="AA178" s="26"/>
      <c r="AB178" s="26"/>
      <c r="AC178" s="26"/>
      <c r="AD178" s="26"/>
      <c r="AE178" s="26"/>
      <c r="AF178" s="26"/>
      <c r="AG178" s="26"/>
      <c r="AH178" s="26"/>
      <c r="AI178" s="26"/>
      <c r="AJ178" s="26"/>
      <c r="AK178" s="26"/>
      <c r="AL178" s="26"/>
      <c r="AM178" s="26"/>
      <c r="AN178" s="26"/>
      <c r="AO178" s="26"/>
      <c r="AP178" s="26"/>
      <c r="AQ178" s="26"/>
      <c r="AR178" s="26"/>
    </row>
    <row r="182" spans="1:44" ht="15.75" x14ac:dyDescent="0.25">
      <c r="A182" s="30"/>
      <c r="B182" s="103" t="s">
        <v>332</v>
      </c>
      <c r="C182" s="109" t="s">
        <v>371</v>
      </c>
      <c r="D182" s="105" t="s">
        <v>372</v>
      </c>
      <c r="E182" s="105" t="s">
        <v>26</v>
      </c>
      <c r="F182" s="106" t="e">
        <f>G182+SUMIF('[1]mouvement crepiere'!B:B,"=filtre SMC",'[1]mouvement crepiere'!G:G)</f>
        <v>#VALUE!</v>
      </c>
      <c r="G182" s="106">
        <v>1</v>
      </c>
      <c r="H182" s="101">
        <v>1</v>
      </c>
      <c r="I182" s="107" t="e">
        <f t="shared" ref="I182" si="86">IF(F182&lt;H182,"/!\","-")</f>
        <v>#VALUE!</v>
      </c>
      <c r="J182" s="111">
        <v>107</v>
      </c>
      <c r="K182" s="108" t="e">
        <f t="shared" ref="K182" si="87">F182*J182</f>
        <v>#VALUE!</v>
      </c>
      <c r="L182" s="30"/>
      <c r="M182" s="30"/>
      <c r="N182" s="30"/>
      <c r="O182" s="30"/>
      <c r="P182" s="30"/>
      <c r="Q182" s="30"/>
      <c r="R182" s="30"/>
      <c r="S182" s="30">
        <v>1</v>
      </c>
      <c r="T182" s="26"/>
      <c r="U182" s="26"/>
      <c r="V182" s="26"/>
      <c r="W182" s="26"/>
      <c r="X182" s="26"/>
      <c r="Y182" s="26"/>
      <c r="Z182" s="26"/>
      <c r="AA182" s="26"/>
      <c r="AB182" s="26"/>
      <c r="AC182" s="26"/>
      <c r="AD182" s="26"/>
      <c r="AE182" s="26"/>
      <c r="AF182" s="26"/>
      <c r="AG182" s="26"/>
      <c r="AH182" s="26"/>
      <c r="AI182" s="26"/>
      <c r="AJ182" s="26"/>
      <c r="AK182" s="26"/>
      <c r="AL182" s="26"/>
      <c r="AM182" s="26"/>
      <c r="AN182" s="26"/>
      <c r="AO182" s="26"/>
      <c r="AP182" s="26"/>
      <c r="AQ182" s="26"/>
      <c r="AR182" s="26"/>
    </row>
    <row r="184" spans="1:44" ht="15.75" x14ac:dyDescent="0.25">
      <c r="A184" s="30"/>
      <c r="B184" s="103" t="s">
        <v>332</v>
      </c>
      <c r="C184" s="109" t="s">
        <v>375</v>
      </c>
      <c r="D184" s="105" t="s">
        <v>376</v>
      </c>
      <c r="E184" s="105" t="s">
        <v>26</v>
      </c>
      <c r="F184" s="106" t="e">
        <f>G184+SUMIF('[1]mouvement crepiere'!B:B,"=VERIN SMC 20-25-B",'[1]mouvement crepiere'!G:G)</f>
        <v>#VALUE!</v>
      </c>
      <c r="G184" s="106">
        <v>0</v>
      </c>
      <c r="H184" s="101">
        <v>1</v>
      </c>
      <c r="I184" s="107" t="e">
        <f t="shared" ref="I184" si="88">IF(F184&lt;H184,"/!\","-")</f>
        <v>#VALUE!</v>
      </c>
      <c r="J184" s="111">
        <v>44.1</v>
      </c>
      <c r="K184" s="108" t="e">
        <f t="shared" ref="K184" si="89">F184*J184</f>
        <v>#VALUE!</v>
      </c>
      <c r="L184" s="30"/>
      <c r="M184" s="30"/>
      <c r="N184" s="30"/>
      <c r="O184" s="30"/>
      <c r="P184" s="30"/>
      <c r="Q184" s="30"/>
      <c r="R184" s="30"/>
      <c r="S184" s="30">
        <v>1</v>
      </c>
      <c r="T184" s="26"/>
      <c r="U184" s="26"/>
      <c r="V184" s="26"/>
      <c r="W184" s="26"/>
      <c r="X184" s="26"/>
      <c r="Y184" s="26"/>
      <c r="Z184" s="26"/>
      <c r="AA184" s="26"/>
      <c r="AB184" s="26"/>
      <c r="AC184" s="26"/>
      <c r="AD184" s="26"/>
      <c r="AE184" s="26"/>
      <c r="AF184" s="26"/>
      <c r="AG184" s="26"/>
      <c r="AH184" s="26"/>
      <c r="AI184" s="26"/>
      <c r="AJ184" s="26"/>
      <c r="AK184" s="26"/>
      <c r="AL184" s="26"/>
      <c r="AM184" s="26"/>
      <c r="AN184" s="26"/>
      <c r="AO184" s="26"/>
      <c r="AP184" s="26"/>
      <c r="AQ184" s="26"/>
      <c r="AR184" s="26"/>
    </row>
    <row r="186" spans="1:44" ht="15.75" x14ac:dyDescent="0.25">
      <c r="A186" s="30"/>
      <c r="B186" s="103" t="s">
        <v>332</v>
      </c>
      <c r="C186" s="109" t="s">
        <v>379</v>
      </c>
      <c r="D186" s="105" t="s">
        <v>380</v>
      </c>
      <c r="E186" s="105" t="s">
        <v>26</v>
      </c>
      <c r="F186" s="106" t="e">
        <f>G186+SUMIF('[1]mouvement crepiere'!B:B,"=CAPTEUR ILS SMC",'[1]mouvement crepiere'!G:G)</f>
        <v>#VALUE!</v>
      </c>
      <c r="G186" s="106">
        <v>0</v>
      </c>
      <c r="H186" s="101">
        <v>1</v>
      </c>
      <c r="I186" s="107" t="e">
        <f t="shared" ref="I186:I190" si="90">IF(F186&lt;H186,"/!\","-")</f>
        <v>#VALUE!</v>
      </c>
      <c r="J186" s="111">
        <v>27.4</v>
      </c>
      <c r="K186" s="108" t="e">
        <f t="shared" ref="K186:K190" si="91">F186*J186</f>
        <v>#VALUE!</v>
      </c>
      <c r="L186" s="30"/>
      <c r="M186" s="30"/>
      <c r="N186" s="30"/>
      <c r="O186" s="30"/>
      <c r="P186" s="30"/>
      <c r="Q186" s="30"/>
      <c r="R186" s="30"/>
      <c r="S186" s="30">
        <v>1</v>
      </c>
      <c r="T186" s="26"/>
      <c r="U186" s="26"/>
      <c r="V186" s="26"/>
      <c r="W186" s="26"/>
      <c r="X186" s="26"/>
      <c r="Y186" s="26"/>
      <c r="Z186" s="26"/>
      <c r="AA186" s="26"/>
      <c r="AB186" s="26"/>
      <c r="AC186" s="26"/>
      <c r="AD186" s="26"/>
      <c r="AE186" s="26"/>
      <c r="AF186" s="26"/>
      <c r="AG186" s="26"/>
      <c r="AH186" s="26"/>
      <c r="AI186" s="26"/>
      <c r="AJ186" s="26"/>
      <c r="AK186" s="26"/>
      <c r="AL186" s="26"/>
      <c r="AM186" s="26"/>
      <c r="AN186" s="26"/>
      <c r="AO186" s="26"/>
      <c r="AP186" s="26"/>
      <c r="AQ186" s="26"/>
      <c r="AR186" s="26"/>
    </row>
    <row r="187" spans="1:44" ht="15.75" x14ac:dyDescent="0.25">
      <c r="A187" s="30"/>
      <c r="B187" s="103" t="s">
        <v>332</v>
      </c>
      <c r="C187" s="109" t="s">
        <v>381</v>
      </c>
      <c r="D187" s="105" t="s">
        <v>382</v>
      </c>
      <c r="E187" s="105" t="s">
        <v>343</v>
      </c>
      <c r="F187" s="106" t="e">
        <f>G187+SUMIF('[1]mouvement crepiere'!B:B,"= BANDE COTON POUR GRAISSEURS",'[1]mouvement crepiere'!G:G)</f>
        <v>#VALUE!</v>
      </c>
      <c r="G187" s="106">
        <v>120</v>
      </c>
      <c r="H187" s="101">
        <v>21</v>
      </c>
      <c r="I187" s="107" t="e">
        <f t="shared" si="90"/>
        <v>#VALUE!</v>
      </c>
      <c r="J187" s="111">
        <v>0.43</v>
      </c>
      <c r="K187" s="108" t="e">
        <f t="shared" si="91"/>
        <v>#VALUE!</v>
      </c>
      <c r="L187" s="30"/>
      <c r="M187" s="30"/>
      <c r="N187" s="30"/>
      <c r="O187" s="30"/>
      <c r="P187" s="30"/>
      <c r="Q187" s="30"/>
      <c r="R187" s="30"/>
      <c r="S187" s="30">
        <v>1</v>
      </c>
      <c r="T187" s="26"/>
      <c r="U187" s="26"/>
      <c r="V187" s="26"/>
      <c r="W187" s="26"/>
      <c r="X187" s="26"/>
      <c r="Y187" s="26"/>
      <c r="Z187" s="26"/>
      <c r="AA187" s="26"/>
      <c r="AB187" s="26"/>
      <c r="AC187" s="26"/>
      <c r="AD187" s="26"/>
      <c r="AE187" s="26"/>
      <c r="AF187" s="26"/>
      <c r="AG187" s="26"/>
      <c r="AH187" s="26"/>
      <c r="AI187" s="26"/>
      <c r="AJ187" s="26"/>
      <c r="AK187" s="26"/>
      <c r="AL187" s="26"/>
      <c r="AM187" s="26"/>
      <c r="AN187" s="26"/>
      <c r="AO187" s="26"/>
      <c r="AP187" s="26"/>
      <c r="AQ187" s="26"/>
      <c r="AR187" s="26"/>
    </row>
    <row r="188" spans="1:44" ht="15.75" x14ac:dyDescent="0.25">
      <c r="A188" s="30"/>
      <c r="B188" s="103" t="s">
        <v>332</v>
      </c>
      <c r="C188" s="109" t="s">
        <v>383</v>
      </c>
      <c r="D188" s="105" t="s">
        <v>384</v>
      </c>
      <c r="E188" s="105" t="s">
        <v>343</v>
      </c>
      <c r="F188" s="106" t="e">
        <f>G188+SUMIF('[1]mouvement crepiere'!B:B,"=bague en bronze",'[1]mouvement crepiere'!G:G)</f>
        <v>#VALUE!</v>
      </c>
      <c r="G188" s="106">
        <v>2</v>
      </c>
      <c r="H188" s="101">
        <v>2</v>
      </c>
      <c r="I188" s="107" t="e">
        <f t="shared" si="90"/>
        <v>#VALUE!</v>
      </c>
      <c r="J188" s="111">
        <v>1.08</v>
      </c>
      <c r="K188" s="108" t="e">
        <f t="shared" si="91"/>
        <v>#VALUE!</v>
      </c>
      <c r="L188" s="30"/>
      <c r="M188" s="30"/>
      <c r="N188" s="30"/>
      <c r="O188" s="30"/>
      <c r="P188" s="30"/>
      <c r="Q188" s="30"/>
      <c r="R188" s="30"/>
      <c r="S188" s="30">
        <v>1</v>
      </c>
      <c r="T188" s="26"/>
      <c r="U188" s="26"/>
      <c r="V188" s="26"/>
      <c r="W188" s="26"/>
      <c r="X188" s="26"/>
      <c r="Y188" s="26"/>
      <c r="Z188" s="26"/>
      <c r="AA188" s="26"/>
      <c r="AB188" s="26"/>
      <c r="AC188" s="26"/>
      <c r="AD188" s="26"/>
      <c r="AE188" s="26"/>
      <c r="AF188" s="26"/>
      <c r="AG188" s="26"/>
      <c r="AH188" s="26"/>
      <c r="AI188" s="26"/>
      <c r="AJ188" s="26"/>
      <c r="AK188" s="26"/>
      <c r="AL188" s="26"/>
      <c r="AM188" s="26"/>
      <c r="AN188" s="26"/>
      <c r="AO188" s="26"/>
      <c r="AP188" s="26"/>
      <c r="AQ188" s="26"/>
      <c r="AR188" s="26"/>
    </row>
    <row r="189" spans="1:44" ht="15.75" x14ac:dyDescent="0.25">
      <c r="A189" s="30"/>
      <c r="B189" s="103" t="s">
        <v>332</v>
      </c>
      <c r="C189" s="109" t="s">
        <v>385</v>
      </c>
      <c r="D189" s="105" t="s">
        <v>386</v>
      </c>
      <c r="E189" s="105" t="s">
        <v>343</v>
      </c>
      <c r="F189" s="106" t="e">
        <f>G189+SUMIF('[1]mouvement crepiere'!B:B,"=joints de pistons",'[1]mouvement crepiere'!G:G)</f>
        <v>#VALUE!</v>
      </c>
      <c r="G189" s="106">
        <v>14</v>
      </c>
      <c r="H189" s="101">
        <v>4</v>
      </c>
      <c r="I189" s="107" t="e">
        <f t="shared" si="90"/>
        <v>#VALUE!</v>
      </c>
      <c r="J189" s="111">
        <v>22.46</v>
      </c>
      <c r="K189" s="108" t="e">
        <f t="shared" si="91"/>
        <v>#VALUE!</v>
      </c>
      <c r="L189" s="30"/>
      <c r="M189" s="30"/>
      <c r="N189" s="30"/>
      <c r="O189" s="30"/>
      <c r="P189" s="30"/>
      <c r="Q189" s="30"/>
      <c r="R189" s="30"/>
      <c r="S189" s="30">
        <v>1</v>
      </c>
      <c r="T189" s="26"/>
      <c r="U189" s="26"/>
      <c r="V189" s="26"/>
      <c r="W189" s="26"/>
      <c r="X189" s="26"/>
      <c r="Y189" s="26"/>
      <c r="Z189" s="26"/>
      <c r="AA189" s="26"/>
      <c r="AB189" s="26"/>
      <c r="AC189" s="26"/>
      <c r="AD189" s="26"/>
      <c r="AE189" s="26"/>
      <c r="AF189" s="26"/>
      <c r="AG189" s="26"/>
      <c r="AH189" s="26"/>
      <c r="AI189" s="26"/>
      <c r="AJ189" s="26"/>
      <c r="AK189" s="26"/>
      <c r="AL189" s="26"/>
      <c r="AM189" s="26"/>
      <c r="AN189" s="26"/>
      <c r="AO189" s="26"/>
      <c r="AP189" s="26"/>
      <c r="AQ189" s="26"/>
      <c r="AR189" s="26"/>
    </row>
    <row r="190" spans="1:44" ht="15.75" x14ac:dyDescent="0.25">
      <c r="A190" s="30"/>
      <c r="B190" s="103" t="s">
        <v>332</v>
      </c>
      <c r="C190" s="109" t="s">
        <v>387</v>
      </c>
      <c r="D190" s="105" t="s">
        <v>388</v>
      </c>
      <c r="E190" s="105" t="s">
        <v>343</v>
      </c>
      <c r="F190" s="106" t="e">
        <f>G190+SUMIF('[1]mouvement crepiere'!B:B,"=Joint",'[1]mouvement crepiere'!G:G)</f>
        <v>#VALUE!</v>
      </c>
      <c r="G190" s="106">
        <v>8</v>
      </c>
      <c r="H190" s="101">
        <v>4</v>
      </c>
      <c r="I190" s="107" t="e">
        <f t="shared" si="90"/>
        <v>#VALUE!</v>
      </c>
      <c r="J190" s="111">
        <v>1.81</v>
      </c>
      <c r="K190" s="108" t="e">
        <f t="shared" si="91"/>
        <v>#VALUE!</v>
      </c>
      <c r="L190" s="30"/>
      <c r="M190" s="30"/>
      <c r="N190" s="30"/>
      <c r="O190" s="30"/>
      <c r="P190" s="30"/>
      <c r="Q190" s="30"/>
      <c r="R190" s="30"/>
      <c r="S190" s="30">
        <v>1</v>
      </c>
      <c r="T190" s="26"/>
      <c r="U190" s="26"/>
      <c r="V190" s="26"/>
      <c r="W190" s="26"/>
      <c r="X190" s="26"/>
      <c r="Y190" s="26"/>
      <c r="Z190" s="26"/>
      <c r="AA190" s="26"/>
      <c r="AB190" s="26"/>
      <c r="AC190" s="26"/>
      <c r="AD190" s="26"/>
      <c r="AE190" s="26"/>
      <c r="AF190" s="26"/>
      <c r="AG190" s="26"/>
      <c r="AH190" s="26"/>
      <c r="AI190" s="26"/>
      <c r="AJ190" s="26"/>
      <c r="AK190" s="26"/>
      <c r="AL190" s="26"/>
      <c r="AM190" s="26"/>
      <c r="AN190" s="26"/>
      <c r="AO190" s="26"/>
      <c r="AP190" s="26"/>
      <c r="AQ190" s="26"/>
      <c r="AR190" s="26"/>
    </row>
    <row r="194" spans="1:44" ht="15.75" x14ac:dyDescent="0.25">
      <c r="A194" s="30"/>
      <c r="B194" s="103" t="s">
        <v>332</v>
      </c>
      <c r="C194" s="109" t="s">
        <v>395</v>
      </c>
      <c r="D194" s="105" t="s">
        <v>396</v>
      </c>
      <c r="E194" s="105" t="s">
        <v>340</v>
      </c>
      <c r="F194" s="106" t="e">
        <f>G194+SUMIF('[1]mouvement crepiere'!B:B,"=VERIN PARKER (MINI)",'[1]mouvement crepiere'!G:G)</f>
        <v>#VALUE!</v>
      </c>
      <c r="G194" s="106">
        <v>2</v>
      </c>
      <c r="H194" s="101">
        <v>8</v>
      </c>
      <c r="I194" s="107" t="e">
        <f t="shared" ref="I194" si="92">IF(F194&lt;H194,"/!\","-")</f>
        <v>#VALUE!</v>
      </c>
      <c r="J194" s="111">
        <v>109.84</v>
      </c>
      <c r="K194" s="108" t="e">
        <f t="shared" ref="K194" si="93">F194*J194</f>
        <v>#VALUE!</v>
      </c>
      <c r="L194" s="30"/>
      <c r="M194" s="30"/>
      <c r="N194" s="30"/>
      <c r="O194" s="30"/>
      <c r="P194" s="30"/>
      <c r="Q194" s="30"/>
      <c r="R194" s="30"/>
      <c r="S194" s="30">
        <v>1</v>
      </c>
      <c r="T194" s="26"/>
      <c r="U194" s="26"/>
      <c r="V194" s="26"/>
      <c r="W194" s="26"/>
      <c r="X194" s="26"/>
      <c r="Y194" s="26"/>
      <c r="Z194" s="26"/>
      <c r="AA194" s="26"/>
      <c r="AB194" s="26"/>
      <c r="AC194" s="26"/>
      <c r="AD194" s="26"/>
      <c r="AE194" s="26"/>
      <c r="AF194" s="26"/>
      <c r="AG194" s="26"/>
      <c r="AH194" s="26"/>
      <c r="AI194" s="26"/>
      <c r="AJ194" s="26"/>
      <c r="AK194" s="26"/>
      <c r="AL194" s="26"/>
      <c r="AM194" s="26"/>
      <c r="AN194" s="26"/>
      <c r="AO194" s="26"/>
      <c r="AP194" s="26"/>
      <c r="AQ194" s="26"/>
      <c r="AR194" s="26"/>
    </row>
    <row r="196" spans="1:44" ht="15.75" x14ac:dyDescent="0.25">
      <c r="A196" s="30"/>
      <c r="B196" s="103" t="s">
        <v>332</v>
      </c>
      <c r="C196" s="109" t="s">
        <v>399</v>
      </c>
      <c r="D196" s="105" t="s">
        <v>400</v>
      </c>
      <c r="E196" s="105"/>
      <c r="F196" s="106" t="e">
        <f>G196+SUMIF('[1]mouvement crepiere'!B:B,"=Mano 0-10bars R 1/8",'[1]mouvement crepiere'!G:G)</f>
        <v>#VALUE!</v>
      </c>
      <c r="G196" s="106">
        <v>0</v>
      </c>
      <c r="H196" s="101">
        <v>1</v>
      </c>
      <c r="I196" s="107" t="e">
        <f t="shared" ref="I196" si="94">IF(F196&lt;H196,"/!\","-")</f>
        <v>#VALUE!</v>
      </c>
      <c r="J196" s="111">
        <v>13.64</v>
      </c>
      <c r="K196" s="108" t="e">
        <f t="shared" ref="K196" si="95">F196*J196</f>
        <v>#VALUE!</v>
      </c>
      <c r="L196" s="30"/>
      <c r="M196" s="30"/>
      <c r="N196" s="30"/>
      <c r="O196" s="30"/>
      <c r="P196" s="30"/>
      <c r="Q196" s="30"/>
      <c r="R196" s="30"/>
      <c r="S196" s="30">
        <v>1</v>
      </c>
      <c r="T196" s="26"/>
      <c r="U196" s="26"/>
      <c r="V196" s="26"/>
      <c r="W196" s="26"/>
      <c r="X196" s="26"/>
      <c r="Y196" s="26"/>
      <c r="Z196" s="26"/>
      <c r="AA196" s="26"/>
      <c r="AB196" s="26"/>
      <c r="AC196" s="26"/>
      <c r="AD196" s="26"/>
      <c r="AE196" s="26"/>
      <c r="AF196" s="26"/>
      <c r="AG196" s="26"/>
      <c r="AH196" s="26"/>
      <c r="AI196" s="26"/>
      <c r="AJ196" s="26"/>
      <c r="AK196" s="26"/>
      <c r="AL196" s="26"/>
      <c r="AM196" s="26"/>
      <c r="AN196" s="26"/>
      <c r="AO196" s="26"/>
      <c r="AP196" s="26"/>
      <c r="AQ196" s="26"/>
      <c r="AR196" s="26"/>
    </row>
    <row r="198" spans="1:44" ht="36" x14ac:dyDescent="0.25">
      <c r="A198" s="30"/>
      <c r="B198" s="103" t="s">
        <v>332</v>
      </c>
      <c r="C198" s="109" t="s">
        <v>403</v>
      </c>
      <c r="D198" s="115" t="s">
        <v>404</v>
      </c>
      <c r="E198" s="105" t="s">
        <v>26</v>
      </c>
      <c r="F198" s="106" t="e">
        <f>G198+SUMIF('[1]mouvement crepiere'!B:B,"=TUYAU POMPE graisseurs",'[1]mouvement crepiere'!G:G)</f>
        <v>#VALUE!</v>
      </c>
      <c r="G198" s="106">
        <v>4</v>
      </c>
      <c r="H198" s="101">
        <v>1</v>
      </c>
      <c r="I198" s="107" t="e">
        <f t="shared" ref="I198:I202" si="96">IF(F198&lt;H198,"/!\","-")</f>
        <v>#VALUE!</v>
      </c>
      <c r="J198" s="111">
        <v>5.3010000000000002</v>
      </c>
      <c r="K198" s="108" t="e">
        <f t="shared" ref="K198:K201" si="97">F198*J198</f>
        <v>#VALUE!</v>
      </c>
      <c r="L198" s="30"/>
      <c r="M198" s="30"/>
      <c r="N198" s="30"/>
      <c r="O198" s="30"/>
      <c r="P198" s="30"/>
      <c r="Q198" s="30"/>
      <c r="R198" s="30"/>
      <c r="S198" s="30">
        <v>1</v>
      </c>
      <c r="T198" s="26"/>
      <c r="U198" s="26"/>
      <c r="V198" s="26"/>
      <c r="W198" s="26"/>
      <c r="X198" s="26"/>
      <c r="Y198" s="26"/>
      <c r="Z198" s="26"/>
      <c r="AA198" s="26"/>
      <c r="AB198" s="26"/>
      <c r="AC198" s="26"/>
      <c r="AD198" s="26"/>
      <c r="AE198" s="26"/>
      <c r="AF198" s="26"/>
      <c r="AG198" s="26"/>
      <c r="AH198" s="26"/>
      <c r="AI198" s="26"/>
      <c r="AJ198" s="26"/>
      <c r="AK198" s="26"/>
      <c r="AL198" s="26"/>
      <c r="AM198" s="26"/>
      <c r="AN198" s="26"/>
      <c r="AO198" s="26"/>
      <c r="AP198" s="26"/>
      <c r="AQ198" s="26"/>
      <c r="AR198" s="26"/>
    </row>
    <row r="199" spans="1:44" ht="15.75" x14ac:dyDescent="0.25">
      <c r="A199" s="30"/>
      <c r="B199" s="103" t="s">
        <v>332</v>
      </c>
      <c r="C199" s="109" t="s">
        <v>405</v>
      </c>
      <c r="D199" s="105" t="s">
        <v>22</v>
      </c>
      <c r="E199" s="105" t="s">
        <v>22</v>
      </c>
      <c r="F199" s="106" t="e">
        <f>G199+SUMIF('[1]mouvement crepiere'!B:B,"=chaine spocket",'[1]mouvement crepiere'!G:G)</f>
        <v>#VALUE!</v>
      </c>
      <c r="G199" s="106">
        <v>0</v>
      </c>
      <c r="H199" s="101">
        <v>1</v>
      </c>
      <c r="I199" s="107" t="e">
        <f t="shared" si="96"/>
        <v>#VALUE!</v>
      </c>
      <c r="J199" s="101">
        <v>66.180000000000007</v>
      </c>
      <c r="K199" s="108" t="e">
        <f t="shared" si="97"/>
        <v>#VALUE!</v>
      </c>
      <c r="L199" s="30"/>
      <c r="M199" s="30"/>
      <c r="N199" s="30"/>
      <c r="O199" s="30"/>
      <c r="P199" s="30"/>
      <c r="Q199" s="30"/>
      <c r="R199" s="30"/>
      <c r="S199" s="30">
        <v>1</v>
      </c>
      <c r="T199" s="26"/>
      <c r="U199" s="26"/>
      <c r="V199" s="26"/>
      <c r="W199" s="26"/>
      <c r="X199" s="26"/>
      <c r="Y199" s="26"/>
      <c r="Z199" s="26"/>
      <c r="AA199" s="26"/>
      <c r="AB199" s="26"/>
      <c r="AC199" s="26"/>
      <c r="AD199" s="26"/>
      <c r="AE199" s="26"/>
      <c r="AF199" s="26"/>
      <c r="AG199" s="26"/>
      <c r="AH199" s="26"/>
      <c r="AI199" s="26"/>
      <c r="AJ199" s="26"/>
      <c r="AK199" s="26"/>
      <c r="AL199" s="26"/>
      <c r="AM199" s="26"/>
      <c r="AN199" s="26"/>
      <c r="AO199" s="26"/>
      <c r="AP199" s="26"/>
      <c r="AQ199" s="26"/>
      <c r="AR199" s="26"/>
    </row>
    <row r="200" spans="1:44" ht="15.75" x14ac:dyDescent="0.25">
      <c r="A200" s="30"/>
      <c r="B200" s="103" t="s">
        <v>332</v>
      </c>
      <c r="C200" s="109" t="s">
        <v>406</v>
      </c>
      <c r="D200" s="105" t="s">
        <v>22</v>
      </c>
      <c r="E200" s="105" t="s">
        <v>22</v>
      </c>
      <c r="F200" s="106" t="e">
        <f>G200+SUMIF('[1]mouvement crepiere'!B:B,"=palier lisse",'[1]mouvement crepiere'!G:G)</f>
        <v>#VALUE!</v>
      </c>
      <c r="G200" s="106">
        <v>2</v>
      </c>
      <c r="H200" s="101">
        <v>1</v>
      </c>
      <c r="I200" s="107" t="e">
        <f t="shared" si="96"/>
        <v>#VALUE!</v>
      </c>
      <c r="J200" s="101">
        <v>14.86</v>
      </c>
      <c r="K200" s="108" t="e">
        <f t="shared" si="97"/>
        <v>#VALUE!</v>
      </c>
      <c r="L200" s="30"/>
      <c r="M200" s="30"/>
      <c r="N200" s="30"/>
      <c r="O200" s="30"/>
      <c r="P200" s="30"/>
      <c r="Q200" s="30"/>
      <c r="R200" s="30"/>
      <c r="S200" s="30">
        <v>1</v>
      </c>
      <c r="T200" s="26"/>
      <c r="U200" s="26"/>
      <c r="V200" s="26"/>
      <c r="W200" s="26"/>
      <c r="X200" s="26"/>
      <c r="Y200" s="26"/>
      <c r="Z200" s="26"/>
      <c r="AA200" s="26"/>
      <c r="AB200" s="26"/>
      <c r="AC200" s="26"/>
      <c r="AD200" s="26"/>
      <c r="AE200" s="26"/>
      <c r="AF200" s="26"/>
      <c r="AG200" s="26"/>
      <c r="AH200" s="26"/>
      <c r="AI200" s="26"/>
      <c r="AJ200" s="26"/>
      <c r="AK200" s="26"/>
      <c r="AL200" s="26"/>
      <c r="AM200" s="26"/>
      <c r="AN200" s="26"/>
      <c r="AO200" s="26"/>
      <c r="AP200" s="26"/>
      <c r="AQ200" s="26"/>
      <c r="AR200" s="26"/>
    </row>
    <row r="201" spans="1:44" ht="15.75" x14ac:dyDescent="0.25">
      <c r="A201" s="30"/>
      <c r="B201" s="103" t="s">
        <v>332</v>
      </c>
      <c r="C201" s="116" t="s">
        <v>407</v>
      </c>
      <c r="D201" s="117" t="s">
        <v>408</v>
      </c>
      <c r="E201" s="117" t="s">
        <v>343</v>
      </c>
      <c r="F201" s="106" t="e">
        <f>G201+SUMIF('[1]mouvement crepiere'!B:B,"=motoreducteur à vis sans fin",'[1]mouvement crepiere'!G:G)</f>
        <v>#VALUE!</v>
      </c>
      <c r="G201" s="29">
        <v>-1</v>
      </c>
      <c r="H201" s="29">
        <v>1</v>
      </c>
      <c r="I201" s="29" t="e">
        <f t="shared" si="96"/>
        <v>#VALUE!</v>
      </c>
      <c r="J201" s="29">
        <v>589.85</v>
      </c>
      <c r="K201" s="29" t="e">
        <f t="shared" si="97"/>
        <v>#VALUE!</v>
      </c>
      <c r="L201" s="30"/>
      <c r="M201" s="30"/>
      <c r="N201" s="30"/>
      <c r="O201" s="30"/>
      <c r="P201" s="30"/>
      <c r="Q201" s="30"/>
      <c r="R201" s="30"/>
      <c r="S201" s="30">
        <v>1</v>
      </c>
      <c r="T201" s="26"/>
      <c r="U201" s="26"/>
      <c r="V201" s="26"/>
      <c r="W201" s="26"/>
      <c r="X201" s="26"/>
      <c r="Y201" s="26"/>
      <c r="Z201" s="26"/>
      <c r="AA201" s="26"/>
      <c r="AB201" s="26"/>
      <c r="AC201" s="26"/>
      <c r="AD201" s="26"/>
      <c r="AE201" s="26"/>
      <c r="AF201" s="26"/>
      <c r="AG201" s="26"/>
      <c r="AH201" s="26"/>
      <c r="AI201" s="26"/>
      <c r="AJ201" s="26"/>
      <c r="AK201" s="26"/>
      <c r="AL201" s="26"/>
      <c r="AM201" s="26"/>
      <c r="AN201" s="26"/>
      <c r="AO201" s="26"/>
      <c r="AP201" s="26"/>
      <c r="AQ201" s="26"/>
      <c r="AR201" s="26"/>
    </row>
    <row r="202" spans="1:44" ht="15.75" x14ac:dyDescent="0.25">
      <c r="A202" s="30"/>
      <c r="B202" s="103" t="s">
        <v>332</v>
      </c>
      <c r="C202" s="116" t="s">
        <v>409</v>
      </c>
      <c r="D202" s="117" t="s">
        <v>410</v>
      </c>
      <c r="E202" s="117" t="s">
        <v>343</v>
      </c>
      <c r="F202" s="106" t="e">
        <f>G202+SUMIF('[1]mouvement crepiere'!B:B,"=poulie a moyeu amovible",'[1]mouvement crepiere'!G:G)</f>
        <v>#VALUE!</v>
      </c>
      <c r="G202" s="29">
        <v>-1</v>
      </c>
      <c r="H202" s="29">
        <v>1</v>
      </c>
      <c r="I202" s="29" t="e">
        <f t="shared" si="96"/>
        <v>#VALUE!</v>
      </c>
      <c r="J202" s="29">
        <v>5.4</v>
      </c>
      <c r="K202" s="29" t="e">
        <f>J202*F202</f>
        <v>#VALUE!</v>
      </c>
      <c r="L202" s="30"/>
      <c r="M202" s="30"/>
      <c r="N202" s="30"/>
      <c r="O202" s="30"/>
      <c r="P202" s="30"/>
      <c r="Q202" s="30"/>
      <c r="R202" s="30"/>
      <c r="S202" s="30">
        <v>1</v>
      </c>
      <c r="T202" s="26"/>
      <c r="U202" s="26"/>
      <c r="V202" s="26"/>
      <c r="W202" s="26"/>
      <c r="X202" s="26"/>
      <c r="Y202" s="26"/>
      <c r="Z202" s="26"/>
      <c r="AA202" s="26"/>
      <c r="AB202" s="26"/>
      <c r="AC202" s="26"/>
      <c r="AD202" s="26"/>
      <c r="AE202" s="26"/>
      <c r="AF202" s="26"/>
      <c r="AG202" s="26"/>
      <c r="AH202" s="26"/>
      <c r="AI202" s="26"/>
      <c r="AJ202" s="26"/>
      <c r="AK202" s="26"/>
      <c r="AL202" s="26"/>
      <c r="AM202" s="26"/>
      <c r="AN202" s="26"/>
      <c r="AO202" s="26"/>
      <c r="AP202" s="26"/>
      <c r="AQ202" s="26"/>
      <c r="AR202" s="26"/>
    </row>
    <row r="206" spans="1:44" ht="15.75" x14ac:dyDescent="0.25">
      <c r="A206" s="30"/>
      <c r="B206" s="13" t="s">
        <v>417</v>
      </c>
      <c r="C206" s="14" t="s">
        <v>418</v>
      </c>
      <c r="D206" s="5">
        <v>10211102</v>
      </c>
      <c r="E206" s="6" t="s">
        <v>305</v>
      </c>
      <c r="F206" s="7" t="e">
        <f>G206+SUMIF('[1]mouvement CTA'!B:B,"=filtres F7 287x592x48 CTA",'[1]mouvement CTA'!G:G)</f>
        <v>#VALUE!</v>
      </c>
      <c r="G206" s="7">
        <v>4</v>
      </c>
      <c r="H206" s="6">
        <v>4</v>
      </c>
      <c r="I206" s="2" t="e">
        <f>IF(F206&lt;H206,"/!\","-")</f>
        <v>#VALUE!</v>
      </c>
      <c r="J206" s="11">
        <v>34.31</v>
      </c>
      <c r="K206" s="17" t="e">
        <f>F206*J206</f>
        <v>#VALUE!</v>
      </c>
      <c r="L206" s="30"/>
      <c r="M206" s="30"/>
      <c r="N206" s="30"/>
      <c r="O206" s="30"/>
      <c r="P206" s="30"/>
      <c r="Q206" s="30"/>
      <c r="R206" s="30"/>
      <c r="S206" s="30">
        <v>1</v>
      </c>
      <c r="T206" s="26"/>
      <c r="U206" s="26"/>
      <c r="V206" s="26"/>
      <c r="W206" s="26"/>
      <c r="X206" s="26"/>
      <c r="Y206" s="26"/>
      <c r="Z206" s="26"/>
      <c r="AA206" s="26"/>
      <c r="AB206" s="26"/>
      <c r="AC206" s="26"/>
      <c r="AD206" s="26"/>
      <c r="AE206" s="26"/>
      <c r="AF206" s="26"/>
      <c r="AG206" s="26"/>
      <c r="AH206" s="26"/>
      <c r="AI206" s="26"/>
      <c r="AJ206" s="26"/>
      <c r="AK206" s="26"/>
      <c r="AL206" s="26"/>
      <c r="AM206" s="26"/>
      <c r="AN206" s="26"/>
      <c r="AO206" s="26"/>
      <c r="AP206" s="26"/>
      <c r="AQ206" s="26"/>
      <c r="AR206" s="26"/>
    </row>
    <row r="208" spans="1:44" ht="15.75" x14ac:dyDescent="0.25">
      <c r="A208" s="30"/>
      <c r="B208" s="13" t="s">
        <v>417</v>
      </c>
      <c r="C208" s="14" t="s">
        <v>420</v>
      </c>
      <c r="D208" s="5">
        <v>10485000</v>
      </c>
      <c r="E208" s="6" t="s">
        <v>305</v>
      </c>
      <c r="F208" s="7" t="e">
        <f>G208+SUMIF('[1]mouvement CTA'!B:B,"=filres G4 287x592x48 CTA",'[1]mouvement CTA'!G:G)</f>
        <v>#VALUE!</v>
      </c>
      <c r="G208" s="7">
        <v>6</v>
      </c>
      <c r="H208" s="6">
        <v>4</v>
      </c>
      <c r="I208" s="2" t="e">
        <f t="shared" ref="I208" si="98">IF(F208&lt;H208,"/!\","-")</f>
        <v>#VALUE!</v>
      </c>
      <c r="J208" s="11">
        <v>8.9499999999999993</v>
      </c>
      <c r="K208" s="17" t="e">
        <f t="shared" ref="K208" si="99">F208*J208</f>
        <v>#VALUE!</v>
      </c>
      <c r="L208" s="30"/>
      <c r="M208" s="30"/>
      <c r="N208" s="30"/>
      <c r="O208" s="30"/>
      <c r="P208" s="30"/>
      <c r="Q208" s="30"/>
      <c r="R208" s="30"/>
      <c r="S208" s="30">
        <v>1</v>
      </c>
      <c r="T208" s="26"/>
      <c r="U208" s="26"/>
      <c r="V208" s="26"/>
      <c r="W208" s="26"/>
      <c r="X208" s="26"/>
      <c r="Y208" s="26"/>
      <c r="Z208" s="26"/>
      <c r="AA208" s="26"/>
      <c r="AB208" s="26"/>
      <c r="AC208" s="26"/>
      <c r="AD208" s="26"/>
      <c r="AE208" s="26"/>
      <c r="AF208" s="26"/>
      <c r="AG208" s="26"/>
      <c r="AH208" s="26"/>
      <c r="AI208" s="26"/>
      <c r="AJ208" s="26"/>
      <c r="AK208" s="26"/>
      <c r="AL208" s="26"/>
      <c r="AM208" s="26"/>
      <c r="AN208" s="26"/>
      <c r="AO208" s="26"/>
      <c r="AP208" s="26"/>
      <c r="AQ208" s="26"/>
      <c r="AR208" s="26"/>
    </row>
    <row r="210" spans="1:44" ht="15.75" x14ac:dyDescent="0.25">
      <c r="A210" s="30"/>
      <c r="B210" s="13" t="s">
        <v>417</v>
      </c>
      <c r="C210" s="14" t="s">
        <v>422</v>
      </c>
      <c r="D210" s="5">
        <v>10485001</v>
      </c>
      <c r="E210" s="6" t="s">
        <v>305</v>
      </c>
      <c r="F210" s="7" t="e">
        <f>G210+SUMIF('[1]mouvement CTA'!B:B,"=filtres G4 592x592x48 WOLF/ROOFTOP",'[1]mouvement CTA'!G:G)</f>
        <v>#VALUE!</v>
      </c>
      <c r="G210" s="7">
        <v>8</v>
      </c>
      <c r="H210" s="6">
        <v>7</v>
      </c>
      <c r="I210" s="2" t="e">
        <f t="shared" ref="I210:I214" si="100">IF(F210&lt;H210,"/!\","-")</f>
        <v>#VALUE!</v>
      </c>
      <c r="J210" s="11">
        <v>13.52</v>
      </c>
      <c r="K210" s="17" t="e">
        <f t="shared" ref="K210:K214" si="101">F210*J210</f>
        <v>#VALUE!</v>
      </c>
      <c r="L210" s="30"/>
      <c r="M210" s="30"/>
      <c r="N210" s="30"/>
      <c r="O210" s="30"/>
      <c r="P210" s="30"/>
      <c r="Q210" s="30"/>
      <c r="R210" s="30"/>
      <c r="S210" s="30">
        <v>1</v>
      </c>
      <c r="T210" s="26"/>
      <c r="U210" s="26"/>
      <c r="V210" s="26"/>
      <c r="W210" s="26"/>
      <c r="X210" s="26"/>
      <c r="Y210" s="26"/>
      <c r="Z210" s="26"/>
      <c r="AA210" s="26"/>
      <c r="AB210" s="26"/>
      <c r="AC210" s="26"/>
      <c r="AD210" s="26"/>
      <c r="AE210" s="26"/>
      <c r="AF210" s="26"/>
      <c r="AG210" s="26"/>
      <c r="AH210" s="26"/>
      <c r="AI210" s="26"/>
      <c r="AJ210" s="26"/>
      <c r="AK210" s="26"/>
      <c r="AL210" s="26"/>
      <c r="AM210" s="26"/>
      <c r="AN210" s="26"/>
      <c r="AO210" s="26"/>
      <c r="AP210" s="26"/>
      <c r="AQ210" s="26"/>
      <c r="AR210" s="26"/>
    </row>
    <row r="211" spans="1:44" ht="15.75" x14ac:dyDescent="0.25">
      <c r="A211" s="30"/>
      <c r="B211" s="13" t="s">
        <v>417</v>
      </c>
      <c r="C211" s="14" t="s">
        <v>423</v>
      </c>
      <c r="D211" s="5">
        <v>10211103</v>
      </c>
      <c r="E211" s="6" t="s">
        <v>305</v>
      </c>
      <c r="F211" s="7" t="e">
        <f>G211+SUMIF('[1]mouvement CTA'!B:B,"=filtres F7 592x592x48 WOLF/ROOFTOP",'[1]mouvement CTA'!G:G)</f>
        <v>#VALUE!</v>
      </c>
      <c r="G211" s="7">
        <v>8</v>
      </c>
      <c r="H211" s="6">
        <v>7</v>
      </c>
      <c r="I211" s="2" t="e">
        <f t="shared" si="100"/>
        <v>#VALUE!</v>
      </c>
      <c r="J211" s="11">
        <v>49.9</v>
      </c>
      <c r="K211" s="17" t="e">
        <f t="shared" si="101"/>
        <v>#VALUE!</v>
      </c>
      <c r="L211" s="30"/>
      <c r="M211" s="30"/>
      <c r="N211" s="30"/>
      <c r="O211" s="30"/>
      <c r="P211" s="30"/>
      <c r="Q211" s="30"/>
      <c r="R211" s="30"/>
      <c r="S211" s="30">
        <v>1</v>
      </c>
      <c r="T211" s="26"/>
      <c r="U211" s="26"/>
      <c r="V211" s="26"/>
      <c r="W211" s="26"/>
      <c r="X211" s="26"/>
      <c r="Y211" s="26"/>
      <c r="Z211" s="26"/>
      <c r="AA211" s="26"/>
      <c r="AB211" s="26"/>
      <c r="AC211" s="26"/>
      <c r="AD211" s="26"/>
      <c r="AE211" s="26"/>
      <c r="AF211" s="26"/>
      <c r="AG211" s="26"/>
      <c r="AH211" s="26"/>
      <c r="AI211" s="26"/>
      <c r="AJ211" s="26"/>
      <c r="AK211" s="26"/>
      <c r="AL211" s="26"/>
      <c r="AM211" s="26"/>
      <c r="AN211" s="26"/>
      <c r="AO211" s="26"/>
      <c r="AP211" s="26"/>
      <c r="AQ211" s="26"/>
      <c r="AR211" s="26"/>
    </row>
    <row r="212" spans="1:44" ht="15.75" x14ac:dyDescent="0.25">
      <c r="A212" s="30"/>
      <c r="B212" s="13" t="s">
        <v>417</v>
      </c>
      <c r="C212" s="14" t="s">
        <v>424</v>
      </c>
      <c r="D212" s="5" t="s">
        <v>22</v>
      </c>
      <c r="E212" s="6" t="s">
        <v>425</v>
      </c>
      <c r="F212" s="7" t="e">
        <f>G212+SUMIF('[1]mouvement CTA'!B:B,"=gaine textile spirale",'[1]mouvement CTA'!G:G)</f>
        <v>#VALUE!</v>
      </c>
      <c r="G212" s="7">
        <v>1</v>
      </c>
      <c r="H212" s="6">
        <v>1</v>
      </c>
      <c r="I212" s="2" t="e">
        <f t="shared" si="100"/>
        <v>#VALUE!</v>
      </c>
      <c r="J212" s="11">
        <v>2482.4</v>
      </c>
      <c r="K212" s="17" t="e">
        <f t="shared" si="101"/>
        <v>#VALUE!</v>
      </c>
      <c r="L212" s="30"/>
      <c r="M212" s="3" t="s">
        <v>417</v>
      </c>
      <c r="N212" s="30"/>
      <c r="O212" s="30"/>
      <c r="P212" s="30"/>
      <c r="Q212" s="30"/>
      <c r="R212" s="30"/>
      <c r="S212" s="30">
        <v>1</v>
      </c>
      <c r="T212" s="26"/>
      <c r="U212" s="26"/>
      <c r="V212" s="26"/>
      <c r="W212" s="26"/>
      <c r="X212" s="26"/>
      <c r="Y212" s="26"/>
      <c r="Z212" s="26"/>
      <c r="AA212" s="26"/>
      <c r="AB212" s="26"/>
      <c r="AC212" s="26"/>
      <c r="AD212" s="26"/>
      <c r="AE212" s="26"/>
      <c r="AF212" s="26"/>
      <c r="AG212" s="26"/>
      <c r="AH212" s="26"/>
      <c r="AI212" s="26"/>
      <c r="AJ212" s="26"/>
      <c r="AK212" s="26"/>
      <c r="AL212" s="26"/>
      <c r="AM212" s="26"/>
      <c r="AN212" s="26"/>
      <c r="AO212" s="26"/>
      <c r="AP212" s="26"/>
      <c r="AQ212" s="26"/>
      <c r="AR212" s="26"/>
    </row>
    <row r="213" spans="1:44" ht="15.75" x14ac:dyDescent="0.25">
      <c r="A213" s="30"/>
      <c r="B213" s="13" t="s">
        <v>417</v>
      </c>
      <c r="C213" s="14" t="s">
        <v>426</v>
      </c>
      <c r="D213" s="118" t="s">
        <v>22</v>
      </c>
      <c r="E213" s="6" t="s">
        <v>425</v>
      </c>
      <c r="F213" s="7" t="e">
        <f>G213+SUMIF('[1]mouvement CTA'!B:B,"=gaine textile salle jaune",'[1]mouvement CTA'!G:G)</f>
        <v>#VALUE!</v>
      </c>
      <c r="G213" s="7">
        <v>2</v>
      </c>
      <c r="H213" s="6">
        <v>2</v>
      </c>
      <c r="I213" s="2" t="e">
        <f t="shared" si="100"/>
        <v>#VALUE!</v>
      </c>
      <c r="J213" s="11">
        <v>864.2</v>
      </c>
      <c r="K213" s="17" t="e">
        <f t="shared" si="101"/>
        <v>#VALUE!</v>
      </c>
      <c r="L213" s="30"/>
      <c r="M213" s="35" t="e">
        <f>SUM(K206:K213)</f>
        <v>#VALUE!</v>
      </c>
      <c r="N213" s="30"/>
      <c r="O213" s="30"/>
      <c r="P213" s="30"/>
      <c r="Q213" s="30"/>
      <c r="R213" s="30"/>
      <c r="S213" s="30">
        <v>1</v>
      </c>
      <c r="T213" s="26"/>
      <c r="U213" s="26"/>
      <c r="V213" s="26"/>
      <c r="W213" s="26"/>
      <c r="X213" s="26"/>
      <c r="Y213" s="26"/>
      <c r="Z213" s="26"/>
      <c r="AA213" s="26"/>
      <c r="AB213" s="26"/>
      <c r="AC213" s="26"/>
      <c r="AD213" s="26"/>
      <c r="AE213" s="26"/>
      <c r="AF213" s="26"/>
      <c r="AG213" s="26"/>
      <c r="AH213" s="26"/>
      <c r="AI213" s="26"/>
      <c r="AJ213" s="26"/>
      <c r="AK213" s="26"/>
      <c r="AL213" s="26"/>
      <c r="AM213" s="26"/>
      <c r="AN213" s="26"/>
      <c r="AO213" s="26"/>
      <c r="AP213" s="26"/>
      <c r="AQ213" s="26"/>
      <c r="AR213" s="26"/>
    </row>
    <row r="214" spans="1:44" ht="15.75" x14ac:dyDescent="0.25">
      <c r="A214" s="30"/>
      <c r="B214" s="13" t="s">
        <v>427</v>
      </c>
      <c r="C214" s="14" t="s">
        <v>428</v>
      </c>
      <c r="D214" s="5" t="s">
        <v>22</v>
      </c>
      <c r="E214" s="6" t="s">
        <v>22</v>
      </c>
      <c r="F214" s="7" t="e">
        <f>G214+SUMIF('[1]mouvement DDM'!B:B,"=cellule barrière détection métaux",'[1]mouvement DDM'!G:G)</f>
        <v>#VALUE!</v>
      </c>
      <c r="G214" s="7">
        <v>0</v>
      </c>
      <c r="H214" s="6">
        <v>1</v>
      </c>
      <c r="I214" s="2" t="e">
        <f t="shared" si="100"/>
        <v>#VALUE!</v>
      </c>
      <c r="J214" s="11">
        <v>0</v>
      </c>
      <c r="K214" s="17" t="e">
        <f t="shared" si="101"/>
        <v>#VALUE!</v>
      </c>
      <c r="L214" s="30"/>
      <c r="M214" s="30"/>
      <c r="N214" s="30"/>
      <c r="O214" s="30"/>
      <c r="P214" s="30"/>
      <c r="Q214" s="30"/>
      <c r="R214" s="30"/>
      <c r="S214" s="30">
        <v>1</v>
      </c>
      <c r="T214" s="26"/>
      <c r="U214" s="26"/>
      <c r="V214" s="26"/>
      <c r="W214" s="26"/>
      <c r="X214" s="26"/>
      <c r="Y214" s="26"/>
      <c r="Z214" s="26"/>
      <c r="AA214" s="26"/>
      <c r="AB214" s="26"/>
      <c r="AC214" s="26"/>
      <c r="AD214" s="26"/>
      <c r="AE214" s="26"/>
      <c r="AF214" s="26"/>
      <c r="AG214" s="26"/>
      <c r="AH214" s="26"/>
      <c r="AI214" s="26"/>
      <c r="AJ214" s="26"/>
      <c r="AK214" s="26"/>
      <c r="AL214" s="26"/>
      <c r="AM214" s="26"/>
      <c r="AN214" s="26"/>
      <c r="AO214" s="26"/>
      <c r="AP214" s="26"/>
      <c r="AQ214" s="26"/>
      <c r="AR214" s="26"/>
    </row>
    <row r="218" spans="1:44" ht="15.75" x14ac:dyDescent="0.25">
      <c r="A218" s="30"/>
      <c r="B218" s="13" t="s">
        <v>427</v>
      </c>
      <c r="C218" s="14" t="s">
        <v>432</v>
      </c>
      <c r="D218" s="5" t="s">
        <v>433</v>
      </c>
      <c r="E218" s="6" t="s">
        <v>22</v>
      </c>
      <c r="F218" s="7" t="e">
        <f>G218+SUMIF('[1]mouvement DDM'!B:B,"=Vérin 25/200 dw ISO 6432",'[1]mouvement DDM'!G:G)</f>
        <v>#VALUE!</v>
      </c>
      <c r="G218" s="7">
        <v>1</v>
      </c>
      <c r="H218" s="6">
        <v>1</v>
      </c>
      <c r="I218" s="2" t="e">
        <f t="shared" ref="I218" si="102">IF(F218&lt;H218,"/!\","-")</f>
        <v>#VALUE!</v>
      </c>
      <c r="J218" s="11">
        <v>175</v>
      </c>
      <c r="K218" s="17" t="e">
        <f t="shared" ref="K218" si="103">F218*J218</f>
        <v>#VALUE!</v>
      </c>
      <c r="L218" s="30"/>
      <c r="M218" s="13" t="s">
        <v>427</v>
      </c>
      <c r="N218" s="30"/>
      <c r="O218" s="30"/>
      <c r="P218" s="30"/>
      <c r="Q218" s="30"/>
      <c r="R218" s="30"/>
      <c r="S218" s="30">
        <v>1</v>
      </c>
      <c r="T218" s="26"/>
      <c r="U218" s="26"/>
      <c r="V218" s="26"/>
      <c r="W218" s="26"/>
      <c r="X218" s="26"/>
      <c r="Y218" s="26"/>
      <c r="Z218" s="26"/>
      <c r="AA218" s="26"/>
      <c r="AB218" s="26"/>
      <c r="AC218" s="26"/>
      <c r="AD218" s="26"/>
      <c r="AE218" s="26"/>
      <c r="AF218" s="26"/>
      <c r="AG218" s="26"/>
      <c r="AH218" s="26"/>
      <c r="AI218" s="26"/>
      <c r="AJ218" s="26"/>
      <c r="AK218" s="26"/>
      <c r="AL218" s="26"/>
      <c r="AM218" s="26"/>
      <c r="AN218" s="26"/>
      <c r="AO218" s="26"/>
      <c r="AP218" s="26"/>
      <c r="AQ218" s="26"/>
      <c r="AR218" s="26"/>
    </row>
    <row r="220" spans="1:44" ht="15.75" x14ac:dyDescent="0.25">
      <c r="A220" s="30"/>
      <c r="B220" s="13" t="s">
        <v>436</v>
      </c>
      <c r="C220" s="97" t="s">
        <v>437</v>
      </c>
      <c r="D220" s="119" t="s">
        <v>438</v>
      </c>
      <c r="E220" s="120" t="s">
        <v>26</v>
      </c>
      <c r="F220" s="7" t="e">
        <f>G220+SUMIF('[1]mouvement desinsectiseur'!B:B,"=Néon anti insectes",'[1]mouvement desinsectiseur'!G:G)</f>
        <v>#VALUE!</v>
      </c>
      <c r="G220" s="7">
        <v>4</v>
      </c>
      <c r="H220" s="6">
        <v>2</v>
      </c>
      <c r="I220" s="1" t="e">
        <f t="shared" ref="I220" si="104">IF(F220&lt;H220,"/!\","-")</f>
        <v>#VALUE!</v>
      </c>
      <c r="J220" s="121">
        <v>10.58</v>
      </c>
      <c r="K220" s="12" t="e">
        <f t="shared" ref="K220" si="105">F220*J220</f>
        <v>#VALUE!</v>
      </c>
      <c r="L220" s="30"/>
      <c r="M220" s="13" t="s">
        <v>436</v>
      </c>
      <c r="N220" s="30"/>
      <c r="O220" s="30"/>
      <c r="P220" s="30"/>
      <c r="Q220" s="30"/>
      <c r="R220" s="30"/>
      <c r="S220" s="30">
        <v>1</v>
      </c>
      <c r="T220" s="26"/>
      <c r="U220" s="26"/>
      <c r="V220" s="26"/>
      <c r="W220" s="26"/>
      <c r="X220" s="26"/>
      <c r="Y220" s="26"/>
      <c r="Z220" s="26"/>
      <c r="AA220" s="26"/>
      <c r="AB220" s="26"/>
      <c r="AC220" s="26"/>
      <c r="AD220" s="26"/>
      <c r="AE220" s="26"/>
      <c r="AF220" s="26"/>
      <c r="AG220" s="26"/>
      <c r="AH220" s="26"/>
      <c r="AI220" s="26"/>
      <c r="AJ220" s="26"/>
      <c r="AK220" s="26"/>
      <c r="AL220" s="26"/>
      <c r="AM220" s="26"/>
      <c r="AN220" s="26"/>
      <c r="AO220" s="26"/>
      <c r="AP220" s="26"/>
      <c r="AQ220" s="26"/>
      <c r="AR220" s="26"/>
    </row>
    <row r="222" spans="1:44" ht="15.75" x14ac:dyDescent="0.25">
      <c r="A222" s="30"/>
      <c r="B222" s="13" t="s">
        <v>441</v>
      </c>
      <c r="C222" s="97" t="s">
        <v>442</v>
      </c>
      <c r="D222" s="119" t="s">
        <v>443</v>
      </c>
      <c r="E222" s="118" t="s">
        <v>444</v>
      </c>
      <c r="F222" s="7" t="e">
        <f>G222+SUMIF('[1]mouvement doseur d''eau'!B:B,"=façade sorema",'[1]mouvement doseur d''eau'!G:G)</f>
        <v>#VALUE!</v>
      </c>
      <c r="G222" s="7">
        <v>0</v>
      </c>
      <c r="H222" s="6">
        <v>1</v>
      </c>
      <c r="I222" s="2" t="e">
        <f t="shared" ref="I222:I226" si="106">IF(F222&lt;H222,"/!\","-")</f>
        <v>#VALUE!</v>
      </c>
      <c r="J222" s="11">
        <v>40.4</v>
      </c>
      <c r="K222" s="17" t="e">
        <f t="shared" ref="K222:K225" si="107">F222*J222</f>
        <v>#VALUE!</v>
      </c>
      <c r="L222" s="30"/>
      <c r="M222" s="30"/>
      <c r="N222" s="30"/>
      <c r="O222" s="30"/>
      <c r="P222" s="30"/>
      <c r="Q222" s="30"/>
      <c r="R222" s="30"/>
      <c r="S222" s="30">
        <v>1</v>
      </c>
      <c r="T222" s="26"/>
      <c r="U222" s="26"/>
      <c r="V222" s="26"/>
      <c r="W222" s="26"/>
      <c r="X222" s="26"/>
      <c r="Y222" s="26"/>
      <c r="Z222" s="26"/>
      <c r="AA222" s="26"/>
      <c r="AB222" s="26"/>
      <c r="AC222" s="26"/>
      <c r="AD222" s="26"/>
      <c r="AE222" s="26"/>
      <c r="AF222" s="26"/>
      <c r="AG222" s="26"/>
      <c r="AH222" s="26"/>
      <c r="AI222" s="26"/>
      <c r="AJ222" s="26"/>
      <c r="AK222" s="26"/>
      <c r="AL222" s="26"/>
      <c r="AM222" s="26"/>
      <c r="AN222" s="26"/>
      <c r="AO222" s="26"/>
      <c r="AP222" s="26"/>
      <c r="AQ222" s="26"/>
      <c r="AR222" s="26"/>
    </row>
    <row r="223" spans="1:44" ht="15.75" x14ac:dyDescent="0.25">
      <c r="A223" s="30"/>
      <c r="B223" s="13" t="s">
        <v>441</v>
      </c>
      <c r="C223" s="14" t="s">
        <v>445</v>
      </c>
      <c r="D223" s="119" t="s">
        <v>446</v>
      </c>
      <c r="E223" s="118" t="s">
        <v>444</v>
      </c>
      <c r="F223" s="7" t="e">
        <f>G223+SUMIF('[1]mouvement doseur d''eau'!B:B,"=pastilles double face facade carte",'[1]mouvement doseur d''eau'!G:G)</f>
        <v>#VALUE!</v>
      </c>
      <c r="G223" s="7">
        <v>0</v>
      </c>
      <c r="H223" s="6">
        <v>4</v>
      </c>
      <c r="I223" s="2" t="e">
        <f t="shared" si="106"/>
        <v>#VALUE!</v>
      </c>
      <c r="J223" s="11">
        <v>2.5</v>
      </c>
      <c r="K223" s="17" t="e">
        <f t="shared" si="107"/>
        <v>#VALUE!</v>
      </c>
      <c r="L223" s="30"/>
      <c r="M223" s="30"/>
      <c r="N223" s="30"/>
      <c r="O223" s="30"/>
      <c r="P223" s="30"/>
      <c r="Q223" s="30"/>
      <c r="R223" s="30"/>
      <c r="S223" s="30">
        <v>1</v>
      </c>
      <c r="T223" s="26"/>
      <c r="U223" s="26"/>
      <c r="V223" s="26"/>
      <c r="W223" s="26"/>
      <c r="X223" s="26"/>
      <c r="Y223" s="26"/>
      <c r="Z223" s="26"/>
      <c r="AA223" s="26"/>
      <c r="AB223" s="26"/>
      <c r="AC223" s="26"/>
      <c r="AD223" s="26"/>
      <c r="AE223" s="26"/>
      <c r="AF223" s="26"/>
      <c r="AG223" s="26"/>
      <c r="AH223" s="26"/>
      <c r="AI223" s="26"/>
      <c r="AJ223" s="26"/>
      <c r="AK223" s="26"/>
      <c r="AL223" s="26"/>
      <c r="AM223" s="26"/>
      <c r="AN223" s="26"/>
      <c r="AO223" s="26"/>
      <c r="AP223" s="26"/>
      <c r="AQ223" s="26"/>
      <c r="AR223" s="26"/>
    </row>
    <row r="224" spans="1:44" ht="15.75" x14ac:dyDescent="0.25">
      <c r="A224" s="30"/>
      <c r="B224" s="13" t="s">
        <v>441</v>
      </c>
      <c r="C224" s="14" t="s">
        <v>447</v>
      </c>
      <c r="D224" s="119" t="s">
        <v>448</v>
      </c>
      <c r="E224" s="118" t="s">
        <v>444</v>
      </c>
      <c r="F224" s="7" t="e">
        <f>G224+SUMIF('[1]mouvement doseur d''eau'!B:B,"=réducteur de pression",'[1]mouvement doseur d''eau'!G:G)</f>
        <v>#VALUE!</v>
      </c>
      <c r="G224" s="7">
        <v>1</v>
      </c>
      <c r="H224" s="6">
        <v>1</v>
      </c>
      <c r="I224" s="2" t="e">
        <f t="shared" si="106"/>
        <v>#VALUE!</v>
      </c>
      <c r="J224" s="11">
        <v>57.38</v>
      </c>
      <c r="K224" s="17" t="e">
        <f t="shared" si="107"/>
        <v>#VALUE!</v>
      </c>
      <c r="L224" s="30"/>
      <c r="M224" s="30"/>
      <c r="N224" s="30"/>
      <c r="O224" s="30"/>
      <c r="P224" s="30"/>
      <c r="Q224" s="30"/>
      <c r="R224" s="30"/>
      <c r="S224" s="30">
        <v>1</v>
      </c>
      <c r="T224" s="26"/>
      <c r="U224" s="26"/>
      <c r="V224" s="26"/>
      <c r="W224" s="26"/>
      <c r="X224" s="26"/>
      <c r="Y224" s="26"/>
      <c r="Z224" s="26"/>
      <c r="AA224" s="26"/>
      <c r="AB224" s="26"/>
      <c r="AC224" s="26"/>
      <c r="AD224" s="26"/>
      <c r="AE224" s="26"/>
      <c r="AF224" s="26"/>
      <c r="AG224" s="26"/>
      <c r="AH224" s="26"/>
      <c r="AI224" s="26"/>
      <c r="AJ224" s="26"/>
      <c r="AK224" s="26"/>
      <c r="AL224" s="26"/>
      <c r="AM224" s="26"/>
      <c r="AN224" s="26"/>
      <c r="AO224" s="26"/>
      <c r="AP224" s="26"/>
      <c r="AQ224" s="26"/>
      <c r="AR224" s="26"/>
    </row>
    <row r="225" spans="1:44" ht="15.75" x14ac:dyDescent="0.25">
      <c r="A225" s="30"/>
      <c r="B225" s="13" t="s">
        <v>441</v>
      </c>
      <c r="C225" s="14" t="s">
        <v>449</v>
      </c>
      <c r="D225" s="119" t="s">
        <v>450</v>
      </c>
      <c r="E225" s="118" t="s">
        <v>444</v>
      </c>
      <c r="F225" s="7" t="e">
        <f>G225+SUMIF('[1]mouvement doseur d''eau'!B:B,"=manette régulateur de t°",'[1]mouvement doseur d''eau'!G:G)</f>
        <v>#VALUE!</v>
      </c>
      <c r="G225" s="7">
        <v>1</v>
      </c>
      <c r="H225" s="6">
        <v>1</v>
      </c>
      <c r="I225" s="2" t="e">
        <f t="shared" si="106"/>
        <v>#VALUE!</v>
      </c>
      <c r="J225" s="11">
        <v>47.85</v>
      </c>
      <c r="K225" s="17" t="e">
        <f t="shared" si="107"/>
        <v>#VALUE!</v>
      </c>
      <c r="L225" s="30"/>
      <c r="M225" s="13" t="s">
        <v>441</v>
      </c>
      <c r="N225" s="30"/>
      <c r="O225" s="30"/>
      <c r="P225" s="30"/>
      <c r="Q225" s="30"/>
      <c r="R225" s="30"/>
      <c r="S225" s="30">
        <v>1</v>
      </c>
      <c r="T225" s="26"/>
      <c r="U225" s="26"/>
      <c r="V225" s="26"/>
      <c r="W225" s="26"/>
      <c r="X225" s="26"/>
      <c r="Y225" s="26"/>
      <c r="Z225" s="26"/>
      <c r="AA225" s="26"/>
      <c r="AB225" s="26"/>
      <c r="AC225" s="26"/>
      <c r="AD225" s="26"/>
      <c r="AE225" s="26"/>
      <c r="AF225" s="26"/>
      <c r="AG225" s="26"/>
      <c r="AH225" s="26"/>
      <c r="AI225" s="26"/>
      <c r="AJ225" s="26"/>
      <c r="AK225" s="26"/>
      <c r="AL225" s="26"/>
      <c r="AM225" s="26"/>
      <c r="AN225" s="26"/>
      <c r="AO225" s="26"/>
      <c r="AP225" s="26"/>
      <c r="AQ225" s="26"/>
      <c r="AR225" s="26"/>
    </row>
    <row r="226" spans="1:44" ht="15.75" x14ac:dyDescent="0.25">
      <c r="A226" s="30"/>
      <c r="B226" s="52" t="s">
        <v>441</v>
      </c>
      <c r="C226" s="122" t="s">
        <v>451</v>
      </c>
      <c r="D226" s="123">
        <v>8163165</v>
      </c>
      <c r="E226" s="123"/>
      <c r="F226" s="7" t="e">
        <f>G226+SUMIF('[1]mouvement doseur d''eau'!B:B,"=electrovanne 230v",'[1]mouvement doseur d''eau'!G:G)</f>
        <v>#VALUE!</v>
      </c>
      <c r="G226" s="3">
        <v>1</v>
      </c>
      <c r="H226" s="3">
        <v>1</v>
      </c>
      <c r="I226" s="2" t="e">
        <f t="shared" si="106"/>
        <v>#VALUE!</v>
      </c>
      <c r="J226" s="3"/>
      <c r="K226" s="3"/>
      <c r="L226" s="30"/>
      <c r="M226" s="35" t="e">
        <f>SUM(K222:K226)</f>
        <v>#VALUE!</v>
      </c>
      <c r="N226" s="30"/>
      <c r="O226" s="30"/>
      <c r="P226" s="30"/>
      <c r="Q226" s="30"/>
      <c r="R226" s="30"/>
      <c r="S226" s="30">
        <v>1</v>
      </c>
      <c r="T226" s="26"/>
      <c r="U226" s="26"/>
      <c r="V226" s="26"/>
      <c r="W226" s="26"/>
      <c r="X226" s="26"/>
      <c r="Y226" s="26"/>
      <c r="Z226" s="26"/>
      <c r="AA226" s="26"/>
      <c r="AB226" s="26"/>
      <c r="AC226" s="26"/>
      <c r="AD226" s="26"/>
      <c r="AE226" s="26"/>
      <c r="AF226" s="26"/>
      <c r="AG226" s="26"/>
      <c r="AH226" s="26"/>
      <c r="AI226" s="26"/>
      <c r="AJ226" s="26"/>
      <c r="AK226" s="26"/>
      <c r="AL226" s="26"/>
      <c r="AM226" s="26"/>
      <c r="AN226" s="26"/>
      <c r="AO226" s="26"/>
      <c r="AP226" s="26"/>
      <c r="AQ226" s="26"/>
      <c r="AR226" s="26"/>
    </row>
    <row r="230" spans="1:44" ht="60" x14ac:dyDescent="0.25">
      <c r="A230" s="30"/>
      <c r="B230" s="13" t="s">
        <v>456</v>
      </c>
      <c r="C230" s="18" t="s">
        <v>459</v>
      </c>
      <c r="D230" s="20" t="s">
        <v>460</v>
      </c>
      <c r="E230" s="25" t="s">
        <v>22</v>
      </c>
      <c r="F230" s="7" t="e">
        <f>G230+SUMIF('[1]mouvement élévateur VMI'!B:B,"=galets cylindriques 5/2 polyamide blanc",'[1]mouvement élévateur VMI'!G:G)</f>
        <v>#VALUE!</v>
      </c>
      <c r="G230" s="7">
        <v>7</v>
      </c>
      <c r="H230" s="7">
        <v>2</v>
      </c>
      <c r="I230" s="2" t="e">
        <f t="shared" ref="I230" si="108">IF(F230&lt;H230,"/!\","-")</f>
        <v>#VALUE!</v>
      </c>
      <c r="J230" s="21">
        <v>19.7</v>
      </c>
      <c r="K230" s="17" t="e">
        <f t="shared" ref="K230" si="109">F230*J230</f>
        <v>#VALUE!</v>
      </c>
      <c r="L230" s="30"/>
      <c r="M230" s="30"/>
      <c r="N230" s="30"/>
      <c r="O230" s="30"/>
      <c r="P230" s="30"/>
      <c r="Q230" s="30"/>
      <c r="R230" s="30"/>
      <c r="S230" s="30">
        <v>1</v>
      </c>
      <c r="T230" s="26"/>
      <c r="U230" s="26"/>
      <c r="V230" s="26"/>
      <c r="W230" s="26"/>
      <c r="X230" s="26"/>
      <c r="Y230" s="26"/>
      <c r="Z230" s="26"/>
      <c r="AA230" s="26"/>
      <c r="AB230" s="26"/>
      <c r="AC230" s="26"/>
      <c r="AD230" s="26"/>
      <c r="AE230" s="26"/>
      <c r="AF230" s="26"/>
      <c r="AG230" s="26"/>
      <c r="AH230" s="26"/>
      <c r="AI230" s="26"/>
      <c r="AJ230" s="26"/>
      <c r="AK230" s="26"/>
      <c r="AL230" s="26"/>
      <c r="AM230" s="26"/>
      <c r="AN230" s="26"/>
      <c r="AO230" s="26"/>
      <c r="AP230" s="26"/>
      <c r="AQ230" s="26"/>
      <c r="AR230" s="26"/>
    </row>
    <row r="232" spans="1:44" ht="24" x14ac:dyDescent="0.25">
      <c r="A232" s="30"/>
      <c r="B232" s="13" t="s">
        <v>456</v>
      </c>
      <c r="C232" s="18" t="s">
        <v>463</v>
      </c>
      <c r="D232" s="20" t="s">
        <v>464</v>
      </c>
      <c r="E232" s="25" t="s">
        <v>22</v>
      </c>
      <c r="F232" s="7" t="e">
        <f>G232+SUMIF('[1]mouvement élévateur VMI'!B:B,"=ressort elevateur",'[1]mouvement élévateur VMI'!G:G)</f>
        <v>#VALUE!</v>
      </c>
      <c r="G232" s="7">
        <v>5</v>
      </c>
      <c r="H232" s="7">
        <v>2</v>
      </c>
      <c r="I232" s="2" t="e">
        <f t="shared" ref="I232" si="110">IF(F232&lt;H232,"/!\","-")</f>
        <v>#VALUE!</v>
      </c>
      <c r="J232" s="21">
        <v>36</v>
      </c>
      <c r="K232" s="17" t="e">
        <f t="shared" ref="K232" si="111">F232*J232</f>
        <v>#VALUE!</v>
      </c>
      <c r="L232" s="30"/>
      <c r="M232" s="30"/>
      <c r="N232" s="30"/>
      <c r="O232" s="30"/>
      <c r="P232" s="30"/>
      <c r="Q232" s="30"/>
      <c r="R232" s="30"/>
      <c r="S232" s="30">
        <v>1</v>
      </c>
      <c r="T232" s="26"/>
      <c r="U232" s="26"/>
      <c r="V232" s="26"/>
      <c r="W232" s="26"/>
      <c r="X232" s="26"/>
      <c r="Y232" s="26"/>
      <c r="Z232" s="26"/>
      <c r="AA232" s="26"/>
      <c r="AB232" s="26"/>
      <c r="AC232" s="26"/>
      <c r="AD232" s="26"/>
      <c r="AE232" s="26"/>
      <c r="AF232" s="26"/>
      <c r="AG232" s="26"/>
      <c r="AH232" s="26"/>
      <c r="AI232" s="26"/>
      <c r="AJ232" s="26"/>
      <c r="AK232" s="26"/>
      <c r="AL232" s="26"/>
      <c r="AM232" s="26"/>
      <c r="AN232" s="26"/>
      <c r="AO232" s="26"/>
      <c r="AP232" s="26"/>
      <c r="AQ232" s="26"/>
      <c r="AR232" s="26"/>
    </row>
    <row r="234" spans="1:44" ht="24" x14ac:dyDescent="0.25">
      <c r="A234" s="30"/>
      <c r="B234" s="13" t="s">
        <v>456</v>
      </c>
      <c r="C234" s="18" t="s">
        <v>467</v>
      </c>
      <c r="D234" s="20" t="s">
        <v>468</v>
      </c>
      <c r="E234" s="6" t="s">
        <v>22</v>
      </c>
      <c r="F234" s="7" t="e">
        <f>G234+SUMIF('[1]mouvement élévateur VMI'!B:B,"=axe de pivotement",'[1]mouvement élévateur VMI'!G:G)</f>
        <v>#VALUE!</v>
      </c>
      <c r="G234" s="7">
        <v>2</v>
      </c>
      <c r="H234" s="7">
        <v>1</v>
      </c>
      <c r="I234" s="2" t="e">
        <f t="shared" ref="I234:I238" si="112">IF(F234&lt;H234,"/!\","-")</f>
        <v>#VALUE!</v>
      </c>
      <c r="J234" s="21">
        <v>0</v>
      </c>
      <c r="K234" s="17" t="e">
        <f t="shared" ref="K234:K238" si="113">F234*J234</f>
        <v>#VALUE!</v>
      </c>
      <c r="L234" s="30"/>
      <c r="M234" s="30"/>
      <c r="N234" s="30"/>
      <c r="O234" s="30"/>
      <c r="P234" s="30"/>
      <c r="Q234" s="30"/>
      <c r="R234" s="30"/>
      <c r="S234" s="30">
        <v>1</v>
      </c>
      <c r="T234" s="26"/>
      <c r="U234" s="26"/>
      <c r="V234" s="26"/>
      <c r="W234" s="26"/>
      <c r="X234" s="26"/>
      <c r="Y234" s="26"/>
      <c r="Z234" s="26"/>
      <c r="AA234" s="26"/>
      <c r="AB234" s="26"/>
      <c r="AC234" s="26"/>
      <c r="AD234" s="26"/>
      <c r="AE234" s="26"/>
      <c r="AF234" s="26"/>
      <c r="AG234" s="26"/>
      <c r="AH234" s="26"/>
      <c r="AI234" s="26"/>
      <c r="AJ234" s="26"/>
      <c r="AK234" s="26"/>
      <c r="AL234" s="26"/>
      <c r="AM234" s="26"/>
      <c r="AN234" s="26"/>
      <c r="AO234" s="26"/>
      <c r="AP234" s="26"/>
      <c r="AQ234" s="26"/>
      <c r="AR234" s="26"/>
    </row>
    <row r="235" spans="1:44" ht="24" x14ac:dyDescent="0.25">
      <c r="A235" s="30"/>
      <c r="B235" s="13" t="s">
        <v>456</v>
      </c>
      <c r="C235" s="18" t="s">
        <v>469</v>
      </c>
      <c r="D235" s="20" t="s">
        <v>470</v>
      </c>
      <c r="E235" s="6" t="s">
        <v>22</v>
      </c>
      <c r="F235" s="7" t="e">
        <f>G235+SUMIF('[1]mouvement élévateur VMI'!B:B,"=palier de déversement",'[1]mouvement élévateur VMI'!G:G)</f>
        <v>#VALUE!</v>
      </c>
      <c r="G235" s="7">
        <v>2</v>
      </c>
      <c r="H235" s="7">
        <v>1</v>
      </c>
      <c r="I235" s="2" t="e">
        <f t="shared" si="112"/>
        <v>#VALUE!</v>
      </c>
      <c r="J235" s="21">
        <v>0</v>
      </c>
      <c r="K235" s="17" t="e">
        <f t="shared" si="113"/>
        <v>#VALUE!</v>
      </c>
      <c r="L235" s="30"/>
      <c r="M235" s="30"/>
      <c r="N235" s="30"/>
      <c r="O235" s="30"/>
      <c r="P235" s="30"/>
      <c r="Q235" s="30"/>
      <c r="R235" s="30"/>
      <c r="S235" s="30">
        <v>1</v>
      </c>
      <c r="T235" s="26"/>
      <c r="U235" s="26"/>
      <c r="V235" s="26"/>
      <c r="W235" s="26"/>
      <c r="X235" s="26"/>
      <c r="Y235" s="26"/>
      <c r="Z235" s="26"/>
      <c r="AA235" s="26"/>
      <c r="AB235" s="26"/>
      <c r="AC235" s="26"/>
      <c r="AD235" s="26"/>
      <c r="AE235" s="26"/>
      <c r="AF235" s="26"/>
      <c r="AG235" s="26"/>
      <c r="AH235" s="26"/>
      <c r="AI235" s="26"/>
      <c r="AJ235" s="26"/>
      <c r="AK235" s="26"/>
      <c r="AL235" s="26"/>
      <c r="AM235" s="26"/>
      <c r="AN235" s="26"/>
      <c r="AO235" s="26"/>
      <c r="AP235" s="26"/>
      <c r="AQ235" s="26"/>
      <c r="AR235" s="26"/>
    </row>
    <row r="236" spans="1:44" ht="24" x14ac:dyDescent="0.25">
      <c r="A236" s="30"/>
      <c r="B236" s="13" t="s">
        <v>456</v>
      </c>
      <c r="C236" s="18" t="s">
        <v>471</v>
      </c>
      <c r="D236" s="20" t="s">
        <v>472</v>
      </c>
      <c r="E236" s="6" t="s">
        <v>22</v>
      </c>
      <c r="F236" s="7" t="e">
        <f>G236+SUMIF('[1]mouvement élévateur VMI'!B:B,"=Kit fdc rotation cuve",'[1]mouvement élévateur VMI'!G:G)</f>
        <v>#VALUE!</v>
      </c>
      <c r="G236" s="7">
        <v>1</v>
      </c>
      <c r="H236" s="7">
        <v>1</v>
      </c>
      <c r="I236" s="2" t="e">
        <f t="shared" si="112"/>
        <v>#VALUE!</v>
      </c>
      <c r="J236" s="21">
        <v>0</v>
      </c>
      <c r="K236" s="17" t="e">
        <f t="shared" si="113"/>
        <v>#VALUE!</v>
      </c>
      <c r="L236" s="30"/>
      <c r="M236" s="30"/>
      <c r="N236" s="30"/>
      <c r="O236" s="30"/>
      <c r="P236" s="30"/>
      <c r="Q236" s="30"/>
      <c r="R236" s="30"/>
      <c r="S236" s="30">
        <v>1</v>
      </c>
      <c r="T236" s="26"/>
      <c r="U236" s="26"/>
      <c r="V236" s="26"/>
      <c r="W236" s="26"/>
      <c r="X236" s="26"/>
      <c r="Y236" s="26"/>
      <c r="Z236" s="26"/>
      <c r="AA236" s="26"/>
      <c r="AB236" s="26"/>
      <c r="AC236" s="26"/>
      <c r="AD236" s="26"/>
      <c r="AE236" s="26"/>
      <c r="AF236" s="26"/>
      <c r="AG236" s="26"/>
      <c r="AH236" s="26"/>
      <c r="AI236" s="26"/>
      <c r="AJ236" s="26"/>
      <c r="AK236" s="26"/>
      <c r="AL236" s="26"/>
      <c r="AM236" s="26"/>
      <c r="AN236" s="26"/>
      <c r="AO236" s="26"/>
      <c r="AP236" s="26"/>
      <c r="AQ236" s="26"/>
      <c r="AR236" s="26"/>
    </row>
    <row r="237" spans="1:44" ht="24" x14ac:dyDescent="0.25">
      <c r="A237" s="30"/>
      <c r="B237" s="13" t="s">
        <v>456</v>
      </c>
      <c r="C237" s="18" t="s">
        <v>473</v>
      </c>
      <c r="D237" s="20" t="s">
        <v>474</v>
      </c>
      <c r="E237" s="6" t="s">
        <v>22</v>
      </c>
      <c r="F237" s="7" t="e">
        <f>G237+SUMIF('[1]mouvement élévateur VMI'!B:B,"=Platine Axe de rotation",'[1]mouvement élévateur VMI'!G:G)</f>
        <v>#VALUE!</v>
      </c>
      <c r="G237" s="7">
        <v>1</v>
      </c>
      <c r="H237" s="7">
        <v>1</v>
      </c>
      <c r="I237" s="2" t="e">
        <f t="shared" si="112"/>
        <v>#VALUE!</v>
      </c>
      <c r="J237" s="21">
        <v>0</v>
      </c>
      <c r="K237" s="17" t="e">
        <f t="shared" si="113"/>
        <v>#VALUE!</v>
      </c>
      <c r="L237" s="30"/>
      <c r="M237" s="30"/>
      <c r="N237" s="30"/>
      <c r="O237" s="30"/>
      <c r="P237" s="30"/>
      <c r="Q237" s="30"/>
      <c r="R237" s="30"/>
      <c r="S237" s="30">
        <v>1</v>
      </c>
      <c r="T237" s="26"/>
      <c r="U237" s="26"/>
      <c r="V237" s="26"/>
      <c r="W237" s="26"/>
      <c r="X237" s="26"/>
      <c r="Y237" s="26"/>
      <c r="Z237" s="26"/>
      <c r="AA237" s="26"/>
      <c r="AB237" s="26"/>
      <c r="AC237" s="26"/>
      <c r="AD237" s="26"/>
      <c r="AE237" s="26"/>
      <c r="AF237" s="26"/>
      <c r="AG237" s="26"/>
      <c r="AH237" s="26"/>
      <c r="AI237" s="26"/>
      <c r="AJ237" s="26"/>
      <c r="AK237" s="26"/>
      <c r="AL237" s="26"/>
      <c r="AM237" s="26"/>
      <c r="AN237" s="26"/>
      <c r="AO237" s="26"/>
      <c r="AP237" s="26"/>
      <c r="AQ237" s="26"/>
      <c r="AR237" s="26"/>
    </row>
    <row r="238" spans="1:44" ht="24" x14ac:dyDescent="0.25">
      <c r="A238" s="30"/>
      <c r="B238" s="13" t="s">
        <v>456</v>
      </c>
      <c r="C238" s="18" t="s">
        <v>475</v>
      </c>
      <c r="D238" s="20" t="s">
        <v>476</v>
      </c>
      <c r="E238" s="6" t="s">
        <v>22</v>
      </c>
      <c r="F238" s="7" t="e">
        <f>G238+SUMIF('[1]mouvement élévateur VMI'!B:B,"=Bague bronze",'[1]mouvement élévateur VMI'!G:G)</f>
        <v>#VALUE!</v>
      </c>
      <c r="G238" s="7">
        <v>5</v>
      </c>
      <c r="H238" s="7">
        <v>2</v>
      </c>
      <c r="I238" s="2" t="e">
        <f t="shared" si="112"/>
        <v>#VALUE!</v>
      </c>
      <c r="J238" s="21">
        <v>0</v>
      </c>
      <c r="K238" s="17" t="e">
        <f t="shared" si="113"/>
        <v>#VALUE!</v>
      </c>
      <c r="L238" s="30"/>
      <c r="M238" s="30"/>
      <c r="N238" s="30"/>
      <c r="O238" s="30"/>
      <c r="P238" s="30"/>
      <c r="Q238" s="30"/>
      <c r="R238" s="30"/>
      <c r="S238" s="30">
        <v>1</v>
      </c>
      <c r="T238" s="26"/>
      <c r="U238" s="26"/>
      <c r="V238" s="26"/>
      <c r="W238" s="26"/>
      <c r="X238" s="26"/>
      <c r="Y238" s="26"/>
      <c r="Z238" s="26"/>
      <c r="AA238" s="26"/>
      <c r="AB238" s="26"/>
      <c r="AC238" s="26"/>
      <c r="AD238" s="26"/>
      <c r="AE238" s="26"/>
      <c r="AF238" s="26"/>
      <c r="AG238" s="26"/>
      <c r="AH238" s="26"/>
      <c r="AI238" s="26"/>
      <c r="AJ238" s="26"/>
      <c r="AK238" s="26"/>
      <c r="AL238" s="26"/>
      <c r="AM238" s="26"/>
      <c r="AN238" s="26"/>
      <c r="AO238" s="26"/>
      <c r="AP238" s="26"/>
      <c r="AQ238" s="26"/>
      <c r="AR238" s="26"/>
    </row>
    <row r="242" spans="1:44" ht="15.75" x14ac:dyDescent="0.25">
      <c r="A242" s="30"/>
      <c r="B242" s="13" t="s">
        <v>456</v>
      </c>
      <c r="C242" s="18" t="s">
        <v>483</v>
      </c>
      <c r="D242" s="20" t="s">
        <v>484</v>
      </c>
      <c r="E242" s="6" t="s">
        <v>22</v>
      </c>
      <c r="F242" s="7" t="e">
        <f>G242+SUMIF('[1]mouvement élévateur VMI'!B:B,"=M14 borgne",'[1]mouvement élévateur VMI'!G:G)</f>
        <v>#VALUE!</v>
      </c>
      <c r="G242" s="7">
        <v>3</v>
      </c>
      <c r="H242" s="7">
        <v>1</v>
      </c>
      <c r="I242" s="2" t="e">
        <f t="shared" ref="I242" si="114">IF(F242&lt;H242,"/!\","-")</f>
        <v>#VALUE!</v>
      </c>
      <c r="J242" s="21">
        <v>0</v>
      </c>
      <c r="K242" s="17" t="e">
        <f t="shared" ref="K242" si="115">F242*J242</f>
        <v>#VALUE!</v>
      </c>
      <c r="L242" s="30"/>
      <c r="M242" s="30"/>
      <c r="N242" s="30"/>
      <c r="O242" s="30"/>
      <c r="P242" s="30"/>
      <c r="Q242" s="30"/>
      <c r="R242" s="30"/>
      <c r="S242" s="30">
        <v>1</v>
      </c>
      <c r="T242" s="26"/>
      <c r="U242" s="26"/>
      <c r="V242" s="26"/>
      <c r="W242" s="26"/>
      <c r="X242" s="26"/>
      <c r="Y242" s="26"/>
      <c r="Z242" s="26"/>
      <c r="AA242" s="26"/>
      <c r="AB242" s="26"/>
      <c r="AC242" s="26"/>
      <c r="AD242" s="26"/>
      <c r="AE242" s="26"/>
      <c r="AF242" s="26"/>
      <c r="AG242" s="26"/>
      <c r="AH242" s="26"/>
      <c r="AI242" s="26"/>
      <c r="AJ242" s="26"/>
      <c r="AK242" s="26"/>
      <c r="AL242" s="26"/>
      <c r="AM242" s="26"/>
      <c r="AN242" s="26"/>
      <c r="AO242" s="26"/>
      <c r="AP242" s="26"/>
      <c r="AQ242" s="26"/>
      <c r="AR242" s="26"/>
    </row>
    <row r="244" spans="1:44" ht="24" x14ac:dyDescent="0.25">
      <c r="A244" s="30"/>
      <c r="B244" s="13" t="s">
        <v>456</v>
      </c>
      <c r="C244" s="18" t="s">
        <v>487</v>
      </c>
      <c r="D244" s="20" t="s">
        <v>488</v>
      </c>
      <c r="E244" s="6" t="s">
        <v>22</v>
      </c>
      <c r="F244" s="7" t="e">
        <f>G244+SUMIF('[1]mouvement élévateur VMI'!B:B,"=axe diam 20 l=107",'[1]mouvement élévateur VMI'!G:G)</f>
        <v>#VALUE!</v>
      </c>
      <c r="G244" s="7">
        <v>2</v>
      </c>
      <c r="H244" s="7">
        <v>1</v>
      </c>
      <c r="I244" s="2" t="e">
        <f t="shared" ref="I244" si="116">IF(F244&lt;H244,"/!\","-")</f>
        <v>#VALUE!</v>
      </c>
      <c r="J244" s="21">
        <v>0</v>
      </c>
      <c r="K244" s="17" t="e">
        <f t="shared" ref="K244" si="117">F244*J244</f>
        <v>#VALUE!</v>
      </c>
      <c r="L244" s="30"/>
      <c r="M244" s="30"/>
      <c r="N244" s="30"/>
      <c r="O244" s="30"/>
      <c r="P244" s="30"/>
      <c r="Q244" s="30"/>
      <c r="R244" s="30"/>
      <c r="S244" s="30">
        <v>1</v>
      </c>
      <c r="T244" s="26"/>
      <c r="U244" s="26"/>
      <c r="V244" s="26"/>
      <c r="W244" s="26"/>
      <c r="X244" s="26"/>
      <c r="Y244" s="26"/>
      <c r="Z244" s="26"/>
      <c r="AA244" s="26"/>
      <c r="AB244" s="26"/>
      <c r="AC244" s="26"/>
      <c r="AD244" s="26"/>
      <c r="AE244" s="26"/>
      <c r="AF244" s="26"/>
      <c r="AG244" s="26"/>
      <c r="AH244" s="26"/>
      <c r="AI244" s="26"/>
      <c r="AJ244" s="26"/>
      <c r="AK244" s="26"/>
      <c r="AL244" s="26"/>
      <c r="AM244" s="26"/>
      <c r="AN244" s="26"/>
      <c r="AO244" s="26"/>
      <c r="AP244" s="26"/>
      <c r="AQ244" s="26"/>
      <c r="AR244" s="26"/>
    </row>
    <row r="246" spans="1:44" ht="24" x14ac:dyDescent="0.25">
      <c r="A246" s="30"/>
      <c r="B246" s="13" t="s">
        <v>456</v>
      </c>
      <c r="C246" s="18" t="s">
        <v>491</v>
      </c>
      <c r="D246" s="20" t="s">
        <v>492</v>
      </c>
      <c r="E246" s="6" t="s">
        <v>22</v>
      </c>
      <c r="F246" s="7" t="e">
        <f>G246+SUMIF('[1]mouvement élévateur VMI'!B:B,"=Circlips int 72",'[1]mouvement élévateur VMI'!G:G)</f>
        <v>#VALUE!</v>
      </c>
      <c r="G246" s="7">
        <v>6</v>
      </c>
      <c r="H246" s="7">
        <v>3</v>
      </c>
      <c r="I246" s="2" t="e">
        <f t="shared" ref="I246:I249" si="118">IF(F246&lt;H246,"/!\","-")</f>
        <v>#VALUE!</v>
      </c>
      <c r="J246" s="21">
        <v>0</v>
      </c>
      <c r="K246" s="17" t="e">
        <f t="shared" ref="K246:K249" si="119">F246*J246</f>
        <v>#VALUE!</v>
      </c>
      <c r="L246" s="30"/>
      <c r="M246" s="30"/>
      <c r="N246" s="30"/>
      <c r="O246" s="30"/>
      <c r="P246" s="30"/>
      <c r="Q246" s="30"/>
      <c r="R246" s="30"/>
      <c r="S246" s="30">
        <v>1</v>
      </c>
      <c r="T246" s="26"/>
      <c r="U246" s="26"/>
      <c r="V246" s="26"/>
      <c r="W246" s="26"/>
      <c r="X246" s="26"/>
      <c r="Y246" s="26"/>
      <c r="Z246" s="26"/>
      <c r="AA246" s="26"/>
      <c r="AB246" s="26"/>
      <c r="AC246" s="26"/>
      <c r="AD246" s="26"/>
      <c r="AE246" s="26"/>
      <c r="AF246" s="26"/>
      <c r="AG246" s="26"/>
      <c r="AH246" s="26"/>
      <c r="AI246" s="26"/>
      <c r="AJ246" s="26"/>
      <c r="AK246" s="26"/>
      <c r="AL246" s="26"/>
      <c r="AM246" s="26"/>
      <c r="AN246" s="26"/>
      <c r="AO246" s="26"/>
      <c r="AP246" s="26"/>
      <c r="AQ246" s="26"/>
      <c r="AR246" s="26"/>
    </row>
    <row r="247" spans="1:44" ht="24" x14ac:dyDescent="0.25">
      <c r="A247" s="30"/>
      <c r="B247" s="13" t="s">
        <v>456</v>
      </c>
      <c r="C247" s="18" t="s">
        <v>493</v>
      </c>
      <c r="D247" s="20" t="s">
        <v>494</v>
      </c>
      <c r="E247" s="6" t="s">
        <v>22</v>
      </c>
      <c r="F247" s="7" t="e">
        <f>G247+SUMIF('[1]mouvement élévateur VMI'!B:B,"=Circlips ext 35",'[1]mouvement élévateur VMI'!G:G)</f>
        <v>#VALUE!</v>
      </c>
      <c r="G247" s="7">
        <v>6</v>
      </c>
      <c r="H247" s="7">
        <v>3</v>
      </c>
      <c r="I247" s="2" t="e">
        <f t="shared" si="118"/>
        <v>#VALUE!</v>
      </c>
      <c r="J247" s="21">
        <v>0</v>
      </c>
      <c r="K247" s="17" t="e">
        <f t="shared" si="119"/>
        <v>#VALUE!</v>
      </c>
      <c r="L247" s="30"/>
      <c r="M247" s="30"/>
      <c r="N247" s="30"/>
      <c r="O247" s="30"/>
      <c r="P247" s="30"/>
      <c r="Q247" s="30"/>
      <c r="R247" s="30"/>
      <c r="S247" s="30">
        <v>1</v>
      </c>
      <c r="T247" s="26"/>
      <c r="U247" s="26"/>
      <c r="V247" s="26"/>
      <c r="W247" s="26"/>
      <c r="X247" s="26"/>
      <c r="Y247" s="26"/>
      <c r="Z247" s="26"/>
      <c r="AA247" s="26"/>
      <c r="AB247" s="26"/>
      <c r="AC247" s="26"/>
      <c r="AD247" s="26"/>
      <c r="AE247" s="26"/>
      <c r="AF247" s="26"/>
      <c r="AG247" s="26"/>
      <c r="AH247" s="26"/>
      <c r="AI247" s="26"/>
      <c r="AJ247" s="26"/>
      <c r="AK247" s="26"/>
      <c r="AL247" s="26"/>
      <c r="AM247" s="26"/>
      <c r="AN247" s="26"/>
      <c r="AO247" s="26"/>
      <c r="AP247" s="26"/>
      <c r="AQ247" s="26"/>
      <c r="AR247" s="26"/>
    </row>
    <row r="248" spans="1:44" ht="36" x14ac:dyDescent="0.25">
      <c r="A248" s="30"/>
      <c r="B248" s="13" t="s">
        <v>456</v>
      </c>
      <c r="C248" s="18" t="s">
        <v>495</v>
      </c>
      <c r="D248" s="20" t="s">
        <v>496</v>
      </c>
      <c r="E248" s="6" t="s">
        <v>22</v>
      </c>
      <c r="F248" s="7" t="e">
        <f>G248+SUMIF('[1]mouvement élévateur VMI'!B:B,"=Entretoise D44,2/56 EP54",'[1]mouvement élévateur VMI'!G:G)</f>
        <v>#VALUE!</v>
      </c>
      <c r="G248" s="7">
        <v>1</v>
      </c>
      <c r="H248" s="7">
        <v>1</v>
      </c>
      <c r="I248" s="2" t="e">
        <f t="shared" si="118"/>
        <v>#VALUE!</v>
      </c>
      <c r="J248" s="21">
        <v>0</v>
      </c>
      <c r="K248" s="17" t="e">
        <f t="shared" si="119"/>
        <v>#VALUE!</v>
      </c>
      <c r="L248" s="30"/>
      <c r="M248" s="13" t="s">
        <v>456</v>
      </c>
      <c r="N248" s="30"/>
      <c r="O248" s="30"/>
      <c r="P248" s="30"/>
      <c r="Q248" s="30"/>
      <c r="R248" s="30"/>
      <c r="S248" s="30">
        <v>1</v>
      </c>
      <c r="T248" s="26"/>
      <c r="U248" s="26"/>
      <c r="V248" s="26"/>
      <c r="W248" s="26"/>
      <c r="X248" s="26"/>
      <c r="Y248" s="26"/>
      <c r="Z248" s="26"/>
      <c r="AA248" s="26"/>
      <c r="AB248" s="26"/>
      <c r="AC248" s="26"/>
      <c r="AD248" s="26"/>
      <c r="AE248" s="26"/>
      <c r="AF248" s="26"/>
      <c r="AG248" s="26"/>
      <c r="AH248" s="26"/>
      <c r="AI248" s="26"/>
      <c r="AJ248" s="26"/>
      <c r="AK248" s="26"/>
      <c r="AL248" s="26"/>
      <c r="AM248" s="26"/>
      <c r="AN248" s="26"/>
      <c r="AO248" s="26"/>
      <c r="AP248" s="26"/>
      <c r="AQ248" s="26"/>
      <c r="AR248" s="26"/>
    </row>
    <row r="249" spans="1:44" ht="24" x14ac:dyDescent="0.25">
      <c r="A249" s="30"/>
      <c r="B249" s="13" t="s">
        <v>456</v>
      </c>
      <c r="C249" s="18" t="s">
        <v>497</v>
      </c>
      <c r="D249" s="20" t="s">
        <v>498</v>
      </c>
      <c r="E249" s="6" t="s">
        <v>22</v>
      </c>
      <c r="F249" s="7" t="e">
        <f>G249+SUMIF('[1]mouvement élévateur VMI'!B:B,"=Joint à lèvre 55-90-10",'[1]mouvement élévateur VMI'!G:G)</f>
        <v>#VALUE!</v>
      </c>
      <c r="G249" s="7">
        <v>3</v>
      </c>
      <c r="H249" s="7">
        <v>2</v>
      </c>
      <c r="I249" s="2" t="e">
        <f t="shared" si="118"/>
        <v>#VALUE!</v>
      </c>
      <c r="J249" s="21">
        <v>0</v>
      </c>
      <c r="K249" s="17" t="e">
        <f t="shared" si="119"/>
        <v>#VALUE!</v>
      </c>
      <c r="L249" s="30"/>
      <c r="M249" s="35" t="e">
        <f>SUM(K229:K249)</f>
        <v>#VALUE!</v>
      </c>
      <c r="N249" s="30"/>
      <c r="O249" s="30"/>
      <c r="P249" s="30"/>
      <c r="Q249" s="30"/>
      <c r="R249" s="30"/>
      <c r="S249" s="30">
        <v>1</v>
      </c>
      <c r="T249" s="26"/>
      <c r="U249" s="26"/>
      <c r="V249" s="26"/>
      <c r="W249" s="26"/>
      <c r="X249" s="26"/>
      <c r="Y249" s="26"/>
      <c r="Z249" s="26"/>
      <c r="AA249" s="26"/>
      <c r="AB249" s="26"/>
      <c r="AC249" s="26"/>
      <c r="AD249" s="26"/>
      <c r="AE249" s="26"/>
      <c r="AF249" s="26"/>
      <c r="AG249" s="26"/>
      <c r="AH249" s="26"/>
      <c r="AI249" s="26"/>
      <c r="AJ249" s="26"/>
      <c r="AK249" s="26"/>
      <c r="AL249" s="26"/>
      <c r="AM249" s="26"/>
      <c r="AN249" s="26"/>
      <c r="AO249" s="26"/>
      <c r="AP249" s="26"/>
      <c r="AQ249" s="26"/>
      <c r="AR249" s="26"/>
    </row>
    <row r="250" spans="1:44" ht="24" x14ac:dyDescent="0.25">
      <c r="A250" s="30"/>
      <c r="B250" s="13" t="s">
        <v>499</v>
      </c>
      <c r="C250" s="4" t="s">
        <v>500</v>
      </c>
      <c r="D250" s="126"/>
      <c r="E250" s="6" t="s">
        <v>22</v>
      </c>
      <c r="F250" s="7" t="e">
        <f>G250+SUMIF('[1]mouvement élévateur VMI'!B:B,"=Capteur inductif de proximité Barillet M30 x 1,5, portée 15mm",'[1]mouvement élévateur VMI'!G:G)</f>
        <v>#VALUE!</v>
      </c>
      <c r="G250" s="7">
        <v>0</v>
      </c>
      <c r="H250" s="6">
        <v>1</v>
      </c>
      <c r="I250" s="1" t="e">
        <f>IF(F250&lt;H250,"/!\","-")</f>
        <v>#VALUE!</v>
      </c>
      <c r="J250" s="11">
        <v>880</v>
      </c>
      <c r="K250" s="12" t="e">
        <f>F250*J250</f>
        <v>#VALUE!</v>
      </c>
      <c r="L250" s="30"/>
      <c r="M250" s="30"/>
      <c r="N250" s="30"/>
      <c r="O250" s="30"/>
      <c r="P250" s="30"/>
      <c r="Q250" s="30"/>
      <c r="R250" s="30"/>
      <c r="S250" s="30">
        <v>1</v>
      </c>
      <c r="T250" s="26"/>
      <c r="U250" s="26"/>
      <c r="V250" s="26"/>
      <c r="W250" s="26"/>
      <c r="X250" s="26"/>
      <c r="Y250" s="26"/>
      <c r="Z250" s="26"/>
      <c r="AA250" s="26"/>
      <c r="AB250" s="26"/>
      <c r="AC250" s="26"/>
      <c r="AD250" s="26"/>
      <c r="AE250" s="26"/>
      <c r="AF250" s="26"/>
      <c r="AG250" s="26"/>
      <c r="AH250" s="26"/>
      <c r="AI250" s="26"/>
      <c r="AJ250" s="26"/>
      <c r="AK250" s="26"/>
      <c r="AL250" s="26"/>
      <c r="AM250" s="26"/>
      <c r="AN250" s="26"/>
      <c r="AO250" s="26"/>
      <c r="AP250" s="26"/>
      <c r="AQ250" s="26"/>
      <c r="AR250" s="26"/>
    </row>
    <row r="254" spans="1:44" ht="48" x14ac:dyDescent="0.25">
      <c r="A254" s="30"/>
      <c r="B254" s="13" t="s">
        <v>499</v>
      </c>
      <c r="C254" s="4" t="s">
        <v>508</v>
      </c>
      <c r="D254" s="126" t="s">
        <v>509</v>
      </c>
      <c r="E254" s="6" t="s">
        <v>22</v>
      </c>
      <c r="F254" s="7" t="e">
        <f>G254+SUMIF('[1]mouvement élévateur VMI'!B:B,"=roue arriere élevateur",'[1]mouvement élévateur VMI'!G:G)</f>
        <v>#VALUE!</v>
      </c>
      <c r="G254" s="7">
        <v>1</v>
      </c>
      <c r="H254" s="6">
        <v>1</v>
      </c>
      <c r="I254" s="1" t="e">
        <f t="shared" ref="I254" si="120">IF(F254&lt;H254,"/!\","-")</f>
        <v>#VALUE!</v>
      </c>
      <c r="J254" s="11">
        <v>2.1800000000000002</v>
      </c>
      <c r="K254" s="12" t="e">
        <f t="shared" ref="K254" si="121">F254*J254</f>
        <v>#VALUE!</v>
      </c>
      <c r="L254" s="30"/>
      <c r="M254" s="30"/>
      <c r="N254" s="30"/>
      <c r="O254" s="30"/>
      <c r="P254" s="30"/>
      <c r="Q254" s="30"/>
      <c r="R254" s="30"/>
      <c r="S254" s="30">
        <v>1</v>
      </c>
      <c r="T254" s="26"/>
      <c r="U254" s="26"/>
      <c r="V254" s="26"/>
      <c r="W254" s="26"/>
      <c r="X254" s="26"/>
      <c r="Y254" s="26"/>
      <c r="Z254" s="26"/>
      <c r="AA254" s="26"/>
      <c r="AB254" s="26"/>
      <c r="AC254" s="26"/>
      <c r="AD254" s="26"/>
      <c r="AE254" s="26"/>
      <c r="AF254" s="26"/>
      <c r="AG254" s="26"/>
      <c r="AH254" s="26"/>
      <c r="AI254" s="26"/>
      <c r="AJ254" s="26"/>
      <c r="AK254" s="26"/>
      <c r="AL254" s="26"/>
      <c r="AM254" s="26"/>
      <c r="AN254" s="26"/>
      <c r="AO254" s="26"/>
      <c r="AP254" s="26"/>
      <c r="AQ254" s="26"/>
      <c r="AR254" s="26"/>
    </row>
    <row r="256" spans="1:44" ht="48" x14ac:dyDescent="0.25">
      <c r="A256" s="30"/>
      <c r="B256" s="13" t="s">
        <v>499</v>
      </c>
      <c r="C256" s="4" t="s">
        <v>512</v>
      </c>
      <c r="D256" s="126" t="s">
        <v>513</v>
      </c>
      <c r="E256" s="25" t="s">
        <v>22</v>
      </c>
      <c r="F256" s="7" t="e">
        <f>G256+SUMIF('[1]mouvement élévateur VMI'!B:B,"=palier de déversement",'[1]mouvement élévateur VMI'!G:G)</f>
        <v>#VALUE!</v>
      </c>
      <c r="G256" s="7">
        <v>2</v>
      </c>
      <c r="H256" s="6">
        <v>2</v>
      </c>
      <c r="I256" s="1" t="e">
        <f t="shared" ref="I256" si="122">IF(F256&lt;H256,"/!\","-")</f>
        <v>#VALUE!</v>
      </c>
      <c r="J256" s="16">
        <v>20</v>
      </c>
      <c r="K256" s="12" t="e">
        <f t="shared" ref="K256" si="123">F256*J256</f>
        <v>#VALUE!</v>
      </c>
      <c r="L256" s="30"/>
      <c r="M256" s="30"/>
      <c r="N256" s="30"/>
      <c r="O256" s="30"/>
      <c r="P256" s="30"/>
      <c r="Q256" s="30"/>
      <c r="R256" s="30"/>
      <c r="S256" s="30">
        <v>1</v>
      </c>
      <c r="T256" s="26"/>
      <c r="U256" s="26"/>
      <c r="V256" s="26"/>
      <c r="W256" s="26"/>
      <c r="X256" s="26"/>
      <c r="Y256" s="26"/>
      <c r="Z256" s="26"/>
      <c r="AA256" s="26"/>
      <c r="AB256" s="26"/>
      <c r="AC256" s="26"/>
      <c r="AD256" s="26"/>
      <c r="AE256" s="26"/>
      <c r="AF256" s="26"/>
      <c r="AG256" s="26"/>
      <c r="AH256" s="26"/>
      <c r="AI256" s="26"/>
      <c r="AJ256" s="26"/>
      <c r="AK256" s="26"/>
      <c r="AL256" s="26"/>
      <c r="AM256" s="26"/>
      <c r="AN256" s="26"/>
      <c r="AO256" s="26"/>
      <c r="AP256" s="26"/>
      <c r="AQ256" s="26"/>
      <c r="AR256" s="26"/>
    </row>
    <row r="258" spans="1:44" ht="48" x14ac:dyDescent="0.25">
      <c r="A258" s="30"/>
      <c r="B258" s="13" t="s">
        <v>499</v>
      </c>
      <c r="C258" s="4" t="s">
        <v>516</v>
      </c>
      <c r="D258" s="20" t="s">
        <v>517</v>
      </c>
      <c r="E258" s="6" t="s">
        <v>22</v>
      </c>
      <c r="F258" s="7" t="e">
        <f>G258+SUMIF('[1]mouvement élévateur VMI'!B:B,"=Platine Axe de rotation",'[1]mouvement élévateur VMI'!G:G)</f>
        <v>#VALUE!</v>
      </c>
      <c r="G258" s="7">
        <v>0</v>
      </c>
      <c r="H258" s="6">
        <v>0</v>
      </c>
      <c r="I258" s="1" t="e">
        <f t="shared" ref="I258:I261" si="124">IF(F258&lt;H258,"/!\","-")</f>
        <v>#VALUE!</v>
      </c>
      <c r="J258" s="11">
        <v>952</v>
      </c>
      <c r="K258" s="12" t="e">
        <f t="shared" ref="K258:K261" si="125">F258*J258</f>
        <v>#VALUE!</v>
      </c>
      <c r="L258" s="30"/>
      <c r="M258" s="30"/>
      <c r="N258" s="30"/>
      <c r="O258" s="30"/>
      <c r="P258" s="30"/>
      <c r="Q258" s="30"/>
      <c r="R258" s="30"/>
      <c r="S258" s="30">
        <v>1</v>
      </c>
      <c r="T258" s="26"/>
      <c r="U258" s="26"/>
      <c r="V258" s="26"/>
      <c r="W258" s="26"/>
      <c r="X258" s="26"/>
      <c r="Y258" s="26"/>
      <c r="Z258" s="26"/>
      <c r="AA258" s="26"/>
      <c r="AB258" s="26"/>
      <c r="AC258" s="26"/>
      <c r="AD258" s="26"/>
      <c r="AE258" s="26"/>
      <c r="AF258" s="26"/>
      <c r="AG258" s="26"/>
      <c r="AH258" s="26"/>
      <c r="AI258" s="26"/>
      <c r="AJ258" s="26"/>
      <c r="AK258" s="26"/>
      <c r="AL258" s="26"/>
      <c r="AM258" s="26"/>
      <c r="AN258" s="26"/>
      <c r="AO258" s="26"/>
      <c r="AP258" s="26"/>
      <c r="AQ258" s="26"/>
      <c r="AR258" s="26"/>
    </row>
    <row r="259" spans="1:44" ht="36" x14ac:dyDescent="0.25">
      <c r="A259" s="30"/>
      <c r="B259" s="13" t="s">
        <v>499</v>
      </c>
      <c r="C259" s="4" t="s">
        <v>518</v>
      </c>
      <c r="D259" s="20" t="s">
        <v>519</v>
      </c>
      <c r="E259" s="25" t="s">
        <v>22</v>
      </c>
      <c r="F259" s="7" t="e">
        <f>G259+SUMIF('[1]mouvement élévateur VMI'!B:B,"=Bague bronze",'[1]mouvement élévateur VMI'!G:G)</f>
        <v>#VALUE!</v>
      </c>
      <c r="G259" s="7">
        <v>2</v>
      </c>
      <c r="H259" s="6">
        <v>2</v>
      </c>
      <c r="I259" s="1" t="e">
        <f t="shared" si="124"/>
        <v>#VALUE!</v>
      </c>
      <c r="J259" s="16">
        <v>23</v>
      </c>
      <c r="K259" s="12" t="e">
        <f t="shared" si="125"/>
        <v>#VALUE!</v>
      </c>
      <c r="L259" s="30"/>
      <c r="M259" s="30"/>
      <c r="N259" s="30"/>
      <c r="O259" s="30"/>
      <c r="P259" s="30"/>
      <c r="Q259" s="30"/>
      <c r="R259" s="30"/>
      <c r="S259" s="30">
        <v>1</v>
      </c>
      <c r="T259" s="26"/>
      <c r="U259" s="26"/>
      <c r="V259" s="26"/>
      <c r="W259" s="26"/>
      <c r="X259" s="26"/>
      <c r="Y259" s="26"/>
      <c r="Z259" s="26"/>
      <c r="AA259" s="26"/>
      <c r="AB259" s="26"/>
      <c r="AC259" s="26"/>
      <c r="AD259" s="26"/>
      <c r="AE259" s="26"/>
      <c r="AF259" s="26"/>
      <c r="AG259" s="26"/>
      <c r="AH259" s="26"/>
      <c r="AI259" s="26"/>
      <c r="AJ259" s="26"/>
      <c r="AK259" s="26"/>
      <c r="AL259" s="26"/>
      <c r="AM259" s="26"/>
      <c r="AN259" s="26"/>
      <c r="AO259" s="26"/>
      <c r="AP259" s="26"/>
      <c r="AQ259" s="26"/>
      <c r="AR259" s="26"/>
    </row>
    <row r="260" spans="1:44" ht="48" x14ac:dyDescent="0.25">
      <c r="A260" s="30"/>
      <c r="B260" s="13" t="s">
        <v>499</v>
      </c>
      <c r="C260" s="4" t="s">
        <v>520</v>
      </c>
      <c r="D260" s="126" t="s">
        <v>521</v>
      </c>
      <c r="E260" s="6" t="s">
        <v>22</v>
      </c>
      <c r="F260" s="7" t="e">
        <f>G260+SUMIF('[1]mouvement élévateur VMI'!B:B,"=Palier ECLB acier",'[1]mouvement élévateur VMI'!G:G)</f>
        <v>#VALUE!</v>
      </c>
      <c r="G260" s="7">
        <v>0</v>
      </c>
      <c r="H260" s="6">
        <v>0</v>
      </c>
      <c r="I260" s="1" t="e">
        <f t="shared" si="124"/>
        <v>#VALUE!</v>
      </c>
      <c r="J260" s="11">
        <v>538</v>
      </c>
      <c r="K260" s="12" t="e">
        <f t="shared" si="125"/>
        <v>#VALUE!</v>
      </c>
      <c r="L260" s="30"/>
      <c r="M260" s="13" t="s">
        <v>499</v>
      </c>
      <c r="N260" s="30"/>
      <c r="O260" s="30"/>
      <c r="P260" s="30"/>
      <c r="Q260" s="30"/>
      <c r="R260" s="30"/>
      <c r="S260" s="30">
        <v>1</v>
      </c>
      <c r="T260" s="26"/>
      <c r="U260" s="26"/>
      <c r="V260" s="26"/>
      <c r="W260" s="26"/>
      <c r="X260" s="26"/>
      <c r="Y260" s="26"/>
      <c r="Z260" s="26"/>
      <c r="AA260" s="26"/>
      <c r="AB260" s="26"/>
      <c r="AC260" s="26"/>
      <c r="AD260" s="26"/>
      <c r="AE260" s="26"/>
      <c r="AF260" s="26"/>
      <c r="AG260" s="26"/>
      <c r="AH260" s="26"/>
      <c r="AI260" s="26"/>
      <c r="AJ260" s="26"/>
      <c r="AK260" s="26"/>
      <c r="AL260" s="26"/>
      <c r="AM260" s="26"/>
      <c r="AN260" s="26"/>
      <c r="AO260" s="26"/>
      <c r="AP260" s="26"/>
      <c r="AQ260" s="26"/>
      <c r="AR260" s="26"/>
    </row>
    <row r="261" spans="1:44" ht="24" x14ac:dyDescent="0.25">
      <c r="A261" s="30"/>
      <c r="B261" s="13" t="s">
        <v>499</v>
      </c>
      <c r="C261" s="4" t="s">
        <v>522</v>
      </c>
      <c r="D261" s="126" t="s">
        <v>523</v>
      </c>
      <c r="E261" s="6" t="s">
        <v>22</v>
      </c>
      <c r="F261" s="7" t="e">
        <f>G261+SUMIF('[1]mouvement élévateur VMI'!B:B,"=Roulement 2202RS",'[1]mouvement élévateur VMI'!G:G)</f>
        <v>#VALUE!</v>
      </c>
      <c r="G261" s="7">
        <v>4</v>
      </c>
      <c r="H261" s="6">
        <v>2</v>
      </c>
      <c r="I261" s="1" t="e">
        <f t="shared" si="124"/>
        <v>#VALUE!</v>
      </c>
      <c r="J261" s="11">
        <v>19.48</v>
      </c>
      <c r="K261" s="12" t="e">
        <f t="shared" si="125"/>
        <v>#VALUE!</v>
      </c>
      <c r="L261" s="30"/>
      <c r="M261" s="35" t="e">
        <f>SUM(K250:K261)</f>
        <v>#VALUE!</v>
      </c>
      <c r="N261" s="30"/>
      <c r="O261" s="30"/>
      <c r="P261" s="30"/>
      <c r="Q261" s="30"/>
      <c r="R261" s="30"/>
      <c r="S261" s="30">
        <v>1</v>
      </c>
      <c r="T261" s="26"/>
      <c r="U261" s="26"/>
      <c r="V261" s="26"/>
      <c r="W261" s="26"/>
      <c r="X261" s="26"/>
      <c r="Y261" s="26"/>
      <c r="Z261" s="26"/>
      <c r="AA261" s="26"/>
      <c r="AB261" s="26"/>
      <c r="AC261" s="26"/>
      <c r="AD261" s="26"/>
      <c r="AE261" s="26"/>
      <c r="AF261" s="26"/>
      <c r="AG261" s="26"/>
      <c r="AH261" s="26"/>
      <c r="AI261" s="26"/>
      <c r="AJ261" s="26"/>
      <c r="AK261" s="26"/>
      <c r="AL261" s="26"/>
      <c r="AM261" s="26"/>
      <c r="AN261" s="26"/>
      <c r="AO261" s="26"/>
      <c r="AP261" s="26"/>
      <c r="AQ261" s="26"/>
      <c r="AR261" s="26"/>
    </row>
    <row r="262" spans="1:44" ht="15.75" x14ac:dyDescent="0.25">
      <c r="A262" s="30"/>
      <c r="B262" s="13" t="s">
        <v>524</v>
      </c>
      <c r="C262" s="128" t="s">
        <v>525</v>
      </c>
      <c r="D262" s="6">
        <v>200150003</v>
      </c>
      <c r="E262" s="7" t="s">
        <v>526</v>
      </c>
      <c r="F262" s="7" t="e">
        <f>G262+SUMIF('[1]mouvement MRR240'!B:B,"=(levier) patins de blocage du papier",'[1]mouvement MRR240'!G:G)</f>
        <v>#VALUE!</v>
      </c>
      <c r="G262" s="7">
        <v>2</v>
      </c>
      <c r="H262" s="6">
        <v>2</v>
      </c>
      <c r="I262" s="1" t="e">
        <f>IF(F262&lt;H262,"/!\","-")</f>
        <v>#VALUE!</v>
      </c>
      <c r="J262" s="20">
        <v>76.16</v>
      </c>
      <c r="K262" s="12" t="e">
        <f>F262*J262</f>
        <v>#VALUE!</v>
      </c>
      <c r="L262" s="30"/>
      <c r="M262" s="30"/>
      <c r="N262" s="30"/>
      <c r="O262" s="30"/>
      <c r="P262" s="30"/>
      <c r="Q262" s="30"/>
      <c r="R262" s="30"/>
      <c r="S262" s="30">
        <v>1</v>
      </c>
      <c r="T262" s="26"/>
      <c r="U262" s="26"/>
      <c r="V262" s="26"/>
      <c r="W262" s="26"/>
      <c r="X262" s="26"/>
      <c r="Y262" s="26"/>
      <c r="Z262" s="26"/>
      <c r="AA262" s="26"/>
      <c r="AB262" s="26"/>
      <c r="AC262" s="26"/>
      <c r="AD262" s="26"/>
      <c r="AE262" s="26"/>
      <c r="AF262" s="26"/>
      <c r="AG262" s="26"/>
      <c r="AH262" s="26"/>
      <c r="AI262" s="26"/>
      <c r="AJ262" s="26"/>
      <c r="AK262" s="26"/>
      <c r="AL262" s="26"/>
      <c r="AM262" s="26"/>
      <c r="AN262" s="26"/>
      <c r="AO262" s="26"/>
      <c r="AP262" s="26"/>
      <c r="AQ262" s="26"/>
      <c r="AR262" s="26"/>
    </row>
    <row r="266" spans="1:44" ht="24" x14ac:dyDescent="0.25">
      <c r="A266" s="30"/>
      <c r="B266" s="13" t="s">
        <v>524</v>
      </c>
      <c r="C266" s="18" t="s">
        <v>531</v>
      </c>
      <c r="D266" s="6" t="s">
        <v>532</v>
      </c>
      <c r="E266" s="7" t="s">
        <v>22</v>
      </c>
      <c r="F266" s="7" t="e">
        <f>G266+SUMIF('[1]mouvement MRR240'!B:B,"=capteur d'etiquettes",'[1]mouvement MRR240'!G:G)</f>
        <v>#VALUE!</v>
      </c>
      <c r="G266" s="7">
        <v>3</v>
      </c>
      <c r="H266" s="20">
        <v>1</v>
      </c>
      <c r="I266" s="1" t="e">
        <f t="shared" ref="I266" si="126">IF(F266&lt;H266,"/!\","-")</f>
        <v>#VALUE!</v>
      </c>
      <c r="J266" s="69">
        <v>349.55</v>
      </c>
      <c r="K266" s="12" t="e">
        <f t="shared" ref="K266" si="127">F266*J266</f>
        <v>#VALUE!</v>
      </c>
      <c r="L266" s="30"/>
      <c r="M266" s="30"/>
      <c r="N266" s="30"/>
      <c r="O266" s="30"/>
      <c r="P266" s="30"/>
      <c r="Q266" s="30"/>
      <c r="R266" s="30"/>
      <c r="S266" s="30">
        <v>1</v>
      </c>
      <c r="T266" s="26"/>
      <c r="U266" s="26"/>
      <c r="V266" s="26"/>
      <c r="W266" s="26"/>
      <c r="X266" s="26"/>
      <c r="Y266" s="26"/>
      <c r="Z266" s="26"/>
      <c r="AA266" s="26"/>
      <c r="AB266" s="26"/>
      <c r="AC266" s="26"/>
      <c r="AD266" s="26"/>
      <c r="AE266" s="26"/>
      <c r="AF266" s="26"/>
      <c r="AG266" s="26"/>
      <c r="AH266" s="26"/>
      <c r="AI266" s="26"/>
      <c r="AJ266" s="26"/>
      <c r="AK266" s="26"/>
      <c r="AL266" s="26"/>
      <c r="AM266" s="26"/>
      <c r="AN266" s="26"/>
      <c r="AO266" s="26"/>
      <c r="AP266" s="26"/>
      <c r="AQ266" s="26"/>
      <c r="AR266" s="26"/>
    </row>
    <row r="268" spans="1:44" ht="60" x14ac:dyDescent="0.25">
      <c r="A268" s="30"/>
      <c r="B268" s="13" t="s">
        <v>524</v>
      </c>
      <c r="C268" s="18" t="s">
        <v>534</v>
      </c>
      <c r="D268" s="6" t="s">
        <v>535</v>
      </c>
      <c r="E268" s="120" t="s">
        <v>526</v>
      </c>
      <c r="F268" s="7" t="e">
        <f>G268+SUMIF('[1]mouvement MRR240'!B:B,"=coffret mural L1=74 B1=24(embase prise harting)",'[1]mouvement MRR240'!G:G)</f>
        <v>#VALUE!</v>
      </c>
      <c r="G268" s="7">
        <v>1</v>
      </c>
      <c r="H268" s="20">
        <v>1</v>
      </c>
      <c r="I268" s="1" t="e">
        <f t="shared" ref="I268" si="128">IF(F268&lt;H268,"/!\","-")</f>
        <v>#VALUE!</v>
      </c>
      <c r="J268" s="11">
        <v>39.1</v>
      </c>
      <c r="K268" s="12" t="e">
        <f t="shared" ref="K268" si="129">F268*J268</f>
        <v>#VALUE!</v>
      </c>
      <c r="L268" s="30"/>
      <c r="M268" s="30"/>
      <c r="N268" s="30"/>
      <c r="O268" s="30"/>
      <c r="P268" s="30"/>
      <c r="Q268" s="30"/>
      <c r="R268" s="30"/>
      <c r="S268" s="30">
        <v>1</v>
      </c>
      <c r="T268" s="26"/>
      <c r="U268" s="26"/>
      <c r="V268" s="26"/>
      <c r="W268" s="26"/>
      <c r="X268" s="26"/>
      <c r="Y268" s="26"/>
      <c r="Z268" s="26"/>
      <c r="AA268" s="26"/>
      <c r="AB268" s="26"/>
      <c r="AC268" s="26"/>
      <c r="AD268" s="26"/>
      <c r="AE268" s="26"/>
      <c r="AF268" s="26"/>
      <c r="AG268" s="26"/>
      <c r="AH268" s="26"/>
      <c r="AI268" s="26"/>
      <c r="AJ268" s="26"/>
      <c r="AK268" s="26"/>
      <c r="AL268" s="26"/>
      <c r="AM268" s="26"/>
      <c r="AN268" s="26"/>
      <c r="AO268" s="26"/>
      <c r="AP268" s="26"/>
      <c r="AQ268" s="26"/>
      <c r="AR268" s="26"/>
    </row>
    <row r="270" spans="1:44" ht="36" x14ac:dyDescent="0.25">
      <c r="A270" s="30"/>
      <c r="B270" s="13" t="s">
        <v>524</v>
      </c>
      <c r="C270" s="18" t="s">
        <v>537</v>
      </c>
      <c r="D270" s="6">
        <v>200150569</v>
      </c>
      <c r="E270" s="7" t="s">
        <v>526</v>
      </c>
      <c r="F270" s="7" t="e">
        <f>G270+SUMIF('[1]mouvement MRR240'!B:B,"=couroie crant b1=9,53  l1=254 XL",'[1]mouvement MRR240'!G:G)</f>
        <v>#VALUE!</v>
      </c>
      <c r="G270" s="7">
        <v>1</v>
      </c>
      <c r="H270" s="20">
        <v>1</v>
      </c>
      <c r="I270" s="1" t="e">
        <f t="shared" ref="I270:I274" si="130">IF(F270&lt;H270,"/!\","-")</f>
        <v>#VALUE!</v>
      </c>
      <c r="J270" s="69">
        <v>23.54</v>
      </c>
      <c r="K270" s="12" t="e">
        <f t="shared" ref="K270:K274" si="131">F270*J270</f>
        <v>#VALUE!</v>
      </c>
      <c r="L270" s="30"/>
      <c r="M270" s="30"/>
      <c r="N270" s="30"/>
      <c r="O270" s="30"/>
      <c r="P270" s="30"/>
      <c r="Q270" s="30"/>
      <c r="R270" s="30"/>
      <c r="S270" s="30">
        <v>1</v>
      </c>
      <c r="T270" s="26"/>
      <c r="U270" s="26"/>
      <c r="V270" s="26"/>
      <c r="W270" s="26"/>
      <c r="X270" s="26"/>
      <c r="Y270" s="26"/>
      <c r="Z270" s="26"/>
      <c r="AA270" s="26"/>
      <c r="AB270" s="26"/>
      <c r="AC270" s="26"/>
      <c r="AD270" s="26"/>
      <c r="AE270" s="26"/>
      <c r="AF270" s="26"/>
      <c r="AG270" s="26"/>
      <c r="AH270" s="26"/>
      <c r="AI270" s="26"/>
      <c r="AJ270" s="26"/>
      <c r="AK270" s="26"/>
      <c r="AL270" s="26"/>
      <c r="AM270" s="26"/>
      <c r="AN270" s="26"/>
      <c r="AO270" s="26"/>
      <c r="AP270" s="26"/>
      <c r="AQ270" s="26"/>
      <c r="AR270" s="26"/>
    </row>
    <row r="271" spans="1:44" ht="36" x14ac:dyDescent="0.25">
      <c r="A271" s="30"/>
      <c r="B271" s="13" t="s">
        <v>524</v>
      </c>
      <c r="C271" s="18" t="s">
        <v>538</v>
      </c>
      <c r="D271" s="6">
        <v>200155227</v>
      </c>
      <c r="E271" s="7" t="s">
        <v>526</v>
      </c>
      <c r="F271" s="7" t="e">
        <f>G271+SUMIF('[1]mouvement MRR240'!B:B,"=courroie b1:25 / l1:1150 ",'[1]mouvement MRR240'!G:G)</f>
        <v>#VALUE!</v>
      </c>
      <c r="G271" s="7">
        <v>1</v>
      </c>
      <c r="H271" s="20">
        <v>1</v>
      </c>
      <c r="I271" s="1" t="e">
        <f t="shared" si="130"/>
        <v>#VALUE!</v>
      </c>
      <c r="J271" s="69">
        <v>42.14</v>
      </c>
      <c r="K271" s="12" t="e">
        <f t="shared" si="131"/>
        <v>#VALUE!</v>
      </c>
      <c r="L271" s="30"/>
      <c r="M271" s="30"/>
      <c r="N271" s="30"/>
      <c r="O271" s="30"/>
      <c r="P271" s="30"/>
      <c r="Q271" s="30"/>
      <c r="R271" s="30"/>
      <c r="S271" s="30">
        <v>1</v>
      </c>
      <c r="T271" s="26"/>
      <c r="U271" s="26"/>
      <c r="V271" s="26"/>
      <c r="W271" s="26"/>
      <c r="X271" s="26"/>
      <c r="Y271" s="26"/>
      <c r="Z271" s="26"/>
      <c r="AA271" s="26"/>
      <c r="AB271" s="26"/>
      <c r="AC271" s="26"/>
      <c r="AD271" s="26"/>
      <c r="AE271" s="26"/>
      <c r="AF271" s="26"/>
      <c r="AG271" s="26"/>
      <c r="AH271" s="26"/>
      <c r="AI271" s="26"/>
      <c r="AJ271" s="26"/>
      <c r="AK271" s="26"/>
      <c r="AL271" s="26"/>
      <c r="AM271" s="26"/>
      <c r="AN271" s="26"/>
      <c r="AO271" s="26"/>
      <c r="AP271" s="26"/>
      <c r="AQ271" s="26"/>
      <c r="AR271" s="26"/>
    </row>
    <row r="272" spans="1:44" ht="36" x14ac:dyDescent="0.25">
      <c r="A272" s="30"/>
      <c r="B272" s="13" t="s">
        <v>524</v>
      </c>
      <c r="C272" s="18" t="s">
        <v>539</v>
      </c>
      <c r="D272" s="6">
        <v>200150583</v>
      </c>
      <c r="E272" s="120" t="s">
        <v>526</v>
      </c>
      <c r="F272" s="7" t="e">
        <f>G272+SUMIF('[1]mouvement MRR240'!B:B,"=courroie B1=15L1=425htd5m",'[1]mouvement MRR240'!G:G)</f>
        <v>#VALUE!</v>
      </c>
      <c r="G272" s="7">
        <v>1</v>
      </c>
      <c r="H272" s="20">
        <v>1</v>
      </c>
      <c r="I272" s="1" t="e">
        <f t="shared" si="130"/>
        <v>#VALUE!</v>
      </c>
      <c r="J272" s="11">
        <v>25.57</v>
      </c>
      <c r="K272" s="12" t="e">
        <f t="shared" si="131"/>
        <v>#VALUE!</v>
      </c>
      <c r="L272" s="30"/>
      <c r="M272" s="30"/>
      <c r="N272" s="30"/>
      <c r="O272" s="30"/>
      <c r="P272" s="30"/>
      <c r="Q272" s="30"/>
      <c r="R272" s="30"/>
      <c r="S272" s="30">
        <v>1</v>
      </c>
      <c r="T272" s="26"/>
      <c r="U272" s="26"/>
      <c r="V272" s="26"/>
      <c r="W272" s="26"/>
      <c r="X272" s="26"/>
      <c r="Y272" s="26"/>
      <c r="Z272" s="26"/>
      <c r="AA272" s="26"/>
      <c r="AB272" s="26"/>
      <c r="AC272" s="26"/>
      <c r="AD272" s="26"/>
      <c r="AE272" s="26"/>
      <c r="AF272" s="26"/>
      <c r="AG272" s="26"/>
      <c r="AH272" s="26"/>
      <c r="AI272" s="26"/>
      <c r="AJ272" s="26"/>
      <c r="AK272" s="26"/>
      <c r="AL272" s="26"/>
      <c r="AM272" s="26"/>
      <c r="AN272" s="26"/>
      <c r="AO272" s="26"/>
      <c r="AP272" s="26"/>
      <c r="AQ272" s="26"/>
      <c r="AR272" s="26"/>
    </row>
    <row r="273" spans="1:44" ht="36" x14ac:dyDescent="0.25">
      <c r="A273" s="30"/>
      <c r="B273" s="13" t="s">
        <v>524</v>
      </c>
      <c r="C273" s="18" t="s">
        <v>540</v>
      </c>
      <c r="D273" s="6" t="s">
        <v>541</v>
      </c>
      <c r="E273" s="7" t="s">
        <v>26</v>
      </c>
      <c r="F273" s="7" t="e">
        <f>G273+SUMIF('[1]mouvement MRR240'!B:B,"=courroie crant T2,5-330",'[1]mouvement MRR240'!G:G)</f>
        <v>#VALUE!</v>
      </c>
      <c r="G273" s="7">
        <v>4</v>
      </c>
      <c r="H273" s="20">
        <v>1</v>
      </c>
      <c r="I273" s="1" t="e">
        <f t="shared" si="130"/>
        <v>#VALUE!</v>
      </c>
      <c r="J273" s="69">
        <v>5.27</v>
      </c>
      <c r="K273" s="12" t="e">
        <f t="shared" si="131"/>
        <v>#VALUE!</v>
      </c>
      <c r="L273" s="30"/>
      <c r="M273" s="30"/>
      <c r="N273" s="30"/>
      <c r="O273" s="30"/>
      <c r="P273" s="30"/>
      <c r="Q273" s="30"/>
      <c r="R273" s="30"/>
      <c r="S273" s="30">
        <v>1</v>
      </c>
      <c r="T273" s="26"/>
      <c r="U273" s="26"/>
      <c r="V273" s="26"/>
      <c r="W273" s="26"/>
      <c r="X273" s="26"/>
      <c r="Y273" s="26"/>
      <c r="Z273" s="26"/>
      <c r="AA273" s="26"/>
      <c r="AB273" s="26"/>
      <c r="AC273" s="26"/>
      <c r="AD273" s="26"/>
      <c r="AE273" s="26"/>
      <c r="AF273" s="26"/>
      <c r="AG273" s="26"/>
      <c r="AH273" s="26"/>
      <c r="AI273" s="26"/>
      <c r="AJ273" s="26"/>
      <c r="AK273" s="26"/>
      <c r="AL273" s="26"/>
      <c r="AM273" s="26"/>
      <c r="AN273" s="26"/>
      <c r="AO273" s="26"/>
      <c r="AP273" s="26"/>
      <c r="AQ273" s="26"/>
      <c r="AR273" s="26"/>
    </row>
    <row r="274" spans="1:44" ht="60" x14ac:dyDescent="0.25">
      <c r="A274" s="30"/>
      <c r="B274" s="13" t="s">
        <v>524</v>
      </c>
      <c r="C274" s="18" t="s">
        <v>542</v>
      </c>
      <c r="D274" s="6" t="s">
        <v>543</v>
      </c>
      <c r="E274" s="7" t="s">
        <v>26</v>
      </c>
      <c r="F274" s="7" t="e">
        <f>G274+SUMIF('[1]mouvement MRR240'!B:B,"=courroie crant entrainement enrouleur glassine",'[1]mouvement MRR240'!G:G)</f>
        <v>#VALUE!</v>
      </c>
      <c r="G274" s="7">
        <v>4</v>
      </c>
      <c r="H274" s="20">
        <v>1</v>
      </c>
      <c r="I274" s="1" t="e">
        <f t="shared" si="130"/>
        <v>#VALUE!</v>
      </c>
      <c r="J274" s="69">
        <v>8.89</v>
      </c>
      <c r="K274" s="12" t="e">
        <f t="shared" si="131"/>
        <v>#VALUE!</v>
      </c>
      <c r="L274" s="30"/>
      <c r="M274" s="30"/>
      <c r="N274" s="30"/>
      <c r="O274" s="30"/>
      <c r="P274" s="30"/>
      <c r="Q274" s="30"/>
      <c r="R274" s="30"/>
      <c r="S274" s="30">
        <v>1</v>
      </c>
      <c r="T274" s="26"/>
      <c r="U274" s="26"/>
      <c r="V274" s="26"/>
      <c r="W274" s="26"/>
      <c r="X274" s="26"/>
      <c r="Y274" s="26"/>
      <c r="Z274" s="26"/>
      <c r="AA274" s="26"/>
      <c r="AB274" s="26"/>
      <c r="AC274" s="26"/>
      <c r="AD274" s="26"/>
      <c r="AE274" s="26"/>
      <c r="AF274" s="26"/>
      <c r="AG274" s="26"/>
      <c r="AH274" s="26"/>
      <c r="AI274" s="26"/>
      <c r="AJ274" s="26"/>
      <c r="AK274" s="26"/>
      <c r="AL274" s="26"/>
      <c r="AM274" s="26"/>
      <c r="AN274" s="26"/>
      <c r="AO274" s="26"/>
      <c r="AP274" s="26"/>
      <c r="AQ274" s="26"/>
      <c r="AR274" s="26"/>
    </row>
    <row r="278" spans="1:44" ht="72" x14ac:dyDescent="0.25">
      <c r="A278" s="30"/>
      <c r="B278" s="13" t="s">
        <v>524</v>
      </c>
      <c r="C278" s="18" t="s">
        <v>548</v>
      </c>
      <c r="D278" s="6" t="s">
        <v>549</v>
      </c>
      <c r="E278" s="7" t="s">
        <v>526</v>
      </c>
      <c r="F278" s="7" t="e">
        <f>G278+SUMIF('[1]mouvement MRR240'!B:B,"=distributeur etiqueuse 3/2, festo CPE14-M1BH-3GL-1/8",'[1]mouvement MRR240'!G:G)</f>
        <v>#VALUE!</v>
      </c>
      <c r="G278" s="7">
        <v>1</v>
      </c>
      <c r="H278" s="20">
        <v>1</v>
      </c>
      <c r="I278" s="1" t="e">
        <f t="shared" ref="I278" si="132">IF(F278&lt;H278,"/!\","-")</f>
        <v>#VALUE!</v>
      </c>
      <c r="J278" s="69">
        <v>116.7</v>
      </c>
      <c r="K278" s="12" t="e">
        <f t="shared" ref="K278" si="133">F278*J278</f>
        <v>#VALUE!</v>
      </c>
      <c r="L278" s="30"/>
      <c r="M278" s="30"/>
      <c r="N278" s="30"/>
      <c r="O278" s="30"/>
      <c r="P278" s="30"/>
      <c r="Q278" s="30"/>
      <c r="R278" s="30"/>
      <c r="S278" s="30">
        <v>1</v>
      </c>
      <c r="T278" s="26"/>
      <c r="U278" s="26"/>
      <c r="V278" s="26"/>
      <c r="W278" s="26"/>
      <c r="X278" s="26"/>
      <c r="Y278" s="26"/>
      <c r="Z278" s="26"/>
      <c r="AA278" s="26"/>
      <c r="AB278" s="26"/>
      <c r="AC278" s="26"/>
      <c r="AD278" s="26"/>
      <c r="AE278" s="26"/>
      <c r="AF278" s="26"/>
      <c r="AG278" s="26"/>
      <c r="AH278" s="26"/>
      <c r="AI278" s="26"/>
      <c r="AJ278" s="26"/>
      <c r="AK278" s="26"/>
      <c r="AL278" s="26"/>
      <c r="AM278" s="26"/>
      <c r="AN278" s="26"/>
      <c r="AO278" s="26"/>
      <c r="AP278" s="26"/>
      <c r="AQ278" s="26"/>
      <c r="AR278" s="26"/>
    </row>
    <row r="280" spans="1:44" ht="36" x14ac:dyDescent="0.25">
      <c r="A280" s="30"/>
      <c r="B280" s="13" t="s">
        <v>524</v>
      </c>
      <c r="C280" s="18" t="s">
        <v>552</v>
      </c>
      <c r="D280" s="6">
        <v>105660595</v>
      </c>
      <c r="E280" s="7" t="s">
        <v>526</v>
      </c>
      <c r="F280" s="7" t="e">
        <f>G280+SUMIF('[1]mouvement MRR240'!B:B,"=PLAQUE DE CONTRE PRESSION",'[1]mouvement MRR240'!G:G)</f>
        <v>#VALUE!</v>
      </c>
      <c r="G280" s="7">
        <v>0</v>
      </c>
      <c r="H280" s="20">
        <v>1</v>
      </c>
      <c r="I280" s="1" t="e">
        <f t="shared" ref="I280" si="134">IF(F280&lt;H280,"/!\","-")</f>
        <v>#VALUE!</v>
      </c>
      <c r="J280" s="11">
        <v>170.92</v>
      </c>
      <c r="K280" s="12" t="e">
        <f t="shared" ref="K280" si="135">F280*J280</f>
        <v>#VALUE!</v>
      </c>
      <c r="L280" s="30"/>
      <c r="M280" s="30"/>
      <c r="N280" s="30"/>
      <c r="O280" s="30"/>
      <c r="P280" s="30"/>
      <c r="Q280" s="30"/>
      <c r="R280" s="30"/>
      <c r="S280" s="30">
        <v>1</v>
      </c>
      <c r="T280" s="26"/>
      <c r="U280" s="26"/>
      <c r="V280" s="26"/>
      <c r="W280" s="26"/>
      <c r="X280" s="26"/>
      <c r="Y280" s="26"/>
      <c r="Z280" s="26"/>
      <c r="AA280" s="26"/>
      <c r="AB280" s="26"/>
      <c r="AC280" s="26"/>
      <c r="AD280" s="26"/>
      <c r="AE280" s="26"/>
      <c r="AF280" s="26"/>
      <c r="AG280" s="26"/>
      <c r="AH280" s="26"/>
      <c r="AI280" s="26"/>
      <c r="AJ280" s="26"/>
      <c r="AK280" s="26"/>
      <c r="AL280" s="26"/>
      <c r="AM280" s="26"/>
      <c r="AN280" s="26"/>
      <c r="AO280" s="26"/>
      <c r="AP280" s="26"/>
      <c r="AQ280" s="26"/>
      <c r="AR280" s="26"/>
    </row>
    <row r="282" spans="1:44" ht="36" x14ac:dyDescent="0.25">
      <c r="A282" s="30"/>
      <c r="B282" s="13" t="s">
        <v>524</v>
      </c>
      <c r="C282" s="18" t="s">
        <v>554</v>
      </c>
      <c r="D282" s="6">
        <v>106116816</v>
      </c>
      <c r="E282" s="7" t="s">
        <v>526</v>
      </c>
      <c r="F282" s="7" t="e">
        <f>G282+SUMIF('[1]mouvement MRR240'!B:B,"=rouleau de tension l1=150 li n.re",'[1]mouvement MRR240'!G:G)</f>
        <v>#VALUE!</v>
      </c>
      <c r="G282" s="7">
        <v>1</v>
      </c>
      <c r="H282" s="20">
        <v>1</v>
      </c>
      <c r="I282" s="1" t="e">
        <f t="shared" ref="I282:I286" si="136">IF(F282&lt;H282,"/!\","-")</f>
        <v>#VALUE!</v>
      </c>
      <c r="J282" s="69">
        <v>412.13</v>
      </c>
      <c r="K282" s="12" t="e">
        <f t="shared" ref="K282:K286" si="137">F282*J282</f>
        <v>#VALUE!</v>
      </c>
      <c r="L282" s="30"/>
      <c r="M282" s="30"/>
      <c r="N282" s="30"/>
      <c r="O282" s="30"/>
      <c r="P282" s="30"/>
      <c r="Q282" s="30"/>
      <c r="R282" s="30"/>
      <c r="S282" s="30">
        <v>1</v>
      </c>
      <c r="T282" s="26"/>
      <c r="U282" s="26"/>
      <c r="V282" s="26"/>
      <c r="W282" s="26"/>
      <c r="X282" s="26"/>
      <c r="Y282" s="26"/>
      <c r="Z282" s="26"/>
      <c r="AA282" s="26"/>
      <c r="AB282" s="26"/>
      <c r="AC282" s="26"/>
      <c r="AD282" s="26"/>
      <c r="AE282" s="26"/>
      <c r="AF282" s="26"/>
      <c r="AG282" s="26"/>
      <c r="AH282" s="26"/>
      <c r="AI282" s="26"/>
      <c r="AJ282" s="26"/>
      <c r="AK282" s="26"/>
      <c r="AL282" s="26"/>
      <c r="AM282" s="26"/>
      <c r="AN282" s="26"/>
      <c r="AO282" s="26"/>
      <c r="AP282" s="26"/>
      <c r="AQ282" s="26"/>
      <c r="AR282" s="26"/>
    </row>
    <row r="283" spans="1:44" ht="60" x14ac:dyDescent="0.25">
      <c r="A283" s="30"/>
      <c r="B283" s="13" t="s">
        <v>524</v>
      </c>
      <c r="C283" s="18" t="s">
        <v>555</v>
      </c>
      <c r="D283" s="6">
        <v>106012863</v>
      </c>
      <c r="E283" s="7" t="s">
        <v>526</v>
      </c>
      <c r="F283" s="7" t="e">
        <f>G283+SUMIF('[1]mouvement MRR240'!B:B,"=roulement a bille gorge profonde, S698 RS + 1698 RS",'[1]mouvement MRR240'!G:G)</f>
        <v>#VALUE!</v>
      </c>
      <c r="G283" s="7">
        <v>3</v>
      </c>
      <c r="H283" s="20">
        <v>2</v>
      </c>
      <c r="I283" s="1" t="e">
        <f t="shared" si="136"/>
        <v>#VALUE!</v>
      </c>
      <c r="J283" s="69">
        <v>13.07</v>
      </c>
      <c r="K283" s="12" t="e">
        <f t="shared" si="137"/>
        <v>#VALUE!</v>
      </c>
      <c r="L283" s="30"/>
      <c r="M283" s="30"/>
      <c r="N283" s="30"/>
      <c r="O283" s="30"/>
      <c r="P283" s="30"/>
      <c r="Q283" s="30"/>
      <c r="R283" s="30"/>
      <c r="S283" s="30">
        <v>1</v>
      </c>
      <c r="T283" s="26"/>
      <c r="U283" s="26"/>
      <c r="V283" s="26"/>
      <c r="W283" s="26"/>
      <c r="X283" s="26"/>
      <c r="Y283" s="26"/>
      <c r="Z283" s="26"/>
      <c r="AA283" s="26"/>
      <c r="AB283" s="26"/>
      <c r="AC283" s="26"/>
      <c r="AD283" s="26"/>
      <c r="AE283" s="26"/>
      <c r="AF283" s="26"/>
      <c r="AG283" s="26"/>
      <c r="AH283" s="26"/>
      <c r="AI283" s="26"/>
      <c r="AJ283" s="26"/>
      <c r="AK283" s="26"/>
      <c r="AL283" s="26"/>
      <c r="AM283" s="26"/>
      <c r="AN283" s="26"/>
      <c r="AO283" s="26"/>
      <c r="AP283" s="26"/>
      <c r="AQ283" s="26"/>
      <c r="AR283" s="26"/>
    </row>
    <row r="284" spans="1:44" ht="60" x14ac:dyDescent="0.25">
      <c r="A284" s="30"/>
      <c r="B284" s="13" t="s">
        <v>524</v>
      </c>
      <c r="C284" s="18" t="s">
        <v>556</v>
      </c>
      <c r="D284" s="6">
        <v>200152402</v>
      </c>
      <c r="E284" s="7" t="s">
        <v>526</v>
      </c>
      <c r="F284" s="7" t="e">
        <f>G284+SUMIF('[1]mouvement MRR240'!B:B,"=support H1=20 B1=14 L1=60 Al MgSi-T66 ",'[1]mouvement MRR240'!G:G)</f>
        <v>#VALUE!</v>
      </c>
      <c r="G284" s="7">
        <v>1</v>
      </c>
      <c r="H284" s="20">
        <v>1</v>
      </c>
      <c r="I284" s="1" t="e">
        <f t="shared" si="136"/>
        <v>#VALUE!</v>
      </c>
      <c r="J284" s="69">
        <v>56.21</v>
      </c>
      <c r="K284" s="12" t="e">
        <f t="shared" si="137"/>
        <v>#VALUE!</v>
      </c>
      <c r="L284" s="30"/>
      <c r="M284" s="30"/>
      <c r="N284" s="30"/>
      <c r="O284" s="30"/>
      <c r="P284" s="30"/>
      <c r="Q284" s="30"/>
      <c r="R284" s="30"/>
      <c r="S284" s="30">
        <v>1</v>
      </c>
      <c r="T284" s="26"/>
      <c r="U284" s="26"/>
      <c r="V284" s="26"/>
      <c r="W284" s="26"/>
      <c r="X284" s="26"/>
      <c r="Y284" s="26"/>
      <c r="Z284" s="26"/>
      <c r="AA284" s="26"/>
      <c r="AB284" s="26"/>
      <c r="AC284" s="26"/>
      <c r="AD284" s="26"/>
      <c r="AE284" s="26"/>
      <c r="AF284" s="26"/>
      <c r="AG284" s="26"/>
      <c r="AH284" s="26"/>
      <c r="AI284" s="26"/>
      <c r="AJ284" s="26"/>
      <c r="AK284" s="26"/>
      <c r="AL284" s="26"/>
      <c r="AM284" s="26"/>
      <c r="AN284" s="26"/>
      <c r="AO284" s="26"/>
      <c r="AP284" s="26"/>
      <c r="AQ284" s="26"/>
      <c r="AR284" s="26"/>
    </row>
    <row r="285" spans="1:44" ht="24" x14ac:dyDescent="0.25">
      <c r="A285" s="30"/>
      <c r="B285" s="13" t="s">
        <v>524</v>
      </c>
      <c r="C285" s="18" t="s">
        <v>557</v>
      </c>
      <c r="D285" s="6" t="s">
        <v>558</v>
      </c>
      <c r="E285" s="120" t="s">
        <v>559</v>
      </c>
      <c r="F285" s="7" t="e">
        <f>G285+SUMIF('[1]mouvement MRR240'!B:B,"=tête d'impression",'[1]mouvement MRR240'!G:G)</f>
        <v>#VALUE!</v>
      </c>
      <c r="G285" s="7">
        <v>1</v>
      </c>
      <c r="H285" s="20">
        <v>1</v>
      </c>
      <c r="I285" s="1" t="e">
        <f t="shared" si="136"/>
        <v>#VALUE!</v>
      </c>
      <c r="J285" s="11">
        <v>514.9</v>
      </c>
      <c r="K285" s="12" t="e">
        <f t="shared" si="137"/>
        <v>#VALUE!</v>
      </c>
      <c r="L285" s="30"/>
      <c r="M285" s="30"/>
      <c r="N285" s="30"/>
      <c r="O285" s="30"/>
      <c r="P285" s="30"/>
      <c r="Q285" s="30"/>
      <c r="R285" s="30"/>
      <c r="S285" s="30">
        <v>1</v>
      </c>
      <c r="T285" s="26"/>
      <c r="U285" s="26"/>
      <c r="V285" s="26"/>
      <c r="W285" s="26"/>
      <c r="X285" s="26"/>
      <c r="Y285" s="26"/>
      <c r="Z285" s="26"/>
      <c r="AA285" s="26"/>
      <c r="AB285" s="26"/>
      <c r="AC285" s="26"/>
      <c r="AD285" s="26"/>
      <c r="AE285" s="26"/>
      <c r="AF285" s="26"/>
      <c r="AG285" s="26"/>
      <c r="AH285" s="26"/>
      <c r="AI285" s="26"/>
      <c r="AJ285" s="26"/>
      <c r="AK285" s="26"/>
      <c r="AL285" s="26"/>
      <c r="AM285" s="26"/>
      <c r="AN285" s="26"/>
      <c r="AO285" s="26"/>
      <c r="AP285" s="26"/>
      <c r="AQ285" s="26"/>
      <c r="AR285" s="26"/>
    </row>
    <row r="286" spans="1:44" ht="48" x14ac:dyDescent="0.25">
      <c r="A286" s="30"/>
      <c r="B286" s="13" t="s">
        <v>524</v>
      </c>
      <c r="C286" s="18" t="s">
        <v>560</v>
      </c>
      <c r="D286" s="6" t="s">
        <v>561</v>
      </c>
      <c r="E286" s="7" t="s">
        <v>562</v>
      </c>
      <c r="F286" s="7" t="e">
        <f>G286+SUMIF('[1]mouvement MRR240'!B:B,"=verin ISO6432, DSNU-25-100-PPV-A ",'[1]mouvement MRR240'!G:G)</f>
        <v>#VALUE!</v>
      </c>
      <c r="G286" s="7">
        <v>3</v>
      </c>
      <c r="H286" s="20">
        <v>1</v>
      </c>
      <c r="I286" s="1" t="e">
        <f t="shared" si="136"/>
        <v>#VALUE!</v>
      </c>
      <c r="J286" s="69">
        <v>70.06</v>
      </c>
      <c r="K286" s="12" t="e">
        <f t="shared" si="137"/>
        <v>#VALUE!</v>
      </c>
      <c r="L286" s="30"/>
      <c r="M286" s="30"/>
      <c r="N286" s="30"/>
      <c r="O286" s="30"/>
      <c r="P286" s="30"/>
      <c r="Q286" s="30"/>
      <c r="R286" s="30"/>
      <c r="S286" s="30">
        <v>1</v>
      </c>
      <c r="T286" s="26"/>
      <c r="U286" s="26"/>
      <c r="V286" s="26"/>
      <c r="W286" s="26"/>
      <c r="X286" s="26"/>
      <c r="Y286" s="26"/>
      <c r="Z286" s="26"/>
      <c r="AA286" s="26"/>
      <c r="AB286" s="26"/>
      <c r="AC286" s="26"/>
      <c r="AD286" s="26"/>
      <c r="AE286" s="26"/>
      <c r="AF286" s="26"/>
      <c r="AG286" s="26"/>
      <c r="AH286" s="26"/>
      <c r="AI286" s="26"/>
      <c r="AJ286" s="26"/>
      <c r="AK286" s="26"/>
      <c r="AL286" s="26"/>
      <c r="AM286" s="26"/>
      <c r="AN286" s="26"/>
      <c r="AO286" s="26"/>
      <c r="AP286" s="26"/>
      <c r="AQ286" s="26"/>
      <c r="AR286" s="26"/>
    </row>
    <row r="290" spans="1:44" ht="15.75" x14ac:dyDescent="0.25">
      <c r="A290" s="30"/>
      <c r="B290" s="13" t="s">
        <v>524</v>
      </c>
      <c r="C290" s="18" t="s">
        <v>567</v>
      </c>
      <c r="D290" s="6">
        <v>200157138</v>
      </c>
      <c r="E290" s="7" t="s">
        <v>526</v>
      </c>
      <c r="F290" s="7" t="e">
        <f>G290+SUMIF('[1]mouvement MRR240'!B:B,"=rondelle 1",'[1]mouvement MRR240'!G:G)</f>
        <v>#VALUE!</v>
      </c>
      <c r="G290" s="7">
        <v>2</v>
      </c>
      <c r="H290" s="20">
        <v>0</v>
      </c>
      <c r="I290" s="1" t="e">
        <f t="shared" ref="I290" si="138">IF(F290&lt;H290,"/!\","-")</f>
        <v>#VALUE!</v>
      </c>
      <c r="J290" s="69">
        <v>32.6</v>
      </c>
      <c r="K290" s="12" t="e">
        <f t="shared" ref="K290" si="139">F290*J290</f>
        <v>#VALUE!</v>
      </c>
      <c r="L290" s="30"/>
      <c r="M290" s="30"/>
      <c r="N290" s="30"/>
      <c r="O290" s="30"/>
      <c r="P290" s="30"/>
      <c r="Q290" s="30"/>
      <c r="R290" s="30"/>
      <c r="S290" s="30">
        <v>1</v>
      </c>
      <c r="T290" s="26"/>
      <c r="U290" s="26"/>
      <c r="V290" s="26"/>
      <c r="W290" s="26"/>
      <c r="X290" s="26"/>
      <c r="Y290" s="26"/>
      <c r="Z290" s="26"/>
      <c r="AA290" s="26"/>
      <c r="AB290" s="26"/>
      <c r="AC290" s="26"/>
      <c r="AD290" s="26"/>
      <c r="AE290" s="26"/>
      <c r="AF290" s="26"/>
      <c r="AG290" s="26"/>
      <c r="AH290" s="26"/>
      <c r="AI290" s="26"/>
      <c r="AJ290" s="26"/>
      <c r="AK290" s="26"/>
      <c r="AL290" s="26"/>
      <c r="AM290" s="26"/>
      <c r="AN290" s="26"/>
      <c r="AO290" s="26"/>
      <c r="AP290" s="26"/>
      <c r="AQ290" s="26"/>
      <c r="AR290" s="26"/>
    </row>
    <row r="292" spans="1:44" ht="24" x14ac:dyDescent="0.25">
      <c r="A292" s="30"/>
      <c r="B292" s="13" t="s">
        <v>524</v>
      </c>
      <c r="C292" s="18" t="s">
        <v>569</v>
      </c>
      <c r="D292" s="6">
        <v>200154923</v>
      </c>
      <c r="E292" s="7" t="s">
        <v>526</v>
      </c>
      <c r="F292" s="7" t="e">
        <f>G292+SUMIF('[1]mouvement MRR240'!B:B,"=ressort de torsion ",'[1]mouvement MRR240'!G:G)</f>
        <v>#VALUE!</v>
      </c>
      <c r="G292" s="7">
        <v>3</v>
      </c>
      <c r="H292" s="20">
        <v>1</v>
      </c>
      <c r="I292" s="1" t="e">
        <f t="shared" ref="I292" si="140">IF(F292&lt;H292,"/!\","-")</f>
        <v>#VALUE!</v>
      </c>
      <c r="J292" s="69">
        <v>11.9</v>
      </c>
      <c r="K292" s="12" t="e">
        <f t="shared" ref="K292" si="141">F292*J292</f>
        <v>#VALUE!</v>
      </c>
      <c r="L292" s="30"/>
      <c r="M292" s="30"/>
      <c r="N292" s="30"/>
      <c r="O292" s="30"/>
      <c r="P292" s="30"/>
      <c r="Q292" s="30"/>
      <c r="R292" s="30"/>
      <c r="S292" s="30">
        <v>1</v>
      </c>
      <c r="T292" s="26"/>
      <c r="U292" s="26"/>
      <c r="V292" s="26"/>
      <c r="W292" s="26"/>
      <c r="X292" s="26"/>
      <c r="Y292" s="26"/>
      <c r="Z292" s="26"/>
      <c r="AA292" s="26"/>
      <c r="AB292" s="26"/>
      <c r="AC292" s="26"/>
      <c r="AD292" s="26"/>
      <c r="AE292" s="26"/>
      <c r="AF292" s="26"/>
      <c r="AG292" s="26"/>
      <c r="AH292" s="26"/>
      <c r="AI292" s="26"/>
      <c r="AJ292" s="26"/>
      <c r="AK292" s="26"/>
      <c r="AL292" s="26"/>
      <c r="AM292" s="26"/>
      <c r="AN292" s="26"/>
      <c r="AO292" s="26"/>
      <c r="AP292" s="26"/>
      <c r="AQ292" s="26"/>
      <c r="AR292" s="26"/>
    </row>
    <row r="294" spans="1:44" ht="36" x14ac:dyDescent="0.25">
      <c r="A294" s="30"/>
      <c r="B294" s="13" t="s">
        <v>524</v>
      </c>
      <c r="C294" s="18" t="s">
        <v>571</v>
      </c>
      <c r="D294" s="6">
        <v>200152637</v>
      </c>
      <c r="E294" s="7" t="s">
        <v>526</v>
      </c>
      <c r="F294" s="7" t="e">
        <f>G294+SUMIF('[1]mouvement MRR240'!B:B,"=Disque de synchronisation 1",'[1]mouvement MRR240'!G:G)</f>
        <v>#VALUE!</v>
      </c>
      <c r="G294" s="7">
        <v>1</v>
      </c>
      <c r="H294" s="20">
        <v>0</v>
      </c>
      <c r="I294" s="1" t="e">
        <f t="shared" ref="I294:I298" si="142">IF(F294&lt;H294,"/!\","-")</f>
        <v>#VALUE!</v>
      </c>
      <c r="J294" s="69">
        <v>94.3</v>
      </c>
      <c r="K294" s="12" t="e">
        <f t="shared" ref="K294:K298" si="143">F294*J294</f>
        <v>#VALUE!</v>
      </c>
      <c r="L294" s="30"/>
      <c r="M294" s="30"/>
      <c r="N294" s="30"/>
      <c r="O294" s="30"/>
      <c r="P294" s="30"/>
      <c r="Q294" s="30"/>
      <c r="R294" s="30"/>
      <c r="S294" s="30">
        <v>1</v>
      </c>
      <c r="T294" s="26"/>
      <c r="U294" s="26"/>
      <c r="V294" s="26"/>
      <c r="W294" s="26"/>
      <c r="X294" s="26"/>
      <c r="Y294" s="26"/>
      <c r="Z294" s="26"/>
      <c r="AA294" s="26"/>
      <c r="AB294" s="26"/>
      <c r="AC294" s="26"/>
      <c r="AD294" s="26"/>
      <c r="AE294" s="26"/>
      <c r="AF294" s="26"/>
      <c r="AG294" s="26"/>
      <c r="AH294" s="26"/>
      <c r="AI294" s="26"/>
      <c r="AJ294" s="26"/>
      <c r="AK294" s="26"/>
      <c r="AL294" s="26"/>
      <c r="AM294" s="26"/>
      <c r="AN294" s="26"/>
      <c r="AO294" s="26"/>
      <c r="AP294" s="26"/>
      <c r="AQ294" s="26"/>
      <c r="AR294" s="26"/>
    </row>
    <row r="295" spans="1:44" ht="36" x14ac:dyDescent="0.25">
      <c r="A295" s="30"/>
      <c r="B295" s="13" t="s">
        <v>524</v>
      </c>
      <c r="C295" s="18" t="s">
        <v>572</v>
      </c>
      <c r="D295" s="6">
        <v>105748804</v>
      </c>
      <c r="E295" s="7" t="s">
        <v>526</v>
      </c>
      <c r="F295" s="7" t="e">
        <f>G295+SUMIF('[1]mouvement MRR240'!B:B,"=Disque de synchronisation 2",'[1]mouvement MRR240'!G:G)</f>
        <v>#VALUE!</v>
      </c>
      <c r="G295" s="7">
        <v>1</v>
      </c>
      <c r="H295" s="20">
        <v>0</v>
      </c>
      <c r="I295" s="1" t="e">
        <f t="shared" si="142"/>
        <v>#VALUE!</v>
      </c>
      <c r="J295" s="69">
        <v>60.3</v>
      </c>
      <c r="K295" s="12" t="e">
        <f t="shared" si="143"/>
        <v>#VALUE!</v>
      </c>
      <c r="L295" s="30"/>
      <c r="M295" s="30"/>
      <c r="N295" s="30"/>
      <c r="O295" s="30"/>
      <c r="P295" s="30"/>
      <c r="Q295" s="30"/>
      <c r="R295" s="30"/>
      <c r="S295" s="30">
        <v>1</v>
      </c>
      <c r="T295" s="26"/>
      <c r="U295" s="26"/>
      <c r="V295" s="26"/>
      <c r="W295" s="26"/>
      <c r="X295" s="26"/>
      <c r="Y295" s="26"/>
      <c r="Z295" s="26"/>
      <c r="AA295" s="26"/>
      <c r="AB295" s="26"/>
      <c r="AC295" s="26"/>
      <c r="AD295" s="26"/>
      <c r="AE295" s="26"/>
      <c r="AF295" s="26"/>
      <c r="AG295" s="26"/>
      <c r="AH295" s="26"/>
      <c r="AI295" s="26"/>
      <c r="AJ295" s="26"/>
      <c r="AK295" s="26"/>
      <c r="AL295" s="26"/>
      <c r="AM295" s="26"/>
      <c r="AN295" s="26"/>
      <c r="AO295" s="26"/>
      <c r="AP295" s="26"/>
      <c r="AQ295" s="26"/>
      <c r="AR295" s="26"/>
    </row>
    <row r="296" spans="1:44" ht="24" x14ac:dyDescent="0.25">
      <c r="A296" s="30"/>
      <c r="B296" s="13" t="s">
        <v>524</v>
      </c>
      <c r="C296" s="18" t="s">
        <v>573</v>
      </c>
      <c r="D296" s="6">
        <v>200154479</v>
      </c>
      <c r="E296" s="7" t="s">
        <v>526</v>
      </c>
      <c r="F296" s="7" t="e">
        <f>G296+SUMIF('[1]mouvement MRR240'!B:B,"=Jeu de serrage",'[1]mouvement MRR240'!G:G)</f>
        <v>#VALUE!</v>
      </c>
      <c r="G296" s="7">
        <v>1</v>
      </c>
      <c r="H296" s="20">
        <v>0</v>
      </c>
      <c r="I296" s="1" t="e">
        <f t="shared" si="142"/>
        <v>#VALUE!</v>
      </c>
      <c r="J296" s="69">
        <v>55.8</v>
      </c>
      <c r="K296" s="12" t="e">
        <f t="shared" si="143"/>
        <v>#VALUE!</v>
      </c>
      <c r="L296" s="30"/>
      <c r="M296" s="30"/>
      <c r="N296" s="30"/>
      <c r="O296" s="30"/>
      <c r="P296" s="30"/>
      <c r="Q296" s="30"/>
      <c r="R296" s="30"/>
      <c r="S296" s="30">
        <v>1</v>
      </c>
      <c r="T296" s="26"/>
      <c r="U296" s="26"/>
      <c r="V296" s="26"/>
      <c r="W296" s="26"/>
      <c r="X296" s="26"/>
      <c r="Y296" s="26"/>
      <c r="Z296" s="26"/>
      <c r="AA296" s="26"/>
      <c r="AB296" s="26"/>
      <c r="AC296" s="26"/>
      <c r="AD296" s="26"/>
      <c r="AE296" s="26"/>
      <c r="AF296" s="26"/>
      <c r="AG296" s="26"/>
      <c r="AH296" s="26"/>
      <c r="AI296" s="26"/>
      <c r="AJ296" s="26"/>
      <c r="AK296" s="26"/>
      <c r="AL296" s="26"/>
      <c r="AM296" s="26"/>
      <c r="AN296" s="26"/>
      <c r="AO296" s="26"/>
      <c r="AP296" s="26"/>
      <c r="AQ296" s="26"/>
      <c r="AR296" s="26"/>
    </row>
    <row r="297" spans="1:44" ht="15.75" x14ac:dyDescent="0.25">
      <c r="A297" s="30"/>
      <c r="B297" s="13" t="s">
        <v>524</v>
      </c>
      <c r="C297" s="18" t="s">
        <v>574</v>
      </c>
      <c r="D297" s="6">
        <v>200152643</v>
      </c>
      <c r="E297" s="7" t="s">
        <v>526</v>
      </c>
      <c r="F297" s="7" t="e">
        <f>G297+SUMIF('[1]mouvement MRR240'!B:B,"=Tourillon",'[1]mouvement MRR240'!G:G)</f>
        <v>#VALUE!</v>
      </c>
      <c r="G297" s="7">
        <v>1</v>
      </c>
      <c r="H297" s="20">
        <v>0</v>
      </c>
      <c r="I297" s="1" t="e">
        <f t="shared" si="142"/>
        <v>#VALUE!</v>
      </c>
      <c r="J297" s="69">
        <v>69.400000000000006</v>
      </c>
      <c r="K297" s="12" t="e">
        <f t="shared" si="143"/>
        <v>#VALUE!</v>
      </c>
      <c r="L297" s="30"/>
      <c r="M297" s="30"/>
      <c r="N297" s="30"/>
      <c r="O297" s="30"/>
      <c r="P297" s="30"/>
      <c r="Q297" s="30"/>
      <c r="R297" s="30"/>
      <c r="S297" s="30">
        <v>1</v>
      </c>
      <c r="T297" s="26"/>
      <c r="U297" s="26"/>
      <c r="V297" s="26"/>
      <c r="W297" s="26"/>
      <c r="X297" s="26"/>
      <c r="Y297" s="26"/>
      <c r="Z297" s="26"/>
      <c r="AA297" s="26"/>
      <c r="AB297" s="26"/>
      <c r="AC297" s="26"/>
      <c r="AD297" s="26"/>
      <c r="AE297" s="26"/>
      <c r="AF297" s="26"/>
      <c r="AG297" s="26"/>
      <c r="AH297" s="26"/>
      <c r="AI297" s="26"/>
      <c r="AJ297" s="26"/>
      <c r="AK297" s="26"/>
      <c r="AL297" s="26"/>
      <c r="AM297" s="26"/>
      <c r="AN297" s="26"/>
      <c r="AO297" s="26"/>
      <c r="AP297" s="26"/>
      <c r="AQ297" s="26"/>
      <c r="AR297" s="26"/>
    </row>
    <row r="298" spans="1:44" ht="15.75" x14ac:dyDescent="0.25">
      <c r="A298" s="30"/>
      <c r="B298" s="13" t="s">
        <v>524</v>
      </c>
      <c r="C298" s="18" t="s">
        <v>575</v>
      </c>
      <c r="D298" s="6">
        <v>106336508</v>
      </c>
      <c r="E298" s="7" t="s">
        <v>526</v>
      </c>
      <c r="F298" s="7" t="e">
        <f>G298+SUMIF('[1]mouvement MRR240'!B:B,"=Entretoise",'[1]mouvement MRR240'!G:G)</f>
        <v>#VALUE!</v>
      </c>
      <c r="G298" s="7">
        <v>1</v>
      </c>
      <c r="H298" s="20">
        <v>0</v>
      </c>
      <c r="I298" s="1" t="e">
        <f t="shared" si="142"/>
        <v>#VALUE!</v>
      </c>
      <c r="J298" s="69">
        <v>55.8</v>
      </c>
      <c r="K298" s="12" t="e">
        <f t="shared" si="143"/>
        <v>#VALUE!</v>
      </c>
      <c r="L298" s="30"/>
      <c r="M298" s="30"/>
      <c r="N298" s="30"/>
      <c r="O298" s="30"/>
      <c r="P298" s="30"/>
      <c r="Q298" s="30"/>
      <c r="R298" s="30"/>
      <c r="S298" s="30">
        <v>1</v>
      </c>
      <c r="T298" s="26"/>
      <c r="U298" s="26"/>
      <c r="V298" s="26"/>
      <c r="W298" s="26"/>
      <c r="X298" s="26"/>
      <c r="Y298" s="26"/>
      <c r="Z298" s="26"/>
      <c r="AA298" s="26"/>
      <c r="AB298" s="26"/>
      <c r="AC298" s="26"/>
      <c r="AD298" s="26"/>
      <c r="AE298" s="26"/>
      <c r="AF298" s="26"/>
      <c r="AG298" s="26"/>
      <c r="AH298" s="26"/>
      <c r="AI298" s="26"/>
      <c r="AJ298" s="26"/>
      <c r="AK298" s="26"/>
      <c r="AL298" s="26"/>
      <c r="AM298" s="26"/>
      <c r="AN298" s="26"/>
      <c r="AO298" s="26"/>
      <c r="AP298" s="26"/>
      <c r="AQ298" s="26"/>
      <c r="AR298" s="26"/>
    </row>
    <row r="302" spans="1:44" ht="36" x14ac:dyDescent="0.25">
      <c r="A302" s="30"/>
      <c r="B302" s="13" t="s">
        <v>524</v>
      </c>
      <c r="C302" s="18" t="s">
        <v>579</v>
      </c>
      <c r="D302" s="6">
        <v>200158713</v>
      </c>
      <c r="E302" s="7" t="s">
        <v>526</v>
      </c>
      <c r="F302" s="7" t="e">
        <f>G302+SUMIF('[1]mouvement MRR240'!B:B,"=Disque de synchronisation 3",'[1]mouvement MRR240'!G:G)</f>
        <v>#VALUE!</v>
      </c>
      <c r="G302" s="7">
        <v>1</v>
      </c>
      <c r="H302" s="20">
        <v>0</v>
      </c>
      <c r="I302" s="1" t="e">
        <f t="shared" ref="I302" si="144">IF(F302&lt;H302,"/!\","-")</f>
        <v>#VALUE!</v>
      </c>
      <c r="J302" s="69">
        <v>20.5</v>
      </c>
      <c r="K302" s="12" t="e">
        <f t="shared" ref="K302" si="145">F302*J302</f>
        <v>#VALUE!</v>
      </c>
      <c r="L302" s="30"/>
      <c r="M302" s="30"/>
      <c r="N302" s="30"/>
      <c r="O302" s="30"/>
      <c r="P302" s="30"/>
      <c r="Q302" s="30"/>
      <c r="R302" s="30"/>
      <c r="S302" s="30">
        <v>1</v>
      </c>
      <c r="T302" s="26"/>
      <c r="U302" s="26"/>
      <c r="V302" s="26"/>
      <c r="W302" s="26"/>
      <c r="X302" s="26"/>
      <c r="Y302" s="26"/>
      <c r="Z302" s="26"/>
      <c r="AA302" s="26"/>
      <c r="AB302" s="26"/>
      <c r="AC302" s="26"/>
      <c r="AD302" s="26"/>
      <c r="AE302" s="26"/>
      <c r="AF302" s="26"/>
      <c r="AG302" s="26"/>
      <c r="AH302" s="26"/>
      <c r="AI302" s="26"/>
      <c r="AJ302" s="26"/>
      <c r="AK302" s="26"/>
      <c r="AL302" s="26"/>
      <c r="AM302" s="26"/>
      <c r="AN302" s="26"/>
      <c r="AO302" s="26"/>
      <c r="AP302" s="26"/>
      <c r="AQ302" s="26"/>
      <c r="AR302" s="26"/>
    </row>
    <row r="304" spans="1:44" ht="24" x14ac:dyDescent="0.25">
      <c r="A304" s="30"/>
      <c r="B304" s="13" t="s">
        <v>524</v>
      </c>
      <c r="C304" s="18" t="s">
        <v>581</v>
      </c>
      <c r="D304" s="6">
        <v>105709993</v>
      </c>
      <c r="E304" s="7" t="s">
        <v>526</v>
      </c>
      <c r="F304" s="7" t="e">
        <f>G304+SUMIF('[1]mouvement MRR240'!B:B,"=tole de protection",'[1]mouvement MRR240'!G:G)</f>
        <v>#VALUE!</v>
      </c>
      <c r="G304" s="7">
        <v>1</v>
      </c>
      <c r="H304" s="20">
        <v>0</v>
      </c>
      <c r="I304" s="1" t="e">
        <f t="shared" ref="I304" si="146">IF(F304&lt;H304,"/!\","-")</f>
        <v>#VALUE!</v>
      </c>
      <c r="J304" s="69">
        <v>26.6</v>
      </c>
      <c r="K304" s="12" t="e">
        <f t="shared" ref="K304" si="147">F304*J304</f>
        <v>#VALUE!</v>
      </c>
      <c r="L304" s="30"/>
      <c r="M304" s="13" t="s">
        <v>524</v>
      </c>
      <c r="N304" s="30"/>
      <c r="O304" s="30"/>
      <c r="P304" s="30"/>
      <c r="Q304" s="30"/>
      <c r="R304" s="30"/>
      <c r="S304" s="30">
        <v>1</v>
      </c>
      <c r="T304" s="26"/>
      <c r="U304" s="26"/>
      <c r="V304" s="26"/>
      <c r="W304" s="26"/>
      <c r="X304" s="26"/>
      <c r="Y304" s="26"/>
      <c r="Z304" s="26"/>
      <c r="AA304" s="26"/>
      <c r="AB304" s="26"/>
      <c r="AC304" s="26"/>
      <c r="AD304" s="26"/>
      <c r="AE304" s="26"/>
      <c r="AF304" s="26"/>
      <c r="AG304" s="26"/>
      <c r="AH304" s="26"/>
      <c r="AI304" s="26"/>
      <c r="AJ304" s="26"/>
      <c r="AK304" s="26"/>
      <c r="AL304" s="26"/>
      <c r="AM304" s="26"/>
      <c r="AN304" s="26"/>
      <c r="AO304" s="26"/>
      <c r="AP304" s="26"/>
      <c r="AQ304" s="26"/>
      <c r="AR304" s="26"/>
    </row>
    <row r="306" spans="1:44" ht="15.75" x14ac:dyDescent="0.25">
      <c r="A306" s="30"/>
      <c r="B306" s="13" t="s">
        <v>583</v>
      </c>
      <c r="C306" s="14" t="s">
        <v>584</v>
      </c>
      <c r="D306" s="5" t="s">
        <v>585</v>
      </c>
      <c r="E306" s="6" t="s">
        <v>22</v>
      </c>
      <c r="F306" s="7" t="e">
        <f>G306+SUMIF('[1]mouvement etuyeuse'!B:B,"= verrin métal work dépileur étuits",'[1]mouvement etuyeuse'!G:G)</f>
        <v>#VALUE!</v>
      </c>
      <c r="G306" s="20">
        <v>1</v>
      </c>
      <c r="H306" s="6">
        <v>1</v>
      </c>
      <c r="I306" s="1" t="e">
        <f>IF(F306&lt;H306,"/!\","-")</f>
        <v>#VALUE!</v>
      </c>
      <c r="J306" s="11">
        <v>0</v>
      </c>
      <c r="K306" s="12" t="e">
        <f>F306*J306</f>
        <v>#VALUE!</v>
      </c>
      <c r="L306" s="30"/>
      <c r="M306" s="30"/>
      <c r="N306" s="30"/>
      <c r="O306" s="30"/>
      <c r="P306" s="30"/>
      <c r="Q306" s="30"/>
      <c r="R306" s="30"/>
      <c r="S306" s="30">
        <v>1</v>
      </c>
      <c r="T306" s="26"/>
      <c r="U306" s="26"/>
      <c r="V306" s="26"/>
      <c r="W306" s="26"/>
      <c r="X306" s="26"/>
      <c r="Y306" s="26"/>
      <c r="Z306" s="26"/>
      <c r="AA306" s="26"/>
      <c r="AB306" s="26"/>
      <c r="AC306" s="26"/>
      <c r="AD306" s="26"/>
      <c r="AE306" s="26"/>
      <c r="AF306" s="26"/>
      <c r="AG306" s="26"/>
      <c r="AH306" s="26"/>
      <c r="AI306" s="26"/>
      <c r="AJ306" s="26"/>
      <c r="AK306" s="26"/>
      <c r="AL306" s="26"/>
      <c r="AM306" s="26"/>
      <c r="AN306" s="26"/>
      <c r="AO306" s="26"/>
      <c r="AP306" s="26"/>
      <c r="AQ306" s="26"/>
      <c r="AR306" s="26"/>
    </row>
    <row r="307" spans="1:44" ht="15.75" x14ac:dyDescent="0.25">
      <c r="A307" s="30"/>
      <c r="B307" s="13" t="s">
        <v>583</v>
      </c>
      <c r="C307" s="14" t="s">
        <v>586</v>
      </c>
      <c r="D307" s="5" t="s">
        <v>587</v>
      </c>
      <c r="E307" s="6" t="s">
        <v>22</v>
      </c>
      <c r="F307" s="7" t="e">
        <f>G307+SUMIF('[1]mouvement etuyeuse'!B:B,"=BOBINES 21V 2W",'[1]mouvement etuyeuse'!G:G)</f>
        <v>#VALUE!</v>
      </c>
      <c r="G307" s="20">
        <v>4</v>
      </c>
      <c r="H307" s="6">
        <v>1</v>
      </c>
      <c r="I307" s="1" t="e">
        <f t="shared" ref="I307:I310" si="148">IF(F307&lt;H307,"/!\","-")</f>
        <v>#VALUE!</v>
      </c>
      <c r="J307" s="11">
        <v>0</v>
      </c>
      <c r="K307" s="12" t="e">
        <f t="shared" ref="K307:K310" si="149">F307*J307</f>
        <v>#VALUE!</v>
      </c>
      <c r="L307" s="30"/>
      <c r="M307" s="30"/>
      <c r="N307" s="30"/>
      <c r="O307" s="30"/>
      <c r="P307" s="30"/>
      <c r="Q307" s="30"/>
      <c r="R307" s="30"/>
      <c r="S307" s="30">
        <v>1</v>
      </c>
      <c r="T307" s="26"/>
      <c r="U307" s="26"/>
      <c r="V307" s="26"/>
      <c r="W307" s="26"/>
      <c r="X307" s="26"/>
      <c r="Y307" s="26"/>
      <c r="Z307" s="26"/>
      <c r="AA307" s="26"/>
      <c r="AB307" s="26"/>
      <c r="AC307" s="26"/>
      <c r="AD307" s="26"/>
      <c r="AE307" s="26"/>
      <c r="AF307" s="26"/>
      <c r="AG307" s="26"/>
      <c r="AH307" s="26"/>
      <c r="AI307" s="26"/>
      <c r="AJ307" s="26"/>
      <c r="AK307" s="26"/>
      <c r="AL307" s="26"/>
      <c r="AM307" s="26"/>
      <c r="AN307" s="26"/>
      <c r="AO307" s="26"/>
      <c r="AP307" s="26"/>
      <c r="AQ307" s="26"/>
      <c r="AR307" s="26"/>
    </row>
    <row r="308" spans="1:44" ht="15.75" x14ac:dyDescent="0.25">
      <c r="A308" s="30"/>
      <c r="B308" s="13" t="s">
        <v>583</v>
      </c>
      <c r="C308" s="14" t="s">
        <v>588</v>
      </c>
      <c r="D308" s="5" t="s">
        <v>589</v>
      </c>
      <c r="E308" s="6" t="s">
        <v>39</v>
      </c>
      <c r="F308" s="7" t="e">
        <f>G308+SUMIF('[1]mouvement etuyeuse'!B:B,"=Capteur ILS métalwork",'[1]mouvement etuyeuse'!G:G)</f>
        <v>#VALUE!</v>
      </c>
      <c r="G308" s="20">
        <v>2</v>
      </c>
      <c r="H308" s="6">
        <v>1</v>
      </c>
      <c r="I308" s="1" t="e">
        <f t="shared" si="148"/>
        <v>#VALUE!</v>
      </c>
      <c r="J308" s="11">
        <v>24.48</v>
      </c>
      <c r="K308" s="12" t="e">
        <f t="shared" si="149"/>
        <v>#VALUE!</v>
      </c>
      <c r="L308" s="30"/>
      <c r="M308" s="30"/>
      <c r="N308" s="30"/>
      <c r="O308" s="30"/>
      <c r="P308" s="30"/>
      <c r="Q308" s="30"/>
      <c r="R308" s="30"/>
      <c r="S308" s="30">
        <v>1</v>
      </c>
      <c r="T308" s="26"/>
      <c r="U308" s="26"/>
      <c r="V308" s="26"/>
      <c r="W308" s="26"/>
      <c r="X308" s="26"/>
      <c r="Y308" s="26"/>
      <c r="Z308" s="26"/>
      <c r="AA308" s="26"/>
      <c r="AB308" s="26"/>
      <c r="AC308" s="26"/>
      <c r="AD308" s="26"/>
      <c r="AE308" s="26"/>
      <c r="AF308" s="26"/>
      <c r="AG308" s="26"/>
      <c r="AH308" s="26"/>
      <c r="AI308" s="26"/>
      <c r="AJ308" s="26"/>
      <c r="AK308" s="26"/>
      <c r="AL308" s="26"/>
      <c r="AM308" s="26"/>
      <c r="AN308" s="26"/>
      <c r="AO308" s="26"/>
      <c r="AP308" s="26"/>
      <c r="AQ308" s="26"/>
      <c r="AR308" s="26"/>
    </row>
    <row r="309" spans="1:44" ht="15.75" x14ac:dyDescent="0.25">
      <c r="A309" s="30"/>
      <c r="B309" s="13" t="s">
        <v>583</v>
      </c>
      <c r="C309" s="14" t="s">
        <v>590</v>
      </c>
      <c r="D309" s="5" t="s">
        <v>591</v>
      </c>
      <c r="E309" s="6" t="s">
        <v>22</v>
      </c>
      <c r="F309" s="7" t="e">
        <f>G309+SUMIF('[1]mouvement etuyeuse'!B:B,"=Controleur de t°",'[1]mouvement etuyeuse'!G:G)</f>
        <v>#VALUE!</v>
      </c>
      <c r="G309" s="20">
        <v>0</v>
      </c>
      <c r="H309" s="6">
        <v>1</v>
      </c>
      <c r="I309" s="1" t="e">
        <f t="shared" si="148"/>
        <v>#VALUE!</v>
      </c>
      <c r="J309" s="11">
        <v>0</v>
      </c>
      <c r="K309" s="12" t="e">
        <f t="shared" si="149"/>
        <v>#VALUE!</v>
      </c>
      <c r="L309" s="30"/>
      <c r="M309" s="30"/>
      <c r="N309" s="30"/>
      <c r="O309" s="30"/>
      <c r="P309" s="30"/>
      <c r="Q309" s="30"/>
      <c r="R309" s="30"/>
      <c r="S309" s="30">
        <v>1</v>
      </c>
      <c r="T309" s="26"/>
      <c r="U309" s="26"/>
      <c r="V309" s="26"/>
      <c r="W309" s="26"/>
      <c r="X309" s="26"/>
      <c r="Y309" s="26"/>
      <c r="Z309" s="26"/>
      <c r="AA309" s="26"/>
      <c r="AB309" s="26"/>
      <c r="AC309" s="26"/>
      <c r="AD309" s="26"/>
      <c r="AE309" s="26"/>
      <c r="AF309" s="26"/>
      <c r="AG309" s="26"/>
      <c r="AH309" s="26"/>
      <c r="AI309" s="26"/>
      <c r="AJ309" s="26"/>
      <c r="AK309" s="26"/>
      <c r="AL309" s="26"/>
      <c r="AM309" s="26"/>
      <c r="AN309" s="26"/>
      <c r="AO309" s="26"/>
      <c r="AP309" s="26"/>
      <c r="AQ309" s="26"/>
      <c r="AR309" s="26"/>
    </row>
    <row r="310" spans="1:44" ht="15.75" x14ac:dyDescent="0.25">
      <c r="A310" s="30"/>
      <c r="B310" s="13" t="s">
        <v>583</v>
      </c>
      <c r="C310" s="14" t="s">
        <v>592</v>
      </c>
      <c r="D310" s="5" t="s">
        <v>593</v>
      </c>
      <c r="E310" s="6" t="s">
        <v>22</v>
      </c>
      <c r="F310" s="7" t="e">
        <f>G310+SUMIF('[1]mouvement etuyeuse'!B:B,"=DISTRI. ISV 55 SOS 00 ISO1",'[1]mouvement etuyeuse'!G:G)</f>
        <v>#VALUE!</v>
      </c>
      <c r="G310" s="20">
        <v>0</v>
      </c>
      <c r="H310" s="6">
        <v>1</v>
      </c>
      <c r="I310" s="1" t="e">
        <f t="shared" si="148"/>
        <v>#VALUE!</v>
      </c>
      <c r="J310" s="11">
        <v>0</v>
      </c>
      <c r="K310" s="12" t="e">
        <f t="shared" si="149"/>
        <v>#VALUE!</v>
      </c>
      <c r="L310" s="30"/>
      <c r="M310" s="30"/>
      <c r="N310" s="30"/>
      <c r="O310" s="30"/>
      <c r="P310" s="30"/>
      <c r="Q310" s="30"/>
      <c r="R310" s="30"/>
      <c r="S310" s="30">
        <v>1</v>
      </c>
      <c r="T310" s="26"/>
      <c r="U310" s="26"/>
      <c r="V310" s="26"/>
      <c r="W310" s="26"/>
      <c r="X310" s="26"/>
      <c r="Y310" s="26"/>
      <c r="Z310" s="26"/>
      <c r="AA310" s="26"/>
      <c r="AB310" s="26"/>
      <c r="AC310" s="26"/>
      <c r="AD310" s="26"/>
      <c r="AE310" s="26"/>
      <c r="AF310" s="26"/>
      <c r="AG310" s="26"/>
      <c r="AH310" s="26"/>
      <c r="AI310" s="26"/>
      <c r="AJ310" s="26"/>
      <c r="AK310" s="26"/>
      <c r="AL310" s="26"/>
      <c r="AM310" s="26"/>
      <c r="AN310" s="26"/>
      <c r="AO310" s="26"/>
      <c r="AP310" s="26"/>
      <c r="AQ310" s="26"/>
      <c r="AR310" s="26"/>
    </row>
    <row r="314" spans="1:44" ht="15.75" x14ac:dyDescent="0.25">
      <c r="A314" s="30"/>
      <c r="B314" s="13" t="s">
        <v>583</v>
      </c>
      <c r="C314" s="14" t="s">
        <v>599</v>
      </c>
      <c r="D314" s="5" t="s">
        <v>600</v>
      </c>
      <c r="E314" s="6" t="s">
        <v>22</v>
      </c>
      <c r="F314" s="7" t="e">
        <f>G314+SUMIF('[1]mouvement etuyeuse'!B:B,"=pompe à vide pneumatique",'[1]mouvement etuyeuse'!G:G)</f>
        <v>#VALUE!</v>
      </c>
      <c r="G314" s="20">
        <v>0</v>
      </c>
      <c r="H314" s="6">
        <v>1</v>
      </c>
      <c r="I314" s="1" t="e">
        <f t="shared" ref="I314" si="150">IF(F314&lt;H314,"/!\","-")</f>
        <v>#VALUE!</v>
      </c>
      <c r="J314" s="11">
        <v>0</v>
      </c>
      <c r="K314" s="12" t="e">
        <f t="shared" ref="K314" si="151">F314*J314</f>
        <v>#VALUE!</v>
      </c>
      <c r="L314" s="30"/>
      <c r="M314" s="30"/>
      <c r="N314" s="30"/>
      <c r="O314" s="30"/>
      <c r="P314" s="30"/>
      <c r="Q314" s="30"/>
      <c r="R314" s="30"/>
      <c r="S314" s="30">
        <v>1</v>
      </c>
      <c r="T314" s="26"/>
      <c r="U314" s="26"/>
      <c r="V314" s="26"/>
      <c r="W314" s="26"/>
      <c r="X314" s="26"/>
      <c r="Y314" s="26"/>
      <c r="Z314" s="26"/>
      <c r="AA314" s="26"/>
      <c r="AB314" s="26"/>
      <c r="AC314" s="26"/>
      <c r="AD314" s="26"/>
      <c r="AE314" s="26"/>
      <c r="AF314" s="26"/>
      <c r="AG314" s="26"/>
      <c r="AH314" s="26"/>
      <c r="AI314" s="26"/>
      <c r="AJ314" s="26"/>
      <c r="AK314" s="26"/>
      <c r="AL314" s="26"/>
      <c r="AM314" s="26"/>
      <c r="AN314" s="26"/>
      <c r="AO314" s="26"/>
      <c r="AP314" s="26"/>
      <c r="AQ314" s="26"/>
      <c r="AR314" s="26"/>
    </row>
    <row r="316" spans="1:44" ht="15.75" x14ac:dyDescent="0.25">
      <c r="A316" s="30"/>
      <c r="B316" s="13" t="s">
        <v>583</v>
      </c>
      <c r="C316" s="14" t="s">
        <v>603</v>
      </c>
      <c r="D316" s="5">
        <v>215986</v>
      </c>
      <c r="E316" s="6" t="s">
        <v>22</v>
      </c>
      <c r="F316" s="7" t="e">
        <f>G316+SUMIF('[1]mouvement etuyeuse'!B:B,"=ressort 53 mm",'[1]mouvement etuyeuse'!G:G)</f>
        <v>#VALUE!</v>
      </c>
      <c r="G316" s="20">
        <v>0</v>
      </c>
      <c r="H316" s="6">
        <v>4</v>
      </c>
      <c r="I316" s="1" t="e">
        <f t="shared" ref="I316" si="152">IF(F316&lt;H316,"/!\","-")</f>
        <v>#VALUE!</v>
      </c>
      <c r="J316" s="11">
        <v>0</v>
      </c>
      <c r="K316" s="12" t="e">
        <f t="shared" ref="K316" si="153">F316*J316</f>
        <v>#VALUE!</v>
      </c>
      <c r="L316" s="30"/>
      <c r="M316" s="30"/>
      <c r="N316" s="30"/>
      <c r="O316" s="30"/>
      <c r="P316" s="30"/>
      <c r="Q316" s="30"/>
      <c r="R316" s="30"/>
      <c r="S316" s="30">
        <v>1</v>
      </c>
      <c r="T316" s="26"/>
      <c r="U316" s="26"/>
      <c r="V316" s="26"/>
      <c r="W316" s="26"/>
      <c r="X316" s="26"/>
      <c r="Y316" s="26"/>
      <c r="Z316" s="26"/>
      <c r="AA316" s="26"/>
      <c r="AB316" s="26"/>
      <c r="AC316" s="26"/>
      <c r="AD316" s="26"/>
      <c r="AE316" s="26"/>
      <c r="AF316" s="26"/>
      <c r="AG316" s="26"/>
      <c r="AH316" s="26"/>
      <c r="AI316" s="26"/>
      <c r="AJ316" s="26"/>
      <c r="AK316" s="26"/>
      <c r="AL316" s="26"/>
      <c r="AM316" s="26"/>
      <c r="AN316" s="26"/>
      <c r="AO316" s="26"/>
      <c r="AP316" s="26"/>
      <c r="AQ316" s="26"/>
      <c r="AR316" s="26"/>
    </row>
    <row r="318" spans="1:44" ht="15.75" x14ac:dyDescent="0.25">
      <c r="A318" s="30"/>
      <c r="B318" s="13" t="s">
        <v>583</v>
      </c>
      <c r="C318" s="132" t="s">
        <v>606</v>
      </c>
      <c r="D318" s="6" t="s">
        <v>607</v>
      </c>
      <c r="E318" s="6" t="s">
        <v>22</v>
      </c>
      <c r="F318" s="7" t="e">
        <f>G318+SUMIF('[1]mouvement etuyeuse'!B:B,"=vérin double effet rabateur du haut",'[1]mouvement etuyeuse'!G:G)</f>
        <v>#VALUE!</v>
      </c>
      <c r="G318" s="20">
        <v>1</v>
      </c>
      <c r="H318" s="6">
        <v>0</v>
      </c>
      <c r="I318" s="1" t="e">
        <f t="shared" ref="I318:I322" si="154">IF(F318&lt;H318,"/!\","-")</f>
        <v>#VALUE!</v>
      </c>
      <c r="J318" s="11">
        <v>66.72</v>
      </c>
      <c r="K318" s="12" t="e">
        <f t="shared" ref="K318:K322" si="155">F318*J318</f>
        <v>#VALUE!</v>
      </c>
      <c r="L318" s="30"/>
      <c r="M318" s="30"/>
      <c r="N318" s="30"/>
      <c r="O318" s="30"/>
      <c r="P318" s="30"/>
      <c r="Q318" s="30"/>
      <c r="R318" s="30"/>
      <c r="S318" s="30">
        <v>1</v>
      </c>
      <c r="T318" s="26"/>
      <c r="U318" s="26"/>
      <c r="V318" s="26"/>
      <c r="W318" s="26"/>
      <c r="X318" s="26"/>
      <c r="Y318" s="26"/>
      <c r="Z318" s="26"/>
      <c r="AA318" s="26"/>
      <c r="AB318" s="26"/>
      <c r="AC318" s="26"/>
      <c r="AD318" s="26"/>
      <c r="AE318" s="26"/>
      <c r="AF318" s="26"/>
      <c r="AG318" s="26"/>
      <c r="AH318" s="26"/>
      <c r="AI318" s="26"/>
      <c r="AJ318" s="26"/>
      <c r="AK318" s="26"/>
      <c r="AL318" s="26"/>
      <c r="AM318" s="26"/>
      <c r="AN318" s="26"/>
      <c r="AO318" s="26"/>
      <c r="AP318" s="26"/>
      <c r="AQ318" s="26"/>
      <c r="AR318" s="26"/>
    </row>
    <row r="319" spans="1:44" ht="15.75" x14ac:dyDescent="0.25">
      <c r="A319" s="30"/>
      <c r="B319" s="13" t="s">
        <v>583</v>
      </c>
      <c r="C319" s="14" t="s">
        <v>608</v>
      </c>
      <c r="D319" s="6" t="s">
        <v>609</v>
      </c>
      <c r="E319" s="6" t="s">
        <v>22</v>
      </c>
      <c r="F319" s="7" t="e">
        <f>G319+SUMIF('[1]mouvement etuyeuse'!B:B,"=verrin double effet Festo (encolleurs)",'[1]mouvement etuyeuse'!G:G)</f>
        <v>#VALUE!</v>
      </c>
      <c r="G319" s="20">
        <v>2</v>
      </c>
      <c r="H319" s="6">
        <v>1</v>
      </c>
      <c r="I319" s="1" t="e">
        <f t="shared" si="154"/>
        <v>#VALUE!</v>
      </c>
      <c r="J319" s="11">
        <v>72.97</v>
      </c>
      <c r="K319" s="12" t="e">
        <f t="shared" si="155"/>
        <v>#VALUE!</v>
      </c>
      <c r="L319" s="30"/>
      <c r="M319" s="30"/>
      <c r="N319" s="30"/>
      <c r="O319" s="30"/>
      <c r="P319" s="30"/>
      <c r="Q319" s="30"/>
      <c r="R319" s="30"/>
      <c r="S319" s="30">
        <v>1</v>
      </c>
      <c r="T319" s="26"/>
      <c r="U319" s="26"/>
      <c r="V319" s="26"/>
      <c r="W319" s="26"/>
      <c r="X319" s="26"/>
      <c r="Y319" s="26"/>
      <c r="Z319" s="26"/>
      <c r="AA319" s="26"/>
      <c r="AB319" s="26"/>
      <c r="AC319" s="26"/>
      <c r="AD319" s="26"/>
      <c r="AE319" s="26"/>
      <c r="AF319" s="26"/>
      <c r="AG319" s="26"/>
      <c r="AH319" s="26"/>
      <c r="AI319" s="26"/>
      <c r="AJ319" s="26"/>
      <c r="AK319" s="26"/>
      <c r="AL319" s="26"/>
      <c r="AM319" s="26"/>
      <c r="AN319" s="26"/>
      <c r="AO319" s="26"/>
      <c r="AP319" s="26"/>
      <c r="AQ319" s="26"/>
      <c r="AR319" s="26"/>
    </row>
    <row r="320" spans="1:44" ht="15.75" x14ac:dyDescent="0.25">
      <c r="A320" s="30"/>
      <c r="B320" s="13" t="s">
        <v>583</v>
      </c>
      <c r="C320" s="14" t="s">
        <v>610</v>
      </c>
      <c r="D320" s="6" t="s">
        <v>611</v>
      </c>
      <c r="E320" s="6" t="s">
        <v>22</v>
      </c>
      <c r="F320" s="7" t="e">
        <f>G320+SUMIF('[1]mouvement etuyeuse'!B:B,"=ventouse = PR25CN-08-B6",'[1]mouvement etuyeuse'!G:G)</f>
        <v>#VALUE!</v>
      </c>
      <c r="G320" s="20">
        <v>2</v>
      </c>
      <c r="H320" s="6">
        <v>1</v>
      </c>
      <c r="I320" s="1" t="e">
        <f t="shared" si="154"/>
        <v>#VALUE!</v>
      </c>
      <c r="J320" s="11">
        <v>23.03</v>
      </c>
      <c r="K320" s="12" t="e">
        <f t="shared" si="155"/>
        <v>#VALUE!</v>
      </c>
      <c r="L320" s="30"/>
      <c r="M320" s="30"/>
      <c r="N320" s="30"/>
      <c r="O320" s="30"/>
      <c r="P320" s="30"/>
      <c r="Q320" s="30"/>
      <c r="R320" s="30"/>
      <c r="S320" s="30">
        <v>1</v>
      </c>
      <c r="T320" s="26"/>
      <c r="U320" s="26"/>
      <c r="V320" s="26"/>
      <c r="W320" s="26"/>
      <c r="X320" s="26"/>
      <c r="Y320" s="26"/>
      <c r="Z320" s="26"/>
      <c r="AA320" s="26"/>
      <c r="AB320" s="26"/>
      <c r="AC320" s="26"/>
      <c r="AD320" s="26"/>
      <c r="AE320" s="26"/>
      <c r="AF320" s="26"/>
      <c r="AG320" s="26"/>
      <c r="AH320" s="26"/>
      <c r="AI320" s="26"/>
      <c r="AJ320" s="26"/>
      <c r="AK320" s="26"/>
      <c r="AL320" s="26"/>
      <c r="AM320" s="26"/>
      <c r="AN320" s="26"/>
      <c r="AO320" s="26"/>
      <c r="AP320" s="26"/>
      <c r="AQ320" s="26"/>
      <c r="AR320" s="26"/>
    </row>
    <row r="321" spans="1:44" ht="15.75" x14ac:dyDescent="0.25">
      <c r="A321" s="30"/>
      <c r="B321" s="13" t="s">
        <v>583</v>
      </c>
      <c r="C321" s="14" t="s">
        <v>612</v>
      </c>
      <c r="D321" s="6" t="s">
        <v>613</v>
      </c>
      <c r="E321" s="6" t="s">
        <v>22</v>
      </c>
      <c r="F321" s="7" t="e">
        <f>G321+SUMIF('[1]mouvement etuyeuse'!B:B,"=ventouse = PR50CN-08-B8",'[1]mouvement etuyeuse'!G:G)</f>
        <v>#VALUE!</v>
      </c>
      <c r="G321" s="20">
        <v>2</v>
      </c>
      <c r="H321" s="6">
        <v>1</v>
      </c>
      <c r="I321" s="1" t="e">
        <f t="shared" si="154"/>
        <v>#VALUE!</v>
      </c>
      <c r="J321" s="11">
        <v>24.74</v>
      </c>
      <c r="K321" s="12" t="e">
        <f t="shared" si="155"/>
        <v>#VALUE!</v>
      </c>
      <c r="L321" s="30"/>
      <c r="M321" s="13" t="s">
        <v>583</v>
      </c>
      <c r="N321" s="30"/>
      <c r="O321" s="30"/>
      <c r="P321" s="30"/>
      <c r="Q321" s="30"/>
      <c r="R321" s="30"/>
      <c r="S321" s="30">
        <v>1</v>
      </c>
      <c r="T321" s="26"/>
      <c r="U321" s="26"/>
      <c r="V321" s="26"/>
      <c r="W321" s="26"/>
      <c r="X321" s="26"/>
      <c r="Y321" s="26"/>
      <c r="Z321" s="26"/>
      <c r="AA321" s="26"/>
      <c r="AB321" s="26"/>
      <c r="AC321" s="26"/>
      <c r="AD321" s="26"/>
      <c r="AE321" s="26"/>
      <c r="AF321" s="26"/>
      <c r="AG321" s="26"/>
      <c r="AH321" s="26"/>
      <c r="AI321" s="26"/>
      <c r="AJ321" s="26"/>
      <c r="AK321" s="26"/>
      <c r="AL321" s="26"/>
      <c r="AM321" s="26"/>
      <c r="AN321" s="26"/>
      <c r="AO321" s="26"/>
      <c r="AP321" s="26"/>
      <c r="AQ321" s="26"/>
      <c r="AR321" s="26"/>
    </row>
    <row r="322" spans="1:44" ht="15.75" x14ac:dyDescent="0.25">
      <c r="A322" s="30"/>
      <c r="B322" s="13" t="s">
        <v>583</v>
      </c>
      <c r="C322" s="14" t="s">
        <v>614</v>
      </c>
      <c r="D322" s="6" t="s">
        <v>615</v>
      </c>
      <c r="E322" s="6" t="s">
        <v>22</v>
      </c>
      <c r="F322" s="7" t="e">
        <f>G322+SUMIF('[1]mouvement etuyeuse'!B:B,"=ventouse = PR32BS",'[1]mouvement etuyeuse'!G:G)</f>
        <v>#VALUE!</v>
      </c>
      <c r="G322" s="6">
        <v>2</v>
      </c>
      <c r="H322" s="6">
        <v>1</v>
      </c>
      <c r="I322" s="1" t="e">
        <f t="shared" si="154"/>
        <v>#VALUE!</v>
      </c>
      <c r="J322" s="11">
        <v>11.01</v>
      </c>
      <c r="K322" s="12" t="e">
        <f t="shared" si="155"/>
        <v>#VALUE!</v>
      </c>
      <c r="L322" s="30"/>
      <c r="M322" s="35" t="e">
        <f>SUM(K306:K322)</f>
        <v>#VALUE!</v>
      </c>
      <c r="N322" s="30"/>
      <c r="O322" s="30"/>
      <c r="P322" s="30"/>
      <c r="Q322" s="30"/>
      <c r="R322" s="30"/>
      <c r="S322" s="30">
        <v>1</v>
      </c>
      <c r="T322" s="26"/>
      <c r="U322" s="26"/>
      <c r="V322" s="26"/>
      <c r="W322" s="26"/>
      <c r="X322" s="26"/>
      <c r="Y322" s="26"/>
      <c r="Z322" s="26"/>
      <c r="AA322" s="26"/>
      <c r="AB322" s="26"/>
      <c r="AC322" s="26"/>
      <c r="AD322" s="26"/>
      <c r="AE322" s="26"/>
      <c r="AF322" s="26"/>
      <c r="AG322" s="26"/>
      <c r="AH322" s="26"/>
      <c r="AI322" s="26"/>
      <c r="AJ322" s="26"/>
      <c r="AK322" s="26"/>
      <c r="AL322" s="26"/>
      <c r="AM322" s="26"/>
      <c r="AN322" s="26"/>
      <c r="AO322" s="26"/>
      <c r="AP322" s="26"/>
      <c r="AQ322" s="26"/>
      <c r="AR322" s="26"/>
    </row>
    <row r="326" spans="1:44" ht="15.75" x14ac:dyDescent="0.25">
      <c r="A326" s="30"/>
      <c r="B326" s="39" t="s">
        <v>616</v>
      </c>
      <c r="C326" s="135" t="s">
        <v>623</v>
      </c>
      <c r="D326" s="136" t="s">
        <v>22</v>
      </c>
      <c r="E326" s="137" t="s">
        <v>22</v>
      </c>
      <c r="F326" s="43" t="e">
        <f>G326+SUMIF('[1]mouvement fours'!B:B,"=sillicon HT°",'[1]mouvement fours'!G:G)</f>
        <v>#VALUE!</v>
      </c>
      <c r="G326" s="137">
        <v>2</v>
      </c>
      <c r="H326" s="137">
        <v>2</v>
      </c>
      <c r="I326" s="1" t="e">
        <f>IF(F326&lt;H326,"/!\","-")</f>
        <v>#VALUE!</v>
      </c>
      <c r="J326" s="138"/>
      <c r="K326" s="139" t="e">
        <f>F326*J326</f>
        <v>#VALUE!</v>
      </c>
      <c r="L326" s="30"/>
      <c r="M326" s="30"/>
      <c r="N326" s="30"/>
      <c r="O326" s="30"/>
      <c r="P326" s="30"/>
      <c r="Q326" s="30"/>
      <c r="R326" s="30"/>
      <c r="S326" s="30">
        <v>1</v>
      </c>
      <c r="T326" s="26"/>
      <c r="U326" s="26"/>
      <c r="V326" s="26"/>
      <c r="W326" s="26"/>
      <c r="X326" s="26"/>
      <c r="Y326" s="26"/>
      <c r="Z326" s="26"/>
      <c r="AA326" s="26"/>
      <c r="AB326" s="26"/>
      <c r="AC326" s="26"/>
      <c r="AD326" s="26"/>
      <c r="AE326" s="26"/>
      <c r="AF326" s="26"/>
      <c r="AG326" s="26"/>
      <c r="AH326" s="26"/>
      <c r="AI326" s="26"/>
      <c r="AJ326" s="26"/>
      <c r="AK326" s="26"/>
      <c r="AL326" s="26"/>
      <c r="AM326" s="26"/>
      <c r="AN326" s="26"/>
      <c r="AO326" s="26"/>
      <c r="AP326" s="26"/>
      <c r="AQ326" s="26"/>
      <c r="AR326" s="26"/>
    </row>
    <row r="328" spans="1:44" ht="15.75" x14ac:dyDescent="0.25">
      <c r="A328" s="30"/>
      <c r="B328" s="39" t="s">
        <v>616</v>
      </c>
      <c r="C328" s="40" t="s">
        <v>625</v>
      </c>
      <c r="D328" s="41" t="s">
        <v>626</v>
      </c>
      <c r="E328" s="44" t="s">
        <v>627</v>
      </c>
      <c r="F328" s="43" t="e">
        <f>G328+SUMIF('[1]mouvement fours'!B:B,"= Système de levage P/D inox",'[1]mouvement fours'!G:G)</f>
        <v>#VALUE!</v>
      </c>
      <c r="G328" s="134">
        <v>1</v>
      </c>
      <c r="H328" s="44">
        <v>1</v>
      </c>
      <c r="I328" s="1" t="e">
        <f t="shared" ref="I328" si="156">IF(F328&lt;H328,"/!\","-")</f>
        <v>#VALUE!</v>
      </c>
      <c r="J328" s="11">
        <v>167.8</v>
      </c>
      <c r="K328" s="12" t="e">
        <f t="shared" ref="K328" si="157">F328*J328</f>
        <v>#VALUE!</v>
      </c>
      <c r="L328" s="30"/>
      <c r="M328" s="30"/>
      <c r="N328" s="30"/>
      <c r="O328" s="30"/>
      <c r="P328" s="30"/>
      <c r="Q328" s="30"/>
      <c r="R328" s="30"/>
      <c r="S328" s="30">
        <v>1</v>
      </c>
      <c r="T328" s="26"/>
      <c r="U328" s="26"/>
      <c r="V328" s="26"/>
      <c r="W328" s="26"/>
      <c r="X328" s="26"/>
      <c r="Y328" s="26"/>
      <c r="Z328" s="26"/>
      <c r="AA328" s="26"/>
      <c r="AB328" s="26"/>
      <c r="AC328" s="26"/>
      <c r="AD328" s="26"/>
      <c r="AE328" s="26"/>
      <c r="AF328" s="26"/>
      <c r="AG328" s="26"/>
      <c r="AH328" s="26"/>
      <c r="AI328" s="26"/>
      <c r="AJ328" s="26"/>
      <c r="AK328" s="26"/>
      <c r="AL328" s="26"/>
      <c r="AM328" s="26"/>
      <c r="AN328" s="26"/>
      <c r="AO328" s="26"/>
      <c r="AP328" s="26"/>
      <c r="AQ328" s="26"/>
      <c r="AR328" s="26"/>
    </row>
    <row r="330" spans="1:44" ht="15.75" x14ac:dyDescent="0.25">
      <c r="A330" s="30"/>
      <c r="B330" s="39" t="s">
        <v>616</v>
      </c>
      <c r="C330" s="40" t="s">
        <v>629</v>
      </c>
      <c r="D330" s="41" t="s">
        <v>22</v>
      </c>
      <c r="E330" s="44" t="s">
        <v>22</v>
      </c>
      <c r="F330" s="43" t="e">
        <f>G330+SUMIF('[1]mouvement fours'!B:B,"=Guidage rampe 83x18x770",'[1]mouvement fours'!G:G)</f>
        <v>#VALUE!</v>
      </c>
      <c r="G330" s="134">
        <v>2</v>
      </c>
      <c r="H330" s="44">
        <v>1</v>
      </c>
      <c r="I330" s="1" t="e">
        <f t="shared" ref="I330:I331" si="158">IF(F330&lt;H330,"/!\","-")</f>
        <v>#VALUE!</v>
      </c>
      <c r="J330" s="11">
        <v>46.1</v>
      </c>
      <c r="K330" s="12" t="e">
        <f t="shared" ref="K330:K331" si="159">F330*J330</f>
        <v>#VALUE!</v>
      </c>
      <c r="L330" s="30"/>
      <c r="M330" s="30"/>
      <c r="N330" s="30"/>
      <c r="O330" s="30"/>
      <c r="P330" s="30"/>
      <c r="Q330" s="30"/>
      <c r="R330" s="30"/>
      <c r="S330" s="30">
        <v>1</v>
      </c>
      <c r="T330" s="26"/>
      <c r="U330" s="26"/>
      <c r="V330" s="26"/>
      <c r="W330" s="26"/>
      <c r="X330" s="26"/>
      <c r="Y330" s="26"/>
      <c r="Z330" s="26"/>
      <c r="AA330" s="26"/>
      <c r="AB330" s="26"/>
      <c r="AC330" s="26"/>
      <c r="AD330" s="26"/>
      <c r="AE330" s="26"/>
      <c r="AF330" s="26"/>
      <c r="AG330" s="26"/>
      <c r="AH330" s="26"/>
      <c r="AI330" s="26"/>
      <c r="AJ330" s="26"/>
      <c r="AK330" s="26"/>
      <c r="AL330" s="26"/>
      <c r="AM330" s="26"/>
      <c r="AN330" s="26"/>
      <c r="AO330" s="26"/>
      <c r="AP330" s="26"/>
      <c r="AQ330" s="26"/>
      <c r="AR330" s="26"/>
    </row>
    <row r="331" spans="1:44" ht="15.75" x14ac:dyDescent="0.25">
      <c r="A331" s="30"/>
      <c r="B331" s="39" t="s">
        <v>616</v>
      </c>
      <c r="C331" s="40" t="s">
        <v>630</v>
      </c>
      <c r="D331" s="41" t="s">
        <v>22</v>
      </c>
      <c r="E331" s="44" t="s">
        <v>22</v>
      </c>
      <c r="F331" s="43" t="e">
        <f>G331+SUMIF('[1]mouvement fours'!B:B,"=ensemble rotule 8,63 120x32 male",'[1]mouvement fours'!G:G)</f>
        <v>#VALUE!</v>
      </c>
      <c r="G331" s="134">
        <v>0</v>
      </c>
      <c r="H331" s="44">
        <v>1</v>
      </c>
      <c r="I331" s="1" t="e">
        <f t="shared" si="158"/>
        <v>#VALUE!</v>
      </c>
      <c r="J331" s="11">
        <v>231</v>
      </c>
      <c r="K331" s="12" t="e">
        <f t="shared" si="159"/>
        <v>#VALUE!</v>
      </c>
      <c r="L331" s="30"/>
      <c r="M331" s="30"/>
      <c r="N331" s="30"/>
      <c r="O331" s="30"/>
      <c r="P331" s="30"/>
      <c r="Q331" s="30"/>
      <c r="R331" s="30"/>
      <c r="S331" s="30">
        <v>1</v>
      </c>
      <c r="T331" s="26"/>
      <c r="U331" s="26"/>
      <c r="V331" s="26"/>
      <c r="W331" s="26"/>
      <c r="X331" s="26"/>
      <c r="Y331" s="26"/>
      <c r="Z331" s="26"/>
      <c r="AA331" s="26"/>
      <c r="AB331" s="26"/>
      <c r="AC331" s="26"/>
      <c r="AD331" s="26"/>
      <c r="AE331" s="26"/>
      <c r="AF331" s="26"/>
      <c r="AG331" s="26"/>
      <c r="AH331" s="26"/>
      <c r="AI331" s="26"/>
      <c r="AJ331" s="26"/>
      <c r="AK331" s="26"/>
      <c r="AL331" s="26"/>
      <c r="AM331" s="26"/>
      <c r="AN331" s="26"/>
      <c r="AO331" s="26"/>
      <c r="AP331" s="26"/>
      <c r="AQ331" s="26"/>
      <c r="AR331" s="26"/>
    </row>
    <row r="332" spans="1:44" ht="15.75" x14ac:dyDescent="0.25">
      <c r="A332" s="30"/>
      <c r="B332" s="39" t="s">
        <v>616</v>
      </c>
      <c r="C332" s="40" t="s">
        <v>631</v>
      </c>
      <c r="D332" s="136" t="s">
        <v>22</v>
      </c>
      <c r="E332" s="137" t="s">
        <v>22</v>
      </c>
      <c r="F332" s="43" t="e">
        <f>G332+SUMIF('[1]mouvement fours'!B:B,"=ensemble rotule 8,63 120x32 fem",'[1]mouvement fours'!G:G)</f>
        <v>#VALUE!</v>
      </c>
      <c r="G332" s="137">
        <v>1</v>
      </c>
      <c r="H332" s="137">
        <v>1</v>
      </c>
      <c r="I332" s="1" t="e">
        <f>IF(F332&lt;H332,"/!\","-")</f>
        <v>#VALUE!</v>
      </c>
      <c r="J332" s="138"/>
      <c r="K332" s="139" t="e">
        <f>F332*J332</f>
        <v>#VALUE!</v>
      </c>
      <c r="L332" s="30"/>
      <c r="M332" s="30"/>
      <c r="N332" s="30"/>
      <c r="O332" s="30"/>
      <c r="P332" s="30"/>
      <c r="Q332" s="30"/>
      <c r="R332" s="30"/>
      <c r="S332" s="30">
        <v>1</v>
      </c>
      <c r="T332" s="26"/>
      <c r="U332" s="26"/>
      <c r="V332" s="26"/>
      <c r="W332" s="26"/>
      <c r="X332" s="26"/>
      <c r="Y332" s="26"/>
      <c r="Z332" s="26"/>
      <c r="AA332" s="26"/>
      <c r="AB332" s="26"/>
      <c r="AC332" s="26"/>
      <c r="AD332" s="26"/>
      <c r="AE332" s="26"/>
      <c r="AF332" s="26"/>
      <c r="AG332" s="26"/>
      <c r="AH332" s="26"/>
      <c r="AI332" s="26"/>
      <c r="AJ332" s="26"/>
      <c r="AK332" s="26"/>
      <c r="AL332" s="26"/>
      <c r="AM332" s="26"/>
      <c r="AN332" s="26"/>
      <c r="AO332" s="26"/>
      <c r="AP332" s="26"/>
      <c r="AQ332" s="26"/>
      <c r="AR332" s="26"/>
    </row>
    <row r="333" spans="1:44" ht="15.75" x14ac:dyDescent="0.25">
      <c r="A333" s="30"/>
      <c r="B333" s="39" t="s">
        <v>616</v>
      </c>
      <c r="C333" s="40" t="s">
        <v>632</v>
      </c>
      <c r="D333" s="41" t="s">
        <v>633</v>
      </c>
      <c r="E333" s="44" t="s">
        <v>22</v>
      </c>
      <c r="F333" s="43" t="e">
        <f>G333+SUMIF('[1]mouvement fours'!B:B,"=Mini moteur de volets",'[1]mouvement fours'!G:G)</f>
        <v>#VALUE!</v>
      </c>
      <c r="G333" s="134">
        <v>2</v>
      </c>
      <c r="H333" s="44">
        <v>1</v>
      </c>
      <c r="I333" s="1" t="e">
        <f t="shared" ref="I333:I334" si="160">IF(F333&lt;H333,"/!\","-")</f>
        <v>#VALUE!</v>
      </c>
      <c r="J333" s="11">
        <v>131.97999999999999</v>
      </c>
      <c r="K333" s="12" t="e">
        <f t="shared" ref="K333:K334" si="161">F333*J333</f>
        <v>#VALUE!</v>
      </c>
      <c r="L333" s="30"/>
      <c r="M333" s="30"/>
      <c r="N333" s="30"/>
      <c r="O333" s="30"/>
      <c r="P333" s="30"/>
      <c r="Q333" s="30"/>
      <c r="R333" s="30"/>
      <c r="S333" s="30">
        <v>1</v>
      </c>
      <c r="T333" s="26"/>
      <c r="U333" s="26"/>
      <c r="V333" s="26"/>
      <c r="W333" s="26"/>
      <c r="X333" s="26"/>
      <c r="Y333" s="26"/>
      <c r="Z333" s="26"/>
      <c r="AA333" s="26"/>
      <c r="AB333" s="26"/>
      <c r="AC333" s="26"/>
      <c r="AD333" s="26"/>
      <c r="AE333" s="26"/>
      <c r="AF333" s="26"/>
      <c r="AG333" s="26"/>
      <c r="AH333" s="26"/>
      <c r="AI333" s="26"/>
      <c r="AJ333" s="26"/>
      <c r="AK333" s="26"/>
      <c r="AL333" s="26"/>
      <c r="AM333" s="26"/>
      <c r="AN333" s="26"/>
      <c r="AO333" s="26"/>
      <c r="AP333" s="26"/>
      <c r="AQ333" s="26"/>
      <c r="AR333" s="26"/>
    </row>
    <row r="334" spans="1:44" ht="15.75" x14ac:dyDescent="0.25">
      <c r="A334" s="30"/>
      <c r="B334" s="39" t="s">
        <v>616</v>
      </c>
      <c r="C334" s="40" t="s">
        <v>634</v>
      </c>
      <c r="D334" s="41" t="s">
        <v>635</v>
      </c>
      <c r="E334" s="44" t="s">
        <v>22</v>
      </c>
      <c r="F334" s="43" t="e">
        <f>G334+SUMIF('[1]mouvement fours'!B:B,"=transformateur HT brûleur riello",'[1]mouvement fours'!G:G)</f>
        <v>#VALUE!</v>
      </c>
      <c r="G334" s="134">
        <v>2</v>
      </c>
      <c r="H334" s="44">
        <v>1</v>
      </c>
      <c r="I334" s="1" t="e">
        <f t="shared" si="160"/>
        <v>#VALUE!</v>
      </c>
      <c r="J334" s="11">
        <v>158.08000000000001</v>
      </c>
      <c r="K334" s="12" t="e">
        <f t="shared" si="161"/>
        <v>#VALUE!</v>
      </c>
      <c r="L334" s="30"/>
      <c r="M334" s="30"/>
      <c r="N334" s="30"/>
      <c r="O334" s="30"/>
      <c r="P334" s="30"/>
      <c r="Q334" s="30"/>
      <c r="R334" s="30"/>
      <c r="S334" s="30">
        <v>1</v>
      </c>
      <c r="T334" s="26"/>
      <c r="U334" s="26"/>
      <c r="V334" s="26"/>
      <c r="W334" s="26"/>
      <c r="X334" s="26"/>
      <c r="Y334" s="26"/>
      <c r="Z334" s="26"/>
      <c r="AA334" s="26"/>
      <c r="AB334" s="26"/>
      <c r="AC334" s="26"/>
      <c r="AD334" s="26"/>
      <c r="AE334" s="26"/>
      <c r="AF334" s="26"/>
      <c r="AG334" s="26"/>
      <c r="AH334" s="26"/>
      <c r="AI334" s="26"/>
      <c r="AJ334" s="26"/>
      <c r="AK334" s="26"/>
      <c r="AL334" s="26"/>
      <c r="AM334" s="26"/>
      <c r="AN334" s="26"/>
      <c r="AO334" s="26"/>
      <c r="AP334" s="26"/>
      <c r="AQ334" s="26"/>
      <c r="AR334" s="26"/>
    </row>
    <row r="338" spans="1:44" ht="15.75" x14ac:dyDescent="0.25">
      <c r="A338" s="30"/>
      <c r="B338" s="39" t="s">
        <v>616</v>
      </c>
      <c r="C338" s="40" t="s">
        <v>642</v>
      </c>
      <c r="D338" s="41" t="s">
        <v>643</v>
      </c>
      <c r="E338" s="44" t="s">
        <v>22</v>
      </c>
      <c r="F338" s="43" t="e">
        <f>G338+SUMIF('[1]mouvement fours'!B:B,"=fin de course XCKN2118P20",'[1]mouvement fours'!G:G)</f>
        <v>#VALUE!</v>
      </c>
      <c r="G338" s="134">
        <v>4</v>
      </c>
      <c r="H338" s="44">
        <v>1</v>
      </c>
      <c r="I338" s="1" t="e">
        <f t="shared" ref="I338" si="162">IF(F338&lt;H338,"/!\","-")</f>
        <v>#VALUE!</v>
      </c>
      <c r="J338" s="11">
        <v>10.36</v>
      </c>
      <c r="K338" s="12" t="e">
        <f t="shared" ref="K338" si="163">F338*J338</f>
        <v>#VALUE!</v>
      </c>
      <c r="L338" s="30"/>
      <c r="M338" s="30"/>
      <c r="N338" s="30"/>
      <c r="O338" s="30"/>
      <c r="P338" s="30"/>
      <c r="Q338" s="30"/>
      <c r="R338" s="30"/>
      <c r="S338" s="30">
        <v>1</v>
      </c>
      <c r="T338" s="26"/>
      <c r="U338" s="26"/>
      <c r="V338" s="26"/>
      <c r="W338" s="26"/>
      <c r="X338" s="26"/>
      <c r="Y338" s="26"/>
      <c r="Z338" s="26"/>
      <c r="AA338" s="26"/>
      <c r="AB338" s="26"/>
      <c r="AC338" s="26"/>
      <c r="AD338" s="26"/>
      <c r="AE338" s="26"/>
      <c r="AF338" s="26"/>
      <c r="AG338" s="26"/>
      <c r="AH338" s="26"/>
      <c r="AI338" s="26"/>
      <c r="AJ338" s="26"/>
      <c r="AK338" s="26"/>
      <c r="AL338" s="26"/>
      <c r="AM338" s="26"/>
      <c r="AN338" s="26"/>
      <c r="AO338" s="26"/>
      <c r="AP338" s="26"/>
      <c r="AQ338" s="26"/>
      <c r="AR338" s="26"/>
    </row>
    <row r="340" spans="1:44" ht="15.75" x14ac:dyDescent="0.25">
      <c r="A340" s="30"/>
      <c r="B340" s="39" t="s">
        <v>616</v>
      </c>
      <c r="C340" s="40" t="s">
        <v>646</v>
      </c>
      <c r="D340" s="41" t="s">
        <v>22</v>
      </c>
      <c r="E340" s="146" t="s">
        <v>22</v>
      </c>
      <c r="F340" s="43" t="e">
        <f>G340+SUMIF('[1]mouvement fours'!B:B,"=opticom",'[1]mouvement fours'!G:G)</f>
        <v>#VALUE!</v>
      </c>
      <c r="G340" s="134">
        <v>1</v>
      </c>
      <c r="H340" s="44">
        <v>1</v>
      </c>
      <c r="I340" s="1" t="e">
        <f t="shared" ref="I340" si="164">IF(F340&lt;H340,"/!\","-")</f>
        <v>#VALUE!</v>
      </c>
      <c r="J340" s="11">
        <v>631.20000000000005</v>
      </c>
      <c r="K340" s="12" t="e">
        <f t="shared" ref="K340" si="165">F340*J340</f>
        <v>#VALUE!</v>
      </c>
      <c r="L340" s="30"/>
      <c r="M340" s="30"/>
      <c r="N340" s="30"/>
      <c r="O340" s="30"/>
      <c r="P340" s="30"/>
      <c r="Q340" s="30"/>
      <c r="R340" s="30"/>
      <c r="S340" s="30">
        <v>1</v>
      </c>
      <c r="T340" s="26"/>
      <c r="U340" s="26"/>
      <c r="V340" s="26"/>
      <c r="W340" s="26"/>
      <c r="X340" s="26"/>
      <c r="Y340" s="26"/>
      <c r="Z340" s="26"/>
      <c r="AA340" s="26"/>
      <c r="AB340" s="26"/>
      <c r="AC340" s="26"/>
      <c r="AD340" s="26"/>
      <c r="AE340" s="26"/>
      <c r="AF340" s="26"/>
      <c r="AG340" s="26"/>
      <c r="AH340" s="26"/>
      <c r="AI340" s="26"/>
      <c r="AJ340" s="26"/>
      <c r="AK340" s="26"/>
      <c r="AL340" s="26"/>
      <c r="AM340" s="26"/>
      <c r="AN340" s="26"/>
      <c r="AO340" s="26"/>
      <c r="AP340" s="26"/>
      <c r="AQ340" s="26"/>
      <c r="AR340" s="26"/>
    </row>
    <row r="342" spans="1:44" ht="15.75" x14ac:dyDescent="0.25">
      <c r="A342" s="30"/>
      <c r="B342" s="39" t="s">
        <v>616</v>
      </c>
      <c r="C342" s="40" t="s">
        <v>649</v>
      </c>
      <c r="D342" s="41" t="s">
        <v>650</v>
      </c>
      <c r="E342" s="44" t="s">
        <v>22</v>
      </c>
      <c r="F342" s="43" t="e">
        <f>G342+SUMIF('[1]mouvement fours'!B:B,"=transfo 12v 105VA ",'[1]mouvement fours'!G:G)</f>
        <v>#VALUE!</v>
      </c>
      <c r="G342" s="134">
        <v>0</v>
      </c>
      <c r="H342" s="44">
        <v>1</v>
      </c>
      <c r="I342" s="1" t="e">
        <f t="shared" ref="I342:I346" si="166">IF(F342&lt;H342,"/!\","-")</f>
        <v>#VALUE!</v>
      </c>
      <c r="J342" s="11">
        <v>25.167999999999999</v>
      </c>
      <c r="K342" s="12" t="e">
        <f t="shared" ref="K342:K346" si="167">F342*J342</f>
        <v>#VALUE!</v>
      </c>
      <c r="L342" s="30"/>
      <c r="M342" s="30"/>
      <c r="N342" s="30"/>
      <c r="O342" s="30"/>
      <c r="P342" s="30"/>
      <c r="Q342" s="30"/>
      <c r="R342" s="30"/>
      <c r="S342" s="30">
        <v>1</v>
      </c>
      <c r="T342" s="26"/>
      <c r="U342" s="26"/>
      <c r="V342" s="26"/>
      <c r="W342" s="26"/>
      <c r="X342" s="26"/>
      <c r="Y342" s="26"/>
      <c r="Z342" s="26"/>
      <c r="AA342" s="26"/>
      <c r="AB342" s="26"/>
      <c r="AC342" s="26"/>
      <c r="AD342" s="26"/>
      <c r="AE342" s="26"/>
      <c r="AF342" s="26"/>
      <c r="AG342" s="26"/>
      <c r="AH342" s="26"/>
      <c r="AI342" s="26"/>
      <c r="AJ342" s="26"/>
      <c r="AK342" s="26"/>
      <c r="AL342" s="26"/>
      <c r="AM342" s="26"/>
      <c r="AN342" s="26"/>
      <c r="AO342" s="26"/>
      <c r="AP342" s="26"/>
      <c r="AQ342" s="26"/>
      <c r="AR342" s="26"/>
    </row>
    <row r="343" spans="1:44" ht="15.75" x14ac:dyDescent="0.25">
      <c r="A343" s="30"/>
      <c r="B343" s="39" t="s">
        <v>616</v>
      </c>
      <c r="C343" s="40" t="s">
        <v>651</v>
      </c>
      <c r="D343" s="41" t="s">
        <v>652</v>
      </c>
      <c r="E343" s="44" t="s">
        <v>22</v>
      </c>
      <c r="F343" s="43" t="e">
        <f>G343+SUMIF('[1]mouvement fours'!B:B,"=Bornier (domino) Ht T° 2 poles",'[1]mouvement fours'!G:G)</f>
        <v>#VALUE!</v>
      </c>
      <c r="G343" s="134">
        <v>6</v>
      </c>
      <c r="H343" s="44">
        <v>2</v>
      </c>
      <c r="I343" s="1" t="e">
        <f t="shared" si="166"/>
        <v>#VALUE!</v>
      </c>
      <c r="J343" s="11">
        <v>2.1800000000000002</v>
      </c>
      <c r="K343" s="12" t="e">
        <f t="shared" si="167"/>
        <v>#VALUE!</v>
      </c>
      <c r="L343" s="30"/>
      <c r="M343" s="30"/>
      <c r="N343" s="30"/>
      <c r="O343" s="30"/>
      <c r="P343" s="30"/>
      <c r="Q343" s="30"/>
      <c r="R343" s="30"/>
      <c r="S343" s="30">
        <v>1</v>
      </c>
      <c r="T343" s="26"/>
      <c r="U343" s="26"/>
      <c r="V343" s="26"/>
      <c r="W343" s="26"/>
      <c r="X343" s="26"/>
      <c r="Y343" s="26"/>
      <c r="Z343" s="26"/>
      <c r="AA343" s="26"/>
      <c r="AB343" s="26"/>
      <c r="AC343" s="26"/>
      <c r="AD343" s="26"/>
      <c r="AE343" s="26"/>
      <c r="AF343" s="26"/>
      <c r="AG343" s="26"/>
      <c r="AH343" s="26"/>
      <c r="AI343" s="26"/>
      <c r="AJ343" s="26"/>
      <c r="AK343" s="26"/>
      <c r="AL343" s="26"/>
      <c r="AM343" s="26"/>
      <c r="AN343" s="26"/>
      <c r="AO343" s="26"/>
      <c r="AP343" s="26"/>
      <c r="AQ343" s="26"/>
      <c r="AR343" s="26"/>
    </row>
    <row r="344" spans="1:44" ht="15.75" x14ac:dyDescent="0.25">
      <c r="A344" s="30"/>
      <c r="B344" s="39" t="s">
        <v>616</v>
      </c>
      <c r="C344" s="40" t="s">
        <v>653</v>
      </c>
      <c r="D344" s="41" t="s">
        <v>654</v>
      </c>
      <c r="E344" s="44" t="s">
        <v>22</v>
      </c>
      <c r="F344" s="43" t="e">
        <f>G344+SUMIF('[1]mouvement fours'!B:B,"=sonde PT 100",'[1]mouvement fours'!G:G)</f>
        <v>#VALUE!</v>
      </c>
      <c r="G344" s="134">
        <v>6</v>
      </c>
      <c r="H344" s="44">
        <v>1</v>
      </c>
      <c r="I344" s="1" t="e">
        <f t="shared" si="166"/>
        <v>#VALUE!</v>
      </c>
      <c r="J344" s="11">
        <v>0</v>
      </c>
      <c r="K344" s="12" t="e">
        <f t="shared" si="167"/>
        <v>#VALUE!</v>
      </c>
      <c r="L344" s="30"/>
      <c r="M344" s="30"/>
      <c r="N344" s="30"/>
      <c r="O344" s="30"/>
      <c r="P344" s="30"/>
      <c r="Q344" s="30"/>
      <c r="R344" s="30"/>
      <c r="S344" s="30">
        <v>1</v>
      </c>
      <c r="T344" s="26"/>
      <c r="U344" s="26"/>
      <c r="V344" s="26"/>
      <c r="W344" s="26"/>
      <c r="X344" s="26"/>
      <c r="Y344" s="26"/>
      <c r="Z344" s="26"/>
      <c r="AA344" s="26"/>
      <c r="AB344" s="26"/>
      <c r="AC344" s="26"/>
      <c r="AD344" s="26"/>
      <c r="AE344" s="26"/>
      <c r="AF344" s="26"/>
      <c r="AG344" s="26"/>
      <c r="AH344" s="26"/>
      <c r="AI344" s="26"/>
      <c r="AJ344" s="26"/>
      <c r="AK344" s="26"/>
      <c r="AL344" s="26"/>
      <c r="AM344" s="26"/>
      <c r="AN344" s="26"/>
      <c r="AO344" s="26"/>
      <c r="AP344" s="26"/>
      <c r="AQ344" s="26"/>
      <c r="AR344" s="26"/>
    </row>
    <row r="345" spans="1:44" ht="15.75" x14ac:dyDescent="0.25">
      <c r="A345" s="30"/>
      <c r="B345" s="39" t="s">
        <v>616</v>
      </c>
      <c r="C345" s="40" t="s">
        <v>655</v>
      </c>
      <c r="D345" s="41" t="s">
        <v>656</v>
      </c>
      <c r="E345" s="44" t="s">
        <v>22</v>
      </c>
      <c r="F345" s="43" t="e">
        <f>G345+SUMIF('[1]mouvement fours'!B:B,"=joints spi motoréducteur plateau tournant",'[1]mouvement fours'!G:G)</f>
        <v>#VALUE!</v>
      </c>
      <c r="G345" s="134">
        <v>3</v>
      </c>
      <c r="H345" s="44">
        <v>2</v>
      </c>
      <c r="I345" s="1" t="e">
        <f t="shared" si="166"/>
        <v>#VALUE!</v>
      </c>
      <c r="J345" s="11">
        <v>5.95</v>
      </c>
      <c r="K345" s="12" t="e">
        <f t="shared" si="167"/>
        <v>#VALUE!</v>
      </c>
      <c r="L345" s="30"/>
      <c r="M345" s="30"/>
      <c r="N345" s="30"/>
      <c r="O345" s="30"/>
      <c r="P345" s="30"/>
      <c r="Q345" s="30"/>
      <c r="R345" s="30"/>
      <c r="S345" s="30">
        <v>1</v>
      </c>
      <c r="T345" s="26"/>
      <c r="U345" s="26"/>
      <c r="V345" s="26"/>
      <c r="W345" s="26"/>
      <c r="X345" s="26"/>
      <c r="Y345" s="26"/>
      <c r="Z345" s="26"/>
      <c r="AA345" s="26"/>
      <c r="AB345" s="26"/>
      <c r="AC345" s="26"/>
      <c r="AD345" s="26"/>
      <c r="AE345" s="26"/>
      <c r="AF345" s="26"/>
      <c r="AG345" s="26"/>
      <c r="AH345" s="26"/>
      <c r="AI345" s="26"/>
      <c r="AJ345" s="26"/>
      <c r="AK345" s="26"/>
      <c r="AL345" s="26"/>
      <c r="AM345" s="26"/>
      <c r="AN345" s="26"/>
      <c r="AO345" s="26"/>
      <c r="AP345" s="26"/>
      <c r="AQ345" s="26"/>
      <c r="AR345" s="26"/>
    </row>
    <row r="346" spans="1:44" ht="15.75" x14ac:dyDescent="0.25">
      <c r="A346" s="30"/>
      <c r="B346" s="140" t="s">
        <v>616</v>
      </c>
      <c r="C346" s="141" t="s">
        <v>657</v>
      </c>
      <c r="D346" s="142" t="s">
        <v>22</v>
      </c>
      <c r="E346" s="143" t="s">
        <v>22</v>
      </c>
      <c r="F346" s="144" t="e">
        <f>G346+SUMIF('[1]mouvement fours'!B:B,"=cable electrique haute température",'[1]mouvement fours'!G:G)</f>
        <v>#VALUE!</v>
      </c>
      <c r="G346" s="143">
        <v>4</v>
      </c>
      <c r="H346" s="143">
        <v>4</v>
      </c>
      <c r="I346" s="1" t="e">
        <f t="shared" si="166"/>
        <v>#VALUE!</v>
      </c>
      <c r="J346" s="11">
        <v>0</v>
      </c>
      <c r="K346" s="12" t="e">
        <f t="shared" si="167"/>
        <v>#VALUE!</v>
      </c>
      <c r="L346" s="30"/>
      <c r="M346" s="30"/>
      <c r="N346" s="30"/>
      <c r="O346" s="30"/>
      <c r="P346" s="30"/>
      <c r="Q346" s="30"/>
      <c r="R346" s="30"/>
      <c r="S346" s="30">
        <v>1</v>
      </c>
      <c r="T346" s="26"/>
      <c r="U346" s="26"/>
      <c r="V346" s="26"/>
      <c r="W346" s="26"/>
      <c r="X346" s="26"/>
      <c r="Y346" s="26"/>
      <c r="Z346" s="26"/>
      <c r="AA346" s="26"/>
      <c r="AB346" s="26"/>
      <c r="AC346" s="26"/>
      <c r="AD346" s="26"/>
      <c r="AE346" s="26"/>
      <c r="AF346" s="26"/>
      <c r="AG346" s="26"/>
      <c r="AH346" s="26"/>
      <c r="AI346" s="26"/>
      <c r="AJ346" s="26"/>
      <c r="AK346" s="26"/>
      <c r="AL346" s="26"/>
      <c r="AM346" s="26"/>
      <c r="AN346" s="26"/>
      <c r="AO346" s="26"/>
      <c r="AP346" s="26"/>
      <c r="AQ346" s="26"/>
      <c r="AR346" s="26"/>
    </row>
    <row r="350" spans="1:44" ht="15.75" x14ac:dyDescent="0.25">
      <c r="A350" s="30"/>
      <c r="B350" s="39" t="s">
        <v>616</v>
      </c>
      <c r="C350" s="40" t="s">
        <v>661</v>
      </c>
      <c r="D350" s="41" t="s">
        <v>22</v>
      </c>
      <c r="E350" s="44" t="s">
        <v>22</v>
      </c>
      <c r="F350" s="43" t="e">
        <f>G350+SUMIF('[1]mouvement fours'!B:B,"=support motoreducteur",'[1]mouvement fours'!G:G)</f>
        <v>#VALUE!</v>
      </c>
      <c r="G350" s="44">
        <v>0</v>
      </c>
      <c r="H350" s="44"/>
      <c r="I350" s="1" t="e">
        <f t="shared" ref="I350" si="168">IF(F350&lt;H350,"/!\","-")</f>
        <v>#VALUE!</v>
      </c>
      <c r="J350" s="11">
        <v>67</v>
      </c>
      <c r="K350" s="12" t="e">
        <f t="shared" ref="K350" si="169">F350*J350</f>
        <v>#VALUE!</v>
      </c>
      <c r="L350" s="30"/>
      <c r="M350" s="30"/>
      <c r="N350" s="30"/>
      <c r="O350" s="30"/>
      <c r="P350" s="30"/>
      <c r="Q350" s="30"/>
      <c r="R350" s="30"/>
      <c r="S350" s="30">
        <v>1</v>
      </c>
      <c r="T350" s="26"/>
      <c r="U350" s="26"/>
      <c r="V350" s="26"/>
      <c r="W350" s="26"/>
      <c r="X350" s="26"/>
      <c r="Y350" s="26"/>
      <c r="Z350" s="26"/>
      <c r="AA350" s="26"/>
      <c r="AB350" s="26"/>
      <c r="AC350" s="26"/>
      <c r="AD350" s="26"/>
      <c r="AE350" s="26"/>
      <c r="AF350" s="26"/>
      <c r="AG350" s="26"/>
      <c r="AH350" s="26"/>
      <c r="AI350" s="26"/>
      <c r="AJ350" s="26"/>
      <c r="AK350" s="26"/>
      <c r="AL350" s="26"/>
      <c r="AM350" s="26"/>
      <c r="AN350" s="26"/>
      <c r="AO350" s="26"/>
      <c r="AP350" s="26"/>
      <c r="AQ350" s="26"/>
      <c r="AR350" s="26"/>
    </row>
    <row r="352" spans="1:44" ht="15.75" x14ac:dyDescent="0.25">
      <c r="A352" s="30"/>
      <c r="B352" s="39" t="s">
        <v>616</v>
      </c>
      <c r="C352" s="40" t="s">
        <v>663</v>
      </c>
      <c r="D352" s="41" t="s">
        <v>22</v>
      </c>
      <c r="E352" s="44" t="s">
        <v>22</v>
      </c>
      <c r="F352" s="43" t="e">
        <f>G352+SUMIF('[1]mouvement fours'!B:B,"=bague lattygraph",'[1]mouvement fours'!G:G)</f>
        <v>#VALUE!</v>
      </c>
      <c r="G352" s="44">
        <v>8</v>
      </c>
      <c r="H352" s="44">
        <v>2</v>
      </c>
      <c r="I352" s="1" t="e">
        <f t="shared" ref="I352" si="170">IF(F352&lt;H352,"/!\","-")</f>
        <v>#VALUE!</v>
      </c>
      <c r="J352" s="11">
        <v>19.600000000000001</v>
      </c>
      <c r="K352" s="12" t="e">
        <f t="shared" ref="K352" si="171">F352*J352</f>
        <v>#VALUE!</v>
      </c>
      <c r="L352" s="30"/>
      <c r="M352" s="30"/>
      <c r="N352" s="30"/>
      <c r="O352" s="30"/>
      <c r="P352" s="30"/>
      <c r="Q352" s="30"/>
      <c r="R352" s="30"/>
      <c r="S352" s="30">
        <v>1</v>
      </c>
      <c r="T352" s="26"/>
      <c r="U352" s="26"/>
      <c r="V352" s="26"/>
      <c r="W352" s="26"/>
      <c r="X352" s="26"/>
      <c r="Y352" s="26"/>
      <c r="Z352" s="26"/>
      <c r="AA352" s="26"/>
      <c r="AB352" s="26"/>
      <c r="AC352" s="26"/>
      <c r="AD352" s="26"/>
      <c r="AE352" s="26"/>
      <c r="AF352" s="26"/>
      <c r="AG352" s="26"/>
      <c r="AH352" s="26"/>
      <c r="AI352" s="26"/>
      <c r="AJ352" s="26"/>
      <c r="AK352" s="26"/>
      <c r="AL352" s="26"/>
      <c r="AM352" s="26"/>
      <c r="AN352" s="26"/>
      <c r="AO352" s="26"/>
      <c r="AP352" s="26"/>
      <c r="AQ352" s="26"/>
      <c r="AR352" s="26"/>
    </row>
    <row r="354" spans="1:44" ht="15.75" x14ac:dyDescent="0.25">
      <c r="A354" s="30"/>
      <c r="B354" s="39" t="s">
        <v>616</v>
      </c>
      <c r="C354" s="40" t="s">
        <v>665</v>
      </c>
      <c r="D354" s="41" t="s">
        <v>666</v>
      </c>
      <c r="E354" s="44" t="s">
        <v>667</v>
      </c>
      <c r="F354" s="43" t="e">
        <f>G354+SUMIF('[1]mouvement fours'!B:B,"=Moteur soufflage 8,62",'[1]mouvement fours'!G:G)</f>
        <v>#VALUE!</v>
      </c>
      <c r="G354" s="44">
        <v>1</v>
      </c>
      <c r="H354" s="44">
        <v>0</v>
      </c>
      <c r="I354" s="1" t="e">
        <f t="shared" ref="I354:I358" si="172">IF(F354&lt;H354,"/!\","-")</f>
        <v>#VALUE!</v>
      </c>
      <c r="J354" s="11">
        <v>1136.24</v>
      </c>
      <c r="K354" s="12" t="e">
        <f t="shared" ref="K354:K358" si="173">F354*J354</f>
        <v>#VALUE!</v>
      </c>
      <c r="L354" s="30"/>
      <c r="M354" s="30"/>
      <c r="N354" s="30"/>
      <c r="O354" s="30"/>
      <c r="P354" s="30"/>
      <c r="Q354" s="30"/>
      <c r="R354" s="30"/>
      <c r="S354" s="30">
        <v>1</v>
      </c>
      <c r="T354" s="26"/>
      <c r="U354" s="26"/>
      <c r="V354" s="26"/>
      <c r="W354" s="26"/>
      <c r="X354" s="26"/>
      <c r="Y354" s="26"/>
      <c r="Z354" s="26"/>
      <c r="AA354" s="26"/>
      <c r="AB354" s="26"/>
      <c r="AC354" s="26"/>
      <c r="AD354" s="26"/>
      <c r="AE354" s="26"/>
      <c r="AF354" s="26"/>
      <c r="AG354" s="26"/>
      <c r="AH354" s="26"/>
      <c r="AI354" s="26"/>
      <c r="AJ354" s="26"/>
      <c r="AK354" s="26"/>
      <c r="AL354" s="26"/>
      <c r="AM354" s="26"/>
      <c r="AN354" s="26"/>
      <c r="AO354" s="26"/>
      <c r="AP354" s="26"/>
      <c r="AQ354" s="26"/>
      <c r="AR354" s="26"/>
    </row>
    <row r="355" spans="1:44" ht="15.75" x14ac:dyDescent="0.25">
      <c r="A355" s="30"/>
      <c r="B355" s="39" t="s">
        <v>616</v>
      </c>
      <c r="C355" s="40" t="s">
        <v>668</v>
      </c>
      <c r="D355" s="41" t="s">
        <v>669</v>
      </c>
      <c r="E355" s="44" t="s">
        <v>22</v>
      </c>
      <c r="F355" s="43" t="e">
        <f>G355+SUMIF('[1]mouvement fours'!B:B,"=Relais sécu gaz bruleur",'[1]mouvement fours'!G:G)</f>
        <v>#VALUE!</v>
      </c>
      <c r="G355" s="44">
        <v>1</v>
      </c>
      <c r="H355" s="44">
        <v>1</v>
      </c>
      <c r="I355" s="1" t="e">
        <f t="shared" si="172"/>
        <v>#VALUE!</v>
      </c>
      <c r="J355" s="11">
        <v>0</v>
      </c>
      <c r="K355" s="12" t="e">
        <f t="shared" si="173"/>
        <v>#VALUE!</v>
      </c>
      <c r="L355" s="30"/>
      <c r="M355" s="30"/>
      <c r="N355" s="30"/>
      <c r="O355" s="30"/>
      <c r="P355" s="30"/>
      <c r="Q355" s="30"/>
      <c r="R355" s="30"/>
      <c r="S355" s="30">
        <v>1</v>
      </c>
      <c r="T355" s="26"/>
      <c r="U355" s="26"/>
      <c r="V355" s="26"/>
      <c r="W355" s="26"/>
      <c r="X355" s="26"/>
      <c r="Y355" s="26"/>
      <c r="Z355" s="26"/>
      <c r="AA355" s="26"/>
      <c r="AB355" s="26"/>
      <c r="AC355" s="26"/>
      <c r="AD355" s="26"/>
      <c r="AE355" s="26"/>
      <c r="AF355" s="26"/>
      <c r="AG355" s="26"/>
      <c r="AH355" s="26"/>
      <c r="AI355" s="26"/>
      <c r="AJ355" s="26"/>
      <c r="AK355" s="26"/>
      <c r="AL355" s="26"/>
      <c r="AM355" s="26"/>
      <c r="AN355" s="26"/>
      <c r="AO355" s="26"/>
      <c r="AP355" s="26"/>
      <c r="AQ355" s="26"/>
      <c r="AR355" s="26"/>
    </row>
    <row r="356" spans="1:44" ht="15.75" x14ac:dyDescent="0.25">
      <c r="A356" s="30"/>
      <c r="B356" s="39" t="s">
        <v>616</v>
      </c>
      <c r="C356" s="148" t="s">
        <v>670</v>
      </c>
      <c r="D356" s="149" t="s">
        <v>671</v>
      </c>
      <c r="E356" s="46" t="s">
        <v>22</v>
      </c>
      <c r="F356" s="150" t="e">
        <f>G356+SUMIF('[1]mouvement fours'!B:B,"=thermostat sécu 1",'[1]mouvement fours'!G:G)</f>
        <v>#VALUE!</v>
      </c>
      <c r="G356" s="46">
        <v>2</v>
      </c>
      <c r="H356" s="46">
        <v>1</v>
      </c>
      <c r="I356" s="1" t="e">
        <f t="shared" si="172"/>
        <v>#VALUE!</v>
      </c>
      <c r="J356" s="16">
        <v>447.3</v>
      </c>
      <c r="K356" s="151" t="e">
        <f t="shared" si="173"/>
        <v>#VALUE!</v>
      </c>
      <c r="L356" s="30"/>
      <c r="M356" s="30"/>
      <c r="N356" s="30"/>
      <c r="O356" s="30"/>
      <c r="P356" s="30"/>
      <c r="Q356" s="30"/>
      <c r="R356" s="30"/>
      <c r="S356" s="30">
        <v>1</v>
      </c>
      <c r="T356" s="26"/>
      <c r="U356" s="26"/>
      <c r="V356" s="26"/>
      <c r="W356" s="26"/>
      <c r="X356" s="26"/>
      <c r="Y356" s="26"/>
      <c r="Z356" s="26"/>
      <c r="AA356" s="26"/>
      <c r="AB356" s="26"/>
      <c r="AC356" s="26"/>
      <c r="AD356" s="26"/>
      <c r="AE356" s="26"/>
      <c r="AF356" s="26"/>
      <c r="AG356" s="26"/>
      <c r="AH356" s="26"/>
      <c r="AI356" s="26"/>
      <c r="AJ356" s="26"/>
      <c r="AK356" s="26"/>
      <c r="AL356" s="26"/>
      <c r="AM356" s="26"/>
      <c r="AN356" s="26"/>
      <c r="AO356" s="26"/>
      <c r="AP356" s="26"/>
      <c r="AQ356" s="26"/>
      <c r="AR356" s="26"/>
    </row>
    <row r="357" spans="1:44" ht="15.75" x14ac:dyDescent="0.25">
      <c r="A357" s="30"/>
      <c r="B357" s="39" t="s">
        <v>616</v>
      </c>
      <c r="C357" s="40" t="s">
        <v>672</v>
      </c>
      <c r="D357" s="41" t="s">
        <v>673</v>
      </c>
      <c r="E357" s="44" t="s">
        <v>22</v>
      </c>
      <c r="F357" s="43" t="e">
        <f>G357+SUMIF('[1]mouvement fours'!B:B,"=thermostat sécu 2",'[1]mouvement fours'!G:G)</f>
        <v>#VALUE!</v>
      </c>
      <c r="G357" s="44">
        <v>1</v>
      </c>
      <c r="H357" s="44">
        <v>1</v>
      </c>
      <c r="I357" s="1" t="e">
        <f t="shared" si="172"/>
        <v>#VALUE!</v>
      </c>
      <c r="J357" s="11">
        <v>447.3</v>
      </c>
      <c r="K357" s="12" t="e">
        <f t="shared" si="173"/>
        <v>#VALUE!</v>
      </c>
      <c r="L357" s="30"/>
      <c r="M357" s="30"/>
      <c r="N357" s="30"/>
      <c r="O357" s="30"/>
      <c r="P357" s="30"/>
      <c r="Q357" s="30"/>
      <c r="R357" s="30"/>
      <c r="S357" s="30">
        <v>1</v>
      </c>
      <c r="T357" s="26"/>
      <c r="U357" s="26"/>
      <c r="V357" s="26"/>
      <c r="W357" s="26"/>
      <c r="X357" s="26"/>
      <c r="Y357" s="26"/>
      <c r="Z357" s="26"/>
      <c r="AA357" s="26"/>
      <c r="AB357" s="26"/>
      <c r="AC357" s="26"/>
      <c r="AD357" s="26"/>
      <c r="AE357" s="26"/>
      <c r="AF357" s="26"/>
      <c r="AG357" s="26"/>
      <c r="AH357" s="26"/>
      <c r="AI357" s="26"/>
      <c r="AJ357" s="26"/>
      <c r="AK357" s="26"/>
      <c r="AL357" s="26"/>
      <c r="AM357" s="26"/>
      <c r="AN357" s="26"/>
      <c r="AO357" s="26"/>
      <c r="AP357" s="26"/>
      <c r="AQ357" s="26"/>
      <c r="AR357" s="26"/>
    </row>
    <row r="358" spans="1:44" ht="15.75" x14ac:dyDescent="0.25">
      <c r="A358" s="30"/>
      <c r="B358" s="140" t="s">
        <v>616</v>
      </c>
      <c r="C358" s="141" t="s">
        <v>674</v>
      </c>
      <c r="D358" s="142" t="s">
        <v>22</v>
      </c>
      <c r="E358" s="143" t="s">
        <v>22</v>
      </c>
      <c r="F358" s="144" t="e">
        <f>G358+SUMIF('[1]mouvement fours'!B:B,"=plaque rotation palier",'[1]mouvement fours'!G:G)</f>
        <v>#VALUE!</v>
      </c>
      <c r="G358" s="143">
        <v>1</v>
      </c>
      <c r="H358" s="143">
        <v>1</v>
      </c>
      <c r="I358" s="1" t="e">
        <f t="shared" si="172"/>
        <v>#VALUE!</v>
      </c>
      <c r="J358" s="11">
        <v>0</v>
      </c>
      <c r="K358" s="12" t="e">
        <f t="shared" si="173"/>
        <v>#VALUE!</v>
      </c>
      <c r="L358" s="30"/>
      <c r="M358" s="30"/>
      <c r="N358" s="30"/>
      <c r="O358" s="30"/>
      <c r="P358" s="30"/>
      <c r="Q358" s="30"/>
      <c r="R358" s="30"/>
      <c r="S358" s="30">
        <v>1</v>
      </c>
      <c r="T358" s="26"/>
      <c r="U358" s="26"/>
      <c r="V358" s="26"/>
      <c r="W358" s="26"/>
      <c r="X358" s="26"/>
      <c r="Y358" s="26"/>
      <c r="Z358" s="26"/>
      <c r="AA358" s="26"/>
      <c r="AB358" s="26"/>
      <c r="AC358" s="26"/>
      <c r="AD358" s="26"/>
      <c r="AE358" s="26"/>
      <c r="AF358" s="26"/>
      <c r="AG358" s="26"/>
      <c r="AH358" s="26"/>
      <c r="AI358" s="26"/>
      <c r="AJ358" s="26"/>
      <c r="AK358" s="26"/>
      <c r="AL358" s="26"/>
      <c r="AM358" s="26"/>
      <c r="AN358" s="26"/>
      <c r="AO358" s="26"/>
      <c r="AP358" s="26"/>
      <c r="AQ358" s="26"/>
      <c r="AR358" s="26"/>
    </row>
    <row r="362" spans="1:44" ht="48" x14ac:dyDescent="0.25">
      <c r="A362" s="30"/>
      <c r="B362" s="13" t="s">
        <v>677</v>
      </c>
      <c r="C362" s="4" t="s">
        <v>681</v>
      </c>
      <c r="D362" s="5" t="s">
        <v>682</v>
      </c>
      <c r="E362" s="6" t="s">
        <v>680</v>
      </c>
      <c r="F362" s="7" t="e">
        <f>G362+SUMIF('[1]mouvement toshiba'!B:B,"=rouleau d'entrainement inférieur face avant",'[1]mouvement toshiba'!G:G)</f>
        <v>#VALUE!</v>
      </c>
      <c r="G362" s="6">
        <v>0</v>
      </c>
      <c r="H362" s="6">
        <v>1</v>
      </c>
      <c r="I362" s="1" t="e">
        <f t="shared" ref="I362" si="174">IF(F362&lt;H362,"/!\","-")</f>
        <v>#VALUE!</v>
      </c>
      <c r="J362" s="11">
        <v>53.07</v>
      </c>
      <c r="K362" s="12" t="e">
        <f t="shared" ref="K362" si="175">F362*J362</f>
        <v>#VALUE!</v>
      </c>
      <c r="L362" s="30"/>
      <c r="M362" s="30"/>
      <c r="N362" s="30"/>
      <c r="O362" s="30"/>
      <c r="P362" s="30"/>
      <c r="Q362" s="30"/>
      <c r="R362" s="30"/>
      <c r="S362" s="30">
        <v>1</v>
      </c>
      <c r="T362" s="26"/>
      <c r="U362" s="26"/>
      <c r="V362" s="26"/>
      <c r="W362" s="26"/>
      <c r="X362" s="26"/>
      <c r="Y362" s="26"/>
      <c r="Z362" s="26"/>
      <c r="AA362" s="26"/>
      <c r="AB362" s="26"/>
      <c r="AC362" s="26"/>
      <c r="AD362" s="26"/>
      <c r="AE362" s="26"/>
      <c r="AF362" s="26"/>
      <c r="AG362" s="26"/>
      <c r="AH362" s="26"/>
      <c r="AI362" s="26"/>
      <c r="AJ362" s="26"/>
      <c r="AK362" s="26"/>
      <c r="AL362" s="26"/>
      <c r="AM362" s="26"/>
      <c r="AN362" s="26"/>
      <c r="AO362" s="26"/>
      <c r="AP362" s="26"/>
      <c r="AQ362" s="26"/>
      <c r="AR362" s="26"/>
    </row>
    <row r="364" spans="1:44" ht="96" x14ac:dyDescent="0.25">
      <c r="A364" s="30"/>
      <c r="B364" s="13" t="s">
        <v>677</v>
      </c>
      <c r="C364" s="4" t="s">
        <v>685</v>
      </c>
      <c r="D364" s="5" t="s">
        <v>686</v>
      </c>
      <c r="E364" s="6" t="s">
        <v>680</v>
      </c>
      <c r="F364" s="7" t="e">
        <f>G364+SUMIF('[1]mouvement toshiba'!B:B,"=Tête thermique B-SA4T toshiba 200 DPI (ASYB-HEAD-SA4T FRU) imprimante bureau",'[1]mouvement toshiba'!G:G)</f>
        <v>#VALUE!</v>
      </c>
      <c r="G364" s="6">
        <v>3</v>
      </c>
      <c r="H364" s="6">
        <v>1</v>
      </c>
      <c r="I364" s="1" t="e">
        <f t="shared" ref="I364" si="176">IF(F364&lt;H364,"/!\","-")</f>
        <v>#VALUE!</v>
      </c>
      <c r="J364" s="11">
        <v>225</v>
      </c>
      <c r="K364" s="12" t="e">
        <f t="shared" ref="K364" si="177">F364*J364</f>
        <v>#VALUE!</v>
      </c>
      <c r="L364" s="30"/>
      <c r="M364" s="30"/>
      <c r="N364" s="30"/>
      <c r="O364" s="30"/>
      <c r="P364" s="30"/>
      <c r="Q364" s="30"/>
      <c r="R364" s="30"/>
      <c r="S364" s="30">
        <v>1</v>
      </c>
      <c r="T364" s="26"/>
      <c r="U364" s="26"/>
      <c r="V364" s="26"/>
      <c r="W364" s="26"/>
      <c r="X364" s="26"/>
      <c r="Y364" s="26"/>
      <c r="Z364" s="26"/>
      <c r="AA364" s="26"/>
      <c r="AB364" s="26"/>
      <c r="AC364" s="26"/>
      <c r="AD364" s="26"/>
      <c r="AE364" s="26"/>
      <c r="AF364" s="26"/>
      <c r="AG364" s="26"/>
      <c r="AH364" s="26"/>
      <c r="AI364" s="26"/>
      <c r="AJ364" s="26"/>
      <c r="AK364" s="26"/>
      <c r="AL364" s="26"/>
      <c r="AM364" s="26"/>
      <c r="AN364" s="26"/>
      <c r="AO364" s="26"/>
      <c r="AP364" s="26"/>
      <c r="AQ364" s="26"/>
      <c r="AR364" s="26"/>
    </row>
    <row r="366" spans="1:44" ht="36" x14ac:dyDescent="0.25">
      <c r="A366" s="30"/>
      <c r="B366" s="13" t="s">
        <v>677</v>
      </c>
      <c r="C366" s="4" t="s">
        <v>678</v>
      </c>
      <c r="D366" s="5" t="s">
        <v>689</v>
      </c>
      <c r="E366" s="6" t="s">
        <v>26</v>
      </c>
      <c r="F366" s="7" t="e">
        <f>G366+SUMIF('[1]mouvement toshiba'!B:B,"=courroie crantée 124 L 075",'[1]mouvement toshiba'!G:G)</f>
        <v>#VALUE!</v>
      </c>
      <c r="G366" s="6">
        <v>1</v>
      </c>
      <c r="H366" s="6">
        <v>1</v>
      </c>
      <c r="I366" s="1" t="e">
        <f t="shared" ref="I366:I367" si="178">IF(F366&lt;H366,"/!\","-")</f>
        <v>#VALUE!</v>
      </c>
      <c r="J366" s="11">
        <v>0</v>
      </c>
      <c r="K366" s="12" t="e">
        <f t="shared" ref="K366:K367" si="179">F366*J366</f>
        <v>#VALUE!</v>
      </c>
      <c r="L366" s="30"/>
      <c r="M366" s="13" t="s">
        <v>677</v>
      </c>
      <c r="N366" s="30"/>
      <c r="O366" s="30"/>
      <c r="P366" s="30"/>
      <c r="Q366" s="30"/>
      <c r="R366" s="30"/>
      <c r="S366" s="30">
        <v>1</v>
      </c>
      <c r="T366" s="26"/>
      <c r="U366" s="26"/>
      <c r="V366" s="26"/>
      <c r="W366" s="26"/>
      <c r="X366" s="26"/>
      <c r="Y366" s="26"/>
      <c r="Z366" s="26"/>
      <c r="AA366" s="26"/>
      <c r="AB366" s="26"/>
      <c r="AC366" s="26"/>
      <c r="AD366" s="26"/>
      <c r="AE366" s="26"/>
      <c r="AF366" s="26"/>
      <c r="AG366" s="26"/>
      <c r="AH366" s="26"/>
      <c r="AI366" s="26"/>
      <c r="AJ366" s="26"/>
      <c r="AK366" s="26"/>
      <c r="AL366" s="26"/>
      <c r="AM366" s="26"/>
      <c r="AN366" s="26"/>
      <c r="AO366" s="26"/>
      <c r="AP366" s="26"/>
      <c r="AQ366" s="26"/>
      <c r="AR366" s="26"/>
    </row>
    <row r="367" spans="1:44" ht="36" x14ac:dyDescent="0.25">
      <c r="A367" s="30"/>
      <c r="B367" s="13" t="s">
        <v>677</v>
      </c>
      <c r="C367" s="4" t="s">
        <v>690</v>
      </c>
      <c r="D367" s="5" t="s">
        <v>691</v>
      </c>
      <c r="E367" s="6" t="s">
        <v>26</v>
      </c>
      <c r="F367" s="7" t="e">
        <f>G367+SUMIF('[1]mouvement toshiba'!B:B,"=détecteur photoélectrique",'[1]mouvement toshiba'!G:G)</f>
        <v>#VALUE!</v>
      </c>
      <c r="G367" s="6">
        <v>1</v>
      </c>
      <c r="H367" s="6">
        <v>1</v>
      </c>
      <c r="I367" s="1" t="e">
        <f t="shared" si="178"/>
        <v>#VALUE!</v>
      </c>
      <c r="J367" s="11">
        <v>0</v>
      </c>
      <c r="K367" s="12" t="e">
        <f t="shared" si="179"/>
        <v>#VALUE!</v>
      </c>
      <c r="L367" s="30"/>
      <c r="M367" s="35" t="e">
        <f>SUM(K361:K367)</f>
        <v>#VALUE!</v>
      </c>
      <c r="N367" s="30"/>
      <c r="O367" s="30"/>
      <c r="P367" s="30"/>
      <c r="Q367" s="30"/>
      <c r="R367" s="30"/>
      <c r="S367" s="30">
        <v>1</v>
      </c>
      <c r="T367" s="26"/>
      <c r="U367" s="26"/>
      <c r="V367" s="26"/>
      <c r="W367" s="26"/>
      <c r="X367" s="26"/>
      <c r="Y367" s="26"/>
      <c r="Z367" s="26"/>
      <c r="AA367" s="26"/>
      <c r="AB367" s="26"/>
      <c r="AC367" s="26"/>
      <c r="AD367" s="26"/>
      <c r="AE367" s="26"/>
      <c r="AF367" s="26"/>
      <c r="AG367" s="26"/>
      <c r="AH367" s="26"/>
      <c r="AI367" s="26"/>
      <c r="AJ367" s="26"/>
      <c r="AK367" s="26"/>
      <c r="AL367" s="26"/>
      <c r="AM367" s="26"/>
      <c r="AN367" s="26"/>
      <c r="AO367" s="26"/>
      <c r="AP367" s="26"/>
      <c r="AQ367" s="26"/>
      <c r="AR367" s="26"/>
    </row>
    <row r="368" spans="1:44" ht="15.75" x14ac:dyDescent="0.25">
      <c r="A368" s="30"/>
      <c r="B368" s="61" t="s">
        <v>692</v>
      </c>
      <c r="C368" s="154" t="s">
        <v>693</v>
      </c>
      <c r="D368" s="5">
        <v>28101450</v>
      </c>
      <c r="E368" s="155" t="s">
        <v>680</v>
      </c>
      <c r="F368" s="156" t="e">
        <f>G368+SUMIF('[1]mouvement toshiba'!B:B,"=courroie crantée 124 L 075",'[1]mouvement toshiba'!G:G)</f>
        <v>#VALUE!</v>
      </c>
      <c r="G368" s="6">
        <v>2</v>
      </c>
      <c r="H368" s="155">
        <v>1</v>
      </c>
      <c r="I368" s="157" t="e">
        <f>IF(F368&lt;H368,"/!\","-")</f>
        <v>#VALUE!</v>
      </c>
      <c r="J368" s="11">
        <v>436.5</v>
      </c>
      <c r="K368" s="158" t="e">
        <f>F368*J368</f>
        <v>#VALUE!</v>
      </c>
      <c r="L368" s="30"/>
      <c r="M368" s="61" t="s">
        <v>692</v>
      </c>
      <c r="N368" s="30"/>
      <c r="O368" s="30"/>
      <c r="P368" s="30"/>
      <c r="Q368" s="30"/>
      <c r="R368" s="30"/>
      <c r="S368" s="30">
        <v>1</v>
      </c>
      <c r="T368" s="26"/>
      <c r="U368" s="26"/>
      <c r="V368" s="26"/>
      <c r="W368" s="26"/>
      <c r="X368" s="26"/>
      <c r="Y368" s="26"/>
      <c r="Z368" s="26"/>
      <c r="AA368" s="26"/>
      <c r="AB368" s="26"/>
      <c r="AC368" s="26"/>
      <c r="AD368" s="26"/>
      <c r="AE368" s="26"/>
      <c r="AF368" s="26"/>
      <c r="AG368" s="26"/>
      <c r="AH368" s="26"/>
      <c r="AI368" s="26"/>
      <c r="AJ368" s="26"/>
      <c r="AK368" s="26"/>
      <c r="AL368" s="26"/>
      <c r="AM368" s="26"/>
      <c r="AN368" s="26"/>
      <c r="AO368" s="26"/>
      <c r="AP368" s="26"/>
      <c r="AQ368" s="26"/>
      <c r="AR368" s="26"/>
    </row>
    <row r="369" spans="1:44" ht="15.75" x14ac:dyDescent="0.25">
      <c r="A369" s="30"/>
      <c r="B369" s="13" t="s">
        <v>694</v>
      </c>
      <c r="C369" s="97" t="s">
        <v>695</v>
      </c>
      <c r="D369" s="5" t="s">
        <v>696</v>
      </c>
      <c r="E369" s="6" t="s">
        <v>697</v>
      </c>
      <c r="F369" s="7" t="e">
        <f>G369+SUMIF('[1]mouvement lynx'!B:B,"=Buze de tete",'[1]mouvement lynx'!G:G)</f>
        <v>#VALUE!</v>
      </c>
      <c r="G369" s="6">
        <v>2</v>
      </c>
      <c r="H369" s="6">
        <v>1</v>
      </c>
      <c r="I369" s="1" t="e">
        <f t="shared" ref="I369:I370" si="180">IF(F369&lt;H369,"/!\","-")</f>
        <v>#VALUE!</v>
      </c>
      <c r="J369" s="11">
        <v>936.7</v>
      </c>
      <c r="K369" s="12" t="e">
        <f t="shared" ref="K369:K370" si="181">F369*J369</f>
        <v>#VALUE!</v>
      </c>
      <c r="L369" s="30"/>
      <c r="M369" s="3" t="e">
        <f>SUM(Tableau113[[#This Row],[prix tot]])</f>
        <v>#VALUE!</v>
      </c>
      <c r="N369" s="30"/>
      <c r="O369" s="30"/>
      <c r="P369" s="30"/>
      <c r="Q369" s="30"/>
      <c r="R369" s="30"/>
      <c r="S369" s="30">
        <v>1</v>
      </c>
      <c r="T369" s="26"/>
      <c r="U369" s="26"/>
      <c r="V369" s="26"/>
      <c r="W369" s="26"/>
      <c r="X369" s="26"/>
      <c r="Y369" s="26"/>
      <c r="Z369" s="26"/>
      <c r="AA369" s="26"/>
      <c r="AB369" s="26"/>
      <c r="AC369" s="26"/>
      <c r="AD369" s="26"/>
      <c r="AE369" s="26"/>
      <c r="AF369" s="26"/>
      <c r="AG369" s="26"/>
      <c r="AH369" s="26"/>
      <c r="AI369" s="26"/>
      <c r="AJ369" s="26"/>
      <c r="AK369" s="26"/>
      <c r="AL369" s="26"/>
      <c r="AM369" s="26"/>
      <c r="AN369" s="26"/>
      <c r="AO369" s="26"/>
      <c r="AP369" s="26"/>
      <c r="AQ369" s="26"/>
      <c r="AR369" s="26"/>
    </row>
    <row r="370" spans="1:44" ht="15.75" x14ac:dyDescent="0.25">
      <c r="A370" s="30"/>
      <c r="B370" s="13" t="s">
        <v>694</v>
      </c>
      <c r="C370" s="14" t="s">
        <v>698</v>
      </c>
      <c r="D370" s="5" t="s">
        <v>699</v>
      </c>
      <c r="E370" s="6" t="s">
        <v>697</v>
      </c>
      <c r="F370" s="7" t="e">
        <f>G370+SUMIF('[1]mouvement lynx'!B:B,"=cellule de détection",'[1]mouvement lynx'!G:G)</f>
        <v>#VALUE!</v>
      </c>
      <c r="G370" s="6">
        <v>1</v>
      </c>
      <c r="H370" s="6">
        <v>1</v>
      </c>
      <c r="I370" s="1" t="e">
        <f t="shared" si="180"/>
        <v>#VALUE!</v>
      </c>
      <c r="J370" s="11">
        <v>205.7</v>
      </c>
      <c r="K370" s="12" t="e">
        <f t="shared" si="181"/>
        <v>#VALUE!</v>
      </c>
      <c r="L370" s="30"/>
      <c r="M370" s="30"/>
      <c r="N370" s="30"/>
      <c r="O370" s="30"/>
      <c r="P370" s="30"/>
      <c r="Q370" s="30"/>
      <c r="R370" s="30"/>
      <c r="S370" s="30">
        <v>1</v>
      </c>
      <c r="T370" s="26"/>
      <c r="U370" s="26"/>
      <c r="V370" s="26"/>
      <c r="W370" s="26"/>
      <c r="X370" s="26"/>
      <c r="Y370" s="26"/>
      <c r="Z370" s="26"/>
      <c r="AA370" s="26"/>
      <c r="AB370" s="26"/>
      <c r="AC370" s="26"/>
      <c r="AD370" s="26"/>
      <c r="AE370" s="26"/>
      <c r="AF370" s="26"/>
      <c r="AG370" s="26"/>
      <c r="AH370" s="26"/>
      <c r="AI370" s="26"/>
      <c r="AJ370" s="26"/>
      <c r="AK370" s="26"/>
      <c r="AL370" s="26"/>
      <c r="AM370" s="26"/>
      <c r="AN370" s="26"/>
      <c r="AO370" s="26"/>
      <c r="AP370" s="26"/>
      <c r="AQ370" s="26"/>
      <c r="AR370" s="26"/>
    </row>
    <row r="374" spans="1:44" ht="15.75" x14ac:dyDescent="0.25">
      <c r="A374" s="30"/>
      <c r="B374" s="13" t="s">
        <v>694</v>
      </c>
      <c r="C374" s="14" t="s">
        <v>706</v>
      </c>
      <c r="D374" s="5" t="s">
        <v>707</v>
      </c>
      <c r="E374" s="6" t="s">
        <v>697</v>
      </c>
      <c r="F374" s="7" t="e">
        <f>G374+SUMIF('[1]mouvement lynx'!B:B,"=tube damper drain",'[1]mouvement lynx'!G:G)</f>
        <v>#VALUE!</v>
      </c>
      <c r="G374" s="6">
        <v>0</v>
      </c>
      <c r="H374" s="6">
        <v>1</v>
      </c>
      <c r="I374" s="1" t="e">
        <f t="shared" ref="I374" si="182">IF(F374&lt;H374,"/!\","-")</f>
        <v>#VALUE!</v>
      </c>
      <c r="J374" s="11">
        <v>0</v>
      </c>
      <c r="K374" s="12" t="e">
        <f t="shared" ref="K374" si="183">F374*J374</f>
        <v>#VALUE!</v>
      </c>
      <c r="L374" s="30"/>
      <c r="M374" s="35" t="e">
        <f>SUM(K370:K374)</f>
        <v>#VALUE!</v>
      </c>
      <c r="N374" s="30"/>
      <c r="O374" s="30"/>
      <c r="P374" s="30"/>
      <c r="Q374" s="30"/>
      <c r="R374" s="30"/>
      <c r="S374" s="30">
        <v>1</v>
      </c>
      <c r="T374" s="26"/>
      <c r="U374" s="26"/>
      <c r="V374" s="26"/>
      <c r="W374" s="26"/>
      <c r="X374" s="26"/>
      <c r="Y374" s="26"/>
      <c r="Z374" s="26"/>
      <c r="AA374" s="26"/>
      <c r="AB374" s="26"/>
      <c r="AC374" s="26"/>
      <c r="AD374" s="26"/>
      <c r="AE374" s="26"/>
      <c r="AF374" s="26"/>
      <c r="AG374" s="26"/>
      <c r="AH374" s="26"/>
      <c r="AI374" s="26"/>
      <c r="AJ374" s="26"/>
      <c r="AK374" s="26"/>
      <c r="AL374" s="26"/>
      <c r="AM374" s="26"/>
      <c r="AN374" s="26"/>
      <c r="AO374" s="26"/>
      <c r="AP374" s="26"/>
      <c r="AQ374" s="26"/>
      <c r="AR374" s="26"/>
    </row>
    <row r="376" spans="1:44" ht="15.75" x14ac:dyDescent="0.25">
      <c r="A376" s="30"/>
      <c r="B376" s="13" t="s">
        <v>708</v>
      </c>
      <c r="C376" s="166" t="s">
        <v>710</v>
      </c>
      <c r="D376" s="167">
        <v>105438247</v>
      </c>
      <c r="E376" s="161" t="s">
        <v>22</v>
      </c>
      <c r="F376" s="162" t="e">
        <f>G376+SUMIF('[1]mouv MULTIVAC R230 et R240'!B:B,"=Plaque de chauffe inférieur 240",'[1]mouv MULTIVAC R230 et R240'!G:G)</f>
        <v>#VALUE!</v>
      </c>
      <c r="G376" s="163">
        <v>1</v>
      </c>
      <c r="H376" s="167">
        <v>1</v>
      </c>
      <c r="I376" s="1" t="e">
        <f t="shared" ref="I376" si="184">IF(F376&lt;H376,"/!\","-")</f>
        <v>#VALUE!</v>
      </c>
      <c r="J376" s="168">
        <v>2215.19</v>
      </c>
      <c r="K376" s="165" t="e">
        <f t="shared" ref="K376" si="185">J376*F376</f>
        <v>#VALUE!</v>
      </c>
      <c r="L376" s="30"/>
      <c r="M376" s="30"/>
      <c r="N376" s="30"/>
      <c r="O376" s="30"/>
      <c r="P376" s="30"/>
      <c r="Q376" s="30"/>
      <c r="R376" s="30"/>
      <c r="S376" s="30">
        <v>1</v>
      </c>
      <c r="T376" s="26"/>
      <c r="U376" s="26"/>
      <c r="V376" s="26"/>
      <c r="W376" s="26"/>
      <c r="X376" s="26"/>
      <c r="Y376" s="26"/>
      <c r="Z376" s="26"/>
      <c r="AA376" s="26"/>
      <c r="AB376" s="26"/>
      <c r="AC376" s="26"/>
      <c r="AD376" s="26"/>
      <c r="AE376" s="26"/>
      <c r="AF376" s="26"/>
      <c r="AG376" s="26"/>
      <c r="AH376" s="26"/>
      <c r="AI376" s="26"/>
      <c r="AJ376" s="26"/>
      <c r="AK376" s="26"/>
      <c r="AL376" s="26"/>
      <c r="AM376" s="26"/>
      <c r="AN376" s="26"/>
      <c r="AO376" s="26"/>
      <c r="AP376" s="26"/>
      <c r="AQ376" s="26"/>
      <c r="AR376" s="26"/>
    </row>
    <row r="378" spans="1:44" ht="15.75" x14ac:dyDescent="0.25">
      <c r="A378" s="30"/>
      <c r="B378" s="13" t="s">
        <v>708</v>
      </c>
      <c r="C378" s="166" t="s">
        <v>712</v>
      </c>
      <c r="D378" s="167">
        <v>105439078</v>
      </c>
      <c r="E378" s="161" t="s">
        <v>22</v>
      </c>
      <c r="F378" s="162" t="e">
        <f>G378+SUMIF('[1]mouv MULTIVAC R230 et R240'!B:B,"=Zone froide R240/230",'[1]mouv MULTIVAC R230 et R240'!G:G)</f>
        <v>#VALUE!</v>
      </c>
      <c r="G378" s="163">
        <v>4</v>
      </c>
      <c r="H378" s="167">
        <v>4</v>
      </c>
      <c r="I378" s="1" t="e">
        <f t="shared" ref="I378:I382" si="186">IF(F378&lt;H378,"/!\","-")</f>
        <v>#VALUE!</v>
      </c>
      <c r="J378" s="168">
        <v>93.26</v>
      </c>
      <c r="K378" s="165" t="e">
        <f t="shared" ref="K378:K382" si="187">J378*F378</f>
        <v>#VALUE!</v>
      </c>
      <c r="L378" s="30"/>
      <c r="M378" s="30"/>
      <c r="N378" s="30"/>
      <c r="O378" s="30"/>
      <c r="P378" s="30"/>
      <c r="Q378" s="30"/>
      <c r="R378" s="30"/>
      <c r="S378" s="30">
        <v>1</v>
      </c>
      <c r="T378" s="26"/>
      <c r="U378" s="26"/>
      <c r="V378" s="26"/>
      <c r="W378" s="26"/>
      <c r="X378" s="26"/>
      <c r="Y378" s="26"/>
      <c r="Z378" s="26"/>
      <c r="AA378" s="26"/>
      <c r="AB378" s="26"/>
      <c r="AC378" s="26"/>
      <c r="AD378" s="26"/>
      <c r="AE378" s="26"/>
      <c r="AF378" s="26"/>
      <c r="AG378" s="26"/>
      <c r="AH378" s="26"/>
      <c r="AI378" s="26"/>
      <c r="AJ378" s="26"/>
      <c r="AK378" s="26"/>
      <c r="AL378" s="26"/>
      <c r="AM378" s="26"/>
      <c r="AN378" s="26"/>
      <c r="AO378" s="26"/>
      <c r="AP378" s="26"/>
      <c r="AQ378" s="26"/>
      <c r="AR378" s="26"/>
    </row>
    <row r="379" spans="1:44" ht="15.75" x14ac:dyDescent="0.25">
      <c r="A379" s="30"/>
      <c r="B379" s="13" t="s">
        <v>708</v>
      </c>
      <c r="C379" s="166" t="s">
        <v>713</v>
      </c>
      <c r="D379" s="167">
        <v>105440648</v>
      </c>
      <c r="E379" s="161" t="s">
        <v>22</v>
      </c>
      <c r="F379" s="162" t="e">
        <f>G379+SUMIF('[1]mouv MULTIVAC R230 et R240'!B:B,"=Joint de soudure 2 voies 2 rangées R240",'[1]mouv MULTIVAC R230 et R240'!G:G)</f>
        <v>#VALUE!</v>
      </c>
      <c r="G379" s="163">
        <v>2</v>
      </c>
      <c r="H379" s="167">
        <v>2</v>
      </c>
      <c r="I379" s="1" t="e">
        <f t="shared" si="186"/>
        <v>#VALUE!</v>
      </c>
      <c r="J379" s="168">
        <v>102.66</v>
      </c>
      <c r="K379" s="165" t="e">
        <f t="shared" si="187"/>
        <v>#VALUE!</v>
      </c>
      <c r="L379" s="30"/>
      <c r="M379" s="30"/>
      <c r="N379" s="30"/>
      <c r="O379" s="30"/>
      <c r="P379" s="30"/>
      <c r="Q379" s="30"/>
      <c r="R379" s="30"/>
      <c r="S379" s="30">
        <v>1</v>
      </c>
      <c r="T379" s="26"/>
      <c r="U379" s="26"/>
      <c r="V379" s="26"/>
      <c r="W379" s="26"/>
      <c r="X379" s="26"/>
      <c r="Y379" s="26"/>
      <c r="Z379" s="26"/>
      <c r="AA379" s="26"/>
      <c r="AB379" s="26"/>
      <c r="AC379" s="26"/>
      <c r="AD379" s="26"/>
      <c r="AE379" s="26"/>
      <c r="AF379" s="26"/>
      <c r="AG379" s="26"/>
      <c r="AH379" s="26"/>
      <c r="AI379" s="26"/>
      <c r="AJ379" s="26"/>
      <c r="AK379" s="26"/>
      <c r="AL379" s="26"/>
      <c r="AM379" s="26"/>
      <c r="AN379" s="26"/>
      <c r="AO379" s="26"/>
      <c r="AP379" s="26"/>
      <c r="AQ379" s="26"/>
      <c r="AR379" s="26"/>
    </row>
    <row r="380" spans="1:44" ht="15.75" x14ac:dyDescent="0.25">
      <c r="A380" s="30"/>
      <c r="B380" s="13" t="s">
        <v>708</v>
      </c>
      <c r="C380" s="166" t="s">
        <v>714</v>
      </c>
      <c r="D380" s="167">
        <v>106520411</v>
      </c>
      <c r="E380" s="161" t="s">
        <v>22</v>
      </c>
      <c r="F380" s="162" t="e">
        <f>G380+SUMIF('[1]mouv MULTIVAC R230 et R240'!B:B,"=Plaque de chauffe 230",'[1]mouv MULTIVAC R230 et R240'!G:G)</f>
        <v>#VALUE!</v>
      </c>
      <c r="G380" s="163">
        <v>1</v>
      </c>
      <c r="H380" s="167">
        <v>1</v>
      </c>
      <c r="I380" s="1" t="e">
        <f t="shared" si="186"/>
        <v>#VALUE!</v>
      </c>
      <c r="J380" s="168">
        <v>1514.81</v>
      </c>
      <c r="K380" s="165" t="e">
        <f t="shared" si="187"/>
        <v>#VALUE!</v>
      </c>
      <c r="L380" s="30"/>
      <c r="M380" s="30"/>
      <c r="N380" s="30"/>
      <c r="O380" s="30"/>
      <c r="P380" s="30"/>
      <c r="Q380" s="30"/>
      <c r="R380" s="30"/>
      <c r="S380" s="30">
        <v>1</v>
      </c>
      <c r="T380" s="26"/>
      <c r="U380" s="26"/>
      <c r="V380" s="26"/>
      <c r="W380" s="26"/>
      <c r="X380" s="26"/>
      <c r="Y380" s="26"/>
      <c r="Z380" s="26"/>
      <c r="AA380" s="26"/>
      <c r="AB380" s="26"/>
      <c r="AC380" s="26"/>
      <c r="AD380" s="26"/>
      <c r="AE380" s="26"/>
      <c r="AF380" s="26"/>
      <c r="AG380" s="26"/>
      <c r="AH380" s="26"/>
      <c r="AI380" s="26"/>
      <c r="AJ380" s="26"/>
      <c r="AK380" s="26"/>
      <c r="AL380" s="26"/>
      <c r="AM380" s="26"/>
      <c r="AN380" s="26"/>
      <c r="AO380" s="26"/>
      <c r="AP380" s="26"/>
      <c r="AQ380" s="26"/>
      <c r="AR380" s="26"/>
    </row>
    <row r="381" spans="1:44" ht="15.75" x14ac:dyDescent="0.25">
      <c r="A381" s="30"/>
      <c r="B381" s="13" t="s">
        <v>708</v>
      </c>
      <c r="C381" s="166" t="s">
        <v>715</v>
      </c>
      <c r="D381" s="167">
        <v>106521314</v>
      </c>
      <c r="E381" s="161" t="s">
        <v>22</v>
      </c>
      <c r="F381" s="162" t="e">
        <f>G381+SUMIF('[1]mouv MULTIVAC R230 et R240'!B:B,"=Joint de soudure 2 voies 1 rangée R230",'[1]mouv MULTIVAC R230 et R240'!G:G)</f>
        <v>#VALUE!</v>
      </c>
      <c r="G381" s="163">
        <v>3</v>
      </c>
      <c r="H381" s="167">
        <v>1</v>
      </c>
      <c r="I381" s="1" t="e">
        <f t="shared" si="186"/>
        <v>#VALUE!</v>
      </c>
      <c r="J381" s="168">
        <v>56.94</v>
      </c>
      <c r="K381" s="165" t="e">
        <f t="shared" si="187"/>
        <v>#VALUE!</v>
      </c>
      <c r="L381" s="30"/>
      <c r="M381" s="30"/>
      <c r="N381" s="30"/>
      <c r="O381" s="30"/>
      <c r="P381" s="30"/>
      <c r="Q381" s="30"/>
      <c r="R381" s="30"/>
      <c r="S381" s="30">
        <v>1</v>
      </c>
      <c r="T381" s="26"/>
      <c r="U381" s="26"/>
      <c r="V381" s="26"/>
      <c r="W381" s="26"/>
      <c r="X381" s="26"/>
      <c r="Y381" s="26"/>
      <c r="Z381" s="26"/>
      <c r="AA381" s="26"/>
      <c r="AB381" s="26"/>
      <c r="AC381" s="26"/>
      <c r="AD381" s="26"/>
      <c r="AE381" s="26"/>
      <c r="AF381" s="26"/>
      <c r="AG381" s="26"/>
      <c r="AH381" s="26"/>
      <c r="AI381" s="26"/>
      <c r="AJ381" s="26"/>
      <c r="AK381" s="26"/>
      <c r="AL381" s="26"/>
      <c r="AM381" s="26"/>
      <c r="AN381" s="26"/>
      <c r="AO381" s="26"/>
      <c r="AP381" s="26"/>
      <c r="AQ381" s="26"/>
      <c r="AR381" s="26"/>
    </row>
    <row r="382" spans="1:44" ht="15.75" x14ac:dyDescent="0.25">
      <c r="A382" s="30"/>
      <c r="B382" s="13" t="s">
        <v>708</v>
      </c>
      <c r="C382" s="169" t="s">
        <v>716</v>
      </c>
      <c r="D382" s="167">
        <v>106521340</v>
      </c>
      <c r="E382" s="161" t="s">
        <v>22</v>
      </c>
      <c r="F382" s="162" t="e">
        <f>G382+SUMIF('[1]mouv MULTIVAC R230 et R240'!B:B,"=Plaque de soudure R230",'[1]mouv MULTIVAC R230 et R240'!G:G)</f>
        <v>#VALUE!</v>
      </c>
      <c r="G382" s="163">
        <v>1</v>
      </c>
      <c r="H382" s="167">
        <v>1</v>
      </c>
      <c r="I382" s="1" t="e">
        <f t="shared" si="186"/>
        <v>#VALUE!</v>
      </c>
      <c r="J382" s="168">
        <v>1218.03</v>
      </c>
      <c r="K382" s="165" t="e">
        <f t="shared" si="187"/>
        <v>#VALUE!</v>
      </c>
      <c r="L382" s="30"/>
      <c r="M382" s="30"/>
      <c r="N382" s="30"/>
      <c r="O382" s="30"/>
      <c r="P382" s="30"/>
      <c r="Q382" s="30"/>
      <c r="R382" s="30"/>
      <c r="S382" s="30">
        <v>1</v>
      </c>
      <c r="T382" s="26"/>
      <c r="U382" s="26"/>
      <c r="V382" s="26"/>
      <c r="W382" s="26"/>
      <c r="X382" s="26"/>
      <c r="Y382" s="26"/>
      <c r="Z382" s="26"/>
      <c r="AA382" s="26"/>
      <c r="AB382" s="26"/>
      <c r="AC382" s="26"/>
      <c r="AD382" s="26"/>
      <c r="AE382" s="26"/>
      <c r="AF382" s="26"/>
      <c r="AG382" s="26"/>
      <c r="AH382" s="26"/>
      <c r="AI382" s="26"/>
      <c r="AJ382" s="26"/>
      <c r="AK382" s="26"/>
      <c r="AL382" s="26"/>
      <c r="AM382" s="26"/>
      <c r="AN382" s="26"/>
      <c r="AO382" s="26"/>
      <c r="AP382" s="26"/>
      <c r="AQ382" s="26"/>
      <c r="AR382" s="26"/>
    </row>
    <row r="389" spans="1:44" ht="72" x14ac:dyDescent="0.25">
      <c r="A389" s="30"/>
      <c r="B389" s="13" t="s">
        <v>708</v>
      </c>
      <c r="C389" s="170" t="s">
        <v>723</v>
      </c>
      <c r="D389" s="167">
        <v>11611237001</v>
      </c>
      <c r="E389" s="161" t="s">
        <v>22</v>
      </c>
      <c r="F389" s="162" t="e">
        <f>G389+SUMIF('[1]mouv MULTIVAC R230 et R240'!B:B,"=R230, Rondelle téflons D1-100 D2-36 L1-5 L2-0,5 PA6E",'[1]mouv MULTIVAC R230 et R240'!G:G)</f>
        <v>#VALUE!</v>
      </c>
      <c r="G389" s="163">
        <v>8</v>
      </c>
      <c r="H389" s="163">
        <v>8</v>
      </c>
      <c r="I389" s="1" t="e">
        <f t="shared" ref="I389" si="188">IF(F389&lt;H389,"/!\","-")</f>
        <v>#VALUE!</v>
      </c>
      <c r="J389" s="164">
        <v>31.01</v>
      </c>
      <c r="K389" s="165" t="e">
        <f t="shared" ref="K389" si="189">J389*F389</f>
        <v>#VALUE!</v>
      </c>
      <c r="L389" s="30"/>
      <c r="M389" s="30"/>
      <c r="N389" s="30"/>
      <c r="O389" s="30"/>
      <c r="P389" s="30"/>
      <c r="Q389" s="30"/>
      <c r="R389" s="30"/>
      <c r="S389" s="30">
        <v>1</v>
      </c>
      <c r="T389" s="26"/>
      <c r="U389" s="26"/>
      <c r="V389" s="26"/>
      <c r="W389" s="26"/>
      <c r="X389" s="26"/>
      <c r="Y389" s="26"/>
      <c r="Z389" s="26"/>
      <c r="AA389" s="26"/>
      <c r="AB389" s="26"/>
      <c r="AC389" s="26"/>
      <c r="AD389" s="26"/>
      <c r="AE389" s="26"/>
      <c r="AF389" s="26"/>
      <c r="AG389" s="26"/>
      <c r="AH389" s="26"/>
      <c r="AI389" s="26"/>
      <c r="AJ389" s="26"/>
      <c r="AK389" s="26"/>
      <c r="AL389" s="26"/>
      <c r="AM389" s="26"/>
      <c r="AN389" s="26"/>
      <c r="AO389" s="26"/>
      <c r="AP389" s="26"/>
      <c r="AQ389" s="26"/>
      <c r="AR389" s="26"/>
    </row>
    <row r="391" spans="1:44" ht="48" x14ac:dyDescent="0.25">
      <c r="A391" s="30"/>
      <c r="B391" s="13" t="s">
        <v>708</v>
      </c>
      <c r="C391" s="170" t="s">
        <v>725</v>
      </c>
      <c r="D391" s="167">
        <v>11631038043</v>
      </c>
      <c r="E391" s="161" t="s">
        <v>22</v>
      </c>
      <c r="F391" s="162" t="e">
        <f>G391+SUMIF('[1]mouv MULTIVAC R230 et R240'!B:B,"=douilles (guide film sur rouleaux soudure)",'[1]mouv MULTIVAC R230 et R240'!G:G)</f>
        <v>#VALUE!</v>
      </c>
      <c r="G391" s="163">
        <v>8</v>
      </c>
      <c r="H391" s="163">
        <v>2</v>
      </c>
      <c r="I391" s="1" t="e">
        <f t="shared" ref="I391" si="190">IF(F391&lt;H391,"/!\","-")</f>
        <v>#VALUE!</v>
      </c>
      <c r="J391" s="164">
        <v>13.53</v>
      </c>
      <c r="K391" s="165" t="e">
        <f t="shared" ref="K391" si="191">J391*F391</f>
        <v>#VALUE!</v>
      </c>
      <c r="L391" s="30"/>
      <c r="M391" s="30"/>
      <c r="N391" s="30"/>
      <c r="O391" s="30"/>
      <c r="P391" s="30"/>
      <c r="Q391" s="30"/>
      <c r="R391" s="30"/>
      <c r="S391" s="30">
        <v>1</v>
      </c>
      <c r="T391" s="26"/>
      <c r="U391" s="26"/>
      <c r="V391" s="26"/>
      <c r="W391" s="26"/>
      <c r="X391" s="26"/>
      <c r="Y391" s="26"/>
      <c r="Z391" s="26"/>
      <c r="AA391" s="26"/>
      <c r="AB391" s="26"/>
      <c r="AC391" s="26"/>
      <c r="AD391" s="26"/>
      <c r="AE391" s="26"/>
      <c r="AF391" s="26"/>
      <c r="AG391" s="26"/>
      <c r="AH391" s="26"/>
      <c r="AI391" s="26"/>
      <c r="AJ391" s="26"/>
      <c r="AK391" s="26"/>
      <c r="AL391" s="26"/>
      <c r="AM391" s="26"/>
      <c r="AN391" s="26"/>
      <c r="AO391" s="26"/>
      <c r="AP391" s="26"/>
      <c r="AQ391" s="26"/>
      <c r="AR391" s="26"/>
    </row>
    <row r="393" spans="1:44" ht="15.75" x14ac:dyDescent="0.25">
      <c r="A393" s="30"/>
      <c r="B393" s="13" t="s">
        <v>708</v>
      </c>
      <c r="C393" s="166" t="s">
        <v>727</v>
      </c>
      <c r="D393" s="167">
        <v>19010049435</v>
      </c>
      <c r="E393" s="161" t="s">
        <v>22</v>
      </c>
      <c r="F393" s="162" t="e">
        <f>G393+SUMIF('[1]mouv MULTIVAC R230 et R240'!B:B,"=Membrane de soudure 100X435 R240",'[1]mouv MULTIVAC R230 et R240'!G:G)</f>
        <v>#VALUE!</v>
      </c>
      <c r="G393" s="163">
        <v>1</v>
      </c>
      <c r="H393" s="167">
        <v>2</v>
      </c>
      <c r="I393" s="1" t="e">
        <f t="shared" ref="I393:I397" si="192">IF(F393&lt;H393,"/!\","-")</f>
        <v>#VALUE!</v>
      </c>
      <c r="J393" s="168">
        <v>91.66</v>
      </c>
      <c r="K393" s="165" t="e">
        <f t="shared" ref="K393:K397" si="193">J393*F393</f>
        <v>#VALUE!</v>
      </c>
      <c r="L393" s="30"/>
      <c r="M393" s="30"/>
      <c r="N393" s="30"/>
      <c r="O393" s="30"/>
      <c r="P393" s="30"/>
      <c r="Q393" s="30"/>
      <c r="R393" s="30"/>
      <c r="S393" s="30">
        <v>1</v>
      </c>
      <c r="T393" s="26"/>
      <c r="U393" s="26"/>
      <c r="V393" s="26"/>
      <c r="W393" s="26"/>
      <c r="X393" s="26"/>
      <c r="Y393" s="26"/>
      <c r="Z393" s="26"/>
      <c r="AA393" s="26"/>
      <c r="AB393" s="26"/>
      <c r="AC393" s="26"/>
      <c r="AD393" s="26"/>
      <c r="AE393" s="26"/>
      <c r="AF393" s="26"/>
      <c r="AG393" s="26"/>
      <c r="AH393" s="26"/>
      <c r="AI393" s="26"/>
      <c r="AJ393" s="26"/>
      <c r="AK393" s="26"/>
      <c r="AL393" s="26"/>
      <c r="AM393" s="26"/>
      <c r="AN393" s="26"/>
      <c r="AO393" s="26"/>
      <c r="AP393" s="26"/>
      <c r="AQ393" s="26"/>
      <c r="AR393" s="26"/>
    </row>
    <row r="394" spans="1:44" ht="15.75" x14ac:dyDescent="0.25">
      <c r="A394" s="30"/>
      <c r="B394" s="13" t="s">
        <v>708</v>
      </c>
      <c r="C394" s="166" t="s">
        <v>728</v>
      </c>
      <c r="D394" s="167">
        <v>19010249315</v>
      </c>
      <c r="E394" s="161" t="s">
        <v>22</v>
      </c>
      <c r="F394" s="162" t="e">
        <f>G394+SUMIF('[1]mouv MULTIVAC R230 et R240'!B:B,"=Membrane de soudure 120X315 R230",'[1]mouv MULTIVAC R230 et R240'!G:G)</f>
        <v>#VALUE!</v>
      </c>
      <c r="G394" s="163">
        <v>2</v>
      </c>
      <c r="H394" s="167">
        <v>1</v>
      </c>
      <c r="I394" s="1" t="e">
        <f t="shared" si="192"/>
        <v>#VALUE!</v>
      </c>
      <c r="J394" s="168">
        <v>91.66</v>
      </c>
      <c r="K394" s="165" t="e">
        <f t="shared" si="193"/>
        <v>#VALUE!</v>
      </c>
      <c r="L394" s="30"/>
      <c r="M394" s="30"/>
      <c r="N394" s="30"/>
      <c r="O394" s="30"/>
      <c r="P394" s="30"/>
      <c r="Q394" s="30"/>
      <c r="R394" s="30"/>
      <c r="S394" s="30">
        <v>1</v>
      </c>
      <c r="T394" s="26"/>
      <c r="U394" s="26"/>
      <c r="V394" s="26"/>
      <c r="W394" s="26"/>
      <c r="X394" s="26"/>
      <c r="Y394" s="26"/>
      <c r="Z394" s="26"/>
      <c r="AA394" s="26"/>
      <c r="AB394" s="26"/>
      <c r="AC394" s="26"/>
      <c r="AD394" s="26"/>
      <c r="AE394" s="26"/>
      <c r="AF394" s="26"/>
      <c r="AG394" s="26"/>
      <c r="AH394" s="26"/>
      <c r="AI394" s="26"/>
      <c r="AJ394" s="26"/>
      <c r="AK394" s="26"/>
      <c r="AL394" s="26"/>
      <c r="AM394" s="26"/>
      <c r="AN394" s="26"/>
      <c r="AO394" s="26"/>
      <c r="AP394" s="26"/>
      <c r="AQ394" s="26"/>
      <c r="AR394" s="26"/>
    </row>
    <row r="395" spans="1:44" ht="24" x14ac:dyDescent="0.25">
      <c r="A395" s="30"/>
      <c r="B395" s="13" t="s">
        <v>708</v>
      </c>
      <c r="C395" s="170" t="s">
        <v>729</v>
      </c>
      <c r="D395" s="167">
        <v>19181271474</v>
      </c>
      <c r="E395" s="161" t="s">
        <v>22</v>
      </c>
      <c r="F395" s="162" t="e">
        <f>G395+SUMIF('[1]mouv MULTIVAC R230 et R240'!B:B,"=pochette uv5 joint",'[1]mouv MULTIVAC R230 et R240'!G:G)</f>
        <v>#VALUE!</v>
      </c>
      <c r="G395" s="163">
        <v>19</v>
      </c>
      <c r="H395" s="163">
        <v>10</v>
      </c>
      <c r="I395" s="1" t="e">
        <f t="shared" si="192"/>
        <v>#VALUE!</v>
      </c>
      <c r="J395" s="164">
        <v>31.8</v>
      </c>
      <c r="K395" s="165" t="e">
        <f t="shared" si="193"/>
        <v>#VALUE!</v>
      </c>
      <c r="L395" s="30"/>
      <c r="M395" s="30"/>
      <c r="N395" s="30"/>
      <c r="O395" s="30"/>
      <c r="P395" s="30"/>
      <c r="Q395" s="30"/>
      <c r="R395" s="30"/>
      <c r="S395" s="30">
        <v>1</v>
      </c>
      <c r="T395" s="26"/>
      <c r="U395" s="26"/>
      <c r="V395" s="26"/>
      <c r="W395" s="26"/>
      <c r="X395" s="26"/>
      <c r="Y395" s="26"/>
      <c r="Z395" s="26"/>
      <c r="AA395" s="26"/>
      <c r="AB395" s="26"/>
      <c r="AC395" s="26"/>
      <c r="AD395" s="26"/>
      <c r="AE395" s="26"/>
      <c r="AF395" s="26"/>
      <c r="AG395" s="26"/>
      <c r="AH395" s="26"/>
      <c r="AI395" s="26"/>
      <c r="AJ395" s="26"/>
      <c r="AK395" s="26"/>
      <c r="AL395" s="26"/>
      <c r="AM395" s="26"/>
      <c r="AN395" s="26"/>
      <c r="AO395" s="26"/>
      <c r="AP395" s="26"/>
      <c r="AQ395" s="26"/>
      <c r="AR395" s="26"/>
    </row>
    <row r="396" spans="1:44" ht="15.75" x14ac:dyDescent="0.25">
      <c r="A396" s="30"/>
      <c r="B396" s="13" t="s">
        <v>708</v>
      </c>
      <c r="C396" s="166" t="s">
        <v>730</v>
      </c>
      <c r="D396" s="167">
        <v>19181271484</v>
      </c>
      <c r="E396" s="161" t="s">
        <v>22</v>
      </c>
      <c r="F396" s="162" t="e">
        <f>G396+SUMIF('[1]mouv MULTIVAC R230 et R240'!B:B,"=Pochette UV10",'[1]mouv MULTIVAC R230 et R240'!G:G)</f>
        <v>#VALUE!</v>
      </c>
      <c r="G396" s="163">
        <v>10</v>
      </c>
      <c r="H396" s="167">
        <v>10</v>
      </c>
      <c r="I396" s="1" t="e">
        <f t="shared" si="192"/>
        <v>#VALUE!</v>
      </c>
      <c r="J396" s="168">
        <v>8.2200000000000006</v>
      </c>
      <c r="K396" s="165" t="e">
        <f t="shared" si="193"/>
        <v>#VALUE!</v>
      </c>
      <c r="L396" s="30"/>
      <c r="M396" s="30"/>
      <c r="N396" s="30"/>
      <c r="O396" s="30"/>
      <c r="P396" s="30"/>
      <c r="Q396" s="30"/>
      <c r="R396" s="30"/>
      <c r="S396" s="30">
        <v>1</v>
      </c>
      <c r="T396" s="26"/>
      <c r="U396" s="26"/>
      <c r="V396" s="26"/>
      <c r="W396" s="26"/>
      <c r="X396" s="26"/>
      <c r="Y396" s="26"/>
      <c r="Z396" s="26"/>
      <c r="AA396" s="26"/>
      <c r="AB396" s="26"/>
      <c r="AC396" s="26"/>
      <c r="AD396" s="26"/>
      <c r="AE396" s="26"/>
      <c r="AF396" s="26"/>
      <c r="AG396" s="26"/>
      <c r="AH396" s="26"/>
      <c r="AI396" s="26"/>
      <c r="AJ396" s="26"/>
      <c r="AK396" s="26"/>
      <c r="AL396" s="26"/>
      <c r="AM396" s="26"/>
      <c r="AN396" s="26"/>
      <c r="AO396" s="26"/>
      <c r="AP396" s="26"/>
      <c r="AQ396" s="26"/>
      <c r="AR396" s="26"/>
    </row>
    <row r="397" spans="1:44" ht="15.75" x14ac:dyDescent="0.25">
      <c r="A397" s="30"/>
      <c r="B397" s="13" t="s">
        <v>708</v>
      </c>
      <c r="C397" s="166" t="s">
        <v>731</v>
      </c>
      <c r="D397" s="167">
        <v>19181271706</v>
      </c>
      <c r="E397" s="161" t="s">
        <v>22</v>
      </c>
      <c r="F397" s="162" t="e">
        <f>G397+SUMIF('[1]mouv MULTIVAC R230 et R240'!B:B,"=Joint (d'étanchéité) de soupape gros",'[1]mouv MULTIVAC R230 et R240'!G:G)</f>
        <v>#VALUE!</v>
      </c>
      <c r="G397" s="163">
        <v>8</v>
      </c>
      <c r="H397" s="167">
        <v>6</v>
      </c>
      <c r="I397" s="1" t="e">
        <f t="shared" si="192"/>
        <v>#VALUE!</v>
      </c>
      <c r="J397" s="168">
        <v>49.65</v>
      </c>
      <c r="K397" s="165" t="e">
        <f t="shared" si="193"/>
        <v>#VALUE!</v>
      </c>
      <c r="L397" s="30"/>
      <c r="M397" s="30"/>
      <c r="N397" s="30"/>
      <c r="O397" s="30"/>
      <c r="P397" s="30"/>
      <c r="Q397" s="30"/>
      <c r="R397" s="30"/>
      <c r="S397" s="30">
        <v>1</v>
      </c>
      <c r="T397" s="26"/>
      <c r="U397" s="26"/>
      <c r="V397" s="26"/>
      <c r="W397" s="26"/>
      <c r="X397" s="26"/>
      <c r="Y397" s="26"/>
      <c r="Z397" s="26"/>
      <c r="AA397" s="26"/>
      <c r="AB397" s="26"/>
      <c r="AC397" s="26"/>
      <c r="AD397" s="26"/>
      <c r="AE397" s="26"/>
      <c r="AF397" s="26"/>
      <c r="AG397" s="26"/>
      <c r="AH397" s="26"/>
      <c r="AI397" s="26"/>
      <c r="AJ397" s="26"/>
      <c r="AK397" s="26"/>
      <c r="AL397" s="26"/>
      <c r="AM397" s="26"/>
      <c r="AN397" s="26"/>
      <c r="AO397" s="26"/>
      <c r="AP397" s="26"/>
      <c r="AQ397" s="26"/>
      <c r="AR397" s="26"/>
    </row>
    <row r="401" spans="1:44" ht="48" x14ac:dyDescent="0.25">
      <c r="A401" s="30"/>
      <c r="B401" s="13" t="s">
        <v>708</v>
      </c>
      <c r="C401" s="170" t="s">
        <v>735</v>
      </c>
      <c r="D401" s="167">
        <v>19784201800</v>
      </c>
      <c r="E401" s="161" t="s">
        <v>22</v>
      </c>
      <c r="F401" s="162" t="e">
        <f>G401+SUMIF('[1]mouv MULTIVAC R230 et R240'!B:B,"=ressort de traction D1=18 ( enrouleur)",'[1]mouv MULTIVAC R230 et R240'!G:G)</f>
        <v>#VALUE!</v>
      </c>
      <c r="G401" s="163">
        <v>4</v>
      </c>
      <c r="H401" s="163">
        <v>2</v>
      </c>
      <c r="I401" s="1" t="e">
        <f t="shared" ref="I401" si="194">IF(F401&lt;H401,"/!\","-")</f>
        <v>#VALUE!</v>
      </c>
      <c r="J401" s="164">
        <v>3.42</v>
      </c>
      <c r="K401" s="165" t="e">
        <f t="shared" ref="K401" si="195">J401*F401</f>
        <v>#VALUE!</v>
      </c>
      <c r="L401" s="30"/>
      <c r="M401" s="30"/>
      <c r="N401" s="30"/>
      <c r="O401" s="30"/>
      <c r="P401" s="30"/>
      <c r="Q401" s="30"/>
      <c r="R401" s="30"/>
      <c r="S401" s="30">
        <v>1</v>
      </c>
      <c r="T401" s="26"/>
      <c r="U401" s="26"/>
      <c r="V401" s="26"/>
      <c r="W401" s="26"/>
      <c r="X401" s="26"/>
      <c r="Y401" s="26"/>
      <c r="Z401" s="26"/>
      <c r="AA401" s="26"/>
      <c r="AB401" s="26"/>
      <c r="AC401" s="26"/>
      <c r="AD401" s="26"/>
      <c r="AE401" s="26"/>
      <c r="AF401" s="26"/>
      <c r="AG401" s="26"/>
      <c r="AH401" s="26"/>
      <c r="AI401" s="26"/>
      <c r="AJ401" s="26"/>
      <c r="AK401" s="26"/>
      <c r="AL401" s="26"/>
      <c r="AM401" s="26"/>
      <c r="AN401" s="26"/>
      <c r="AO401" s="26"/>
      <c r="AP401" s="26"/>
      <c r="AQ401" s="26"/>
      <c r="AR401" s="26"/>
    </row>
    <row r="403" spans="1:44" ht="24" x14ac:dyDescent="0.25">
      <c r="A403" s="30"/>
      <c r="B403" s="13" t="s">
        <v>708</v>
      </c>
      <c r="C403" s="170" t="s">
        <v>737</v>
      </c>
      <c r="D403" s="167">
        <v>78100001202</v>
      </c>
      <c r="E403" s="161" t="s">
        <v>22</v>
      </c>
      <c r="F403" s="162" t="e">
        <f>G403+SUMIF('[1]mouv MULTIVAC R230 et R240'!B:B,"=circlip diam12",'[1]mouv MULTIVAC R230 et R240'!G:G)</f>
        <v>#VALUE!</v>
      </c>
      <c r="G403" s="163">
        <v>0</v>
      </c>
      <c r="H403" s="163">
        <v>10</v>
      </c>
      <c r="I403" s="1" t="e">
        <f t="shared" ref="I403" si="196">IF(F403&lt;H403,"/!\","-")</f>
        <v>#VALUE!</v>
      </c>
      <c r="J403" s="164">
        <v>0.24</v>
      </c>
      <c r="K403" s="165" t="e">
        <f t="shared" ref="K403" si="197">J403*F403</f>
        <v>#VALUE!</v>
      </c>
      <c r="L403" s="30"/>
      <c r="M403" s="30"/>
      <c r="N403" s="30"/>
      <c r="O403" s="30"/>
      <c r="P403" s="30"/>
      <c r="Q403" s="30"/>
      <c r="R403" s="30"/>
      <c r="S403" s="30">
        <v>1</v>
      </c>
      <c r="T403" s="26"/>
      <c r="U403" s="26"/>
      <c r="V403" s="26"/>
      <c r="W403" s="26"/>
      <c r="X403" s="26"/>
      <c r="Y403" s="26"/>
      <c r="Z403" s="26"/>
      <c r="AA403" s="26"/>
      <c r="AB403" s="26"/>
      <c r="AC403" s="26"/>
      <c r="AD403" s="26"/>
      <c r="AE403" s="26"/>
      <c r="AF403" s="26"/>
      <c r="AG403" s="26"/>
      <c r="AH403" s="26"/>
      <c r="AI403" s="26"/>
      <c r="AJ403" s="26"/>
      <c r="AK403" s="26"/>
      <c r="AL403" s="26"/>
      <c r="AM403" s="26"/>
      <c r="AN403" s="26"/>
      <c r="AO403" s="26"/>
      <c r="AP403" s="26"/>
      <c r="AQ403" s="26"/>
      <c r="AR403" s="26"/>
    </row>
    <row r="405" spans="1:44" ht="48" x14ac:dyDescent="0.25">
      <c r="A405" s="30"/>
      <c r="B405" s="13" t="s">
        <v>708</v>
      </c>
      <c r="C405" s="170" t="s">
        <v>739</v>
      </c>
      <c r="D405" s="167">
        <v>78309010000</v>
      </c>
      <c r="E405" s="161" t="s">
        <v>22</v>
      </c>
      <c r="F405" s="162" t="e">
        <f>G405+SUMIF('[1]mouv MULTIVAC R230 et R240'!B:B,"=bague d'étanchéité 14x10x4 NBN",'[1]mouv MULTIVAC R230 et R240'!G:G)</f>
        <v>#VALUE!</v>
      </c>
      <c r="G405" s="163">
        <v>2</v>
      </c>
      <c r="H405" s="163">
        <v>0</v>
      </c>
      <c r="I405" s="1" t="e">
        <f t="shared" ref="I405:I409" si="198">IF(F405&lt;H405,"/!\","-")</f>
        <v>#VALUE!</v>
      </c>
      <c r="J405" s="164">
        <v>3.28</v>
      </c>
      <c r="K405" s="165" t="e">
        <f t="shared" ref="K405:K409" si="199">J405*F405</f>
        <v>#VALUE!</v>
      </c>
      <c r="L405" s="30"/>
      <c r="M405" s="30"/>
      <c r="N405" s="30"/>
      <c r="O405" s="30"/>
      <c r="P405" s="30"/>
      <c r="Q405" s="30"/>
      <c r="R405" s="30"/>
      <c r="S405" s="30">
        <v>1</v>
      </c>
      <c r="T405" s="26"/>
      <c r="U405" s="26"/>
      <c r="V405" s="26"/>
      <c r="W405" s="26"/>
      <c r="X405" s="26"/>
      <c r="Y405" s="26"/>
      <c r="Z405" s="26"/>
      <c r="AA405" s="26"/>
      <c r="AB405" s="26"/>
      <c r="AC405" s="26"/>
      <c r="AD405" s="26"/>
      <c r="AE405" s="26"/>
      <c r="AF405" s="26"/>
      <c r="AG405" s="26"/>
      <c r="AH405" s="26"/>
      <c r="AI405" s="26"/>
      <c r="AJ405" s="26"/>
      <c r="AK405" s="26"/>
      <c r="AL405" s="26"/>
      <c r="AM405" s="26"/>
      <c r="AN405" s="26"/>
      <c r="AO405" s="26"/>
      <c r="AP405" s="26"/>
      <c r="AQ405" s="26"/>
      <c r="AR405" s="26"/>
    </row>
    <row r="406" spans="1:44" ht="36" x14ac:dyDescent="0.25">
      <c r="A406" s="30"/>
      <c r="B406" s="13" t="s">
        <v>708</v>
      </c>
      <c r="C406" s="170" t="s">
        <v>740</v>
      </c>
      <c r="D406" s="167">
        <v>78310014240</v>
      </c>
      <c r="E406" s="161" t="s">
        <v>22</v>
      </c>
      <c r="F406" s="162" t="e">
        <f>G406+SUMIF('[1]mouv MULTIVAC R230 et R240'!B:B,"=joints levresd1:24 /d2:14/ b1:8",'[1]mouv MULTIVAC R230 et R240'!G:G)</f>
        <v>#VALUE!</v>
      </c>
      <c r="G406" s="163">
        <v>6</v>
      </c>
      <c r="H406" s="163">
        <v>6</v>
      </c>
      <c r="I406" s="1" t="e">
        <f t="shared" si="198"/>
        <v>#VALUE!</v>
      </c>
      <c r="J406" s="164">
        <v>0.91</v>
      </c>
      <c r="K406" s="165" t="e">
        <f t="shared" si="199"/>
        <v>#VALUE!</v>
      </c>
      <c r="L406" s="30"/>
      <c r="M406" s="30"/>
      <c r="N406" s="30"/>
      <c r="O406" s="30"/>
      <c r="P406" s="30"/>
      <c r="Q406" s="30"/>
      <c r="R406" s="30"/>
      <c r="S406" s="30">
        <v>1</v>
      </c>
      <c r="T406" s="26"/>
      <c r="U406" s="26"/>
      <c r="V406" s="26"/>
      <c r="W406" s="26"/>
      <c r="X406" s="26"/>
      <c r="Y406" s="26"/>
      <c r="Z406" s="26"/>
      <c r="AA406" s="26"/>
      <c r="AB406" s="26"/>
      <c r="AC406" s="26"/>
      <c r="AD406" s="26"/>
      <c r="AE406" s="26"/>
      <c r="AF406" s="26"/>
      <c r="AG406" s="26"/>
      <c r="AH406" s="26"/>
      <c r="AI406" s="26"/>
      <c r="AJ406" s="26"/>
      <c r="AK406" s="26"/>
      <c r="AL406" s="26"/>
      <c r="AM406" s="26"/>
      <c r="AN406" s="26"/>
      <c r="AO406" s="26"/>
      <c r="AP406" s="26"/>
      <c r="AQ406" s="26"/>
      <c r="AR406" s="26"/>
    </row>
    <row r="407" spans="1:44" ht="24" x14ac:dyDescent="0.25">
      <c r="A407" s="30"/>
      <c r="B407" s="13" t="s">
        <v>708</v>
      </c>
      <c r="C407" s="170" t="s">
        <v>741</v>
      </c>
      <c r="D407" s="167">
        <v>78310345550</v>
      </c>
      <c r="E407" s="161" t="s">
        <v>22</v>
      </c>
      <c r="F407" s="162" t="e">
        <f>G407+SUMIF('[1]mouv MULTIVAC R230 et R240'!B:B,"=joint levre de vide",'[1]mouv MULTIVAC R230 et R240'!G:G)</f>
        <v>#VALUE!</v>
      </c>
      <c r="G407" s="163">
        <v>8</v>
      </c>
      <c r="H407" s="163">
        <v>2</v>
      </c>
      <c r="I407" s="1" t="e">
        <f t="shared" si="198"/>
        <v>#VALUE!</v>
      </c>
      <c r="J407" s="164">
        <v>2.1</v>
      </c>
      <c r="K407" s="165" t="e">
        <f t="shared" si="199"/>
        <v>#VALUE!</v>
      </c>
      <c r="L407" s="30"/>
      <c r="M407" s="30"/>
      <c r="N407" s="30"/>
      <c r="O407" s="30"/>
      <c r="P407" s="30"/>
      <c r="Q407" s="30"/>
      <c r="R407" s="30"/>
      <c r="S407" s="30">
        <v>1</v>
      </c>
      <c r="T407" s="26"/>
      <c r="U407" s="26"/>
      <c r="V407" s="26"/>
      <c r="W407" s="26"/>
      <c r="X407" s="26"/>
      <c r="Y407" s="26"/>
      <c r="Z407" s="26"/>
      <c r="AA407" s="26"/>
      <c r="AB407" s="26"/>
      <c r="AC407" s="26"/>
      <c r="AD407" s="26"/>
      <c r="AE407" s="26"/>
      <c r="AF407" s="26"/>
      <c r="AG407" s="26"/>
      <c r="AH407" s="26"/>
      <c r="AI407" s="26"/>
      <c r="AJ407" s="26"/>
      <c r="AK407" s="26"/>
      <c r="AL407" s="26"/>
      <c r="AM407" s="26"/>
      <c r="AN407" s="26"/>
      <c r="AO407" s="26"/>
      <c r="AP407" s="26"/>
      <c r="AQ407" s="26"/>
      <c r="AR407" s="26"/>
    </row>
    <row r="408" spans="1:44" ht="48" x14ac:dyDescent="0.25">
      <c r="A408" s="30"/>
      <c r="B408" s="13" t="s">
        <v>708</v>
      </c>
      <c r="C408" s="170" t="s">
        <v>742</v>
      </c>
      <c r="D408" s="167">
        <v>79633207541</v>
      </c>
      <c r="E408" s="161" t="s">
        <v>22</v>
      </c>
      <c r="F408" s="162" t="e">
        <f>G408+SUMIF('[1]mouv MULTIVAC R230 et R240'!B:B,"=courroie b1:16 l1:375at5 endlos",'[1]mouv MULTIVAC R230 et R240'!G:G)</f>
        <v>#VALUE!</v>
      </c>
      <c r="G408" s="163">
        <v>2</v>
      </c>
      <c r="H408" s="163">
        <v>2</v>
      </c>
      <c r="I408" s="1" t="e">
        <f t="shared" si="198"/>
        <v>#VALUE!</v>
      </c>
      <c r="J408" s="164">
        <v>9.32</v>
      </c>
      <c r="K408" s="165" t="e">
        <f t="shared" si="199"/>
        <v>#VALUE!</v>
      </c>
      <c r="L408" s="30"/>
      <c r="M408" s="30"/>
      <c r="N408" s="30"/>
      <c r="O408" s="30"/>
      <c r="P408" s="30"/>
      <c r="Q408" s="30"/>
      <c r="R408" s="30"/>
      <c r="S408" s="30">
        <v>1</v>
      </c>
      <c r="T408" s="26"/>
      <c r="U408" s="26"/>
      <c r="V408" s="26"/>
      <c r="W408" s="26"/>
      <c r="X408" s="26"/>
      <c r="Y408" s="26"/>
      <c r="Z408" s="26"/>
      <c r="AA408" s="26"/>
      <c r="AB408" s="26"/>
      <c r="AC408" s="26"/>
      <c r="AD408" s="26"/>
      <c r="AE408" s="26"/>
      <c r="AF408" s="26"/>
      <c r="AG408" s="26"/>
      <c r="AH408" s="26"/>
      <c r="AI408" s="26"/>
      <c r="AJ408" s="26"/>
      <c r="AK408" s="26"/>
      <c r="AL408" s="26"/>
      <c r="AM408" s="26"/>
      <c r="AN408" s="26"/>
      <c r="AO408" s="26"/>
      <c r="AP408" s="26"/>
      <c r="AQ408" s="26"/>
      <c r="AR408" s="26"/>
    </row>
    <row r="409" spans="1:44" ht="36" x14ac:dyDescent="0.25">
      <c r="A409" s="30"/>
      <c r="B409" s="13" t="s">
        <v>708</v>
      </c>
      <c r="C409" s="170" t="s">
        <v>743</v>
      </c>
      <c r="D409" s="167">
        <v>79633209041</v>
      </c>
      <c r="E409" s="161" t="s">
        <v>22</v>
      </c>
      <c r="F409" s="162" t="e">
        <f>G409+SUMIF('[1]mouv MULTIVAC R230 et R240'!B:B,"=couroie cranté b1:16 l1:450",'[1]mouv MULTIVAC R230 et R240'!G:G)</f>
        <v>#VALUE!</v>
      </c>
      <c r="G409" s="163">
        <v>2</v>
      </c>
      <c r="H409" s="163">
        <v>2</v>
      </c>
      <c r="I409" s="1" t="e">
        <f t="shared" si="198"/>
        <v>#VALUE!</v>
      </c>
      <c r="J409" s="164">
        <v>9.24</v>
      </c>
      <c r="K409" s="165" t="e">
        <f t="shared" si="199"/>
        <v>#VALUE!</v>
      </c>
      <c r="L409" s="30"/>
      <c r="M409" s="30"/>
      <c r="N409" s="30"/>
      <c r="O409" s="30"/>
      <c r="P409" s="30"/>
      <c r="Q409" s="30"/>
      <c r="R409" s="30"/>
      <c r="S409" s="30">
        <v>1</v>
      </c>
      <c r="T409" s="26"/>
      <c r="U409" s="26"/>
      <c r="V409" s="26"/>
      <c r="W409" s="26"/>
      <c r="X409" s="26"/>
      <c r="Y409" s="26"/>
      <c r="Z409" s="26"/>
      <c r="AA409" s="26"/>
      <c r="AB409" s="26"/>
      <c r="AC409" s="26"/>
      <c r="AD409" s="26"/>
      <c r="AE409" s="26"/>
      <c r="AF409" s="26"/>
      <c r="AG409" s="26"/>
      <c r="AH409" s="26"/>
      <c r="AI409" s="26"/>
      <c r="AJ409" s="26"/>
      <c r="AK409" s="26"/>
      <c r="AL409" s="26"/>
      <c r="AM409" s="26"/>
      <c r="AN409" s="26"/>
      <c r="AO409" s="26"/>
      <c r="AP409" s="26"/>
      <c r="AQ409" s="26"/>
      <c r="AR409" s="26"/>
    </row>
    <row r="413" spans="1:44" ht="24" x14ac:dyDescent="0.25">
      <c r="A413" s="30"/>
      <c r="B413" s="13" t="s">
        <v>708</v>
      </c>
      <c r="C413" s="170" t="s">
        <v>747</v>
      </c>
      <c r="D413" s="167">
        <v>80260112304</v>
      </c>
      <c r="E413" s="161" t="s">
        <v>22</v>
      </c>
      <c r="F413" s="162" t="e">
        <f>G413+SUMIF('[1]mouv MULTIVAC R230 et R240'!B:B,"=Electrovanne Gaz",'[1]mouv MULTIVAC R230 et R240'!G:G)</f>
        <v>#VALUE!</v>
      </c>
      <c r="G413" s="163">
        <v>0</v>
      </c>
      <c r="H413" s="163">
        <v>0</v>
      </c>
      <c r="I413" s="1" t="e">
        <f t="shared" ref="I413" si="200">IF(F413&lt;H413,"/!\","-")</f>
        <v>#VALUE!</v>
      </c>
      <c r="J413" s="164"/>
      <c r="K413" s="165" t="e">
        <f t="shared" ref="K413" si="201">J413*F413</f>
        <v>#VALUE!</v>
      </c>
      <c r="L413" s="30"/>
      <c r="M413" s="30"/>
      <c r="N413" s="30"/>
      <c r="O413" s="30"/>
      <c r="P413" s="30"/>
      <c r="Q413" s="30"/>
      <c r="R413" s="30"/>
      <c r="S413" s="30">
        <v>1</v>
      </c>
      <c r="T413" s="26"/>
      <c r="U413" s="26"/>
      <c r="V413" s="26"/>
      <c r="W413" s="26"/>
      <c r="X413" s="26"/>
      <c r="Y413" s="26"/>
      <c r="Z413" s="26"/>
      <c r="AA413" s="26"/>
      <c r="AB413" s="26"/>
      <c r="AC413" s="26"/>
      <c r="AD413" s="26"/>
      <c r="AE413" s="26"/>
      <c r="AF413" s="26"/>
      <c r="AG413" s="26"/>
      <c r="AH413" s="26"/>
      <c r="AI413" s="26"/>
      <c r="AJ413" s="26"/>
      <c r="AK413" s="26"/>
      <c r="AL413" s="26"/>
      <c r="AM413" s="26"/>
      <c r="AN413" s="26"/>
      <c r="AO413" s="26"/>
      <c r="AP413" s="26"/>
      <c r="AQ413" s="26"/>
      <c r="AR413" s="26"/>
    </row>
    <row r="415" spans="1:44" ht="15.75" x14ac:dyDescent="0.25">
      <c r="A415" s="30"/>
      <c r="B415" s="13" t="s">
        <v>708</v>
      </c>
      <c r="C415" s="166" t="s">
        <v>749</v>
      </c>
      <c r="D415" s="167">
        <v>80260480550</v>
      </c>
      <c r="E415" s="161" t="s">
        <v>22</v>
      </c>
      <c r="F415" s="162" t="e">
        <f>G415+SUMIF('[1]mouv MULTIVAC R230 et R240'!B:B,"=distributeur 5/4 elektr(electrovanne double)",'[1]mouv MULTIVAC R230 et R240'!G:G)</f>
        <v>#VALUE!</v>
      </c>
      <c r="G415" s="163">
        <v>1</v>
      </c>
      <c r="H415" s="163">
        <v>1</v>
      </c>
      <c r="I415" s="1" t="e">
        <f t="shared" ref="I415" si="202">IF(F415&lt;H415,"/!\","-")</f>
        <v>#VALUE!</v>
      </c>
      <c r="J415" s="164">
        <v>219.47</v>
      </c>
      <c r="K415" s="165" t="e">
        <f t="shared" ref="K415" si="203">J415*F415</f>
        <v>#VALUE!</v>
      </c>
      <c r="L415" s="30"/>
      <c r="M415" s="30"/>
      <c r="N415" s="30"/>
      <c r="O415" s="30"/>
      <c r="P415" s="30"/>
      <c r="Q415" s="30"/>
      <c r="R415" s="30"/>
      <c r="S415" s="30">
        <v>1</v>
      </c>
      <c r="T415" s="26"/>
      <c r="U415" s="26"/>
      <c r="V415" s="26"/>
      <c r="W415" s="26"/>
      <c r="X415" s="26"/>
      <c r="Y415" s="26"/>
      <c r="Z415" s="26"/>
      <c r="AA415" s="26"/>
      <c r="AB415" s="26"/>
      <c r="AC415" s="26"/>
      <c r="AD415" s="26"/>
      <c r="AE415" s="26"/>
      <c r="AF415" s="26"/>
      <c r="AG415" s="26"/>
      <c r="AH415" s="26"/>
      <c r="AI415" s="26"/>
      <c r="AJ415" s="26"/>
      <c r="AK415" s="26"/>
      <c r="AL415" s="26"/>
      <c r="AM415" s="26"/>
      <c r="AN415" s="26"/>
      <c r="AO415" s="26"/>
      <c r="AP415" s="26"/>
      <c r="AQ415" s="26"/>
      <c r="AR415" s="26"/>
    </row>
    <row r="417" spans="1:44" ht="36" x14ac:dyDescent="0.25">
      <c r="A417" s="30"/>
      <c r="B417" s="13" t="s">
        <v>708</v>
      </c>
      <c r="C417" s="170" t="s">
        <v>751</v>
      </c>
      <c r="D417" s="167">
        <v>80260481503</v>
      </c>
      <c r="E417" s="161" t="s">
        <v>22</v>
      </c>
      <c r="F417" s="162" t="e">
        <f>G417+SUMIF('[1]mouv MULTIVAC R230 et R240'!B:B,"=plaque entrée bloc distrib air",'[1]mouv MULTIVAC R230 et R240'!G:G)</f>
        <v>#VALUE!</v>
      </c>
      <c r="G417" s="163">
        <v>1</v>
      </c>
      <c r="H417" s="163">
        <v>1</v>
      </c>
      <c r="I417" s="1" t="e">
        <f t="shared" ref="I417:I421" si="204">IF(F417&lt;H417,"/!\","-")</f>
        <v>#VALUE!</v>
      </c>
      <c r="J417" s="164"/>
      <c r="K417" s="165"/>
      <c r="L417" s="30"/>
      <c r="M417" s="30"/>
      <c r="N417" s="30"/>
      <c r="O417" s="30"/>
      <c r="P417" s="30"/>
      <c r="Q417" s="30"/>
      <c r="R417" s="30"/>
      <c r="S417" s="30">
        <v>1</v>
      </c>
      <c r="T417" s="26"/>
      <c r="U417" s="26"/>
      <c r="V417" s="26"/>
      <c r="W417" s="26"/>
      <c r="X417" s="26"/>
      <c r="Y417" s="26"/>
      <c r="Z417" s="26"/>
      <c r="AA417" s="26"/>
      <c r="AB417" s="26"/>
      <c r="AC417" s="26"/>
      <c r="AD417" s="26"/>
      <c r="AE417" s="26"/>
      <c r="AF417" s="26"/>
      <c r="AG417" s="26"/>
      <c r="AH417" s="26"/>
      <c r="AI417" s="26"/>
      <c r="AJ417" s="26"/>
      <c r="AK417" s="26"/>
      <c r="AL417" s="26"/>
      <c r="AM417" s="26"/>
      <c r="AN417" s="26"/>
      <c r="AO417" s="26"/>
      <c r="AP417" s="26"/>
      <c r="AQ417" s="26"/>
      <c r="AR417" s="26"/>
    </row>
    <row r="418" spans="1:44" ht="48" x14ac:dyDescent="0.25">
      <c r="A418" s="30"/>
      <c r="B418" s="13" t="s">
        <v>708</v>
      </c>
      <c r="C418" s="171" t="s">
        <v>752</v>
      </c>
      <c r="D418" s="172">
        <v>80260481507</v>
      </c>
      <c r="E418" s="161" t="s">
        <v>22</v>
      </c>
      <c r="F418" s="162" t="e">
        <f>G418+SUMIF('[1]mouv MULTIVAC R230 et R240'!B:B,"=plaque intermédiaire bloc distrib air",'[1]mouv MULTIVAC R230 et R240'!G:G)</f>
        <v>#VALUE!</v>
      </c>
      <c r="G418" s="163">
        <v>2</v>
      </c>
      <c r="H418" s="163">
        <v>1</v>
      </c>
      <c r="I418" s="1" t="e">
        <f t="shared" si="204"/>
        <v>#VALUE!</v>
      </c>
      <c r="J418" s="164">
        <v>13.16</v>
      </c>
      <c r="K418" s="165" t="e">
        <f t="shared" ref="K418:K421" si="205">J418*F418</f>
        <v>#VALUE!</v>
      </c>
      <c r="L418" s="30"/>
      <c r="M418" s="30"/>
      <c r="N418" s="30"/>
      <c r="O418" s="30"/>
      <c r="P418" s="30"/>
      <c r="Q418" s="30"/>
      <c r="R418" s="30"/>
      <c r="S418" s="30">
        <v>1</v>
      </c>
      <c r="T418" s="26"/>
      <c r="U418" s="26"/>
      <c r="V418" s="26"/>
      <c r="W418" s="26"/>
      <c r="X418" s="26"/>
      <c r="Y418" s="26"/>
      <c r="Z418" s="26"/>
      <c r="AA418" s="26"/>
      <c r="AB418" s="26"/>
      <c r="AC418" s="26"/>
      <c r="AD418" s="26"/>
      <c r="AE418" s="26"/>
      <c r="AF418" s="26"/>
      <c r="AG418" s="26"/>
      <c r="AH418" s="26"/>
      <c r="AI418" s="26"/>
      <c r="AJ418" s="26"/>
      <c r="AK418" s="26"/>
      <c r="AL418" s="26"/>
      <c r="AM418" s="26"/>
      <c r="AN418" s="26"/>
      <c r="AO418" s="26"/>
      <c r="AP418" s="26"/>
      <c r="AQ418" s="26"/>
      <c r="AR418" s="26"/>
    </row>
    <row r="419" spans="1:44" ht="24" x14ac:dyDescent="0.25">
      <c r="A419" s="30"/>
      <c r="B419" s="13" t="s">
        <v>708</v>
      </c>
      <c r="C419" s="170" t="s">
        <v>753</v>
      </c>
      <c r="D419" s="167">
        <v>80421102013</v>
      </c>
      <c r="E419" s="161" t="s">
        <v>22</v>
      </c>
      <c r="F419" s="162" t="e">
        <f>G419+SUMIF('[1]mouv MULTIVAC R230 et R240'!B:B,"=groupe FRL complet",'[1]mouv MULTIVAC R230 et R240'!G:G)</f>
        <v>#VALUE!</v>
      </c>
      <c r="G419" s="173">
        <v>0</v>
      </c>
      <c r="H419" s="173">
        <v>0</v>
      </c>
      <c r="I419" s="1" t="e">
        <f t="shared" si="204"/>
        <v>#VALUE!</v>
      </c>
      <c r="J419" s="174">
        <v>271.36</v>
      </c>
      <c r="K419" s="165" t="e">
        <f t="shared" si="205"/>
        <v>#VALUE!</v>
      </c>
      <c r="L419" s="30"/>
      <c r="M419" s="30"/>
      <c r="N419" s="30"/>
      <c r="O419" s="30"/>
      <c r="P419" s="30"/>
      <c r="Q419" s="30"/>
      <c r="R419" s="30"/>
      <c r="S419" s="30">
        <v>1</v>
      </c>
      <c r="T419" s="26"/>
      <c r="U419" s="26"/>
      <c r="V419" s="26"/>
      <c r="W419" s="26"/>
      <c r="X419" s="26"/>
      <c r="Y419" s="26"/>
      <c r="Z419" s="26"/>
      <c r="AA419" s="26"/>
      <c r="AB419" s="26"/>
      <c r="AC419" s="26"/>
      <c r="AD419" s="26"/>
      <c r="AE419" s="26"/>
      <c r="AF419" s="26"/>
      <c r="AG419" s="26"/>
      <c r="AH419" s="26"/>
      <c r="AI419" s="26"/>
      <c r="AJ419" s="26"/>
      <c r="AK419" s="26"/>
      <c r="AL419" s="26"/>
      <c r="AM419" s="26"/>
      <c r="AN419" s="26"/>
      <c r="AO419" s="26"/>
      <c r="AP419" s="26"/>
      <c r="AQ419" s="26"/>
      <c r="AR419" s="26"/>
    </row>
    <row r="420" spans="1:44" ht="15.75" x14ac:dyDescent="0.25">
      <c r="A420" s="30"/>
      <c r="B420" s="13" t="s">
        <v>708</v>
      </c>
      <c r="C420" s="166" t="s">
        <v>754</v>
      </c>
      <c r="D420" s="167">
        <v>80421201231</v>
      </c>
      <c r="E420" s="161" t="s">
        <v>22</v>
      </c>
      <c r="F420" s="162" t="e">
        <f>G420+SUMIF('[1]mouv MULTIVAC R230 et R240'!B:B,"=filtre pierre groupe frl (élément filtrant)",'[1]mouv MULTIVAC R230 et R240'!G:G)</f>
        <v>#VALUE!</v>
      </c>
      <c r="G420" s="163">
        <v>1</v>
      </c>
      <c r="H420" s="167">
        <v>1</v>
      </c>
      <c r="I420" s="1" t="e">
        <f t="shared" si="204"/>
        <v>#VALUE!</v>
      </c>
      <c r="J420" s="168">
        <v>17.45</v>
      </c>
      <c r="K420" s="165" t="e">
        <f t="shared" si="205"/>
        <v>#VALUE!</v>
      </c>
      <c r="L420" s="30"/>
      <c r="M420" s="30"/>
      <c r="N420" s="30"/>
      <c r="O420" s="30"/>
      <c r="P420" s="30"/>
      <c r="Q420" s="30"/>
      <c r="R420" s="30"/>
      <c r="S420" s="30">
        <v>1</v>
      </c>
      <c r="T420" s="26"/>
      <c r="U420" s="26"/>
      <c r="V420" s="26"/>
      <c r="W420" s="26"/>
      <c r="X420" s="26"/>
      <c r="Y420" s="26"/>
      <c r="Z420" s="26"/>
      <c r="AA420" s="26"/>
      <c r="AB420" s="26"/>
      <c r="AC420" s="26"/>
      <c r="AD420" s="26"/>
      <c r="AE420" s="26"/>
      <c r="AF420" s="26"/>
      <c r="AG420" s="26"/>
      <c r="AH420" s="26"/>
      <c r="AI420" s="26"/>
      <c r="AJ420" s="26"/>
      <c r="AK420" s="26"/>
      <c r="AL420" s="26"/>
      <c r="AM420" s="26"/>
      <c r="AN420" s="26"/>
      <c r="AO420" s="26"/>
      <c r="AP420" s="26"/>
      <c r="AQ420" s="26"/>
      <c r="AR420" s="26"/>
    </row>
    <row r="421" spans="1:44" ht="15.75" x14ac:dyDescent="0.25">
      <c r="A421" s="30"/>
      <c r="B421" s="13" t="s">
        <v>708</v>
      </c>
      <c r="C421" s="170" t="s">
        <v>755</v>
      </c>
      <c r="D421" s="167">
        <v>80421209500</v>
      </c>
      <c r="E421" s="161" t="s">
        <v>22</v>
      </c>
      <c r="F421" s="162" t="e">
        <f>G421+SUMIF('[1]mouv MULTIVAC R230 et R240'!B:B,"=filtre ",'[1]mouv MULTIVAC R230 et R240'!G:G)</f>
        <v>#VALUE!</v>
      </c>
      <c r="G421" s="163">
        <v>1</v>
      </c>
      <c r="H421" s="163">
        <v>0</v>
      </c>
      <c r="I421" s="1" t="e">
        <f t="shared" si="204"/>
        <v>#VALUE!</v>
      </c>
      <c r="J421" s="164">
        <v>2.85</v>
      </c>
      <c r="K421" s="165" t="e">
        <f t="shared" si="205"/>
        <v>#VALUE!</v>
      </c>
      <c r="L421" s="30"/>
      <c r="M421" s="30"/>
      <c r="N421" s="30"/>
      <c r="O421" s="30"/>
      <c r="P421" s="30"/>
      <c r="Q421" s="30"/>
      <c r="R421" s="30"/>
      <c r="S421" s="30">
        <v>1</v>
      </c>
      <c r="T421" s="26"/>
      <c r="U421" s="26"/>
      <c r="V421" s="26"/>
      <c r="W421" s="26"/>
      <c r="X421" s="26"/>
      <c r="Y421" s="26"/>
      <c r="Z421" s="26"/>
      <c r="AA421" s="26"/>
      <c r="AB421" s="26"/>
      <c r="AC421" s="26"/>
      <c r="AD421" s="26"/>
      <c r="AE421" s="26"/>
      <c r="AF421" s="26"/>
      <c r="AG421" s="26"/>
      <c r="AH421" s="26"/>
      <c r="AI421" s="26"/>
      <c r="AJ421" s="26"/>
      <c r="AK421" s="26"/>
      <c r="AL421" s="26"/>
      <c r="AM421" s="26"/>
      <c r="AN421" s="26"/>
      <c r="AO421" s="26"/>
      <c r="AP421" s="26"/>
      <c r="AQ421" s="26"/>
      <c r="AR421" s="26"/>
    </row>
    <row r="425" spans="1:44" ht="15.75" x14ac:dyDescent="0.25">
      <c r="A425" s="30"/>
      <c r="B425" s="13" t="s">
        <v>708</v>
      </c>
      <c r="C425" s="166" t="s">
        <v>759</v>
      </c>
      <c r="D425" s="167">
        <v>80431320100</v>
      </c>
      <c r="E425" s="161" t="s">
        <v>22</v>
      </c>
      <c r="F425" s="162" t="e">
        <f>G425+SUMIF('[1]mouv MULTIVAC R230 et R240'!B:B,"=Débitmètre eau",'[1]mouv MULTIVAC R230 et R240'!G:G)</f>
        <v>#VALUE!</v>
      </c>
      <c r="G425" s="163">
        <v>1</v>
      </c>
      <c r="H425" s="167">
        <v>1</v>
      </c>
      <c r="I425" s="1" t="e">
        <f t="shared" ref="I425" si="206">IF(F425&lt;H425,"/!\","-")</f>
        <v>#VALUE!</v>
      </c>
      <c r="J425" s="168">
        <v>103.76</v>
      </c>
      <c r="K425" s="165" t="e">
        <f t="shared" ref="K425" si="207">J425*F425</f>
        <v>#VALUE!</v>
      </c>
      <c r="L425" s="30"/>
      <c r="M425" s="30"/>
      <c r="N425" s="30"/>
      <c r="O425" s="30"/>
      <c r="P425" s="30"/>
      <c r="Q425" s="30"/>
      <c r="R425" s="30"/>
      <c r="S425" s="30">
        <v>1</v>
      </c>
      <c r="T425" s="26"/>
      <c r="U425" s="26"/>
      <c r="V425" s="26"/>
      <c r="W425" s="26"/>
      <c r="X425" s="26"/>
      <c r="Y425" s="26"/>
      <c r="Z425" s="26"/>
      <c r="AA425" s="26"/>
      <c r="AB425" s="26"/>
      <c r="AC425" s="26"/>
      <c r="AD425" s="26"/>
      <c r="AE425" s="26"/>
      <c r="AF425" s="26"/>
      <c r="AG425" s="26"/>
      <c r="AH425" s="26"/>
      <c r="AI425" s="26"/>
      <c r="AJ425" s="26"/>
      <c r="AK425" s="26"/>
      <c r="AL425" s="26"/>
      <c r="AM425" s="26"/>
      <c r="AN425" s="26"/>
      <c r="AO425" s="26"/>
      <c r="AP425" s="26"/>
      <c r="AQ425" s="26"/>
      <c r="AR425" s="26"/>
    </row>
    <row r="427" spans="1:44" ht="24" x14ac:dyDescent="0.25">
      <c r="A427" s="30"/>
      <c r="B427" s="13" t="s">
        <v>708</v>
      </c>
      <c r="C427" s="170" t="s">
        <v>761</v>
      </c>
      <c r="D427" s="167">
        <v>81810202200</v>
      </c>
      <c r="E427" s="161" t="s">
        <v>22</v>
      </c>
      <c r="F427" s="162" t="e">
        <f>G427+SUMIF('[1]mouv MULTIVAC R230 et R240'!B:B,"=flexible haute pression",'[1]mouv MULTIVAC R230 et R240'!G:G)</f>
        <v>#VALUE!</v>
      </c>
      <c r="G427" s="163">
        <v>1</v>
      </c>
      <c r="H427" s="163">
        <v>1</v>
      </c>
      <c r="I427" s="1" t="e">
        <f t="shared" ref="I427" si="208">IF(F427&lt;H427,"/!\","-")</f>
        <v>#VALUE!</v>
      </c>
      <c r="J427" s="164">
        <v>99.73</v>
      </c>
      <c r="K427" s="165" t="e">
        <f t="shared" ref="K427" si="209">J427*F427</f>
        <v>#VALUE!</v>
      </c>
      <c r="L427" s="30"/>
      <c r="M427" s="30"/>
      <c r="N427" s="30"/>
      <c r="O427" s="30"/>
      <c r="P427" s="30"/>
      <c r="Q427" s="30"/>
      <c r="R427" s="30"/>
      <c r="S427" s="30">
        <v>1</v>
      </c>
      <c r="T427" s="26"/>
      <c r="U427" s="26"/>
      <c r="V427" s="26"/>
      <c r="W427" s="26"/>
      <c r="X427" s="26"/>
      <c r="Y427" s="26"/>
      <c r="Z427" s="26"/>
      <c r="AA427" s="26"/>
      <c r="AB427" s="26"/>
      <c r="AC427" s="26"/>
      <c r="AD427" s="26"/>
      <c r="AE427" s="26"/>
      <c r="AF427" s="26"/>
      <c r="AG427" s="26"/>
      <c r="AH427" s="26"/>
      <c r="AI427" s="26"/>
      <c r="AJ427" s="26"/>
      <c r="AK427" s="26"/>
      <c r="AL427" s="26"/>
      <c r="AM427" s="26"/>
      <c r="AN427" s="26"/>
      <c r="AO427" s="26"/>
      <c r="AP427" s="26"/>
      <c r="AQ427" s="26"/>
      <c r="AR427" s="26"/>
    </row>
    <row r="429" spans="1:44" ht="36" x14ac:dyDescent="0.25">
      <c r="A429" s="30"/>
      <c r="B429" s="13" t="s">
        <v>708</v>
      </c>
      <c r="C429" s="170" t="s">
        <v>763</v>
      </c>
      <c r="D429" s="167">
        <v>85451223093</v>
      </c>
      <c r="E429" s="161" t="s">
        <v>22</v>
      </c>
      <c r="F429" s="162" t="e">
        <f>G429+SUMIF('[1]mouv MULTIVAC R230 et R240'!B:B,"=capuchon plastique prot.",'[1]mouv MULTIVAC R230 et R240'!G:G)</f>
        <v>#VALUE!</v>
      </c>
      <c r="G429" s="163">
        <v>10</v>
      </c>
      <c r="H429" s="163">
        <v>1</v>
      </c>
      <c r="I429" s="1" t="e">
        <f t="shared" ref="I429:I433" si="210">IF(F429&lt;H429,"/!\","-")</f>
        <v>#VALUE!</v>
      </c>
      <c r="J429" s="164">
        <v>13.17</v>
      </c>
      <c r="K429" s="165" t="e">
        <f t="shared" ref="K429:K433" si="211">J429*F429</f>
        <v>#VALUE!</v>
      </c>
      <c r="L429" s="30"/>
      <c r="M429" s="30"/>
      <c r="N429" s="30"/>
      <c r="O429" s="30"/>
      <c r="P429" s="30"/>
      <c r="Q429" s="30"/>
      <c r="R429" s="30"/>
      <c r="S429" s="30">
        <v>1</v>
      </c>
      <c r="T429" s="26"/>
      <c r="U429" s="26"/>
      <c r="V429" s="26"/>
      <c r="W429" s="26"/>
      <c r="X429" s="26"/>
      <c r="Y429" s="26"/>
      <c r="Z429" s="26"/>
      <c r="AA429" s="26"/>
      <c r="AB429" s="26"/>
      <c r="AC429" s="26"/>
      <c r="AD429" s="26"/>
      <c r="AE429" s="26"/>
      <c r="AF429" s="26"/>
      <c r="AG429" s="26"/>
      <c r="AH429" s="26"/>
      <c r="AI429" s="26"/>
      <c r="AJ429" s="26"/>
      <c r="AK429" s="26"/>
      <c r="AL429" s="26"/>
      <c r="AM429" s="26"/>
      <c r="AN429" s="26"/>
      <c r="AO429" s="26"/>
      <c r="AP429" s="26"/>
      <c r="AQ429" s="26"/>
      <c r="AR429" s="26"/>
    </row>
    <row r="430" spans="1:44" ht="36" x14ac:dyDescent="0.25">
      <c r="A430" s="30"/>
      <c r="B430" s="13" t="s">
        <v>708</v>
      </c>
      <c r="C430" s="170" t="s">
        <v>764</v>
      </c>
      <c r="D430" s="167">
        <v>85463101003</v>
      </c>
      <c r="E430" s="161" t="s">
        <v>22</v>
      </c>
      <c r="F430" s="162" t="e">
        <f>G430+SUMIF('[1]mouv MULTIVAC R230 et R240'!B:B,"=aimants ronds 7,5x7,5",'[1]mouv MULTIVAC R230 et R240'!G:G)</f>
        <v>#VALUE!</v>
      </c>
      <c r="G430" s="163">
        <v>2</v>
      </c>
      <c r="H430" s="163">
        <v>2</v>
      </c>
      <c r="I430" s="1" t="e">
        <f t="shared" si="210"/>
        <v>#VALUE!</v>
      </c>
      <c r="J430" s="164">
        <v>4.18</v>
      </c>
      <c r="K430" s="165" t="e">
        <f t="shared" si="211"/>
        <v>#VALUE!</v>
      </c>
      <c r="L430" s="30"/>
      <c r="M430" s="30"/>
      <c r="N430" s="30"/>
      <c r="O430" s="30"/>
      <c r="P430" s="30"/>
      <c r="Q430" s="30"/>
      <c r="R430" s="30"/>
      <c r="S430" s="30">
        <v>1</v>
      </c>
      <c r="T430" s="26"/>
      <c r="U430" s="26"/>
      <c r="V430" s="26"/>
      <c r="W430" s="26"/>
      <c r="X430" s="26"/>
      <c r="Y430" s="26"/>
      <c r="Z430" s="26"/>
      <c r="AA430" s="26"/>
      <c r="AB430" s="26"/>
      <c r="AC430" s="26"/>
      <c r="AD430" s="26"/>
      <c r="AE430" s="26"/>
      <c r="AF430" s="26"/>
      <c r="AG430" s="26"/>
      <c r="AH430" s="26"/>
      <c r="AI430" s="26"/>
      <c r="AJ430" s="26"/>
      <c r="AK430" s="26"/>
      <c r="AL430" s="26"/>
      <c r="AM430" s="26"/>
      <c r="AN430" s="26"/>
      <c r="AO430" s="26"/>
      <c r="AP430" s="26"/>
      <c r="AQ430" s="26"/>
      <c r="AR430" s="26"/>
    </row>
    <row r="431" spans="1:44" ht="36" x14ac:dyDescent="0.25">
      <c r="A431" s="30"/>
      <c r="B431" s="13" t="s">
        <v>708</v>
      </c>
      <c r="C431" s="170" t="s">
        <v>765</v>
      </c>
      <c r="D431" s="167">
        <v>85463101021</v>
      </c>
      <c r="E431" s="161" t="s">
        <v>22</v>
      </c>
      <c r="F431" s="162" t="e">
        <f>G431+SUMIF('[1]mouv MULTIVAC R230 et R240'!B:B,"=sécurité magnétique verte 6 ML",'[1]mouv MULTIVAC R230 et R240'!G:G)</f>
        <v>#VALUE!</v>
      </c>
      <c r="G431" s="163">
        <v>2</v>
      </c>
      <c r="H431" s="163">
        <v>1</v>
      </c>
      <c r="I431" s="1" t="e">
        <f t="shared" si="210"/>
        <v>#VALUE!</v>
      </c>
      <c r="J431" s="164">
        <v>92.39</v>
      </c>
      <c r="K431" s="165" t="e">
        <f t="shared" si="211"/>
        <v>#VALUE!</v>
      </c>
      <c r="L431" s="30"/>
      <c r="M431" s="30"/>
      <c r="N431" s="30"/>
      <c r="O431" s="30"/>
      <c r="P431" s="30"/>
      <c r="Q431" s="30"/>
      <c r="R431" s="30"/>
      <c r="S431" s="30">
        <v>1</v>
      </c>
      <c r="T431" s="26"/>
      <c r="U431" s="26"/>
      <c r="V431" s="26"/>
      <c r="W431" s="26"/>
      <c r="X431" s="26"/>
      <c r="Y431" s="26"/>
      <c r="Z431" s="26"/>
      <c r="AA431" s="26"/>
      <c r="AB431" s="26"/>
      <c r="AC431" s="26"/>
      <c r="AD431" s="26"/>
      <c r="AE431" s="26"/>
      <c r="AF431" s="26"/>
      <c r="AG431" s="26"/>
      <c r="AH431" s="26"/>
      <c r="AI431" s="26"/>
      <c r="AJ431" s="26"/>
      <c r="AK431" s="26"/>
      <c r="AL431" s="26"/>
      <c r="AM431" s="26"/>
      <c r="AN431" s="26"/>
      <c r="AO431" s="26"/>
      <c r="AP431" s="26"/>
      <c r="AQ431" s="26"/>
      <c r="AR431" s="26"/>
    </row>
    <row r="432" spans="1:44" ht="15.75" x14ac:dyDescent="0.25">
      <c r="A432" s="30"/>
      <c r="B432" s="13" t="s">
        <v>708</v>
      </c>
      <c r="C432" s="166" t="s">
        <v>766</v>
      </c>
      <c r="D432" s="167">
        <v>85621080231</v>
      </c>
      <c r="E432" s="161" t="s">
        <v>22</v>
      </c>
      <c r="F432" s="162" t="e">
        <f>G432+SUMIF('[1]mouv MULTIVAC R230 et R240'!B:B,"=Bloc auxiliaire",'[1]mouv MULTIVAC R230 et R240'!G:G)</f>
        <v>#VALUE!</v>
      </c>
      <c r="G432" s="163">
        <v>2</v>
      </c>
      <c r="H432" s="167">
        <v>2</v>
      </c>
      <c r="I432" s="1" t="e">
        <f t="shared" si="210"/>
        <v>#VALUE!</v>
      </c>
      <c r="J432" s="168">
        <v>13.56</v>
      </c>
      <c r="K432" s="165" t="e">
        <f t="shared" si="211"/>
        <v>#VALUE!</v>
      </c>
      <c r="L432" s="30"/>
      <c r="M432" s="30"/>
      <c r="N432" s="30"/>
      <c r="O432" s="30"/>
      <c r="P432" s="30"/>
      <c r="Q432" s="30"/>
      <c r="R432" s="30"/>
      <c r="S432" s="30">
        <v>1</v>
      </c>
      <c r="T432" s="26"/>
      <c r="U432" s="26"/>
      <c r="V432" s="26"/>
      <c r="W432" s="26"/>
      <c r="X432" s="26"/>
      <c r="Y432" s="26"/>
      <c r="Z432" s="26"/>
      <c r="AA432" s="26"/>
      <c r="AB432" s="26"/>
      <c r="AC432" s="26"/>
      <c r="AD432" s="26"/>
      <c r="AE432" s="26"/>
      <c r="AF432" s="26"/>
      <c r="AG432" s="26"/>
      <c r="AH432" s="26"/>
      <c r="AI432" s="26"/>
      <c r="AJ432" s="26"/>
      <c r="AK432" s="26"/>
      <c r="AL432" s="26"/>
      <c r="AM432" s="26"/>
      <c r="AN432" s="26"/>
      <c r="AO432" s="26"/>
      <c r="AP432" s="26"/>
      <c r="AQ432" s="26"/>
      <c r="AR432" s="26"/>
    </row>
    <row r="433" spans="1:44" ht="48" x14ac:dyDescent="0.25">
      <c r="A433" s="30"/>
      <c r="B433" s="13" t="s">
        <v>708</v>
      </c>
      <c r="C433" s="170" t="s">
        <v>767</v>
      </c>
      <c r="D433" s="167">
        <v>85621122202</v>
      </c>
      <c r="E433" s="161" t="s">
        <v>22</v>
      </c>
      <c r="F433" s="162" t="e">
        <f>G433+SUMIF('[1]mouv MULTIVAC R230 et R240'!B:B,"=contacteur à courant alternatif 230 V 5,5 kW",'[1]mouv MULTIVAC R230 et R240'!G:G)</f>
        <v>#VALUE!</v>
      </c>
      <c r="G433" s="163">
        <v>2</v>
      </c>
      <c r="H433" s="163">
        <v>2</v>
      </c>
      <c r="I433" s="1" t="e">
        <f t="shared" si="210"/>
        <v>#VALUE!</v>
      </c>
      <c r="J433" s="164">
        <v>35.56</v>
      </c>
      <c r="K433" s="165" t="e">
        <f t="shared" si="211"/>
        <v>#VALUE!</v>
      </c>
      <c r="L433" s="30"/>
      <c r="M433" s="30"/>
      <c r="N433" s="30"/>
      <c r="O433" s="30"/>
      <c r="P433" s="30"/>
      <c r="Q433" s="30"/>
      <c r="R433" s="30"/>
      <c r="S433" s="30">
        <v>1</v>
      </c>
      <c r="T433" s="26"/>
      <c r="U433" s="26"/>
      <c r="V433" s="26"/>
      <c r="W433" s="26"/>
      <c r="X433" s="26"/>
      <c r="Y433" s="26"/>
      <c r="Z433" s="26"/>
      <c r="AA433" s="26"/>
      <c r="AB433" s="26"/>
      <c r="AC433" s="26"/>
      <c r="AD433" s="26"/>
      <c r="AE433" s="26"/>
      <c r="AF433" s="26"/>
      <c r="AG433" s="26"/>
      <c r="AH433" s="26"/>
      <c r="AI433" s="26"/>
      <c r="AJ433" s="26"/>
      <c r="AK433" s="26"/>
      <c r="AL433" s="26"/>
      <c r="AM433" s="26"/>
      <c r="AN433" s="26"/>
      <c r="AO433" s="26"/>
      <c r="AP433" s="26"/>
      <c r="AQ433" s="26"/>
      <c r="AR433" s="26"/>
    </row>
    <row r="437" spans="1:44" ht="15.75" x14ac:dyDescent="0.25">
      <c r="A437" s="30"/>
      <c r="B437" s="13" t="s">
        <v>708</v>
      </c>
      <c r="C437" s="175" t="s">
        <v>771</v>
      </c>
      <c r="D437" s="172">
        <v>86311513003</v>
      </c>
      <c r="E437" s="161" t="s">
        <v>22</v>
      </c>
      <c r="F437" s="162" t="e">
        <f>G437+SUMIF('[1]mouv MULTIVAC R230 et R240'!B:B,"=Filtre contacteur de chauffe",'[1]mouv MULTIVAC R230 et R240'!G:G)</f>
        <v>#VALUE!</v>
      </c>
      <c r="G437" s="163">
        <v>11</v>
      </c>
      <c r="H437" s="167">
        <v>4</v>
      </c>
      <c r="I437" s="1" t="e">
        <f t="shared" ref="I437" si="212">IF(F437&lt;H437,"/!\","-")</f>
        <v>#VALUE!</v>
      </c>
      <c r="J437" s="168">
        <v>8.9499999999999993</v>
      </c>
      <c r="K437" s="165" t="e">
        <f t="shared" ref="K437" si="213">J437*F437</f>
        <v>#VALUE!</v>
      </c>
      <c r="L437" s="30"/>
      <c r="M437" s="30"/>
      <c r="N437" s="30"/>
      <c r="O437" s="30"/>
      <c r="P437" s="30"/>
      <c r="Q437" s="30"/>
      <c r="R437" s="30"/>
      <c r="S437" s="30">
        <v>1</v>
      </c>
      <c r="T437" s="26"/>
      <c r="U437" s="26"/>
      <c r="V437" s="26"/>
      <c r="W437" s="26"/>
      <c r="X437" s="26"/>
      <c r="Y437" s="26"/>
      <c r="Z437" s="26"/>
      <c r="AA437" s="26"/>
      <c r="AB437" s="26"/>
      <c r="AC437" s="26"/>
      <c r="AD437" s="26"/>
      <c r="AE437" s="26"/>
      <c r="AF437" s="26"/>
      <c r="AG437" s="26"/>
      <c r="AH437" s="26"/>
      <c r="AI437" s="26"/>
      <c r="AJ437" s="26"/>
      <c r="AK437" s="26"/>
      <c r="AL437" s="26"/>
      <c r="AM437" s="26"/>
      <c r="AN437" s="26"/>
      <c r="AO437" s="26"/>
      <c r="AP437" s="26"/>
      <c r="AQ437" s="26"/>
      <c r="AR437" s="26"/>
    </row>
    <row r="439" spans="1:44" ht="24" x14ac:dyDescent="0.25">
      <c r="A439" s="30"/>
      <c r="B439" s="13" t="s">
        <v>708</v>
      </c>
      <c r="C439" s="170" t="s">
        <v>773</v>
      </c>
      <c r="D439" s="167">
        <v>91121611030</v>
      </c>
      <c r="E439" s="161" t="s">
        <v>22</v>
      </c>
      <c r="F439" s="162" t="e">
        <f>G439+SUMIF('[1]mouv MULTIVAC R230 et R240'!B:B,"=huile blanche",'[1]mouv MULTIVAC R230 et R240'!G:G)</f>
        <v>#VALUE!</v>
      </c>
      <c r="G439" s="163">
        <v>2</v>
      </c>
      <c r="H439" s="163">
        <v>1</v>
      </c>
      <c r="I439" s="1" t="e">
        <f t="shared" ref="I439" si="214">IF(F439&lt;H439,"/!\","-")</f>
        <v>#VALUE!</v>
      </c>
      <c r="J439" s="164">
        <v>18.03</v>
      </c>
      <c r="K439" s="165" t="e">
        <f t="shared" ref="K439" si="215">J439*F439</f>
        <v>#VALUE!</v>
      </c>
      <c r="L439" s="30"/>
      <c r="M439" s="30"/>
      <c r="N439" s="30"/>
      <c r="O439" s="30"/>
      <c r="P439" s="30"/>
      <c r="Q439" s="30"/>
      <c r="R439" s="30"/>
      <c r="S439" s="30">
        <v>1</v>
      </c>
      <c r="T439" s="26"/>
      <c r="U439" s="26"/>
      <c r="V439" s="26"/>
      <c r="W439" s="26"/>
      <c r="X439" s="26"/>
      <c r="Y439" s="26"/>
      <c r="Z439" s="26"/>
      <c r="AA439" s="26"/>
      <c r="AB439" s="26"/>
      <c r="AC439" s="26"/>
      <c r="AD439" s="26"/>
      <c r="AE439" s="26"/>
      <c r="AF439" s="26"/>
      <c r="AG439" s="26"/>
      <c r="AH439" s="26"/>
      <c r="AI439" s="26"/>
      <c r="AJ439" s="26"/>
      <c r="AK439" s="26"/>
      <c r="AL439" s="26"/>
      <c r="AM439" s="26"/>
      <c r="AN439" s="26"/>
      <c r="AO439" s="26"/>
      <c r="AP439" s="26"/>
      <c r="AQ439" s="26"/>
      <c r="AR439" s="26"/>
    </row>
    <row r="441" spans="1:44" ht="48" x14ac:dyDescent="0.25">
      <c r="A441" s="30"/>
      <c r="B441" s="13" t="s">
        <v>708</v>
      </c>
      <c r="C441" s="170" t="s">
        <v>775</v>
      </c>
      <c r="D441" s="167" t="s">
        <v>776</v>
      </c>
      <c r="E441" s="161" t="s">
        <v>22</v>
      </c>
      <c r="F441" s="162" t="e">
        <f>G441+SUMIF('[1]mouv MULTIVAC R230 et R240'!B:B,"=vanne principale d'air 3/2 R230",'[1]mouv MULTIVAC R230 et R240'!G:G)</f>
        <v>#VALUE!</v>
      </c>
      <c r="G441" s="163">
        <v>1</v>
      </c>
      <c r="H441" s="163">
        <v>1</v>
      </c>
      <c r="I441" s="1" t="e">
        <f t="shared" ref="I441:I444" si="216">IF(F441&lt;H441,"/!\","-")</f>
        <v>#VALUE!</v>
      </c>
      <c r="J441" s="164">
        <v>381.11</v>
      </c>
      <c r="K441" s="165" t="e">
        <f t="shared" ref="K441:K444" si="217">J441*F441</f>
        <v>#VALUE!</v>
      </c>
      <c r="L441" s="30"/>
      <c r="M441" s="30"/>
      <c r="N441" s="30"/>
      <c r="O441" s="30"/>
      <c r="P441" s="30"/>
      <c r="Q441" s="30"/>
      <c r="R441" s="30"/>
      <c r="S441" s="30">
        <v>1</v>
      </c>
      <c r="T441" s="26"/>
      <c r="U441" s="26"/>
      <c r="V441" s="26"/>
      <c r="W441" s="26"/>
      <c r="X441" s="26"/>
      <c r="Y441" s="26"/>
      <c r="Z441" s="26"/>
      <c r="AA441" s="26"/>
      <c r="AB441" s="26"/>
      <c r="AC441" s="26"/>
      <c r="AD441" s="26"/>
      <c r="AE441" s="26"/>
      <c r="AF441" s="26"/>
      <c r="AG441" s="26"/>
      <c r="AH441" s="26"/>
      <c r="AI441" s="26"/>
      <c r="AJ441" s="26"/>
      <c r="AK441" s="26"/>
      <c r="AL441" s="26"/>
      <c r="AM441" s="26"/>
      <c r="AN441" s="26"/>
      <c r="AO441" s="26"/>
      <c r="AP441" s="26"/>
      <c r="AQ441" s="26"/>
      <c r="AR441" s="26"/>
    </row>
    <row r="442" spans="1:44" ht="36" x14ac:dyDescent="0.25">
      <c r="A442" s="30"/>
      <c r="B442" s="13" t="s">
        <v>708</v>
      </c>
      <c r="C442" s="170" t="s">
        <v>777</v>
      </c>
      <c r="D442" s="167">
        <v>106603811</v>
      </c>
      <c r="E442" s="161" t="s">
        <v>22</v>
      </c>
      <c r="F442" s="162" t="e">
        <f>G442+SUMIF('[1]mouv MULTIVAC R230 et R240'!B:B,"=Capteur pression R230",'[1]mouv MULTIVAC R230 et R240'!G:G)</f>
        <v>#VALUE!</v>
      </c>
      <c r="G442" s="163">
        <v>1</v>
      </c>
      <c r="H442" s="163">
        <v>0</v>
      </c>
      <c r="I442" s="1" t="e">
        <f t="shared" si="216"/>
        <v>#VALUE!</v>
      </c>
      <c r="J442" s="164">
        <v>336.06</v>
      </c>
      <c r="K442" s="165" t="e">
        <f t="shared" si="217"/>
        <v>#VALUE!</v>
      </c>
      <c r="L442" s="30"/>
      <c r="M442" s="30"/>
      <c r="N442" s="30"/>
      <c r="O442" s="30"/>
      <c r="P442" s="30"/>
      <c r="Q442" s="30"/>
      <c r="R442" s="30"/>
      <c r="S442" s="30">
        <v>1</v>
      </c>
      <c r="T442" s="26"/>
      <c r="U442" s="26"/>
      <c r="V442" s="26"/>
      <c r="W442" s="26"/>
      <c r="X442" s="26"/>
      <c r="Y442" s="26"/>
      <c r="Z442" s="26"/>
      <c r="AA442" s="26"/>
      <c r="AB442" s="26"/>
      <c r="AC442" s="26"/>
      <c r="AD442" s="26"/>
      <c r="AE442" s="26"/>
      <c r="AF442" s="26"/>
      <c r="AG442" s="26"/>
      <c r="AH442" s="26"/>
      <c r="AI442" s="26"/>
      <c r="AJ442" s="26"/>
      <c r="AK442" s="26"/>
      <c r="AL442" s="26"/>
      <c r="AM442" s="26"/>
      <c r="AN442" s="26"/>
      <c r="AO442" s="26"/>
      <c r="AP442" s="26"/>
      <c r="AQ442" s="26"/>
      <c r="AR442" s="26"/>
    </row>
    <row r="443" spans="1:44" ht="48" x14ac:dyDescent="0.25">
      <c r="A443" s="30"/>
      <c r="B443" s="13" t="s">
        <v>708</v>
      </c>
      <c r="C443" s="170" t="s">
        <v>778</v>
      </c>
      <c r="D443" s="167" t="s">
        <v>779</v>
      </c>
      <c r="E443" s="161" t="s">
        <v>22</v>
      </c>
      <c r="F443" s="162" t="e">
        <f>G443+SUMIF('[1]mouv MULTIVAC R230 et R240'!B:B,"=Filtre pneumatique  avant formage",'[1]mouv MULTIVAC R230 et R240'!G:G)</f>
        <v>#VALUE!</v>
      </c>
      <c r="G443" s="163">
        <v>1</v>
      </c>
      <c r="H443" s="163">
        <v>1</v>
      </c>
      <c r="I443" s="1" t="e">
        <f t="shared" si="216"/>
        <v>#VALUE!</v>
      </c>
      <c r="J443" s="164">
        <v>105.43</v>
      </c>
      <c r="K443" s="165" t="e">
        <f t="shared" si="217"/>
        <v>#VALUE!</v>
      </c>
      <c r="L443" s="30"/>
      <c r="M443" s="30"/>
      <c r="N443" s="30"/>
      <c r="O443" s="30"/>
      <c r="P443" s="30"/>
      <c r="Q443" s="30"/>
      <c r="R443" s="30"/>
      <c r="S443" s="30">
        <v>1</v>
      </c>
      <c r="T443" s="26"/>
      <c r="U443" s="26"/>
      <c r="V443" s="26"/>
      <c r="W443" s="26"/>
      <c r="X443" s="26"/>
      <c r="Y443" s="26"/>
      <c r="Z443" s="26"/>
      <c r="AA443" s="26"/>
      <c r="AB443" s="26"/>
      <c r="AC443" s="26"/>
      <c r="AD443" s="26"/>
      <c r="AE443" s="26"/>
      <c r="AF443" s="26"/>
      <c r="AG443" s="26"/>
      <c r="AH443" s="26"/>
      <c r="AI443" s="26"/>
      <c r="AJ443" s="26"/>
      <c r="AK443" s="26"/>
      <c r="AL443" s="26"/>
      <c r="AM443" s="26"/>
      <c r="AN443" s="26"/>
      <c r="AO443" s="26"/>
      <c r="AP443" s="26"/>
      <c r="AQ443" s="26"/>
      <c r="AR443" s="26"/>
    </row>
    <row r="444" spans="1:44" ht="60" x14ac:dyDescent="0.25">
      <c r="A444" s="30"/>
      <c r="B444" s="13" t="s">
        <v>708</v>
      </c>
      <c r="C444" s="170" t="s">
        <v>780</v>
      </c>
      <c r="D444" s="167" t="s">
        <v>781</v>
      </c>
      <c r="E444" s="161" t="s">
        <v>22</v>
      </c>
      <c r="F444" s="162" t="e">
        <f>G444+SUMIF('[1]mouv MULTIVAC R230 et R240'!B:B,"=clapet antiretour Gaz R230",'[1]mouv MULTIVAC R230 et R240'!G:G)</f>
        <v>#VALUE!</v>
      </c>
      <c r="G444" s="163">
        <v>7</v>
      </c>
      <c r="H444" s="163">
        <v>1</v>
      </c>
      <c r="I444" s="1" t="e">
        <f t="shared" si="216"/>
        <v>#VALUE!</v>
      </c>
      <c r="J444" s="164">
        <v>0</v>
      </c>
      <c r="K444" s="165" t="e">
        <f t="shared" si="217"/>
        <v>#VALUE!</v>
      </c>
      <c r="L444" s="30"/>
      <c r="M444" s="30"/>
      <c r="N444" s="30"/>
      <c r="O444" s="30"/>
      <c r="P444" s="30"/>
      <c r="Q444" s="30"/>
      <c r="R444" s="30"/>
      <c r="S444" s="30">
        <v>1</v>
      </c>
      <c r="T444" s="26"/>
      <c r="U444" s="26"/>
      <c r="V444" s="26"/>
      <c r="W444" s="26"/>
      <c r="X444" s="26"/>
      <c r="Y444" s="26"/>
      <c r="Z444" s="26"/>
      <c r="AA444" s="26"/>
      <c r="AB444" s="26"/>
      <c r="AC444" s="26"/>
      <c r="AD444" s="26"/>
      <c r="AE444" s="26"/>
      <c r="AF444" s="26"/>
      <c r="AG444" s="26"/>
      <c r="AH444" s="26"/>
      <c r="AI444" s="26"/>
      <c r="AJ444" s="26"/>
      <c r="AK444" s="26"/>
      <c r="AL444" s="26"/>
      <c r="AM444" s="26"/>
      <c r="AN444" s="26"/>
      <c r="AO444" s="26"/>
      <c r="AP444" s="26"/>
      <c r="AQ444" s="26"/>
      <c r="AR444" s="26"/>
    </row>
    <row r="448" spans="1:44" ht="36" x14ac:dyDescent="0.25">
      <c r="A448" s="30"/>
      <c r="B448" s="13" t="s">
        <v>708</v>
      </c>
      <c r="C448" s="170" t="s">
        <v>788</v>
      </c>
      <c r="D448" s="167" t="s">
        <v>789</v>
      </c>
      <c r="E448" s="167" t="s">
        <v>108</v>
      </c>
      <c r="F448" s="162" t="e">
        <f>G448+SUMIF('[1]mouv MULTIVAC R230 et R240'!B:B,"=Contacteur 4kw 1NO AC 230V",'[1]mouv MULTIVAC R230 et R240'!G:G)</f>
        <v>#VALUE!</v>
      </c>
      <c r="G448" s="163">
        <v>0</v>
      </c>
      <c r="H448" s="163">
        <v>1</v>
      </c>
      <c r="I448" s="1" t="e">
        <f t="shared" ref="I448" si="218">IF(F448&lt;H448,"/!\","-")</f>
        <v>#VALUE!</v>
      </c>
      <c r="J448" s="164">
        <v>17.497489999999999</v>
      </c>
      <c r="K448" s="165" t="e">
        <f t="shared" ref="K448" si="219">J448*F448</f>
        <v>#VALUE!</v>
      </c>
      <c r="L448" s="30"/>
      <c r="M448" s="30"/>
      <c r="N448" s="30"/>
      <c r="O448" s="30"/>
      <c r="P448" s="30"/>
      <c r="Q448" s="30"/>
      <c r="R448" s="30"/>
      <c r="S448" s="30">
        <v>1</v>
      </c>
      <c r="T448" s="26"/>
      <c r="U448" s="26"/>
      <c r="V448" s="26"/>
      <c r="W448" s="26"/>
      <c r="X448" s="26"/>
      <c r="Y448" s="26"/>
      <c r="Z448" s="26"/>
      <c r="AA448" s="26"/>
      <c r="AB448" s="26"/>
      <c r="AC448" s="26"/>
      <c r="AD448" s="26"/>
      <c r="AE448" s="26"/>
      <c r="AF448" s="26"/>
      <c r="AG448" s="26"/>
      <c r="AH448" s="26"/>
      <c r="AI448" s="26"/>
      <c r="AJ448" s="26"/>
      <c r="AK448" s="26"/>
      <c r="AL448" s="26"/>
      <c r="AM448" s="26"/>
      <c r="AN448" s="26"/>
      <c r="AO448" s="26"/>
      <c r="AP448" s="26"/>
      <c r="AQ448" s="26"/>
      <c r="AR448" s="26"/>
    </row>
    <row r="450" spans="1:44" ht="36" x14ac:dyDescent="0.25">
      <c r="A450" s="30"/>
      <c r="B450" s="13" t="s">
        <v>708</v>
      </c>
      <c r="C450" s="170" t="s">
        <v>792</v>
      </c>
      <c r="D450" s="167" t="s">
        <v>793</v>
      </c>
      <c r="E450" s="167" t="s">
        <v>108</v>
      </c>
      <c r="F450" s="162" t="e">
        <f>G450+SUMIF('[1]mouv MULTIVAC R230 et R240'!B:B,"=Contacteur 7,5KW AC 230V",'[1]mouv MULTIVAC R230 et R240'!G:G)</f>
        <v>#VALUE!</v>
      </c>
      <c r="G450" s="163">
        <v>1</v>
      </c>
      <c r="H450" s="163">
        <v>1</v>
      </c>
      <c r="I450" s="1" t="e">
        <f t="shared" ref="I450" si="220">IF(F450&lt;H450,"/!\","-")</f>
        <v>#VALUE!</v>
      </c>
      <c r="J450" s="164">
        <v>27.31315</v>
      </c>
      <c r="K450" s="165" t="e">
        <f t="shared" ref="K450" si="221">J450*F450</f>
        <v>#VALUE!</v>
      </c>
      <c r="L450" s="30"/>
      <c r="M450" s="30"/>
      <c r="N450" s="30"/>
      <c r="O450" s="30"/>
      <c r="P450" s="30"/>
      <c r="Q450" s="30"/>
      <c r="R450" s="30"/>
      <c r="S450" s="30">
        <v>1</v>
      </c>
      <c r="T450" s="26"/>
      <c r="U450" s="26"/>
      <c r="V450" s="26"/>
      <c r="W450" s="26"/>
      <c r="X450" s="26"/>
      <c r="Y450" s="26"/>
      <c r="Z450" s="26"/>
      <c r="AA450" s="26"/>
      <c r="AB450" s="26"/>
      <c r="AC450" s="26"/>
      <c r="AD450" s="26"/>
      <c r="AE450" s="26"/>
      <c r="AF450" s="26"/>
      <c r="AG450" s="26"/>
      <c r="AH450" s="26"/>
      <c r="AI450" s="26"/>
      <c r="AJ450" s="26"/>
      <c r="AK450" s="26"/>
      <c r="AL450" s="26"/>
      <c r="AM450" s="26"/>
      <c r="AN450" s="26"/>
      <c r="AO450" s="26"/>
      <c r="AP450" s="26"/>
      <c r="AQ450" s="26"/>
      <c r="AR450" s="26"/>
    </row>
    <row r="452" spans="1:44" ht="36" x14ac:dyDescent="0.25">
      <c r="A452" s="30"/>
      <c r="B452" s="13" t="s">
        <v>708</v>
      </c>
      <c r="C452" s="170" t="s">
        <v>796</v>
      </c>
      <c r="D452" s="167" t="s">
        <v>797</v>
      </c>
      <c r="E452" s="167" t="s">
        <v>108</v>
      </c>
      <c r="F452" s="162" t="e">
        <f>G452+SUMIF('[1]mouv MULTIVAC R230 et R240'!B:B,"=VARISTANCE 127 a 240VAC",'[1]mouv MULTIVAC R230 et R240'!G:G)</f>
        <v>#VALUE!</v>
      </c>
      <c r="G452" s="163">
        <v>2</v>
      </c>
      <c r="H452" s="163">
        <v>2</v>
      </c>
      <c r="I452" s="1" t="e">
        <f t="shared" ref="I452:I456" si="222">IF(F452&lt;H452,"/!\","-")</f>
        <v>#VALUE!</v>
      </c>
      <c r="J452" s="164">
        <v>4.6535900000000003</v>
      </c>
      <c r="K452" s="165" t="e">
        <f t="shared" ref="K452:K454" si="223">J452*F452</f>
        <v>#VALUE!</v>
      </c>
      <c r="L452" s="30"/>
      <c r="M452" s="30"/>
      <c r="N452" s="30"/>
      <c r="O452" s="30"/>
      <c r="P452" s="30"/>
      <c r="Q452" s="30"/>
      <c r="R452" s="30"/>
      <c r="S452" s="30">
        <v>1</v>
      </c>
      <c r="T452" s="26"/>
      <c r="U452" s="26"/>
      <c r="V452" s="26"/>
      <c r="W452" s="26"/>
      <c r="X452" s="26"/>
      <c r="Y452" s="26"/>
      <c r="Z452" s="26"/>
      <c r="AA452" s="26"/>
      <c r="AB452" s="26"/>
      <c r="AC452" s="26"/>
      <c r="AD452" s="26"/>
      <c r="AE452" s="26"/>
      <c r="AF452" s="26"/>
      <c r="AG452" s="26"/>
      <c r="AH452" s="26"/>
      <c r="AI452" s="26"/>
      <c r="AJ452" s="26"/>
      <c r="AK452" s="26"/>
      <c r="AL452" s="26"/>
      <c r="AM452" s="26"/>
      <c r="AN452" s="26"/>
      <c r="AO452" s="26"/>
      <c r="AP452" s="26"/>
      <c r="AQ452" s="26"/>
      <c r="AR452" s="26"/>
    </row>
    <row r="453" spans="1:44" ht="48" x14ac:dyDescent="0.25">
      <c r="A453" s="30"/>
      <c r="B453" s="13" t="s">
        <v>708</v>
      </c>
      <c r="C453" s="170" t="s">
        <v>798</v>
      </c>
      <c r="D453" s="167" t="s">
        <v>799</v>
      </c>
      <c r="E453" s="167" t="s">
        <v>108</v>
      </c>
      <c r="F453" s="162" t="e">
        <f>G453+SUMIF('[1]mouv MULTIVAC R230 et R240'!B:B,"=Varistance pour Contacteurs 11Kw",'[1]mouv MULTIVAC R230 et R240'!G:G)</f>
        <v>#VALUE!</v>
      </c>
      <c r="G453" s="163">
        <v>8</v>
      </c>
      <c r="H453" s="163">
        <v>3</v>
      </c>
      <c r="I453" s="1" t="e">
        <f t="shared" si="222"/>
        <v>#VALUE!</v>
      </c>
      <c r="J453" s="164">
        <v>5.6710000000000003</v>
      </c>
      <c r="K453" s="165" t="e">
        <f t="shared" si="223"/>
        <v>#VALUE!</v>
      </c>
      <c r="L453" s="30"/>
      <c r="M453" s="30"/>
      <c r="N453" s="30"/>
      <c r="O453" s="30"/>
      <c r="P453" s="30"/>
      <c r="Q453" s="30"/>
      <c r="R453" s="30"/>
      <c r="S453" s="30">
        <v>1</v>
      </c>
      <c r="T453" s="26"/>
      <c r="U453" s="26"/>
      <c r="V453" s="26"/>
      <c r="W453" s="26"/>
      <c r="X453" s="26"/>
      <c r="Y453" s="26"/>
      <c r="Z453" s="26"/>
      <c r="AA453" s="26"/>
      <c r="AB453" s="26"/>
      <c r="AC453" s="26"/>
      <c r="AD453" s="26"/>
      <c r="AE453" s="26"/>
      <c r="AF453" s="26"/>
      <c r="AG453" s="26"/>
      <c r="AH453" s="26"/>
      <c r="AI453" s="26"/>
      <c r="AJ453" s="26"/>
      <c r="AK453" s="26"/>
      <c r="AL453" s="26"/>
      <c r="AM453" s="26"/>
      <c r="AN453" s="26"/>
      <c r="AO453" s="26"/>
      <c r="AP453" s="26"/>
      <c r="AQ453" s="26"/>
      <c r="AR453" s="26"/>
    </row>
    <row r="454" spans="1:44" ht="36" x14ac:dyDescent="0.25">
      <c r="A454" s="30"/>
      <c r="B454" s="13" t="s">
        <v>708</v>
      </c>
      <c r="C454" s="170" t="s">
        <v>800</v>
      </c>
      <c r="D454" s="167" t="s">
        <v>801</v>
      </c>
      <c r="E454" s="167" t="s">
        <v>108</v>
      </c>
      <c r="F454" s="162" t="e">
        <f>G454+SUMIF('[1]mouv MULTIVAC R230 et R240'!B:B,"=Relais thermique 0,7-1A",'[1]mouv MULTIVAC R230 et R240'!G:G)</f>
        <v>#VALUE!</v>
      </c>
      <c r="G454" s="163">
        <v>0</v>
      </c>
      <c r="H454" s="163">
        <v>1</v>
      </c>
      <c r="I454" s="1" t="e">
        <f t="shared" si="222"/>
        <v>#VALUE!</v>
      </c>
      <c r="J454" s="164">
        <v>33.675840000000001</v>
      </c>
      <c r="K454" s="165" t="e">
        <f t="shared" si="223"/>
        <v>#VALUE!</v>
      </c>
      <c r="L454" s="30"/>
      <c r="M454" s="30"/>
      <c r="N454" s="30"/>
      <c r="O454" s="30"/>
      <c r="P454" s="30"/>
      <c r="Q454" s="30"/>
      <c r="R454" s="30"/>
      <c r="S454" s="30">
        <v>1</v>
      </c>
      <c r="T454" s="26"/>
      <c r="U454" s="26"/>
      <c r="V454" s="26"/>
      <c r="W454" s="26"/>
      <c r="X454" s="26"/>
      <c r="Y454" s="26"/>
      <c r="Z454" s="26"/>
      <c r="AA454" s="26"/>
      <c r="AB454" s="26"/>
      <c r="AC454" s="26"/>
      <c r="AD454" s="26"/>
      <c r="AE454" s="26"/>
      <c r="AF454" s="26"/>
      <c r="AG454" s="26"/>
      <c r="AH454" s="26"/>
      <c r="AI454" s="26"/>
      <c r="AJ454" s="26"/>
      <c r="AK454" s="26"/>
      <c r="AL454" s="26"/>
      <c r="AM454" s="26"/>
      <c r="AN454" s="26"/>
      <c r="AO454" s="26"/>
      <c r="AP454" s="26"/>
      <c r="AQ454" s="26"/>
      <c r="AR454" s="26"/>
    </row>
    <row r="455" spans="1:44" ht="36" x14ac:dyDescent="0.25">
      <c r="A455" s="30"/>
      <c r="B455" s="13" t="s">
        <v>708</v>
      </c>
      <c r="C455" s="170" t="s">
        <v>802</v>
      </c>
      <c r="D455" s="167" t="s">
        <v>803</v>
      </c>
      <c r="E455" s="167" t="s">
        <v>108</v>
      </c>
      <c r="F455" s="162" t="e">
        <f>G455+SUMIF('[1]mouv MULTIVAC R230 et R240'!B:B,"=Relais thermique 4,5-6,3A",'[1]mouv MULTIVAC R230 et R240'!G:G)</f>
        <v>#VALUE!</v>
      </c>
      <c r="G455" s="163">
        <v>0</v>
      </c>
      <c r="H455" s="163">
        <v>1</v>
      </c>
      <c r="I455" s="1" t="e">
        <f t="shared" si="222"/>
        <v>#VALUE!</v>
      </c>
      <c r="J455" s="164">
        <v>33.508299999999998</v>
      </c>
      <c r="K455" s="165" t="e">
        <f>J455*F455</f>
        <v>#VALUE!</v>
      </c>
      <c r="L455" s="30"/>
      <c r="M455" s="30"/>
      <c r="N455" s="30"/>
      <c r="O455" s="30"/>
      <c r="P455" s="30"/>
      <c r="Q455" s="30"/>
      <c r="R455" s="30"/>
      <c r="S455" s="30">
        <v>1</v>
      </c>
      <c r="T455" s="26"/>
      <c r="U455" s="26"/>
      <c r="V455" s="26"/>
      <c r="W455" s="26"/>
      <c r="X455" s="26"/>
      <c r="Y455" s="26"/>
      <c r="Z455" s="26"/>
      <c r="AA455" s="26"/>
      <c r="AB455" s="26"/>
      <c r="AC455" s="26"/>
      <c r="AD455" s="26"/>
      <c r="AE455" s="26"/>
      <c r="AF455" s="26"/>
      <c r="AG455" s="26"/>
      <c r="AH455" s="26"/>
      <c r="AI455" s="26"/>
      <c r="AJ455" s="26"/>
      <c r="AK455" s="26"/>
      <c r="AL455" s="26"/>
      <c r="AM455" s="26"/>
      <c r="AN455" s="26"/>
      <c r="AO455" s="26"/>
      <c r="AP455" s="26"/>
      <c r="AQ455" s="26"/>
      <c r="AR455" s="26"/>
    </row>
    <row r="456" spans="1:44" ht="42.75" x14ac:dyDescent="0.25">
      <c r="A456" s="30"/>
      <c r="B456" s="13" t="s">
        <v>708</v>
      </c>
      <c r="C456" s="176" t="s">
        <v>804</v>
      </c>
      <c r="D456" s="177">
        <v>100388823</v>
      </c>
      <c r="E456" s="177"/>
      <c r="F456" s="162" t="e">
        <f>G456+SUMIF('[1]mouv MULTIVAC R230 et R240'!B:B,"=Jeu de ressorts de rappel",'[1]mouv MULTIVAC R230 et R240'!G:G)</f>
        <v>#VALUE!</v>
      </c>
      <c r="G456" s="177">
        <v>1</v>
      </c>
      <c r="H456" s="177">
        <v>1</v>
      </c>
      <c r="I456" s="1" t="e">
        <f t="shared" si="222"/>
        <v>#VALUE!</v>
      </c>
      <c r="J456" s="177"/>
      <c r="K456" s="177"/>
      <c r="L456" s="30"/>
      <c r="M456" s="30"/>
      <c r="N456" s="30"/>
      <c r="O456" s="30"/>
      <c r="P456" s="30"/>
      <c r="Q456" s="30"/>
      <c r="R456" s="30"/>
      <c r="S456" s="30">
        <v>1</v>
      </c>
      <c r="T456" s="26"/>
      <c r="U456" s="26"/>
      <c r="V456" s="26"/>
      <c r="W456" s="26"/>
      <c r="X456" s="26"/>
      <c r="Y456" s="26"/>
      <c r="Z456" s="26"/>
      <c r="AA456" s="26"/>
      <c r="AB456" s="26"/>
      <c r="AC456" s="26"/>
      <c r="AD456" s="26"/>
      <c r="AE456" s="26"/>
      <c r="AF456" s="26"/>
      <c r="AG456" s="26"/>
      <c r="AH456" s="26"/>
      <c r="AI456" s="26"/>
      <c r="AJ456" s="26"/>
      <c r="AK456" s="26"/>
      <c r="AL456" s="26"/>
      <c r="AM456" s="26"/>
      <c r="AN456" s="26"/>
      <c r="AO456" s="26"/>
      <c r="AP456" s="26"/>
      <c r="AQ456" s="26"/>
      <c r="AR456" s="26"/>
    </row>
    <row r="460" spans="1:44" ht="28.5" x14ac:dyDescent="0.25">
      <c r="A460" s="30"/>
      <c r="B460" s="13" t="s">
        <v>708</v>
      </c>
      <c r="C460" s="176" t="s">
        <v>808</v>
      </c>
      <c r="D460" s="177">
        <v>100006548</v>
      </c>
      <c r="E460" s="177"/>
      <c r="F460" s="162" t="e">
        <f>G460+SUMIF('[1]mouv MULTIVAC R230 et R240'!B:B,"=circlips 45*2,5",'[1]mouv MULTIVAC R230 et R240'!G:G)</f>
        <v>#VALUE!</v>
      </c>
      <c r="G460" s="177">
        <v>3</v>
      </c>
      <c r="H460" s="177">
        <v>1</v>
      </c>
      <c r="I460" s="1" t="e">
        <f t="shared" ref="I460" si="224">IF(F460&lt;H460,"/!\","-")</f>
        <v>#VALUE!</v>
      </c>
      <c r="J460" s="177"/>
      <c r="K460" s="177"/>
      <c r="L460" s="30"/>
      <c r="M460" s="30"/>
      <c r="N460" s="30"/>
      <c r="O460" s="30"/>
      <c r="P460" s="30"/>
      <c r="Q460" s="30"/>
      <c r="R460" s="30"/>
      <c r="S460" s="30">
        <v>1</v>
      </c>
      <c r="T460" s="26"/>
      <c r="U460" s="26"/>
      <c r="V460" s="26"/>
      <c r="W460" s="26"/>
      <c r="X460" s="26"/>
      <c r="Y460" s="26"/>
      <c r="Z460" s="26"/>
      <c r="AA460" s="26"/>
      <c r="AB460" s="26"/>
      <c r="AC460" s="26"/>
      <c r="AD460" s="26"/>
      <c r="AE460" s="26"/>
      <c r="AF460" s="26"/>
      <c r="AG460" s="26"/>
      <c r="AH460" s="26"/>
      <c r="AI460" s="26"/>
      <c r="AJ460" s="26"/>
      <c r="AK460" s="26"/>
      <c r="AL460" s="26"/>
      <c r="AM460" s="26"/>
      <c r="AN460" s="26"/>
      <c r="AO460" s="26"/>
      <c r="AP460" s="26"/>
      <c r="AQ460" s="26"/>
      <c r="AR460" s="26"/>
    </row>
    <row r="462" spans="1:44" ht="71.25" x14ac:dyDescent="0.25">
      <c r="A462" s="30"/>
      <c r="B462" s="13" t="s">
        <v>708</v>
      </c>
      <c r="C462" s="176" t="s">
        <v>810</v>
      </c>
      <c r="D462" s="177">
        <v>11648268803</v>
      </c>
      <c r="E462" s="177"/>
      <c r="F462" s="162" t="e">
        <f>G462+SUMIF('[1]mouv MULTIVAC R230 et R240'!B:B,"=verouillage capots barriere soudure/formage",'[1]mouv MULTIVAC R230 et R240'!G:G)</f>
        <v>#VALUE!</v>
      </c>
      <c r="G462" s="177">
        <v>1</v>
      </c>
      <c r="H462" s="177">
        <v>1</v>
      </c>
      <c r="I462" s="1" t="e">
        <f t="shared" ref="I462" si="225">IF(F462&lt;H462,"/!\","-")</f>
        <v>#VALUE!</v>
      </c>
      <c r="J462" s="177"/>
      <c r="K462" s="177"/>
      <c r="L462" s="30"/>
      <c r="M462" s="30"/>
      <c r="N462" s="30"/>
      <c r="O462" s="30"/>
      <c r="P462" s="30"/>
      <c r="Q462" s="30"/>
      <c r="R462" s="30"/>
      <c r="S462" s="30">
        <v>1</v>
      </c>
      <c r="T462" s="26"/>
      <c r="U462" s="26"/>
      <c r="V462" s="26"/>
      <c r="W462" s="26"/>
      <c r="X462" s="26"/>
      <c r="Y462" s="26"/>
      <c r="Z462" s="26"/>
      <c r="AA462" s="26"/>
      <c r="AB462" s="26"/>
      <c r="AC462" s="26"/>
      <c r="AD462" s="26"/>
      <c r="AE462" s="26"/>
      <c r="AF462" s="26"/>
      <c r="AG462" s="26"/>
      <c r="AH462" s="26"/>
      <c r="AI462" s="26"/>
      <c r="AJ462" s="26"/>
      <c r="AK462" s="26"/>
      <c r="AL462" s="26"/>
      <c r="AM462" s="26"/>
      <c r="AN462" s="26"/>
      <c r="AO462" s="26"/>
      <c r="AP462" s="26"/>
      <c r="AQ462" s="26"/>
      <c r="AR462" s="26"/>
    </row>
    <row r="464" spans="1:44" ht="42.75" x14ac:dyDescent="0.25">
      <c r="A464" s="30"/>
      <c r="B464" s="13" t="s">
        <v>708</v>
      </c>
      <c r="C464" s="176" t="s">
        <v>812</v>
      </c>
      <c r="D464" s="177">
        <v>78351040300</v>
      </c>
      <c r="E464" s="177"/>
      <c r="F464" s="162" t="e">
        <f>G464+SUMIF('[1]mouv MULTIVAC R230 et R240'!B:B,"=joint spi D1=68 D2=40",'[1]mouv MULTIVAC R230 et R240'!G:G)</f>
        <v>#VALUE!</v>
      </c>
      <c r="G464" s="177">
        <v>1</v>
      </c>
      <c r="H464" s="177">
        <v>0</v>
      </c>
      <c r="I464" s="1" t="e">
        <f t="shared" ref="I464:I468" si="226">IF(F464&lt;H464,"/!\","-")</f>
        <v>#VALUE!</v>
      </c>
      <c r="J464" s="177"/>
      <c r="K464" s="177"/>
      <c r="L464" s="30"/>
      <c r="M464" s="30"/>
      <c r="N464" s="30"/>
      <c r="O464" s="30"/>
      <c r="P464" s="30"/>
      <c r="Q464" s="30"/>
      <c r="R464" s="30"/>
      <c r="S464" s="30">
        <v>1</v>
      </c>
      <c r="T464" s="26"/>
      <c r="U464" s="26"/>
      <c r="V464" s="26"/>
      <c r="W464" s="26"/>
      <c r="X464" s="26"/>
      <c r="Y464" s="26"/>
      <c r="Z464" s="26"/>
      <c r="AA464" s="26"/>
      <c r="AB464" s="26"/>
      <c r="AC464" s="26"/>
      <c r="AD464" s="26"/>
      <c r="AE464" s="26"/>
      <c r="AF464" s="26"/>
      <c r="AG464" s="26"/>
      <c r="AH464" s="26"/>
      <c r="AI464" s="26"/>
      <c r="AJ464" s="26"/>
      <c r="AK464" s="26"/>
      <c r="AL464" s="26"/>
      <c r="AM464" s="26"/>
      <c r="AN464" s="26"/>
      <c r="AO464" s="26"/>
      <c r="AP464" s="26"/>
      <c r="AQ464" s="26"/>
      <c r="AR464" s="26"/>
    </row>
    <row r="465" spans="1:44" ht="42.75" x14ac:dyDescent="0.25">
      <c r="A465" s="30"/>
      <c r="B465" s="13" t="s">
        <v>708</v>
      </c>
      <c r="C465" s="176" t="s">
        <v>813</v>
      </c>
      <c r="D465" s="177">
        <v>105320956</v>
      </c>
      <c r="E465" s="177"/>
      <c r="F465" s="162" t="e">
        <f>G465+SUMIF('[1]mouv MULTIVAC R230 et R240'!B:B,"=VIS SW10 L1=31 L2=29",'[1]mouv MULTIVAC R230 et R240'!G:G)</f>
        <v>#VALUE!</v>
      </c>
      <c r="G465" s="177">
        <v>2</v>
      </c>
      <c r="H465" s="177">
        <v>0</v>
      </c>
      <c r="I465" s="1" t="e">
        <f t="shared" si="226"/>
        <v>#VALUE!</v>
      </c>
      <c r="J465" s="177"/>
      <c r="K465" s="177"/>
      <c r="L465" s="30"/>
      <c r="M465" s="30"/>
      <c r="N465" s="30"/>
      <c r="O465" s="30"/>
      <c r="P465" s="30"/>
      <c r="Q465" s="30"/>
      <c r="R465" s="30"/>
      <c r="S465" s="30">
        <v>1</v>
      </c>
      <c r="T465" s="26"/>
      <c r="U465" s="26"/>
      <c r="V465" s="26"/>
      <c r="W465" s="26"/>
      <c r="X465" s="26"/>
      <c r="Y465" s="26"/>
      <c r="Z465" s="26"/>
      <c r="AA465" s="26"/>
      <c r="AB465" s="26"/>
      <c r="AC465" s="26"/>
      <c r="AD465" s="26"/>
      <c r="AE465" s="26"/>
      <c r="AF465" s="26"/>
      <c r="AG465" s="26"/>
      <c r="AH465" s="26"/>
      <c r="AI465" s="26"/>
      <c r="AJ465" s="26"/>
      <c r="AK465" s="26"/>
      <c r="AL465" s="26"/>
      <c r="AM465" s="26"/>
      <c r="AN465" s="26"/>
      <c r="AO465" s="26"/>
      <c r="AP465" s="26"/>
      <c r="AQ465" s="26"/>
      <c r="AR465" s="26"/>
    </row>
    <row r="466" spans="1:44" ht="42.75" x14ac:dyDescent="0.25">
      <c r="A466" s="30"/>
      <c r="B466" s="13" t="s">
        <v>708</v>
      </c>
      <c r="C466" s="176" t="s">
        <v>814</v>
      </c>
      <c r="D466" s="177">
        <v>11631040847</v>
      </c>
      <c r="E466" s="177"/>
      <c r="F466" s="162" t="e">
        <f>G466+SUMIF('[1]mouv MULTIVAC R230 et R240'!B:B,"=VIS SW17 L1=64 L2=31",'[1]mouv MULTIVAC R230 et R240'!G:G)</f>
        <v>#VALUE!</v>
      </c>
      <c r="G466" s="177">
        <v>2</v>
      </c>
      <c r="H466" s="177">
        <v>0</v>
      </c>
      <c r="I466" s="1" t="e">
        <f t="shared" si="226"/>
        <v>#VALUE!</v>
      </c>
      <c r="J466" s="177"/>
      <c r="K466" s="177"/>
      <c r="L466" s="30"/>
      <c r="M466" s="13" t="s">
        <v>708</v>
      </c>
      <c r="N466" s="30"/>
      <c r="O466" s="30"/>
      <c r="P466" s="30"/>
      <c r="Q466" s="30"/>
      <c r="R466" s="30"/>
      <c r="S466" s="30">
        <v>1</v>
      </c>
      <c r="T466" s="26"/>
      <c r="U466" s="26"/>
      <c r="V466" s="26"/>
      <c r="W466" s="26"/>
      <c r="X466" s="26"/>
      <c r="Y466" s="26"/>
      <c r="Z466" s="26"/>
      <c r="AA466" s="26"/>
      <c r="AB466" s="26"/>
      <c r="AC466" s="26"/>
      <c r="AD466" s="26"/>
      <c r="AE466" s="26"/>
      <c r="AF466" s="26"/>
      <c r="AG466" s="26"/>
      <c r="AH466" s="26"/>
      <c r="AI466" s="26"/>
      <c r="AJ466" s="26"/>
      <c r="AK466" s="26"/>
      <c r="AL466" s="26"/>
      <c r="AM466" s="26"/>
      <c r="AN466" s="26"/>
      <c r="AO466" s="26"/>
      <c r="AP466" s="26"/>
      <c r="AQ466" s="26"/>
      <c r="AR466" s="26"/>
    </row>
    <row r="467" spans="1:44" ht="30" x14ac:dyDescent="0.25">
      <c r="A467" s="30"/>
      <c r="B467" s="13" t="s">
        <v>708</v>
      </c>
      <c r="C467" s="178" t="s">
        <v>815</v>
      </c>
      <c r="D467" s="28">
        <v>80275111402</v>
      </c>
      <c r="E467" s="28"/>
      <c r="F467" s="162" t="e">
        <f>G467+SUMIF('[1]mouv MULTIVAC R230 et R240'!B:B,"=joint d'étanchité",'[1]mouv MULTIVAC R230 et R240'!G:G)</f>
        <v>#VALUE!</v>
      </c>
      <c r="G467" s="28">
        <v>6</v>
      </c>
      <c r="H467" s="28">
        <v>2</v>
      </c>
      <c r="I467" s="1" t="e">
        <f t="shared" si="226"/>
        <v>#VALUE!</v>
      </c>
      <c r="J467" s="28"/>
      <c r="K467" s="28"/>
      <c r="L467" s="30"/>
      <c r="M467" s="35" t="e">
        <f>SUM(K375:K467)</f>
        <v>#VALUE!</v>
      </c>
      <c r="N467" s="30"/>
      <c r="O467" s="30"/>
      <c r="P467" s="30"/>
      <c r="Q467" s="30"/>
      <c r="R467" s="30"/>
      <c r="S467" s="30">
        <v>1</v>
      </c>
      <c r="T467" s="26"/>
      <c r="U467" s="26"/>
      <c r="V467" s="26"/>
      <c r="W467" s="26"/>
      <c r="X467" s="26"/>
      <c r="Y467" s="26"/>
      <c r="Z467" s="26"/>
      <c r="AA467" s="26"/>
      <c r="AB467" s="26"/>
      <c r="AC467" s="26"/>
      <c r="AD467" s="26"/>
      <c r="AE467" s="26"/>
      <c r="AF467" s="26"/>
      <c r="AG467" s="26"/>
      <c r="AH467" s="26"/>
      <c r="AI467" s="26"/>
      <c r="AJ467" s="26"/>
      <c r="AK467" s="26"/>
      <c r="AL467" s="26"/>
      <c r="AM467" s="26"/>
      <c r="AN467" s="26"/>
      <c r="AO467" s="26"/>
      <c r="AP467" s="26"/>
      <c r="AQ467" s="26"/>
      <c r="AR467" s="26"/>
    </row>
    <row r="468" spans="1:44" ht="15.75" x14ac:dyDescent="0.25">
      <c r="A468" s="30"/>
      <c r="B468" s="13" t="s">
        <v>816</v>
      </c>
      <c r="C468" s="99" t="s">
        <v>817</v>
      </c>
      <c r="D468" s="101">
        <v>105377188</v>
      </c>
      <c r="E468" s="179" t="s">
        <v>22</v>
      </c>
      <c r="F468" s="7" t="e">
        <f>G468+SUMIF('[1]mouv MULTIVAC DECOUPE'!B:B,"=Contre découpe (enclume) R240",'[1]mouv MULTIVAC DECOUPE'!G:G)</f>
        <v>#VALUE!</v>
      </c>
      <c r="G468" s="63">
        <v>5</v>
      </c>
      <c r="H468" s="63">
        <v>2</v>
      </c>
      <c r="I468" s="1" t="e">
        <f t="shared" si="226"/>
        <v>#VALUE!</v>
      </c>
      <c r="J468" s="66">
        <v>914.37</v>
      </c>
      <c r="K468" s="180" t="e">
        <f>J468*F468</f>
        <v>#VALUE!</v>
      </c>
      <c r="L468" s="30"/>
      <c r="M468" s="30"/>
      <c r="N468" s="30"/>
      <c r="O468" s="30"/>
      <c r="P468" s="30"/>
      <c r="Q468" s="30"/>
      <c r="R468" s="30"/>
      <c r="S468" s="30">
        <v>1</v>
      </c>
      <c r="T468" s="26"/>
      <c r="U468" s="26"/>
      <c r="V468" s="26"/>
      <c r="W468" s="26"/>
      <c r="X468" s="26"/>
      <c r="Y468" s="26"/>
      <c r="Z468" s="26"/>
      <c r="AA468" s="26"/>
      <c r="AB468" s="26"/>
      <c r="AC468" s="26"/>
      <c r="AD468" s="26"/>
      <c r="AE468" s="26"/>
      <c r="AF468" s="26"/>
      <c r="AG468" s="26"/>
      <c r="AH468" s="26"/>
      <c r="AI468" s="26"/>
      <c r="AJ468" s="26"/>
      <c r="AK468" s="26"/>
      <c r="AL468" s="26"/>
      <c r="AM468" s="26"/>
      <c r="AN468" s="26"/>
      <c r="AO468" s="26"/>
      <c r="AP468" s="26"/>
      <c r="AQ468" s="26"/>
      <c r="AR468" s="26"/>
    </row>
    <row r="472" spans="1:44" ht="15.75" x14ac:dyDescent="0.25">
      <c r="A472" s="30"/>
      <c r="B472" s="13" t="s">
        <v>816</v>
      </c>
      <c r="C472" s="102" t="s">
        <v>821</v>
      </c>
      <c r="D472" s="101">
        <v>11555966710</v>
      </c>
      <c r="E472" s="179" t="s">
        <v>22</v>
      </c>
      <c r="F472" s="7" t="e">
        <f>G472+SUMIF('[1]mouv MULTIVAC DECOUPE'!B:B,"=Bord extérieur à visser couteaux R240",'[1]mouv MULTIVAC DECOUPE'!G:G)</f>
        <v>#VALUE!</v>
      </c>
      <c r="G472" s="63">
        <v>2</v>
      </c>
      <c r="H472" s="101">
        <v>2</v>
      </c>
      <c r="I472" s="1" t="e">
        <f t="shared" ref="I472" si="227">IF(F472&lt;H472,"/!\","-")</f>
        <v>#VALUE!</v>
      </c>
      <c r="J472" s="181">
        <v>68.180000000000007</v>
      </c>
      <c r="K472" s="12" t="e">
        <f t="shared" ref="K472" si="228">J472*F472</f>
        <v>#VALUE!</v>
      </c>
      <c r="L472" s="30"/>
      <c r="M472" s="30"/>
      <c r="N472" s="30"/>
      <c r="O472" s="30"/>
      <c r="P472" s="30"/>
      <c r="Q472" s="30"/>
      <c r="R472" s="30"/>
      <c r="S472" s="30">
        <v>1</v>
      </c>
      <c r="T472" s="26"/>
      <c r="U472" s="26"/>
      <c r="V472" s="26"/>
      <c r="W472" s="26"/>
      <c r="X472" s="26"/>
      <c r="Y472" s="26"/>
      <c r="Z472" s="26"/>
      <c r="AA472" s="26"/>
      <c r="AB472" s="26"/>
      <c r="AC472" s="26"/>
      <c r="AD472" s="26"/>
      <c r="AE472" s="26"/>
      <c r="AF472" s="26"/>
      <c r="AG472" s="26"/>
      <c r="AH472" s="26"/>
      <c r="AI472" s="26"/>
      <c r="AJ472" s="26"/>
      <c r="AK472" s="26"/>
      <c r="AL472" s="26"/>
      <c r="AM472" s="26"/>
      <c r="AN472" s="26"/>
      <c r="AO472" s="26"/>
      <c r="AP472" s="26"/>
      <c r="AQ472" s="26"/>
      <c r="AR472" s="26"/>
    </row>
    <row r="474" spans="1:44" ht="15.75" x14ac:dyDescent="0.25">
      <c r="A474" s="30"/>
      <c r="B474" s="13" t="s">
        <v>816</v>
      </c>
      <c r="C474" s="102" t="s">
        <v>823</v>
      </c>
      <c r="D474" s="101">
        <v>79911201210</v>
      </c>
      <c r="E474" s="179" t="s">
        <v>22</v>
      </c>
      <c r="F474" s="7" t="e">
        <f>G474+SUMIF('[1]mouv MULTIVAC DECOUPE'!B:B,"=Lame de coupe R230 ( vendu au 1m )",'[1]mouv MULTIVAC DECOUPE'!G:G)</f>
        <v>#VALUE!</v>
      </c>
      <c r="G474" s="63">
        <v>1</v>
      </c>
      <c r="H474" s="101">
        <v>1</v>
      </c>
      <c r="I474" s="1" t="e">
        <f t="shared" ref="I474" si="229">IF(F474&lt;H474,"/!\","-")</f>
        <v>#VALUE!</v>
      </c>
      <c r="J474" s="181">
        <v>391.83</v>
      </c>
      <c r="K474" s="12" t="e">
        <f t="shared" ref="K474" si="230">J474*F474</f>
        <v>#VALUE!</v>
      </c>
      <c r="L474" s="30"/>
      <c r="M474" s="30"/>
      <c r="N474" s="30"/>
      <c r="O474" s="30"/>
      <c r="P474" s="30"/>
      <c r="Q474" s="30"/>
      <c r="R474" s="30"/>
      <c r="S474" s="30">
        <v>1</v>
      </c>
      <c r="T474" s="26"/>
      <c r="U474" s="26"/>
      <c r="V474" s="26"/>
      <c r="W474" s="26"/>
      <c r="X474" s="26"/>
      <c r="Y474" s="26"/>
      <c r="Z474" s="26"/>
      <c r="AA474" s="26"/>
      <c r="AB474" s="26"/>
      <c r="AC474" s="26"/>
      <c r="AD474" s="26"/>
      <c r="AE474" s="26"/>
      <c r="AF474" s="26"/>
      <c r="AG474" s="26"/>
      <c r="AH474" s="26"/>
      <c r="AI474" s="26"/>
      <c r="AJ474" s="26"/>
      <c r="AK474" s="26"/>
      <c r="AL474" s="26"/>
      <c r="AM474" s="26"/>
      <c r="AN474" s="26"/>
      <c r="AO474" s="26"/>
      <c r="AP474" s="26"/>
      <c r="AQ474" s="26"/>
      <c r="AR474" s="26"/>
    </row>
    <row r="476" spans="1:44" ht="15.75" x14ac:dyDescent="0.25">
      <c r="A476" s="30"/>
      <c r="B476" s="13" t="s">
        <v>816</v>
      </c>
      <c r="C476" s="102" t="s">
        <v>825</v>
      </c>
      <c r="D476" s="101" t="s">
        <v>826</v>
      </c>
      <c r="E476" s="179" t="s">
        <v>22</v>
      </c>
      <c r="F476" s="7" t="e">
        <f>G476+SUMIF('[1]mouv MULTIVAC DECOUPE'!B:B,"=Lame R240 HSS",'[1]mouv MULTIVAC DECOUPE'!G:G)</f>
        <v>#VALUE!</v>
      </c>
      <c r="G476" s="63">
        <v>2</v>
      </c>
      <c r="H476" s="101">
        <v>0</v>
      </c>
      <c r="I476" s="1" t="e">
        <f t="shared" ref="I476:I480" si="231">IF(F476&lt;H476,"/!\","-")</f>
        <v>#VALUE!</v>
      </c>
      <c r="J476" s="181">
        <v>94</v>
      </c>
      <c r="K476" s="12" t="e">
        <f t="shared" ref="K476:K480" si="232">J476*F476</f>
        <v>#VALUE!</v>
      </c>
      <c r="L476" s="30"/>
      <c r="M476" s="30"/>
      <c r="N476" s="30"/>
      <c r="O476" s="30"/>
      <c r="P476" s="30"/>
      <c r="Q476" s="30"/>
      <c r="R476" s="30"/>
      <c r="S476" s="30">
        <v>1</v>
      </c>
      <c r="T476" s="26"/>
      <c r="U476" s="26"/>
      <c r="V476" s="26"/>
      <c r="W476" s="26"/>
      <c r="X476" s="26"/>
      <c r="Y476" s="26"/>
      <c r="Z476" s="26"/>
      <c r="AA476" s="26"/>
      <c r="AB476" s="26"/>
      <c r="AC476" s="26"/>
      <c r="AD476" s="26"/>
      <c r="AE476" s="26"/>
      <c r="AF476" s="26"/>
      <c r="AG476" s="26"/>
      <c r="AH476" s="26"/>
      <c r="AI476" s="26"/>
      <c r="AJ476" s="26"/>
      <c r="AK476" s="26"/>
      <c r="AL476" s="26"/>
      <c r="AM476" s="26"/>
      <c r="AN476" s="26"/>
      <c r="AO476" s="26"/>
      <c r="AP476" s="26"/>
      <c r="AQ476" s="26"/>
      <c r="AR476" s="26"/>
    </row>
    <row r="477" spans="1:44" ht="36" x14ac:dyDescent="0.25">
      <c r="A477" s="30"/>
      <c r="B477" s="13" t="s">
        <v>816</v>
      </c>
      <c r="C477" s="182" t="s">
        <v>827</v>
      </c>
      <c r="D477" s="101">
        <v>79915200803</v>
      </c>
      <c r="E477" s="179" t="s">
        <v>22</v>
      </c>
      <c r="F477" s="7" t="e">
        <f>G477+SUMIF('[1]mouv MULTIVAC DECOUPE'!B:B,"=couteaux circulaires R240",'[1]mouv MULTIVAC DECOUPE'!G:G)</f>
        <v>#VALUE!</v>
      </c>
      <c r="G477" s="63">
        <v>2</v>
      </c>
      <c r="H477" s="63">
        <v>3</v>
      </c>
      <c r="I477" s="1" t="e">
        <f t="shared" si="231"/>
        <v>#VALUE!</v>
      </c>
      <c r="J477" s="66">
        <v>15.74</v>
      </c>
      <c r="K477" s="12" t="e">
        <f t="shared" si="232"/>
        <v>#VALUE!</v>
      </c>
      <c r="L477" s="30"/>
      <c r="M477" s="30"/>
      <c r="N477" s="30"/>
      <c r="O477" s="30"/>
      <c r="P477" s="30"/>
      <c r="Q477" s="30"/>
      <c r="R477" s="30"/>
      <c r="S477" s="30">
        <v>1</v>
      </c>
      <c r="T477" s="26"/>
      <c r="U477" s="26"/>
      <c r="V477" s="26"/>
      <c r="W477" s="26"/>
      <c r="X477" s="26"/>
      <c r="Y477" s="26"/>
      <c r="Z477" s="26"/>
      <c r="AA477" s="26"/>
      <c r="AB477" s="26"/>
      <c r="AC477" s="26"/>
      <c r="AD477" s="26"/>
      <c r="AE477" s="26"/>
      <c r="AF477" s="26"/>
      <c r="AG477" s="26"/>
      <c r="AH477" s="26"/>
      <c r="AI477" s="26"/>
      <c r="AJ477" s="26"/>
      <c r="AK477" s="26"/>
      <c r="AL477" s="26"/>
      <c r="AM477" s="26"/>
      <c r="AN477" s="26"/>
      <c r="AO477" s="26"/>
      <c r="AP477" s="26"/>
      <c r="AQ477" s="26"/>
      <c r="AR477" s="26"/>
    </row>
    <row r="478" spans="1:44" ht="36" x14ac:dyDescent="0.25">
      <c r="A478" s="30"/>
      <c r="B478" s="13" t="s">
        <v>816</v>
      </c>
      <c r="C478" s="183" t="s">
        <v>828</v>
      </c>
      <c r="D478" s="101">
        <v>79915200901</v>
      </c>
      <c r="E478" s="179" t="s">
        <v>22</v>
      </c>
      <c r="F478" s="7" t="e">
        <f>G478+SUMIF('[1]mouv MULTIVAC DECOUPE'!B:B,"=couteaux circulaires R230",'[1]mouv MULTIVAC DECOUPE'!G:G)</f>
        <v>#VALUE!</v>
      </c>
      <c r="G478" s="63">
        <v>0</v>
      </c>
      <c r="H478" s="63">
        <v>3</v>
      </c>
      <c r="I478" s="1" t="e">
        <f t="shared" si="231"/>
        <v>#VALUE!</v>
      </c>
      <c r="J478" s="66">
        <v>15.74</v>
      </c>
      <c r="K478" s="12" t="e">
        <f t="shared" si="232"/>
        <v>#VALUE!</v>
      </c>
      <c r="L478" s="30"/>
      <c r="M478" s="30"/>
      <c r="N478" s="30"/>
      <c r="O478" s="30"/>
      <c r="P478" s="30"/>
      <c r="Q478" s="30"/>
      <c r="R478" s="30"/>
      <c r="S478" s="30">
        <v>1</v>
      </c>
      <c r="T478" s="26"/>
      <c r="U478" s="26"/>
      <c r="V478" s="26"/>
      <c r="W478" s="26"/>
      <c r="X478" s="26"/>
      <c r="Y478" s="26"/>
      <c r="Z478" s="26"/>
      <c r="AA478" s="26"/>
      <c r="AB478" s="26"/>
      <c r="AC478" s="26"/>
      <c r="AD478" s="26"/>
      <c r="AE478" s="26"/>
      <c r="AF478" s="26"/>
      <c r="AG478" s="26"/>
      <c r="AH478" s="26"/>
      <c r="AI478" s="26"/>
      <c r="AJ478" s="26"/>
      <c r="AK478" s="26"/>
      <c r="AL478" s="26"/>
      <c r="AM478" s="26"/>
      <c r="AN478" s="26"/>
      <c r="AO478" s="26"/>
      <c r="AP478" s="26"/>
      <c r="AQ478" s="26"/>
      <c r="AR478" s="26"/>
    </row>
    <row r="479" spans="1:44" ht="15.75" x14ac:dyDescent="0.25">
      <c r="A479" s="30"/>
      <c r="B479" s="13" t="s">
        <v>816</v>
      </c>
      <c r="C479" s="102" t="s">
        <v>829</v>
      </c>
      <c r="D479" s="101">
        <v>79935811008</v>
      </c>
      <c r="E479" s="179" t="s">
        <v>22</v>
      </c>
      <c r="F479" s="7" t="e">
        <f>G479+SUMIF('[1]mouv MULTIVAC DECOUPE'!B:B,"=Couteaux Demi-as de carreau R240",'[1]mouv MULTIVAC DECOUPE'!G:G)</f>
        <v>#VALUE!</v>
      </c>
      <c r="G479" s="63">
        <v>17</v>
      </c>
      <c r="H479" s="101">
        <v>4</v>
      </c>
      <c r="I479" s="1" t="e">
        <f t="shared" si="231"/>
        <v>#VALUE!</v>
      </c>
      <c r="J479" s="181">
        <v>28.48</v>
      </c>
      <c r="K479" s="12" t="e">
        <f t="shared" si="232"/>
        <v>#VALUE!</v>
      </c>
      <c r="L479" s="30"/>
      <c r="M479" s="30"/>
      <c r="N479" s="30"/>
      <c r="O479" s="30"/>
      <c r="P479" s="30"/>
      <c r="Q479" s="30"/>
      <c r="R479" s="30"/>
      <c r="S479" s="30">
        <v>1</v>
      </c>
      <c r="T479" s="26"/>
      <c r="U479" s="26"/>
      <c r="V479" s="26"/>
      <c r="W479" s="26"/>
      <c r="X479" s="26"/>
      <c r="Y479" s="26"/>
      <c r="Z479" s="26"/>
      <c r="AA479" s="26"/>
      <c r="AB479" s="26"/>
      <c r="AC479" s="26"/>
      <c r="AD479" s="26"/>
      <c r="AE479" s="26"/>
      <c r="AF479" s="26"/>
      <c r="AG479" s="26"/>
      <c r="AH479" s="26"/>
      <c r="AI479" s="26"/>
      <c r="AJ479" s="26"/>
      <c r="AK479" s="26"/>
      <c r="AL479" s="26"/>
      <c r="AM479" s="26"/>
      <c r="AN479" s="26"/>
      <c r="AO479" s="26"/>
      <c r="AP479" s="26"/>
      <c r="AQ479" s="26"/>
      <c r="AR479" s="26"/>
    </row>
    <row r="480" spans="1:44" ht="15.75" x14ac:dyDescent="0.25">
      <c r="A480" s="30"/>
      <c r="B480" s="13" t="s">
        <v>816</v>
      </c>
      <c r="C480" s="102" t="s">
        <v>830</v>
      </c>
      <c r="D480" s="101" t="s">
        <v>831</v>
      </c>
      <c r="E480" s="179" t="s">
        <v>22</v>
      </c>
      <c r="F480" s="7" t="e">
        <f>G480+SUMIF('[1]mouv MULTIVAC DECOUPE'!B:B,"=Demi As Acier Ht performance",'[1]mouv MULTIVAC DECOUPE'!G:G)</f>
        <v>#VALUE!</v>
      </c>
      <c r="G480" s="63">
        <v>6</v>
      </c>
      <c r="H480" s="101">
        <v>0</v>
      </c>
      <c r="I480" s="1" t="e">
        <f t="shared" si="231"/>
        <v>#VALUE!</v>
      </c>
      <c r="J480" s="181">
        <v>46.5</v>
      </c>
      <c r="K480" s="12" t="e">
        <f t="shared" si="232"/>
        <v>#VALUE!</v>
      </c>
      <c r="L480" s="30"/>
      <c r="M480" s="30"/>
      <c r="N480" s="30"/>
      <c r="O480" s="30"/>
      <c r="P480" s="30"/>
      <c r="Q480" s="30"/>
      <c r="R480" s="30"/>
      <c r="S480" s="30">
        <v>1</v>
      </c>
      <c r="T480" s="26"/>
      <c r="U480" s="26"/>
      <c r="V480" s="26"/>
      <c r="W480" s="26"/>
      <c r="X480" s="26"/>
      <c r="Y480" s="26"/>
      <c r="Z480" s="26"/>
      <c r="AA480" s="26"/>
      <c r="AB480" s="26"/>
      <c r="AC480" s="26"/>
      <c r="AD480" s="26"/>
      <c r="AE480" s="26"/>
      <c r="AF480" s="26"/>
      <c r="AG480" s="26"/>
      <c r="AH480" s="26"/>
      <c r="AI480" s="26"/>
      <c r="AJ480" s="26"/>
      <c r="AK480" s="26"/>
      <c r="AL480" s="26"/>
      <c r="AM480" s="26"/>
      <c r="AN480" s="26"/>
      <c r="AO480" s="26"/>
      <c r="AP480" s="26"/>
      <c r="AQ480" s="26"/>
      <c r="AR480" s="26"/>
    </row>
    <row r="484" spans="1:44" ht="33.75" x14ac:dyDescent="0.25">
      <c r="A484" s="30"/>
      <c r="B484" s="13" t="s">
        <v>816</v>
      </c>
      <c r="C484" s="188" t="s">
        <v>836</v>
      </c>
      <c r="D484" s="185">
        <v>78351030100</v>
      </c>
      <c r="E484" s="179" t="s">
        <v>22</v>
      </c>
      <c r="F484" s="7" t="e">
        <f>G484+SUMIF('[1]mouv MULTIVAC DECOUPE'!B:B,"=Joint d'arbre (decoupe longitudinale)",'[1]mouv MULTIVAC DECOUPE'!G:G)</f>
        <v>#VALUE!</v>
      </c>
      <c r="G484" s="186">
        <v>1</v>
      </c>
      <c r="H484" s="186">
        <v>2</v>
      </c>
      <c r="I484" s="1" t="e">
        <f t="shared" ref="I484" si="233">IF(F484&lt;H484,"/!\","-")</f>
        <v>#VALUE!</v>
      </c>
      <c r="J484" s="187">
        <v>3.49</v>
      </c>
      <c r="K484" s="12" t="e">
        <f t="shared" ref="K484" si="234">J484*F484</f>
        <v>#VALUE!</v>
      </c>
      <c r="L484" s="30"/>
      <c r="M484" s="30"/>
      <c r="N484" s="30"/>
      <c r="O484" s="30"/>
      <c r="P484" s="30"/>
      <c r="Q484" s="30"/>
      <c r="R484" s="30"/>
      <c r="S484" s="30">
        <v>1</v>
      </c>
      <c r="T484" s="26"/>
      <c r="U484" s="26"/>
      <c r="V484" s="26"/>
      <c r="W484" s="26"/>
      <c r="X484" s="26"/>
      <c r="Y484" s="26"/>
      <c r="Z484" s="26"/>
      <c r="AA484" s="26"/>
      <c r="AB484" s="26"/>
      <c r="AC484" s="26"/>
      <c r="AD484" s="26"/>
      <c r="AE484" s="26"/>
      <c r="AF484" s="26"/>
      <c r="AG484" s="26"/>
      <c r="AH484" s="26"/>
      <c r="AI484" s="26"/>
      <c r="AJ484" s="26"/>
      <c r="AK484" s="26"/>
      <c r="AL484" s="26"/>
      <c r="AM484" s="26"/>
      <c r="AN484" s="26"/>
      <c r="AO484" s="26"/>
      <c r="AP484" s="26"/>
      <c r="AQ484" s="26"/>
      <c r="AR484" s="26"/>
    </row>
    <row r="486" spans="1:44" ht="45" x14ac:dyDescent="0.25">
      <c r="A486" s="30"/>
      <c r="B486" s="13" t="s">
        <v>816</v>
      </c>
      <c r="C486" s="188" t="s">
        <v>838</v>
      </c>
      <c r="D486" s="185">
        <v>78545004500</v>
      </c>
      <c r="E486" s="179" t="s">
        <v>22</v>
      </c>
      <c r="F486" s="7" t="e">
        <f>G486+SUMIF('[1]mouv MULTIVAC DECOUPE'!B:B,"=Bague intérieur D1=50  D2=45 (decoupe longitudinale)",'[1]mouv MULTIVAC DECOUPE'!G:G)</f>
        <v>#VALUE!</v>
      </c>
      <c r="G486" s="186">
        <v>1</v>
      </c>
      <c r="H486" s="186">
        <v>2</v>
      </c>
      <c r="I486" s="1" t="e">
        <f t="shared" ref="I486" si="235">IF(F486&lt;H486,"/!\","-")</f>
        <v>#VALUE!</v>
      </c>
      <c r="J486" s="187">
        <v>13.52</v>
      </c>
      <c r="K486" s="12" t="e">
        <f t="shared" ref="K486" si="236">J486*F486</f>
        <v>#VALUE!</v>
      </c>
      <c r="L486" s="30"/>
      <c r="M486" s="30"/>
      <c r="N486" s="30"/>
      <c r="O486" s="30"/>
      <c r="P486" s="30"/>
      <c r="Q486" s="30"/>
      <c r="R486" s="30"/>
      <c r="S486" s="30">
        <v>1</v>
      </c>
      <c r="T486" s="26"/>
      <c r="U486" s="26"/>
      <c r="V486" s="26"/>
      <c r="W486" s="26"/>
      <c r="X486" s="26"/>
      <c r="Y486" s="26"/>
      <c r="Z486" s="26"/>
      <c r="AA486" s="26"/>
      <c r="AB486" s="26"/>
      <c r="AC486" s="26"/>
      <c r="AD486" s="26"/>
      <c r="AE486" s="26"/>
      <c r="AF486" s="26"/>
      <c r="AG486" s="26"/>
      <c r="AH486" s="26"/>
      <c r="AI486" s="26"/>
      <c r="AJ486" s="26"/>
      <c r="AK486" s="26"/>
      <c r="AL486" s="26"/>
      <c r="AM486" s="26"/>
      <c r="AN486" s="26"/>
      <c r="AO486" s="26"/>
      <c r="AP486" s="26"/>
      <c r="AQ486" s="26"/>
      <c r="AR486" s="26"/>
    </row>
    <row r="488" spans="1:44" ht="33.75" x14ac:dyDescent="0.25">
      <c r="A488" s="30"/>
      <c r="B488" s="13" t="s">
        <v>816</v>
      </c>
      <c r="C488" s="188" t="s">
        <v>840</v>
      </c>
      <c r="D488" s="185">
        <v>78100003002</v>
      </c>
      <c r="E488" s="179" t="s">
        <v>22</v>
      </c>
      <c r="F488" s="7" t="e">
        <f>G488+SUMIF('[1]mouv MULTIVAC DECOUPE'!B:B,"=cicrclips  (decoupe longitudinale)",'[1]mouv MULTIVAC DECOUPE'!G:G)</f>
        <v>#VALUE!</v>
      </c>
      <c r="G488" s="186">
        <v>2</v>
      </c>
      <c r="H488" s="186">
        <v>2</v>
      </c>
      <c r="I488" s="1" t="e">
        <f t="shared" ref="I488:I492" si="237">IF(F488&lt;H488,"/!\","-")</f>
        <v>#VALUE!</v>
      </c>
      <c r="J488" s="187">
        <v>3.2770000000000001</v>
      </c>
      <c r="K488" s="12" t="e">
        <f t="shared" ref="K488:K492" si="238">J488*F488</f>
        <v>#VALUE!</v>
      </c>
      <c r="L488" s="30"/>
      <c r="M488" s="30"/>
      <c r="N488" s="30"/>
      <c r="O488" s="30"/>
      <c r="P488" s="30"/>
      <c r="Q488" s="30"/>
      <c r="R488" s="30"/>
      <c r="S488" s="30">
        <v>1</v>
      </c>
      <c r="T488" s="26"/>
      <c r="U488" s="26"/>
      <c r="V488" s="26"/>
      <c r="W488" s="26"/>
      <c r="X488" s="26"/>
      <c r="Y488" s="26"/>
      <c r="Z488" s="26"/>
      <c r="AA488" s="26"/>
      <c r="AB488" s="26"/>
      <c r="AC488" s="26"/>
      <c r="AD488" s="26"/>
      <c r="AE488" s="26"/>
      <c r="AF488" s="26"/>
      <c r="AG488" s="26"/>
      <c r="AH488" s="26"/>
      <c r="AI488" s="26"/>
      <c r="AJ488" s="26"/>
      <c r="AK488" s="26"/>
      <c r="AL488" s="26"/>
      <c r="AM488" s="26"/>
      <c r="AN488" s="26"/>
      <c r="AO488" s="26"/>
      <c r="AP488" s="26"/>
      <c r="AQ488" s="26"/>
      <c r="AR488" s="26"/>
    </row>
    <row r="489" spans="1:44" ht="45" x14ac:dyDescent="0.25">
      <c r="A489" s="30"/>
      <c r="B489" s="13" t="s">
        <v>816</v>
      </c>
      <c r="C489" s="188" t="s">
        <v>841</v>
      </c>
      <c r="D489" s="185">
        <v>105808729</v>
      </c>
      <c r="E489" s="179" t="s">
        <v>22</v>
      </c>
      <c r="F489" s="7" t="e">
        <f>G489+SUMIF('[1]mouv MULTIVAC DECOUPE'!B:B,"=contre lame circulaire  (decoupe longitudinale)",'[1]mouv MULTIVAC DECOUPE'!G:G)</f>
        <v>#VALUE!</v>
      </c>
      <c r="G489" s="186">
        <v>1</v>
      </c>
      <c r="H489" s="186">
        <v>3</v>
      </c>
      <c r="I489" s="1" t="e">
        <f t="shared" si="237"/>
        <v>#VALUE!</v>
      </c>
      <c r="J489" s="187">
        <v>127.92</v>
      </c>
      <c r="K489" s="12" t="e">
        <f t="shared" si="238"/>
        <v>#VALUE!</v>
      </c>
      <c r="L489" s="30"/>
      <c r="M489" s="30"/>
      <c r="N489" s="30"/>
      <c r="O489" s="30"/>
      <c r="P489" s="30"/>
      <c r="Q489" s="30"/>
      <c r="R489" s="30"/>
      <c r="S489" s="30">
        <v>1</v>
      </c>
      <c r="T489" s="26"/>
      <c r="U489" s="26"/>
      <c r="V489" s="26"/>
      <c r="W489" s="26"/>
      <c r="X489" s="26"/>
      <c r="Y489" s="26"/>
      <c r="Z489" s="26"/>
      <c r="AA489" s="26"/>
      <c r="AB489" s="26"/>
      <c r="AC489" s="26"/>
      <c r="AD489" s="26"/>
      <c r="AE489" s="26"/>
      <c r="AF489" s="26"/>
      <c r="AG489" s="26"/>
      <c r="AH489" s="26"/>
      <c r="AI489" s="26"/>
      <c r="AJ489" s="26"/>
      <c r="AK489" s="26"/>
      <c r="AL489" s="26"/>
      <c r="AM489" s="26"/>
      <c r="AN489" s="26"/>
      <c r="AO489" s="26"/>
      <c r="AP489" s="26"/>
      <c r="AQ489" s="26"/>
      <c r="AR489" s="26"/>
    </row>
    <row r="490" spans="1:44" ht="15.75" x14ac:dyDescent="0.25">
      <c r="A490" s="30"/>
      <c r="B490" s="13" t="s">
        <v>816</v>
      </c>
      <c r="C490" s="189" t="s">
        <v>842</v>
      </c>
      <c r="D490" s="185">
        <v>79915200803</v>
      </c>
      <c r="E490" s="179" t="s">
        <v>22</v>
      </c>
      <c r="F490" s="7" t="e">
        <f>G490+SUMIF('[1]mouv MULTIVAC DECOUPE'!B:B,"=Lame circulaire",'[1]mouv MULTIVAC DECOUPE'!G:G)</f>
        <v>#VALUE!</v>
      </c>
      <c r="G490" s="186">
        <v>6</v>
      </c>
      <c r="H490" s="186">
        <v>1</v>
      </c>
      <c r="I490" s="1" t="e">
        <f t="shared" si="237"/>
        <v>#VALUE!</v>
      </c>
      <c r="J490" s="187">
        <v>17.63</v>
      </c>
      <c r="K490" s="12" t="e">
        <f t="shared" si="238"/>
        <v>#VALUE!</v>
      </c>
      <c r="L490" s="30"/>
      <c r="M490" s="30"/>
      <c r="N490" s="30"/>
      <c r="O490" s="30"/>
      <c r="P490" s="30"/>
      <c r="Q490" s="30"/>
      <c r="R490" s="30"/>
      <c r="S490" s="30">
        <v>1</v>
      </c>
      <c r="T490" s="26"/>
      <c r="U490" s="26"/>
      <c r="V490" s="26"/>
      <c r="W490" s="26"/>
      <c r="X490" s="26"/>
      <c r="Y490" s="26"/>
      <c r="Z490" s="26"/>
      <c r="AA490" s="26"/>
      <c r="AB490" s="26"/>
      <c r="AC490" s="26"/>
      <c r="AD490" s="26"/>
      <c r="AE490" s="26"/>
      <c r="AF490" s="26"/>
      <c r="AG490" s="26"/>
      <c r="AH490" s="26"/>
      <c r="AI490" s="26"/>
      <c r="AJ490" s="26"/>
      <c r="AK490" s="26"/>
      <c r="AL490" s="26"/>
      <c r="AM490" s="26"/>
      <c r="AN490" s="26"/>
      <c r="AO490" s="26"/>
      <c r="AP490" s="26"/>
      <c r="AQ490" s="26"/>
      <c r="AR490" s="26"/>
    </row>
    <row r="491" spans="1:44" ht="84" x14ac:dyDescent="0.25">
      <c r="A491" s="30"/>
      <c r="B491" s="13" t="s">
        <v>816</v>
      </c>
      <c r="C491" s="4" t="s">
        <v>843</v>
      </c>
      <c r="D491" s="6">
        <v>78103350100</v>
      </c>
      <c r="E491" s="190" t="s">
        <v>22</v>
      </c>
      <c r="F491" s="7" t="e">
        <f>G491+SUMIF('[1]mouv MULTIVAC DECOUPE'!B:B,"=Rondelles d'ajustage 0,1mm (contre couteaux longitudinale)",'[1]mouv MULTIVAC DECOUPE'!G:G)</f>
        <v>#VALUE!</v>
      </c>
      <c r="G491" s="20">
        <v>2</v>
      </c>
      <c r="H491" s="20">
        <v>2</v>
      </c>
      <c r="I491" s="1" t="e">
        <f t="shared" si="237"/>
        <v>#VALUE!</v>
      </c>
      <c r="J491" s="69">
        <v>1.48</v>
      </c>
      <c r="K491" s="12" t="e">
        <f t="shared" si="238"/>
        <v>#VALUE!</v>
      </c>
      <c r="L491" s="30"/>
      <c r="M491" s="30"/>
      <c r="N491" s="30"/>
      <c r="O491" s="30"/>
      <c r="P491" s="30"/>
      <c r="Q491" s="30"/>
      <c r="R491" s="30"/>
      <c r="S491" s="30">
        <v>1</v>
      </c>
      <c r="T491" s="26"/>
      <c r="U491" s="26"/>
      <c r="V491" s="26"/>
      <c r="W491" s="26"/>
      <c r="X491" s="26"/>
      <c r="Y491" s="26"/>
      <c r="Z491" s="26"/>
      <c r="AA491" s="26"/>
      <c r="AB491" s="26"/>
      <c r="AC491" s="26"/>
      <c r="AD491" s="26"/>
      <c r="AE491" s="26"/>
      <c r="AF491" s="26"/>
      <c r="AG491" s="26"/>
      <c r="AH491" s="26"/>
      <c r="AI491" s="26"/>
      <c r="AJ491" s="26"/>
      <c r="AK491" s="26"/>
      <c r="AL491" s="26"/>
      <c r="AM491" s="26"/>
      <c r="AN491" s="26"/>
      <c r="AO491" s="26"/>
      <c r="AP491" s="26"/>
      <c r="AQ491" s="26"/>
      <c r="AR491" s="26"/>
    </row>
    <row r="492" spans="1:44" ht="84" x14ac:dyDescent="0.25">
      <c r="A492" s="30"/>
      <c r="B492" s="13" t="s">
        <v>816</v>
      </c>
      <c r="C492" s="4" t="s">
        <v>844</v>
      </c>
      <c r="D492" s="6">
        <v>78103350200</v>
      </c>
      <c r="E492" s="190" t="s">
        <v>22</v>
      </c>
      <c r="F492" s="7" t="e">
        <f>G492+SUMIF('[1]mouv MULTIVAC DECOUPE'!B:B,"=Rondelles d'ajustage 0,2mm (contre couteaux longitudinale)",'[1]mouv MULTIVAC DECOUPE'!G:G)</f>
        <v>#VALUE!</v>
      </c>
      <c r="G492" s="20">
        <v>0</v>
      </c>
      <c r="H492" s="20">
        <v>2</v>
      </c>
      <c r="I492" s="1" t="e">
        <f t="shared" si="237"/>
        <v>#VALUE!</v>
      </c>
      <c r="J492" s="69">
        <v>2.09</v>
      </c>
      <c r="K492" s="12" t="e">
        <f t="shared" si="238"/>
        <v>#VALUE!</v>
      </c>
      <c r="L492" s="30"/>
      <c r="M492" s="30"/>
      <c r="N492" s="30"/>
      <c r="O492" s="30"/>
      <c r="P492" s="30"/>
      <c r="Q492" s="30"/>
      <c r="R492" s="30"/>
      <c r="S492" s="30">
        <v>1</v>
      </c>
      <c r="T492" s="26"/>
      <c r="U492" s="26"/>
      <c r="V492" s="26"/>
      <c r="W492" s="26"/>
      <c r="X492" s="26"/>
      <c r="Y492" s="26"/>
      <c r="Z492" s="26"/>
      <c r="AA492" s="26"/>
      <c r="AB492" s="26"/>
      <c r="AC492" s="26"/>
      <c r="AD492" s="26"/>
      <c r="AE492" s="26"/>
      <c r="AF492" s="26"/>
      <c r="AG492" s="26"/>
      <c r="AH492" s="26"/>
      <c r="AI492" s="26"/>
      <c r="AJ492" s="26"/>
      <c r="AK492" s="26"/>
      <c r="AL492" s="26"/>
      <c r="AM492" s="26"/>
      <c r="AN492" s="26"/>
      <c r="AO492" s="26"/>
      <c r="AP492" s="26"/>
      <c r="AQ492" s="26"/>
      <c r="AR492" s="26"/>
    </row>
    <row r="496" spans="1:44" ht="60" x14ac:dyDescent="0.25">
      <c r="A496" s="30"/>
      <c r="B496" s="13" t="s">
        <v>816</v>
      </c>
      <c r="C496" s="4" t="s">
        <v>848</v>
      </c>
      <c r="D496" s="6">
        <v>11651256002</v>
      </c>
      <c r="E496" s="190" t="s">
        <v>22</v>
      </c>
      <c r="F496" s="7" t="e">
        <f>G496+SUMIF('[1]mouv MULTIVAC DECOUPE'!B:B,"=Lame circulaire",'[1]mouv MULTIVAC DECOUPE'!G:G)</f>
        <v>#VALUE!</v>
      </c>
      <c r="G496" s="20">
        <v>1</v>
      </c>
      <c r="H496" s="20">
        <v>0</v>
      </c>
      <c r="I496" s="1" t="e">
        <f t="shared" ref="I496" si="239">IF(F496&lt;H496,"/!\","-")</f>
        <v>#VALUE!</v>
      </c>
      <c r="J496" s="69">
        <v>209.12</v>
      </c>
      <c r="K496" s="12" t="e">
        <f t="shared" ref="K496" si="240">J496*F496</f>
        <v>#VALUE!</v>
      </c>
      <c r="L496" s="30"/>
      <c r="M496" s="30"/>
      <c r="N496" s="30"/>
      <c r="O496" s="30"/>
      <c r="P496" s="30"/>
      <c r="Q496" s="30"/>
      <c r="R496" s="30"/>
      <c r="S496" s="30">
        <v>1</v>
      </c>
      <c r="T496" s="26"/>
      <c r="U496" s="26"/>
      <c r="V496" s="26"/>
      <c r="W496" s="26"/>
      <c r="X496" s="26"/>
      <c r="Y496" s="26"/>
      <c r="Z496" s="26"/>
      <c r="AA496" s="26"/>
      <c r="AB496" s="26"/>
      <c r="AC496" s="26"/>
      <c r="AD496" s="26"/>
      <c r="AE496" s="26"/>
      <c r="AF496" s="26"/>
      <c r="AG496" s="26"/>
      <c r="AH496" s="26"/>
      <c r="AI496" s="26"/>
      <c r="AJ496" s="26"/>
      <c r="AK496" s="26"/>
      <c r="AL496" s="26"/>
      <c r="AM496" s="26"/>
      <c r="AN496" s="26"/>
      <c r="AO496" s="26"/>
      <c r="AP496" s="26"/>
      <c r="AQ496" s="26"/>
      <c r="AR496" s="26"/>
    </row>
    <row r="498" spans="1:44" ht="84" x14ac:dyDescent="0.25">
      <c r="A498" s="30"/>
      <c r="B498" s="13" t="s">
        <v>816</v>
      </c>
      <c r="C498" s="4" t="s">
        <v>850</v>
      </c>
      <c r="D498" s="6">
        <v>11651236001</v>
      </c>
      <c r="E498" s="190" t="s">
        <v>22</v>
      </c>
      <c r="F498" s="7" t="e">
        <f>G498+SUMIF('[1]mouv MULTIVAC DECOUPE'!B:B,"=Lame circulaire",'[1]mouv MULTIVAC DECOUPE'!G:G)</f>
        <v>#VALUE!</v>
      </c>
      <c r="G498" s="20">
        <v>1</v>
      </c>
      <c r="H498" s="20">
        <v>0</v>
      </c>
      <c r="I498" s="1" t="e">
        <f t="shared" ref="I498" si="241">IF(F498&lt;H498,"/!\","-")</f>
        <v>#VALUE!</v>
      </c>
      <c r="J498" s="69">
        <v>157.96</v>
      </c>
      <c r="K498" s="12" t="e">
        <f t="shared" ref="K498" si="242">J498*F498</f>
        <v>#VALUE!</v>
      </c>
      <c r="L498" s="30"/>
      <c r="M498" s="30"/>
      <c r="N498" s="30"/>
      <c r="O498" s="30"/>
      <c r="P498" s="30"/>
      <c r="Q498" s="30"/>
      <c r="R498" s="30"/>
      <c r="S498" s="30">
        <v>1</v>
      </c>
      <c r="T498" s="26"/>
      <c r="U498" s="26"/>
      <c r="V498" s="26"/>
      <c r="W498" s="26"/>
      <c r="X498" s="26"/>
      <c r="Y498" s="26"/>
      <c r="Z498" s="26"/>
      <c r="AA498" s="26"/>
      <c r="AB498" s="26"/>
      <c r="AC498" s="26"/>
      <c r="AD498" s="26"/>
      <c r="AE498" s="26"/>
      <c r="AF498" s="26"/>
      <c r="AG498" s="26"/>
      <c r="AH498" s="26"/>
      <c r="AI498" s="26"/>
      <c r="AJ498" s="26"/>
      <c r="AK498" s="26"/>
      <c r="AL498" s="26"/>
      <c r="AM498" s="26"/>
      <c r="AN498" s="26"/>
      <c r="AO498" s="26"/>
      <c r="AP498" s="26"/>
      <c r="AQ498" s="26"/>
      <c r="AR498" s="26"/>
    </row>
    <row r="500" spans="1:44" ht="33.75" x14ac:dyDescent="0.25">
      <c r="A500" s="30"/>
      <c r="B500" s="13" t="s">
        <v>816</v>
      </c>
      <c r="C500" s="191" t="s">
        <v>852</v>
      </c>
      <c r="D500" s="192">
        <v>78500030800</v>
      </c>
      <c r="E500" s="190" t="s">
        <v>22</v>
      </c>
      <c r="F500" s="7" t="e">
        <f>G500+SUMIF('[1]mouv MULTIVAC DECOUPE'!B:B,"=roulement billes gorge profonde",'[1]mouv MULTIVAC DECOUPE'!G:G)</f>
        <v>#VALUE!</v>
      </c>
      <c r="G500" s="28">
        <v>1</v>
      </c>
      <c r="H500" s="28">
        <v>0</v>
      </c>
      <c r="I500" s="1" t="e">
        <f t="shared" ref="I500:I502" si="243">IF(F500&lt;H500,"/!\","-")</f>
        <v>#VALUE!</v>
      </c>
      <c r="J500" s="28"/>
      <c r="K500" s="28"/>
      <c r="L500" s="30"/>
      <c r="M500" s="30"/>
      <c r="N500" s="30"/>
      <c r="O500" s="30"/>
      <c r="P500" s="30"/>
      <c r="Q500" s="30"/>
      <c r="R500" s="30"/>
      <c r="S500" s="30">
        <v>1</v>
      </c>
      <c r="T500" s="26"/>
      <c r="U500" s="26"/>
      <c r="V500" s="26"/>
      <c r="W500" s="26"/>
      <c r="X500" s="26"/>
      <c r="Y500" s="26"/>
      <c r="Z500" s="26"/>
      <c r="AA500" s="26"/>
      <c r="AB500" s="26"/>
      <c r="AC500" s="26"/>
      <c r="AD500" s="26"/>
      <c r="AE500" s="26"/>
      <c r="AF500" s="26"/>
      <c r="AG500" s="26"/>
      <c r="AH500" s="26"/>
      <c r="AI500" s="26"/>
      <c r="AJ500" s="26"/>
      <c r="AK500" s="26"/>
      <c r="AL500" s="26"/>
      <c r="AM500" s="26"/>
      <c r="AN500" s="26"/>
      <c r="AO500" s="26"/>
      <c r="AP500" s="26"/>
      <c r="AQ500" s="26"/>
      <c r="AR500" s="26"/>
    </row>
    <row r="501" spans="1:44" ht="45" x14ac:dyDescent="0.25">
      <c r="A501" s="30"/>
      <c r="B501" s="13" t="s">
        <v>816</v>
      </c>
      <c r="C501" s="178" t="s">
        <v>853</v>
      </c>
      <c r="D501" s="28">
        <v>79935811003</v>
      </c>
      <c r="E501" s="190" t="s">
        <v>22</v>
      </c>
      <c r="F501" s="7" t="e">
        <f>G501+SUMIF('[1]mouv MULTIVAC DECOUPE'!B:B,"=couteau en forme d'étoile",'[1]mouv MULTIVAC DECOUPE'!G:G)</f>
        <v>#VALUE!</v>
      </c>
      <c r="G501" s="28">
        <v>1</v>
      </c>
      <c r="H501" s="28">
        <v>0</v>
      </c>
      <c r="I501" s="1" t="e">
        <f t="shared" si="243"/>
        <v>#VALUE!</v>
      </c>
      <c r="J501" s="28"/>
      <c r="K501" s="28"/>
      <c r="L501" s="30"/>
      <c r="M501" s="13" t="s">
        <v>816</v>
      </c>
      <c r="N501" s="30"/>
      <c r="O501" s="30"/>
      <c r="P501" s="30"/>
      <c r="Q501" s="30"/>
      <c r="R501" s="30"/>
      <c r="S501" s="30">
        <v>1</v>
      </c>
      <c r="T501" s="26"/>
      <c r="U501" s="26"/>
      <c r="V501" s="26"/>
      <c r="W501" s="26"/>
      <c r="X501" s="26"/>
      <c r="Y501" s="26"/>
      <c r="Z501" s="26"/>
      <c r="AA501" s="26"/>
      <c r="AB501" s="26"/>
      <c r="AC501" s="26"/>
      <c r="AD501" s="26"/>
      <c r="AE501" s="26"/>
      <c r="AF501" s="26"/>
      <c r="AG501" s="26"/>
      <c r="AH501" s="26"/>
      <c r="AI501" s="26"/>
      <c r="AJ501" s="26"/>
      <c r="AK501" s="26"/>
      <c r="AL501" s="26"/>
      <c r="AM501" s="26"/>
      <c r="AN501" s="26"/>
      <c r="AO501" s="26"/>
      <c r="AP501" s="26"/>
      <c r="AQ501" s="26"/>
      <c r="AR501" s="26"/>
    </row>
    <row r="502" spans="1:44" ht="45" x14ac:dyDescent="0.25">
      <c r="A502" s="30"/>
      <c r="B502" s="13" t="s">
        <v>816</v>
      </c>
      <c r="C502" s="178" t="s">
        <v>854</v>
      </c>
      <c r="D502" s="28">
        <v>75200300641</v>
      </c>
      <c r="E502" s="190" t="s">
        <v>22</v>
      </c>
      <c r="F502" s="7" t="e">
        <f>G502+SUMIF('[1]mouv MULTIVAC DECOUPE'!B:B,"=cap nut (cache vis noir)",'[1]mouv MULTIVAC DECOUPE'!G:G)</f>
        <v>#VALUE!</v>
      </c>
      <c r="G502" s="28">
        <v>10</v>
      </c>
      <c r="H502" s="28">
        <v>2</v>
      </c>
      <c r="I502" s="1" t="e">
        <f t="shared" si="243"/>
        <v>#VALUE!</v>
      </c>
      <c r="J502" s="28"/>
      <c r="K502" s="28"/>
      <c r="L502" s="30"/>
      <c r="M502" s="35" t="e">
        <f>SUM(K468:K502)</f>
        <v>#VALUE!</v>
      </c>
      <c r="N502" s="30"/>
      <c r="O502" s="30"/>
      <c r="P502" s="30"/>
      <c r="Q502" s="30"/>
      <c r="R502" s="30"/>
      <c r="S502" s="30">
        <v>1</v>
      </c>
      <c r="T502" s="26"/>
      <c r="U502" s="26"/>
      <c r="V502" s="26"/>
      <c r="W502" s="26"/>
      <c r="X502" s="26"/>
      <c r="Y502" s="26"/>
      <c r="Z502" s="26"/>
      <c r="AA502" s="26"/>
      <c r="AB502" s="26"/>
      <c r="AC502" s="26"/>
      <c r="AD502" s="26"/>
      <c r="AE502" s="26"/>
      <c r="AF502" s="26"/>
      <c r="AG502" s="26"/>
      <c r="AH502" s="26"/>
      <c r="AI502" s="26"/>
      <c r="AJ502" s="26"/>
      <c r="AK502" s="26"/>
      <c r="AL502" s="26"/>
      <c r="AM502" s="26"/>
      <c r="AN502" s="26"/>
      <c r="AO502" s="26"/>
      <c r="AP502" s="26"/>
      <c r="AQ502" s="26"/>
      <c r="AR502" s="26"/>
    </row>
    <row r="503" spans="1:44" ht="15.75" x14ac:dyDescent="0.25">
      <c r="A503" s="30"/>
      <c r="B503" s="13" t="s">
        <v>855</v>
      </c>
      <c r="C503" s="97" t="s">
        <v>856</v>
      </c>
      <c r="D503" s="5" t="s">
        <v>857</v>
      </c>
      <c r="E503" s="6" t="s">
        <v>22</v>
      </c>
      <c r="F503" s="7" t="e">
        <f>G503+SUMIF('[1]mouvement pediluve'!B:B,"=brosses",'[1]mouvement pediluve'!G:G)</f>
        <v>#VALUE!</v>
      </c>
      <c r="G503" s="6">
        <v>2</v>
      </c>
      <c r="H503" s="6">
        <v>2</v>
      </c>
      <c r="I503" s="1" t="e">
        <f>IF(F503&lt;H503,"/!\","-")</f>
        <v>#VALUE!</v>
      </c>
      <c r="J503" s="11">
        <v>142</v>
      </c>
      <c r="K503" s="12" t="e">
        <f>F503*J503</f>
        <v>#VALUE!</v>
      </c>
      <c r="L503" s="30"/>
      <c r="M503" s="30"/>
      <c r="N503" s="30"/>
      <c r="O503" s="30"/>
      <c r="P503" s="30"/>
      <c r="Q503" s="30"/>
      <c r="R503" s="30"/>
      <c r="S503" s="30">
        <v>1</v>
      </c>
      <c r="T503" s="26"/>
      <c r="U503" s="26"/>
      <c r="V503" s="26"/>
      <c r="W503" s="26"/>
      <c r="X503" s="26"/>
      <c r="Y503" s="26"/>
      <c r="Z503" s="26"/>
      <c r="AA503" s="26"/>
      <c r="AB503" s="26"/>
      <c r="AC503" s="26"/>
      <c r="AD503" s="26"/>
      <c r="AE503" s="26"/>
      <c r="AF503" s="26"/>
      <c r="AG503" s="26"/>
      <c r="AH503" s="26"/>
      <c r="AI503" s="26"/>
      <c r="AJ503" s="26"/>
      <c r="AK503" s="26"/>
      <c r="AL503" s="26"/>
      <c r="AM503" s="26"/>
      <c r="AN503" s="26"/>
      <c r="AO503" s="26"/>
      <c r="AP503" s="26"/>
      <c r="AQ503" s="26"/>
      <c r="AR503" s="26"/>
    </row>
    <row r="507" spans="1:44" ht="45" x14ac:dyDescent="0.25">
      <c r="A507" s="30"/>
      <c r="B507" s="13" t="s">
        <v>855</v>
      </c>
      <c r="C507" s="178" t="s">
        <v>864</v>
      </c>
      <c r="D507" s="28" t="s">
        <v>865</v>
      </c>
      <c r="E507" s="28" t="s">
        <v>22</v>
      </c>
      <c r="F507" s="28" t="e">
        <f>G507+SUMIF('[1]mouvement pediluve'!B:B,"=electrovanne 7200 24V 50/60Hz",'[1]mouvement pediluve'!G:G)</f>
        <v>#VALUE!</v>
      </c>
      <c r="G507" s="28">
        <v>1</v>
      </c>
      <c r="H507" s="28">
        <v>1</v>
      </c>
      <c r="I507" s="1" t="e">
        <f>IF(F507&lt;H507,"/!\","-")</f>
        <v>#VALUE!</v>
      </c>
      <c r="J507" s="28"/>
      <c r="K507" s="28"/>
      <c r="L507" s="30"/>
      <c r="M507" s="35" t="e">
        <f>SUM(K503:K507)</f>
        <v>#VALUE!</v>
      </c>
      <c r="N507" s="30"/>
      <c r="O507" s="30"/>
      <c r="P507" s="30"/>
      <c r="Q507" s="30"/>
      <c r="R507" s="30"/>
      <c r="S507" s="30">
        <v>1</v>
      </c>
      <c r="T507" s="27"/>
      <c r="U507" s="27"/>
      <c r="V507" s="27"/>
      <c r="W507" s="27"/>
      <c r="X507" s="27"/>
      <c r="Y507" s="27"/>
      <c r="Z507" s="27"/>
      <c r="AA507" s="27"/>
      <c r="AB507" s="27"/>
      <c r="AC507" s="27"/>
      <c r="AD507" s="27"/>
      <c r="AE507" s="27"/>
      <c r="AF507" s="27"/>
      <c r="AG507" s="27"/>
      <c r="AH507" s="27"/>
      <c r="AI507" s="27"/>
      <c r="AJ507" s="27"/>
      <c r="AK507" s="27"/>
      <c r="AL507" s="27"/>
      <c r="AM507" s="27"/>
      <c r="AN507" s="27"/>
      <c r="AO507" s="27"/>
      <c r="AP507" s="27"/>
      <c r="AQ507" s="27"/>
      <c r="AR507" s="27"/>
    </row>
    <row r="509" spans="1:44" ht="15.75" x14ac:dyDescent="0.25">
      <c r="A509" s="30"/>
      <c r="B509" s="13" t="s">
        <v>866</v>
      </c>
      <c r="C509" s="14" t="s">
        <v>869</v>
      </c>
      <c r="D509" s="5" t="s">
        <v>870</v>
      </c>
      <c r="E509" s="6" t="s">
        <v>22</v>
      </c>
      <c r="F509" s="7" t="e">
        <f>G509+SUMIF('[1]mouvement PAV'!B:B,"=kit de réparation 0250 C",'[1]mouvement PAV'!G:G)</f>
        <v>#VALUE!</v>
      </c>
      <c r="G509" s="20">
        <v>0</v>
      </c>
      <c r="H509" s="6">
        <v>0</v>
      </c>
      <c r="I509" s="1" t="e">
        <f t="shared" ref="I509" si="244">IF(F509&lt;H509,"/!\","-")</f>
        <v>#VALUE!</v>
      </c>
      <c r="J509" s="11">
        <v>1990.77</v>
      </c>
      <c r="K509" s="12" t="e">
        <f t="shared" ref="K509" si="245">F509*J509</f>
        <v>#VALUE!</v>
      </c>
      <c r="L509" s="30"/>
      <c r="M509" s="30"/>
      <c r="N509" s="30"/>
      <c r="O509" s="30"/>
      <c r="P509" s="30"/>
      <c r="Q509" s="30"/>
      <c r="R509" s="30"/>
      <c r="S509" s="30">
        <v>1</v>
      </c>
    </row>
    <row r="511" spans="1:44" ht="15.75" x14ac:dyDescent="0.25">
      <c r="A511" s="30"/>
      <c r="B511" s="13" t="s">
        <v>866</v>
      </c>
      <c r="C511" s="14" t="s">
        <v>873</v>
      </c>
      <c r="D511" s="5" t="s">
        <v>874</v>
      </c>
      <c r="E511" s="6" t="s">
        <v>22</v>
      </c>
      <c r="F511" s="7" t="e">
        <f>G511+SUMIF('[1]mouvement PAV'!B:B,"=jeu de joint Viton RA 0250 C/D",'[1]mouvement PAV'!G:G)</f>
        <v>#VALUE!</v>
      </c>
      <c r="G511" s="20">
        <v>0</v>
      </c>
      <c r="H511" s="6">
        <v>1</v>
      </c>
      <c r="I511" s="1" t="e">
        <f t="shared" ref="I511:I513" si="246">IF(F511&lt;H511,"/!\","-")</f>
        <v>#VALUE!</v>
      </c>
      <c r="J511" s="11">
        <v>407.65</v>
      </c>
      <c r="K511" s="12" t="e">
        <f t="shared" ref="K511:K513" si="247">F511*J511</f>
        <v>#VALUE!</v>
      </c>
      <c r="L511" s="30"/>
      <c r="M511" s="30"/>
      <c r="N511" s="30"/>
      <c r="O511" s="30"/>
      <c r="P511" s="30"/>
      <c r="Q511" s="30"/>
      <c r="R511" s="30"/>
      <c r="S511" s="30">
        <v>1</v>
      </c>
    </row>
    <row r="512" spans="1:44" ht="15.75" x14ac:dyDescent="0.25">
      <c r="A512" s="30"/>
      <c r="B512" s="13" t="s">
        <v>866</v>
      </c>
      <c r="C512" s="14" t="s">
        <v>875</v>
      </c>
      <c r="D512" s="5" t="s">
        <v>876</v>
      </c>
      <c r="E512" s="6" t="s">
        <v>22</v>
      </c>
      <c r="F512" s="7" t="e">
        <f>G512+SUMIF('[1]mouvement PAV'!B:B,"=clips ventilateur",'[1]mouvement PAV'!G:G)</f>
        <v>#VALUE!</v>
      </c>
      <c r="G512" s="20">
        <v>0</v>
      </c>
      <c r="H512" s="6">
        <v>3</v>
      </c>
      <c r="I512" s="1" t="e">
        <f t="shared" si="246"/>
        <v>#VALUE!</v>
      </c>
      <c r="J512" s="11">
        <v>3.04</v>
      </c>
      <c r="K512" s="12" t="e">
        <f t="shared" si="247"/>
        <v>#VALUE!</v>
      </c>
      <c r="L512" s="30"/>
      <c r="M512" s="13" t="s">
        <v>866</v>
      </c>
      <c r="N512" s="30"/>
      <c r="O512" s="30"/>
      <c r="P512" s="30"/>
      <c r="Q512" s="30"/>
      <c r="R512" s="30"/>
      <c r="S512" s="30">
        <v>1</v>
      </c>
    </row>
    <row r="513" spans="1:19" ht="15.75" x14ac:dyDescent="0.25">
      <c r="A513" s="30"/>
      <c r="B513" s="13" t="s">
        <v>866</v>
      </c>
      <c r="C513" s="14" t="s">
        <v>877</v>
      </c>
      <c r="D513" s="5" t="s">
        <v>878</v>
      </c>
      <c r="E513" s="6" t="s">
        <v>22</v>
      </c>
      <c r="F513" s="7" t="e">
        <f>G513+SUMIF('[1]mouvement PAV'!B:B,"=kit entretien R250 C/D",'[1]mouvement PAV'!G:G)</f>
        <v>#VALUE!</v>
      </c>
      <c r="G513" s="20">
        <v>1</v>
      </c>
      <c r="H513" s="6">
        <v>1</v>
      </c>
      <c r="I513" s="1" t="e">
        <f t="shared" si="246"/>
        <v>#VALUE!</v>
      </c>
      <c r="J513" s="11">
        <v>318.16000000000003</v>
      </c>
      <c r="K513" s="12" t="e">
        <f t="shared" si="247"/>
        <v>#VALUE!</v>
      </c>
      <c r="L513" s="30"/>
      <c r="M513" s="35" t="e">
        <f>SUM(K508:K513)</f>
        <v>#VALUE!</v>
      </c>
      <c r="N513" s="30"/>
      <c r="O513" s="30"/>
      <c r="P513" s="30"/>
      <c r="Q513" s="30"/>
      <c r="R513" s="30"/>
      <c r="S513" s="30">
        <v>1</v>
      </c>
    </row>
    <row r="514" spans="1:19" ht="38.25" x14ac:dyDescent="0.25">
      <c r="A514" s="30"/>
      <c r="B514" s="13" t="s">
        <v>879</v>
      </c>
      <c r="C514" s="36" t="s">
        <v>880</v>
      </c>
      <c r="D514" s="193">
        <v>6840050</v>
      </c>
      <c r="E514" s="6" t="s">
        <v>22</v>
      </c>
      <c r="F514" s="7" t="e">
        <f>G514+SUMIF('[1]mouvement scotcheuse'!B:B,"=protege couteau 50mm",'[1]mouvement scotcheuse'!G:G)</f>
        <v>#VALUE!</v>
      </c>
      <c r="G514" s="8">
        <v>1</v>
      </c>
      <c r="H514" s="9">
        <v>1</v>
      </c>
      <c r="I514" s="1" t="e">
        <f>IF(F514&lt;H514,"/!\","-")</f>
        <v>#VALUE!</v>
      </c>
      <c r="J514" s="194">
        <v>12.28</v>
      </c>
      <c r="K514" s="12" t="e">
        <f>F514*J514</f>
        <v>#VALUE!</v>
      </c>
      <c r="L514" s="30"/>
      <c r="M514" s="30"/>
      <c r="N514" s="30"/>
      <c r="O514" s="30"/>
      <c r="P514" s="30"/>
      <c r="Q514" s="30"/>
      <c r="R514" s="30"/>
      <c r="S514" s="30">
        <v>1</v>
      </c>
    </row>
    <row r="515" spans="1:19" ht="38.25" x14ac:dyDescent="0.25">
      <c r="A515" s="30"/>
      <c r="B515" s="13" t="s">
        <v>879</v>
      </c>
      <c r="C515" s="36" t="s">
        <v>881</v>
      </c>
      <c r="D515" s="38">
        <v>309071250</v>
      </c>
      <c r="E515" s="6" t="s">
        <v>22</v>
      </c>
      <c r="F515" s="7" t="e">
        <f>G515+SUMIF('[1]mouvement scotcheuse'!B:B,"=Mandrin complet derouleur 50",'[1]mouvement scotcheuse'!G:G)</f>
        <v>#VALUE!</v>
      </c>
      <c r="G515" s="8">
        <v>1</v>
      </c>
      <c r="H515" s="9">
        <v>1</v>
      </c>
      <c r="I515" s="1" t="e">
        <f t="shared" ref="I515" si="248">IF(F515&lt;H515,"/!\","-")</f>
        <v>#VALUE!</v>
      </c>
      <c r="J515" s="194">
        <v>90.36</v>
      </c>
      <c r="K515" s="12" t="e">
        <f t="shared" ref="K515" si="249">F515*J515</f>
        <v>#VALUE!</v>
      </c>
      <c r="L515" s="30"/>
      <c r="M515" s="30"/>
      <c r="N515" s="30"/>
      <c r="O515" s="30"/>
      <c r="P515" s="30"/>
      <c r="Q515" s="30"/>
      <c r="R515" s="30"/>
      <c r="S515" s="30">
        <v>1</v>
      </c>
    </row>
    <row r="519" spans="1:19" ht="15.75" x14ac:dyDescent="0.25">
      <c r="A519" s="30"/>
      <c r="B519" s="13" t="s">
        <v>879</v>
      </c>
      <c r="C519" s="102" t="s">
        <v>885</v>
      </c>
      <c r="D519" s="100">
        <v>425050009</v>
      </c>
      <c r="E519" s="6" t="s">
        <v>22</v>
      </c>
      <c r="F519" s="7" t="e">
        <f>G519+SUMIF('[1]mouvement scotcheuse'!B:B,"=butée de dérouleur 8x20-9",'[1]mouvement scotcheuse'!G:G)</f>
        <v>#VALUE!</v>
      </c>
      <c r="G519" s="101">
        <v>3</v>
      </c>
      <c r="H519" s="101">
        <v>2</v>
      </c>
      <c r="I519" s="1" t="e">
        <f t="shared" ref="I519" si="250">IF(F519&lt;H519,"/!\","-")</f>
        <v>#VALUE!</v>
      </c>
      <c r="J519" s="196">
        <v>1.6</v>
      </c>
      <c r="K519" s="12" t="e">
        <f t="shared" ref="K519" si="251">F519*J519</f>
        <v>#VALUE!</v>
      </c>
      <c r="L519" s="30"/>
      <c r="M519" s="30"/>
      <c r="N519" s="30"/>
      <c r="O519" s="30"/>
      <c r="P519" s="30"/>
      <c r="Q519" s="30"/>
      <c r="R519" s="30"/>
      <c r="S519" s="30">
        <v>1</v>
      </c>
    </row>
    <row r="521" spans="1:19" ht="15.75" x14ac:dyDescent="0.25">
      <c r="A521" s="30"/>
      <c r="B521" s="13" t="s">
        <v>879</v>
      </c>
      <c r="C521" s="102" t="s">
        <v>887</v>
      </c>
      <c r="D521" s="100">
        <v>425280000</v>
      </c>
      <c r="E521" s="6" t="s">
        <v>22</v>
      </c>
      <c r="F521" s="7" t="e">
        <f>G521+SUMIF('[1]mouvement scotcheuse'!B:B,"=bague support couteaux",'[1]mouvement scotcheuse'!G:G)</f>
        <v>#VALUE!</v>
      </c>
      <c r="G521" s="101">
        <v>10</v>
      </c>
      <c r="H521" s="101">
        <v>2</v>
      </c>
      <c r="I521" s="1" t="e">
        <f t="shared" ref="I521" si="252">IF(F521&lt;H521,"/!\","-")</f>
        <v>#VALUE!</v>
      </c>
      <c r="J521" s="196">
        <v>0.8</v>
      </c>
      <c r="K521" s="12" t="e">
        <f t="shared" ref="K521" si="253">F521*J521</f>
        <v>#VALUE!</v>
      </c>
      <c r="L521" s="30"/>
      <c r="M521" s="30"/>
      <c r="N521" s="30"/>
      <c r="O521" s="30"/>
      <c r="P521" s="30"/>
      <c r="Q521" s="30"/>
      <c r="R521" s="30"/>
      <c r="S521" s="30">
        <v>1</v>
      </c>
    </row>
    <row r="523" spans="1:19" ht="15.75" x14ac:dyDescent="0.25">
      <c r="A523" s="30"/>
      <c r="B523" s="13" t="s">
        <v>879</v>
      </c>
      <c r="C523" s="102" t="s">
        <v>889</v>
      </c>
      <c r="D523" s="100">
        <v>425310752</v>
      </c>
      <c r="E523" s="6" t="s">
        <v>22</v>
      </c>
      <c r="F523" s="7" t="e">
        <f>G523+SUMIF('[1]mouvement scotcheuse'!B:B,"=applicateur 70/50 droit complet",'[1]mouvement scotcheuse'!G:G)</f>
        <v>#VALUE!</v>
      </c>
      <c r="G523" s="101">
        <v>1</v>
      </c>
      <c r="H523" s="101">
        <v>1</v>
      </c>
      <c r="I523" s="1" t="e">
        <f t="shared" ref="I523:I527" si="254">IF(F523&lt;H523,"/!\","-")</f>
        <v>#VALUE!</v>
      </c>
      <c r="J523" s="196">
        <v>138</v>
      </c>
      <c r="K523" s="12" t="e">
        <f t="shared" ref="K523:K527" si="255">F523*J523</f>
        <v>#VALUE!</v>
      </c>
      <c r="L523" s="30"/>
      <c r="M523" s="30"/>
      <c r="N523" s="30"/>
      <c r="O523" s="30"/>
      <c r="P523" s="30"/>
      <c r="Q523" s="30"/>
      <c r="R523" s="30"/>
      <c r="S523" s="30">
        <v>1</v>
      </c>
    </row>
    <row r="524" spans="1:19" ht="15.75" x14ac:dyDescent="0.25">
      <c r="A524" s="30"/>
      <c r="B524" s="13" t="s">
        <v>879</v>
      </c>
      <c r="C524" s="102" t="s">
        <v>890</v>
      </c>
      <c r="D524" s="100">
        <v>425312756</v>
      </c>
      <c r="E524" s="6" t="s">
        <v>22</v>
      </c>
      <c r="F524" s="7" t="e">
        <f>G524+SUMIF('[1]mouvement scotcheuse'!B:B,"=applicateur 70/50 gauche complet",'[1]mouvement scotcheuse'!G:G)</f>
        <v>#VALUE!</v>
      </c>
      <c r="G524" s="101">
        <v>0</v>
      </c>
      <c r="H524" s="101">
        <v>1</v>
      </c>
      <c r="I524" s="1" t="e">
        <f t="shared" si="254"/>
        <v>#VALUE!</v>
      </c>
      <c r="J524" s="196">
        <v>138</v>
      </c>
      <c r="K524" s="12" t="e">
        <f t="shared" si="255"/>
        <v>#VALUE!</v>
      </c>
      <c r="L524" s="30"/>
      <c r="M524" s="30"/>
      <c r="N524" s="30"/>
      <c r="O524" s="30"/>
      <c r="P524" s="30"/>
      <c r="Q524" s="30"/>
      <c r="R524" s="30"/>
      <c r="S524" s="30">
        <v>1</v>
      </c>
    </row>
    <row r="525" spans="1:19" ht="15.75" x14ac:dyDescent="0.25">
      <c r="A525" s="30"/>
      <c r="B525" s="13" t="s">
        <v>879</v>
      </c>
      <c r="C525" s="102" t="s">
        <v>891</v>
      </c>
      <c r="D525" s="100">
        <v>425460525</v>
      </c>
      <c r="E525" s="6" t="s">
        <v>22</v>
      </c>
      <c r="F525" s="7" t="e">
        <f>G525+SUMIF('[1]mouvement scotcheuse'!B:B,"=rouleau anti retour . 50",'[1]mouvement scotcheuse'!G:G)</f>
        <v>#VALUE!</v>
      </c>
      <c r="G525" s="101">
        <v>1</v>
      </c>
      <c r="H525" s="101">
        <v>1</v>
      </c>
      <c r="I525" s="1" t="e">
        <f t="shared" si="254"/>
        <v>#VALUE!</v>
      </c>
      <c r="J525" s="196">
        <v>32.17</v>
      </c>
      <c r="K525" s="12" t="e">
        <f t="shared" si="255"/>
        <v>#VALUE!</v>
      </c>
      <c r="L525" s="30"/>
      <c r="M525" s="30"/>
      <c r="N525" s="30"/>
      <c r="O525" s="30"/>
      <c r="P525" s="30"/>
      <c r="Q525" s="30"/>
      <c r="R525" s="30"/>
      <c r="S525" s="30">
        <v>1</v>
      </c>
    </row>
    <row r="526" spans="1:19" ht="15.75" x14ac:dyDescent="0.25">
      <c r="A526" s="30"/>
      <c r="B526" s="13" t="s">
        <v>879</v>
      </c>
      <c r="C526" s="102" t="s">
        <v>892</v>
      </c>
      <c r="D526" s="100">
        <v>425520011</v>
      </c>
      <c r="E526" s="6" t="s">
        <v>22</v>
      </c>
      <c r="F526" s="7" t="e">
        <f>G526+SUMIF('[1]mouvement scotcheuse'!B:B,"=ressort por applicateur",'[1]mouvement scotcheuse'!G:G)</f>
        <v>#VALUE!</v>
      </c>
      <c r="G526" s="101">
        <v>2</v>
      </c>
      <c r="H526" s="101">
        <v>2</v>
      </c>
      <c r="I526" s="1" t="e">
        <f t="shared" si="254"/>
        <v>#VALUE!</v>
      </c>
      <c r="J526" s="196">
        <v>2.1800000000000002</v>
      </c>
      <c r="K526" s="12" t="e">
        <f t="shared" si="255"/>
        <v>#VALUE!</v>
      </c>
      <c r="L526" s="30"/>
      <c r="M526" s="30"/>
      <c r="N526" s="30"/>
      <c r="O526" s="30"/>
      <c r="P526" s="30"/>
      <c r="Q526" s="30"/>
      <c r="R526" s="30"/>
      <c r="S526" s="30">
        <v>1</v>
      </c>
    </row>
    <row r="527" spans="1:19" ht="15.75" x14ac:dyDescent="0.25">
      <c r="A527" s="30"/>
      <c r="B527" s="13" t="s">
        <v>879</v>
      </c>
      <c r="C527" s="102" t="s">
        <v>893</v>
      </c>
      <c r="D527" s="100">
        <v>425630560</v>
      </c>
      <c r="E527" s="6" t="s">
        <v>22</v>
      </c>
      <c r="F527" s="7" t="e">
        <f>G527+SUMIF('[1]mouvement scotcheuse'!B:B,"=axe rouleau cyl. 50 (M5 L=56)",'[1]mouvement scotcheuse'!G:G)</f>
        <v>#VALUE!</v>
      </c>
      <c r="G527" s="101">
        <v>2</v>
      </c>
      <c r="H527" s="101">
        <v>1</v>
      </c>
      <c r="I527" s="1" t="e">
        <f t="shared" si="254"/>
        <v>#VALUE!</v>
      </c>
      <c r="J527" s="196">
        <v>7.51</v>
      </c>
      <c r="K527" s="12" t="e">
        <f t="shared" si="255"/>
        <v>#VALUE!</v>
      </c>
      <c r="L527" s="30"/>
      <c r="M527" s="30"/>
      <c r="N527" s="30"/>
      <c r="O527" s="30"/>
      <c r="P527" s="30"/>
      <c r="Q527" s="30"/>
      <c r="R527" s="30"/>
      <c r="S527" s="30">
        <v>1</v>
      </c>
    </row>
    <row r="531" spans="1:19" ht="15.75" x14ac:dyDescent="0.25">
      <c r="A531" s="30"/>
      <c r="B531" s="13" t="s">
        <v>879</v>
      </c>
      <c r="C531" s="102" t="s">
        <v>897</v>
      </c>
      <c r="D531" s="100">
        <v>425692011</v>
      </c>
      <c r="E531" s="6" t="s">
        <v>22</v>
      </c>
      <c r="F531" s="7" t="e">
        <f>G531+SUMIF('[1]mouvement scotcheuse'!B:B,"=ressort 1:1",'[1]mouvement scotcheuse'!G:G)</f>
        <v>#VALUE!</v>
      </c>
      <c r="G531" s="101">
        <v>6</v>
      </c>
      <c r="H531" s="101">
        <v>1</v>
      </c>
      <c r="I531" s="1" t="e">
        <f t="shared" ref="I531" si="256">IF(F531&lt;H531,"/!\","-")</f>
        <v>#VALUE!</v>
      </c>
      <c r="J531" s="196">
        <v>4.41</v>
      </c>
      <c r="K531" s="12" t="e">
        <f t="shared" ref="K531" si="257">F531*J531</f>
        <v>#VALUE!</v>
      </c>
      <c r="L531" s="30"/>
      <c r="M531" s="30"/>
      <c r="N531" s="30"/>
      <c r="O531" s="30"/>
      <c r="P531" s="30"/>
      <c r="Q531" s="30"/>
      <c r="R531" s="30"/>
      <c r="S531" s="30">
        <v>1</v>
      </c>
    </row>
    <row r="533" spans="1:19" ht="15.75" x14ac:dyDescent="0.25">
      <c r="A533" s="30"/>
      <c r="B533" s="13" t="s">
        <v>879</v>
      </c>
      <c r="C533" s="102" t="s">
        <v>899</v>
      </c>
      <c r="D533" s="100">
        <v>427450009</v>
      </c>
      <c r="E533" s="6" t="s">
        <v>22</v>
      </c>
      <c r="F533" s="7" t="e">
        <f>G533+SUMIF('[1]mouvement scotcheuse'!B:B,"=support butée",'[1]mouvement scotcheuse'!G:G)</f>
        <v>#VALUE!</v>
      </c>
      <c r="G533" s="101">
        <v>3</v>
      </c>
      <c r="H533" s="101">
        <v>2</v>
      </c>
      <c r="I533" s="1" t="e">
        <f t="shared" ref="I533" si="258">IF(F533&lt;H533,"/!\","-")</f>
        <v>#VALUE!</v>
      </c>
      <c r="J533" s="196">
        <v>7.02</v>
      </c>
      <c r="K533" s="12" t="e">
        <f t="shared" ref="K533" si="259">F533*J533</f>
        <v>#VALUE!</v>
      </c>
      <c r="L533" s="30"/>
      <c r="M533" s="30"/>
      <c r="N533" s="30"/>
      <c r="O533" s="30"/>
      <c r="P533" s="30"/>
      <c r="Q533" s="30"/>
      <c r="R533" s="30"/>
      <c r="S533" s="30">
        <v>1</v>
      </c>
    </row>
    <row r="535" spans="1:19" ht="15.75" x14ac:dyDescent="0.25">
      <c r="A535" s="30"/>
      <c r="B535" s="13" t="s">
        <v>879</v>
      </c>
      <c r="C535" s="102" t="s">
        <v>901</v>
      </c>
      <c r="D535" s="100">
        <v>447113051</v>
      </c>
      <c r="E535" s="6" t="s">
        <v>22</v>
      </c>
      <c r="F535" s="7" t="e">
        <f>G535+SUMIF('[1]mouvement scotcheuse'!B:B,"=rouleau anti retour noir .50",'[1]mouvement scotcheuse'!G:G)</f>
        <v>#VALUE!</v>
      </c>
      <c r="G535" s="101">
        <v>2</v>
      </c>
      <c r="H535" s="101">
        <v>1</v>
      </c>
      <c r="I535" s="1" t="e">
        <f t="shared" ref="I535:I539" si="260">IF(F535&lt;H535,"/!\","-")</f>
        <v>#VALUE!</v>
      </c>
      <c r="J535" s="196">
        <v>29.69</v>
      </c>
      <c r="K535" s="12" t="e">
        <f t="shared" ref="K535:K539" si="261">F535*J535</f>
        <v>#VALUE!</v>
      </c>
      <c r="L535" s="30"/>
      <c r="M535" s="30"/>
      <c r="N535" s="30"/>
      <c r="O535" s="30"/>
      <c r="P535" s="30"/>
      <c r="Q535" s="30"/>
      <c r="R535" s="30"/>
      <c r="S535" s="30">
        <v>1</v>
      </c>
    </row>
    <row r="536" spans="1:19" ht="15.75" x14ac:dyDescent="0.25">
      <c r="A536" s="30"/>
      <c r="B536" s="13" t="s">
        <v>879</v>
      </c>
      <c r="C536" s="102" t="s">
        <v>902</v>
      </c>
      <c r="D536" s="100">
        <v>448074051</v>
      </c>
      <c r="E536" s="6" t="s">
        <v>22</v>
      </c>
      <c r="F536" s="7" t="e">
        <f>G536+SUMIF('[1]mouvement scotcheuse'!B:B,"=couteau de dérouleur .50",'[1]mouvement scotcheuse'!G:G)</f>
        <v>#VALUE!</v>
      </c>
      <c r="G536" s="101">
        <v>4</v>
      </c>
      <c r="H536" s="101">
        <v>1</v>
      </c>
      <c r="I536" s="1" t="e">
        <f t="shared" si="260"/>
        <v>#VALUE!</v>
      </c>
      <c r="J536" s="196">
        <v>6.29</v>
      </c>
      <c r="K536" s="12" t="e">
        <f t="shared" si="261"/>
        <v>#VALUE!</v>
      </c>
      <c r="L536" s="30"/>
      <c r="M536" s="30"/>
      <c r="N536" s="30"/>
      <c r="O536" s="30"/>
      <c r="P536" s="30"/>
      <c r="Q536" s="30"/>
      <c r="R536" s="30"/>
      <c r="S536" s="30">
        <v>1</v>
      </c>
    </row>
    <row r="537" spans="1:19" ht="25.5" x14ac:dyDescent="0.25">
      <c r="A537" s="30"/>
      <c r="B537" s="13" t="s">
        <v>879</v>
      </c>
      <c r="C537" s="36" t="s">
        <v>903</v>
      </c>
      <c r="D537" s="195">
        <v>1512104008</v>
      </c>
      <c r="E537" s="6" t="s">
        <v>22</v>
      </c>
      <c r="F537" s="7" t="e">
        <f>G537+SUMIF('[1]mouvement scotcheuse'!B:B,"=vis M4X8 Din 7991",'[1]mouvement scotcheuse'!G:G)</f>
        <v>#VALUE!</v>
      </c>
      <c r="G537" s="8">
        <v>9</v>
      </c>
      <c r="H537" s="9">
        <v>1</v>
      </c>
      <c r="I537" s="1" t="e">
        <f t="shared" si="260"/>
        <v>#VALUE!</v>
      </c>
      <c r="J537" s="194">
        <v>0.34</v>
      </c>
      <c r="K537" s="12" t="e">
        <f t="shared" si="261"/>
        <v>#VALUE!</v>
      </c>
      <c r="L537" s="30"/>
      <c r="M537" s="30"/>
      <c r="N537" s="30"/>
      <c r="O537" s="30"/>
      <c r="P537" s="30"/>
      <c r="Q537" s="30"/>
      <c r="R537" s="30"/>
      <c r="S537" s="30">
        <v>1</v>
      </c>
    </row>
    <row r="538" spans="1:19" ht="15.75" x14ac:dyDescent="0.25">
      <c r="A538" s="30"/>
      <c r="B538" s="13" t="s">
        <v>879</v>
      </c>
      <c r="C538" s="102" t="s">
        <v>904</v>
      </c>
      <c r="D538" s="100" t="s">
        <v>905</v>
      </c>
      <c r="E538" s="6" t="s">
        <v>22</v>
      </c>
      <c r="F538" s="7" t="e">
        <f>G538+SUMIF('[1]mouvement scotcheuse'!B:B,"=Bande entrainement T100 (980x50)",'[1]mouvement scotcheuse'!G:G)</f>
        <v>#VALUE!</v>
      </c>
      <c r="G538" s="101">
        <v>2</v>
      </c>
      <c r="H538" s="101">
        <v>1</v>
      </c>
      <c r="I538" s="1" t="e">
        <f t="shared" si="260"/>
        <v>#VALUE!</v>
      </c>
      <c r="J538" s="196">
        <v>43.05</v>
      </c>
      <c r="K538" s="12" t="e">
        <f t="shared" si="261"/>
        <v>#VALUE!</v>
      </c>
      <c r="L538" s="30"/>
      <c r="M538" s="30"/>
      <c r="N538" s="30"/>
      <c r="O538" s="30"/>
      <c r="P538" s="30"/>
      <c r="Q538" s="30"/>
      <c r="R538" s="30"/>
      <c r="S538" s="30">
        <v>1</v>
      </c>
    </row>
    <row r="539" spans="1:19" ht="15.75" x14ac:dyDescent="0.25">
      <c r="A539" s="30"/>
      <c r="B539" s="13" t="s">
        <v>879</v>
      </c>
      <c r="C539" s="102" t="s">
        <v>906</v>
      </c>
      <c r="D539" s="100" t="s">
        <v>907</v>
      </c>
      <c r="E539" s="6" t="s">
        <v>22</v>
      </c>
      <c r="F539" s="7" t="e">
        <f>G539+SUMIF('[1]mouvement scotcheuse'!B:B,"=Bande entrainement vielle scotcheuse (980x80)",'[1]mouvement scotcheuse'!G:G)</f>
        <v>#VALUE!</v>
      </c>
      <c r="G539" s="101">
        <v>2</v>
      </c>
      <c r="H539" s="101">
        <v>1</v>
      </c>
      <c r="I539" s="1" t="e">
        <f t="shared" si="260"/>
        <v>#VALUE!</v>
      </c>
      <c r="J539" s="196">
        <v>59.2</v>
      </c>
      <c r="K539" s="12" t="e">
        <f t="shared" si="261"/>
        <v>#VALUE!</v>
      </c>
      <c r="L539" s="30"/>
      <c r="M539" s="30"/>
      <c r="N539" s="30"/>
      <c r="O539" s="30"/>
      <c r="P539" s="30"/>
      <c r="Q539" s="30"/>
      <c r="R539" s="30"/>
      <c r="S539" s="30">
        <v>1</v>
      </c>
    </row>
    <row r="543" spans="1:19" ht="15.75" x14ac:dyDescent="0.25">
      <c r="A543" s="30"/>
      <c r="B543" s="13" t="s">
        <v>879</v>
      </c>
      <c r="C543" s="203" t="s">
        <v>912</v>
      </c>
      <c r="D543" s="204">
        <v>469870000</v>
      </c>
      <c r="E543" s="155" t="s">
        <v>22</v>
      </c>
      <c r="F543" s="156" t="s">
        <v>913</v>
      </c>
      <c r="G543" s="199">
        <v>13</v>
      </c>
      <c r="H543" s="199">
        <v>2</v>
      </c>
      <c r="I543" s="157" t="str">
        <f t="shared" ref="I543" si="262">IF(F543&lt;H543,"/!\","-")</f>
        <v>-</v>
      </c>
      <c r="J543" s="200">
        <v>0</v>
      </c>
      <c r="K543" s="158" t="e">
        <f t="shared" ref="K543" si="263">F543*J543</f>
        <v>#VALUE!</v>
      </c>
      <c r="L543" s="30"/>
      <c r="M543" s="35" t="e">
        <f>SUM(K514:K543)</f>
        <v>#VALUE!</v>
      </c>
      <c r="N543" s="30"/>
      <c r="O543" s="30"/>
      <c r="P543" s="30"/>
      <c r="Q543" s="30"/>
      <c r="R543" s="30"/>
      <c r="S543" s="30">
        <v>1</v>
      </c>
    </row>
  </sheetData>
  <conditionalFormatting sqref="I2">
    <cfRule type="containsText" dxfId="630" priority="630" operator="containsText" text="/!\">
      <formula>NOT(ISERROR(SEARCH("/!\",I2)))</formula>
    </cfRule>
  </conditionalFormatting>
  <conditionalFormatting sqref="I3">
    <cfRule type="containsText" dxfId="628" priority="628" operator="containsText" text="/!\">
      <formula>NOT(ISERROR(SEARCH("/!\",I3)))</formula>
    </cfRule>
  </conditionalFormatting>
  <conditionalFormatting sqref="I4">
    <cfRule type="containsText" dxfId="626" priority="626" operator="containsText" text="/!\">
      <formula>NOT(ISERROR(SEARCH("/!\",I4)))</formula>
    </cfRule>
  </conditionalFormatting>
  <conditionalFormatting sqref="I6">
    <cfRule type="containsText" dxfId="624" priority="624" operator="containsText" text="/!\">
      <formula>NOT(ISERROR(SEARCH("/!\",I6)))</formula>
    </cfRule>
  </conditionalFormatting>
  <conditionalFormatting sqref="I7">
    <cfRule type="containsText" dxfId="622" priority="622" operator="containsText" text="/!\">
      <formula>NOT(ISERROR(SEARCH("/!\",I7)))</formula>
    </cfRule>
  </conditionalFormatting>
  <conditionalFormatting sqref="I8">
    <cfRule type="containsText" dxfId="620" priority="620" operator="containsText" text="/!\">
      <formula>NOT(ISERROR(SEARCH("/!\",I8)))</formula>
    </cfRule>
  </conditionalFormatting>
  <conditionalFormatting sqref="I9">
    <cfRule type="containsText" dxfId="618" priority="618" operator="containsText" text="/!\">
      <formula>NOT(ISERROR(SEARCH("/!\",I9)))</formula>
    </cfRule>
  </conditionalFormatting>
  <conditionalFormatting sqref="I10">
    <cfRule type="containsText" dxfId="616" priority="616" operator="containsText" text="/!\">
      <formula>NOT(ISERROR(SEARCH("/!\",I10)))</formula>
    </cfRule>
  </conditionalFormatting>
  <conditionalFormatting sqref="I14">
    <cfRule type="containsText" dxfId="614" priority="614" operator="containsText" text="/!\">
      <formula>NOT(ISERROR(SEARCH("/!\",I14)))</formula>
    </cfRule>
  </conditionalFormatting>
  <conditionalFormatting sqref="I16">
    <cfRule type="containsText" dxfId="612" priority="612" operator="containsText" text="/!\">
      <formula>NOT(ISERROR(SEARCH("/!\",I16)))</formula>
    </cfRule>
  </conditionalFormatting>
  <conditionalFormatting sqref="I18">
    <cfRule type="containsText" dxfId="610" priority="610" operator="containsText" text="/!\">
      <formula>NOT(ISERROR(SEARCH("/!\",I18)))</formula>
    </cfRule>
  </conditionalFormatting>
  <conditionalFormatting sqref="I19">
    <cfRule type="containsText" dxfId="608" priority="608" operator="containsText" text="/!\">
      <formula>NOT(ISERROR(SEARCH("/!\",I19)))</formula>
    </cfRule>
  </conditionalFormatting>
  <conditionalFormatting sqref="I20">
    <cfRule type="containsText" dxfId="606" priority="606" operator="containsText" text="/!\">
      <formula>NOT(ISERROR(SEARCH("/!\",I20)))</formula>
    </cfRule>
  </conditionalFormatting>
  <conditionalFormatting sqref="I21">
    <cfRule type="containsText" dxfId="604" priority="604" operator="containsText" text="/!\">
      <formula>NOT(ISERROR(SEARCH("/!\",I21)))</formula>
    </cfRule>
  </conditionalFormatting>
  <conditionalFormatting sqref="I22">
    <cfRule type="containsText" dxfId="602" priority="602" operator="containsText" text="/!\">
      <formula>NOT(ISERROR(SEARCH("/!\",I22)))</formula>
    </cfRule>
  </conditionalFormatting>
  <conditionalFormatting sqref="I26">
    <cfRule type="containsText" dxfId="600" priority="600" operator="containsText" text="/!\">
      <formula>NOT(ISERROR(SEARCH("/!\",I26)))</formula>
    </cfRule>
  </conditionalFormatting>
  <conditionalFormatting sqref="I28">
    <cfRule type="containsText" dxfId="598" priority="598" operator="containsText" text="/!\">
      <formula>NOT(ISERROR(SEARCH("/!\",I28)))</formula>
    </cfRule>
  </conditionalFormatting>
  <conditionalFormatting sqref="I30">
    <cfRule type="containsText" dxfId="596" priority="596" operator="containsText" text="/!\">
      <formula>NOT(ISERROR(SEARCH("/!\",I30)))</formula>
    </cfRule>
  </conditionalFormatting>
  <conditionalFormatting sqref="I31">
    <cfRule type="containsText" dxfId="594" priority="594" operator="containsText" text="/!\">
      <formula>NOT(ISERROR(SEARCH("/!\",I31)))</formula>
    </cfRule>
  </conditionalFormatting>
  <conditionalFormatting sqref="I32">
    <cfRule type="containsText" dxfId="592" priority="592" operator="containsText" text="/!\">
      <formula>NOT(ISERROR(SEARCH("/!\",I32)))</formula>
    </cfRule>
  </conditionalFormatting>
  <conditionalFormatting sqref="I33">
    <cfRule type="containsText" dxfId="590" priority="590" operator="containsText" text="/!\">
      <formula>NOT(ISERROR(SEARCH("/!\",I33)))</formula>
    </cfRule>
  </conditionalFormatting>
  <conditionalFormatting sqref="I34">
    <cfRule type="containsText" dxfId="588" priority="588" operator="containsText" text="/!\">
      <formula>NOT(ISERROR(SEARCH("/!\",I34)))</formula>
    </cfRule>
  </conditionalFormatting>
  <conditionalFormatting sqref="I38">
    <cfRule type="containsText" dxfId="586" priority="586" operator="containsText" text="/!\">
      <formula>NOT(ISERROR(SEARCH("/!\",I38)))</formula>
    </cfRule>
  </conditionalFormatting>
  <conditionalFormatting sqref="I40">
    <cfRule type="containsText" dxfId="584" priority="584" operator="containsText" text="/!\">
      <formula>NOT(ISERROR(SEARCH("/!\",I40)))</formula>
    </cfRule>
  </conditionalFormatting>
  <conditionalFormatting sqref="I42">
    <cfRule type="containsText" dxfId="582" priority="582" operator="containsText" text="/!\">
      <formula>NOT(ISERROR(SEARCH("/!\",I42)))</formula>
    </cfRule>
  </conditionalFormatting>
  <conditionalFormatting sqref="I43">
    <cfRule type="containsText" dxfId="580" priority="580" operator="containsText" text="/!\">
      <formula>NOT(ISERROR(SEARCH("/!\",I43)))</formula>
    </cfRule>
  </conditionalFormatting>
  <conditionalFormatting sqref="I44">
    <cfRule type="containsText" dxfId="578" priority="578" operator="containsText" text="/!\">
      <formula>NOT(ISERROR(SEARCH("/!\",I44)))</formula>
    </cfRule>
  </conditionalFormatting>
  <conditionalFormatting sqref="I45">
    <cfRule type="containsText" dxfId="576" priority="576" operator="containsText" text="/!\">
      <formula>NOT(ISERROR(SEARCH("/!\",I45)))</formula>
    </cfRule>
  </conditionalFormatting>
  <conditionalFormatting sqref="I46">
    <cfRule type="containsText" dxfId="574" priority="574" operator="containsText" text="/!\">
      <formula>NOT(ISERROR(SEARCH("/!\",I46)))</formula>
    </cfRule>
  </conditionalFormatting>
  <conditionalFormatting sqref="I50">
    <cfRule type="containsText" dxfId="572" priority="572" operator="containsText" text="/!\">
      <formula>NOT(ISERROR(SEARCH("/!\",I50)))</formula>
    </cfRule>
  </conditionalFormatting>
  <conditionalFormatting sqref="I52">
    <cfRule type="containsText" dxfId="570" priority="570" operator="containsText" text="/!\">
      <formula>NOT(ISERROR(SEARCH("/!\",I52)))</formula>
    </cfRule>
  </conditionalFormatting>
  <conditionalFormatting sqref="I54">
    <cfRule type="containsText" dxfId="568" priority="568" operator="containsText" text="/!\">
      <formula>NOT(ISERROR(SEARCH("/!\",I54)))</formula>
    </cfRule>
  </conditionalFormatting>
  <conditionalFormatting sqref="I55">
    <cfRule type="containsText" dxfId="566" priority="566" operator="containsText" text="/!\">
      <formula>NOT(ISERROR(SEARCH("/!\",I55)))</formula>
    </cfRule>
  </conditionalFormatting>
  <conditionalFormatting sqref="I56">
    <cfRule type="containsText" dxfId="564" priority="564" operator="containsText" text="/!\">
      <formula>NOT(ISERROR(SEARCH("/!\",I56)))</formula>
    </cfRule>
  </conditionalFormatting>
  <conditionalFormatting sqref="I57">
    <cfRule type="containsText" dxfId="562" priority="562" operator="containsText" text="/!\">
      <formula>NOT(ISERROR(SEARCH("/!\",I57)))</formula>
    </cfRule>
  </conditionalFormatting>
  <conditionalFormatting sqref="I58">
    <cfRule type="containsText" dxfId="560" priority="560" operator="containsText" text="/!\">
      <formula>NOT(ISERROR(SEARCH("/!\",I58)))</formula>
    </cfRule>
  </conditionalFormatting>
  <conditionalFormatting sqref="I62">
    <cfRule type="containsText" dxfId="558" priority="558" operator="containsText" text="/!\">
      <formula>NOT(ISERROR(SEARCH("/!\",I62)))</formula>
    </cfRule>
  </conditionalFormatting>
  <conditionalFormatting sqref="I64">
    <cfRule type="containsText" dxfId="556" priority="556" operator="containsText" text="/!\">
      <formula>NOT(ISERROR(SEARCH("/!\",I64)))</formula>
    </cfRule>
  </conditionalFormatting>
  <conditionalFormatting sqref="I66">
    <cfRule type="containsText" dxfId="554" priority="554" operator="containsText" text="/!\">
      <formula>NOT(ISERROR(SEARCH("/!\",I66)))</formula>
    </cfRule>
  </conditionalFormatting>
  <conditionalFormatting sqref="I67">
    <cfRule type="containsText" dxfId="552" priority="552" operator="containsText" text="/!\">
      <formula>NOT(ISERROR(SEARCH("/!\",I67)))</formula>
    </cfRule>
  </conditionalFormatting>
  <conditionalFormatting sqref="I68">
    <cfRule type="containsText" dxfId="550" priority="550" operator="containsText" text="/!\">
      <formula>NOT(ISERROR(SEARCH("/!\",I68)))</formula>
    </cfRule>
  </conditionalFormatting>
  <conditionalFormatting sqref="I69">
    <cfRule type="containsText" dxfId="548" priority="548" operator="containsText" text="/!\">
      <formula>NOT(ISERROR(SEARCH("/!\",I69)))</formula>
    </cfRule>
  </conditionalFormatting>
  <conditionalFormatting sqref="I70">
    <cfRule type="containsText" dxfId="546" priority="546" operator="containsText" text="/!\">
      <formula>NOT(ISERROR(SEARCH("/!\",I70)))</formula>
    </cfRule>
  </conditionalFormatting>
  <conditionalFormatting sqref="I74">
    <cfRule type="containsText" dxfId="544" priority="544" operator="containsText" text="/!\">
      <formula>NOT(ISERROR(SEARCH("/!\",I74)))</formula>
    </cfRule>
  </conditionalFormatting>
  <conditionalFormatting sqref="I76">
    <cfRule type="containsText" dxfId="542" priority="542" operator="containsText" text="/!\">
      <formula>NOT(ISERROR(SEARCH("/!\",I76)))</formula>
    </cfRule>
  </conditionalFormatting>
  <conditionalFormatting sqref="I78">
    <cfRule type="containsText" dxfId="540" priority="540" operator="containsText" text="/!\">
      <formula>NOT(ISERROR(SEARCH("/!\",I78)))</formula>
    </cfRule>
  </conditionalFormatting>
  <conditionalFormatting sqref="I79">
    <cfRule type="containsText" dxfId="538" priority="538" operator="containsText" text="/!\">
      <formula>NOT(ISERROR(SEARCH("/!\",I79)))</formula>
    </cfRule>
  </conditionalFormatting>
  <conditionalFormatting sqref="I80">
    <cfRule type="containsText" dxfId="536" priority="536" operator="containsText" text="/!\">
      <formula>NOT(ISERROR(SEARCH("/!\",I80)))</formula>
    </cfRule>
  </conditionalFormatting>
  <conditionalFormatting sqref="I81">
    <cfRule type="containsText" dxfId="534" priority="534" operator="containsText" text="/!\">
      <formula>NOT(ISERROR(SEARCH("/!\",I81)))</formula>
    </cfRule>
  </conditionalFormatting>
  <conditionalFormatting sqref="I82">
    <cfRule type="containsText" dxfId="532" priority="532" operator="containsText" text="/!\">
      <formula>NOT(ISERROR(SEARCH("/!\",I82)))</formula>
    </cfRule>
  </conditionalFormatting>
  <conditionalFormatting sqref="I86">
    <cfRule type="containsText" dxfId="530" priority="530" operator="containsText" text="/!\">
      <formula>NOT(ISERROR(SEARCH("/!\",I86)))</formula>
    </cfRule>
  </conditionalFormatting>
  <conditionalFormatting sqref="I88">
    <cfRule type="containsText" dxfId="528" priority="528" operator="containsText" text="/!\">
      <formula>NOT(ISERROR(SEARCH("/!\",I88)))</formula>
    </cfRule>
  </conditionalFormatting>
  <conditionalFormatting sqref="I90">
    <cfRule type="containsText" dxfId="526" priority="526" operator="containsText" text="/!\">
      <formula>NOT(ISERROR(SEARCH("/!\",I90)))</formula>
    </cfRule>
  </conditionalFormatting>
  <conditionalFormatting sqref="I91">
    <cfRule type="containsText" dxfId="524" priority="524" operator="containsText" text="/!\">
      <formula>NOT(ISERROR(SEARCH("/!\",I91)))</formula>
    </cfRule>
  </conditionalFormatting>
  <conditionalFormatting sqref="I92">
    <cfRule type="containsText" dxfId="522" priority="522" operator="containsText" text="/!\">
      <formula>NOT(ISERROR(SEARCH("/!\",I92)))</formula>
    </cfRule>
  </conditionalFormatting>
  <conditionalFormatting sqref="I93">
    <cfRule type="containsText" dxfId="520" priority="520" operator="containsText" text="/!\">
      <formula>NOT(ISERROR(SEARCH("/!\",I93)))</formula>
    </cfRule>
  </conditionalFormatting>
  <conditionalFormatting sqref="I94">
    <cfRule type="containsText" dxfId="518" priority="518" operator="containsText" text="/!\">
      <formula>NOT(ISERROR(SEARCH("/!\",I94)))</formula>
    </cfRule>
  </conditionalFormatting>
  <conditionalFormatting sqref="I98">
    <cfRule type="containsText" dxfId="516" priority="516" operator="containsText" text="/!\">
      <formula>NOT(ISERROR(SEARCH("/!\",I98)))</formula>
    </cfRule>
  </conditionalFormatting>
  <conditionalFormatting sqref="I100">
    <cfRule type="containsText" dxfId="514" priority="514" operator="containsText" text="/!\">
      <formula>NOT(ISERROR(SEARCH("/!\",I100)))</formula>
    </cfRule>
  </conditionalFormatting>
  <conditionalFormatting sqref="I102">
    <cfRule type="containsText" dxfId="512" priority="512" operator="containsText" text="/!\">
      <formula>NOT(ISERROR(SEARCH("/!\",I102)))</formula>
    </cfRule>
  </conditionalFormatting>
  <conditionalFormatting sqref="I103">
    <cfRule type="containsText" dxfId="510" priority="510" operator="containsText" text="/!\">
      <formula>NOT(ISERROR(SEARCH("/!\",I103)))</formula>
    </cfRule>
  </conditionalFormatting>
  <conditionalFormatting sqref="I104">
    <cfRule type="containsText" dxfId="508" priority="508" operator="containsText" text="/!\">
      <formula>NOT(ISERROR(SEARCH("/!\",I104)))</formula>
    </cfRule>
  </conditionalFormatting>
  <conditionalFormatting sqref="I105">
    <cfRule type="containsText" dxfId="506" priority="506" operator="containsText" text="/!\">
      <formula>NOT(ISERROR(SEARCH("/!\",I105)))</formula>
    </cfRule>
  </conditionalFormatting>
  <conditionalFormatting sqref="I106">
    <cfRule type="containsText" dxfId="504" priority="504" operator="containsText" text="/!\">
      <formula>NOT(ISERROR(SEARCH("/!\",I106)))</formula>
    </cfRule>
  </conditionalFormatting>
  <conditionalFormatting sqref="I110">
    <cfRule type="containsText" dxfId="502" priority="502" operator="containsText" text="/!\">
      <formula>NOT(ISERROR(SEARCH("/!\",I110)))</formula>
    </cfRule>
  </conditionalFormatting>
  <conditionalFormatting sqref="I112">
    <cfRule type="containsText" dxfId="500" priority="500" operator="containsText" text="/!\">
      <formula>NOT(ISERROR(SEARCH("/!\",I112)))</formula>
    </cfRule>
  </conditionalFormatting>
  <conditionalFormatting sqref="I114">
    <cfRule type="containsText" dxfId="498" priority="498" operator="containsText" text="/!\">
      <formula>NOT(ISERROR(SEARCH("/!\",I114)))</formula>
    </cfRule>
  </conditionalFormatting>
  <conditionalFormatting sqref="I115">
    <cfRule type="containsText" dxfId="496" priority="496" operator="containsText" text="/!\">
      <formula>NOT(ISERROR(SEARCH("/!\",I115)))</formula>
    </cfRule>
  </conditionalFormatting>
  <conditionalFormatting sqref="I116">
    <cfRule type="containsText" dxfId="494" priority="494" operator="containsText" text="/!\">
      <formula>NOT(ISERROR(SEARCH("/!\",I116)))</formula>
    </cfRule>
  </conditionalFormatting>
  <conditionalFormatting sqref="I117">
    <cfRule type="containsText" dxfId="492" priority="492" operator="containsText" text="/!\">
      <formula>NOT(ISERROR(SEARCH("/!\",I117)))</formula>
    </cfRule>
  </conditionalFormatting>
  <conditionalFormatting sqref="I118">
    <cfRule type="containsText" dxfId="490" priority="490" operator="containsText" text="/!\">
      <formula>NOT(ISERROR(SEARCH("/!\",I118)))</formula>
    </cfRule>
  </conditionalFormatting>
  <conditionalFormatting sqref="I122">
    <cfRule type="containsText" dxfId="488" priority="488" operator="containsText" text="/!\">
      <formula>NOT(ISERROR(SEARCH("/!\",I122)))</formula>
    </cfRule>
  </conditionalFormatting>
  <conditionalFormatting sqref="I124">
    <cfRule type="containsText" dxfId="486" priority="486" operator="containsText" text="/!\">
      <formula>NOT(ISERROR(SEARCH("/!\",I124)))</formula>
    </cfRule>
  </conditionalFormatting>
  <conditionalFormatting sqref="I126">
    <cfRule type="containsText" dxfId="484" priority="484" operator="containsText" text="/!\">
      <formula>NOT(ISERROR(SEARCH("/!\",I126)))</formula>
    </cfRule>
  </conditionalFormatting>
  <conditionalFormatting sqref="I127">
    <cfRule type="containsText" dxfId="482" priority="482" operator="containsText" text="/!\">
      <formula>NOT(ISERROR(SEARCH("/!\",I127)))</formula>
    </cfRule>
  </conditionalFormatting>
  <conditionalFormatting sqref="I128">
    <cfRule type="containsText" dxfId="480" priority="480" operator="containsText" text="/!\">
      <formula>NOT(ISERROR(SEARCH("/!\",I128)))</formula>
    </cfRule>
  </conditionalFormatting>
  <conditionalFormatting sqref="I129">
    <cfRule type="containsText" dxfId="478" priority="478" operator="containsText" text="/!\">
      <formula>NOT(ISERROR(SEARCH("/!\",I129)))</formula>
    </cfRule>
  </conditionalFormatting>
  <conditionalFormatting sqref="I130">
    <cfRule type="containsText" dxfId="476" priority="476" operator="containsText" text="/!\">
      <formula>NOT(ISERROR(SEARCH("/!\",I130)))</formula>
    </cfRule>
  </conditionalFormatting>
  <conditionalFormatting sqref="I134">
    <cfRule type="containsText" dxfId="474" priority="474" operator="containsText" text="/!\">
      <formula>NOT(ISERROR(SEARCH("/!\",I134)))</formula>
    </cfRule>
  </conditionalFormatting>
  <conditionalFormatting sqref="I136">
    <cfRule type="containsText" dxfId="472" priority="472" operator="containsText" text="/!\">
      <formula>NOT(ISERROR(SEARCH("/!\",I136)))</formula>
    </cfRule>
  </conditionalFormatting>
  <conditionalFormatting sqref="I138">
    <cfRule type="containsText" dxfId="470" priority="470" operator="containsText" text="/!\">
      <formula>NOT(ISERROR(SEARCH("/!\",I138)))</formula>
    </cfRule>
  </conditionalFormatting>
  <conditionalFormatting sqref="I139">
    <cfRule type="containsText" dxfId="468" priority="468" operator="containsText" text="/!\">
      <formula>NOT(ISERROR(SEARCH("/!\",I139)))</formula>
    </cfRule>
  </conditionalFormatting>
  <conditionalFormatting sqref="I140">
    <cfRule type="containsText" dxfId="466" priority="466" operator="containsText" text="/!\">
      <formula>NOT(ISERROR(SEARCH("/!\",I140)))</formula>
    </cfRule>
  </conditionalFormatting>
  <conditionalFormatting sqref="I141">
    <cfRule type="containsText" dxfId="464" priority="464" operator="containsText" text="/!\">
      <formula>NOT(ISERROR(SEARCH("/!\",I141)))</formula>
    </cfRule>
  </conditionalFormatting>
  <conditionalFormatting sqref="I142">
    <cfRule type="containsText" dxfId="462" priority="462" operator="containsText" text="/!\">
      <formula>NOT(ISERROR(SEARCH("/!\",I142)))</formula>
    </cfRule>
  </conditionalFormatting>
  <conditionalFormatting sqref="I146">
    <cfRule type="containsText" dxfId="460" priority="460" operator="containsText" text="/!\">
      <formula>NOT(ISERROR(SEARCH("/!\",I146)))</formula>
    </cfRule>
  </conditionalFormatting>
  <conditionalFormatting sqref="I148">
    <cfRule type="containsText" dxfId="458" priority="458" operator="containsText" text="/!\">
      <formula>NOT(ISERROR(SEARCH("/!\",I148)))</formula>
    </cfRule>
  </conditionalFormatting>
  <conditionalFormatting sqref="I150">
    <cfRule type="containsText" dxfId="456" priority="456" operator="containsText" text="/!\">
      <formula>NOT(ISERROR(SEARCH("/!\",I150)))</formula>
    </cfRule>
  </conditionalFormatting>
  <conditionalFormatting sqref="I151">
    <cfRule type="containsText" dxfId="454" priority="454" operator="containsText" text="/!\">
      <formula>NOT(ISERROR(SEARCH("/!\",I151)))</formula>
    </cfRule>
  </conditionalFormatting>
  <conditionalFormatting sqref="I152">
    <cfRule type="containsText" dxfId="452" priority="452" operator="containsText" text="/!\">
      <formula>NOT(ISERROR(SEARCH("/!\",I152)))</formula>
    </cfRule>
  </conditionalFormatting>
  <conditionalFormatting sqref="I153">
    <cfRule type="containsText" dxfId="450" priority="450" operator="containsText" text="/!\">
      <formula>NOT(ISERROR(SEARCH("/!\",I153)))</formula>
    </cfRule>
  </conditionalFormatting>
  <conditionalFormatting sqref="I154">
    <cfRule type="containsText" dxfId="448" priority="448" operator="containsText" text="/!\">
      <formula>NOT(ISERROR(SEARCH("/!\",I154)))</formula>
    </cfRule>
  </conditionalFormatting>
  <conditionalFormatting sqref="I158">
    <cfRule type="containsText" dxfId="446" priority="446" operator="containsText" text="/!\">
      <formula>NOT(ISERROR(SEARCH("/!\",I158)))</formula>
    </cfRule>
  </conditionalFormatting>
  <conditionalFormatting sqref="I160">
    <cfRule type="containsText" dxfId="444" priority="444" operator="containsText" text="/!\">
      <formula>NOT(ISERROR(SEARCH("/!\",I160)))</formula>
    </cfRule>
  </conditionalFormatting>
  <conditionalFormatting sqref="I162">
    <cfRule type="containsText" dxfId="442" priority="442" operator="containsText" text="/!\">
      <formula>NOT(ISERROR(SEARCH("/!\",I162)))</formula>
    </cfRule>
  </conditionalFormatting>
  <conditionalFormatting sqref="I163">
    <cfRule type="containsText" dxfId="440" priority="440" operator="containsText" text="/!\">
      <formula>NOT(ISERROR(SEARCH("/!\",I163)))</formula>
    </cfRule>
  </conditionalFormatting>
  <conditionalFormatting sqref="I164">
    <cfRule type="containsText" dxfId="438" priority="438" operator="containsText" text="/!\">
      <formula>NOT(ISERROR(SEARCH("/!\",I164)))</formula>
    </cfRule>
  </conditionalFormatting>
  <conditionalFormatting sqref="I165">
    <cfRule type="containsText" dxfId="436" priority="436" operator="containsText" text="/!\">
      <formula>NOT(ISERROR(SEARCH("/!\",I165)))</formula>
    </cfRule>
  </conditionalFormatting>
  <conditionalFormatting sqref="I166">
    <cfRule type="containsText" dxfId="434" priority="434" operator="containsText" text="/!\">
      <formula>NOT(ISERROR(SEARCH("/!\",I166)))</formula>
    </cfRule>
  </conditionalFormatting>
  <conditionalFormatting sqref="I170">
    <cfRule type="containsText" dxfId="432" priority="432" operator="containsText" text="/!\">
      <formula>NOT(ISERROR(SEARCH("/!\",I170)))</formula>
    </cfRule>
  </conditionalFormatting>
  <conditionalFormatting sqref="I172">
    <cfRule type="containsText" dxfId="430" priority="430" operator="containsText" text="/!\">
      <formula>NOT(ISERROR(SEARCH("/!\",I172)))</formula>
    </cfRule>
  </conditionalFormatting>
  <conditionalFormatting sqref="I174">
    <cfRule type="containsText" dxfId="428" priority="428" operator="containsText" text="/!\">
      <formula>NOT(ISERROR(SEARCH("/!\",I174)))</formula>
    </cfRule>
  </conditionalFormatting>
  <conditionalFormatting sqref="I175">
    <cfRule type="containsText" dxfId="426" priority="426" operator="containsText" text="/!\">
      <formula>NOT(ISERROR(SEARCH("/!\",I175)))</formula>
    </cfRule>
  </conditionalFormatting>
  <conditionalFormatting sqref="I176">
    <cfRule type="containsText" dxfId="424" priority="424" operator="containsText" text="/!\">
      <formula>NOT(ISERROR(SEARCH("/!\",I176)))</formula>
    </cfRule>
  </conditionalFormatting>
  <conditionalFormatting sqref="I177">
    <cfRule type="containsText" dxfId="422" priority="422" operator="containsText" text="/!\">
      <formula>NOT(ISERROR(SEARCH("/!\",I177)))</formula>
    </cfRule>
  </conditionalFormatting>
  <conditionalFormatting sqref="I178">
    <cfRule type="containsText" dxfId="420" priority="420" operator="containsText" text="/!\">
      <formula>NOT(ISERROR(SEARCH("/!\",I178)))</formula>
    </cfRule>
  </conditionalFormatting>
  <conditionalFormatting sqref="I182">
    <cfRule type="containsText" dxfId="418" priority="418" operator="containsText" text="/!\">
      <formula>NOT(ISERROR(SEARCH("/!\",I182)))</formula>
    </cfRule>
  </conditionalFormatting>
  <conditionalFormatting sqref="I184">
    <cfRule type="containsText" dxfId="416" priority="416" operator="containsText" text="/!\">
      <formula>NOT(ISERROR(SEARCH("/!\",I184)))</formula>
    </cfRule>
  </conditionalFormatting>
  <conditionalFormatting sqref="I186">
    <cfRule type="containsText" dxfId="414" priority="414" operator="containsText" text="/!\">
      <formula>NOT(ISERROR(SEARCH("/!\",I186)))</formula>
    </cfRule>
  </conditionalFormatting>
  <conditionalFormatting sqref="I187">
    <cfRule type="containsText" dxfId="412" priority="412" operator="containsText" text="/!\">
      <formula>NOT(ISERROR(SEARCH("/!\",I187)))</formula>
    </cfRule>
  </conditionalFormatting>
  <conditionalFormatting sqref="I188">
    <cfRule type="containsText" dxfId="410" priority="410" operator="containsText" text="/!\">
      <formula>NOT(ISERROR(SEARCH("/!\",I188)))</formula>
    </cfRule>
  </conditionalFormatting>
  <conditionalFormatting sqref="I189">
    <cfRule type="containsText" dxfId="408" priority="408" operator="containsText" text="/!\">
      <formula>NOT(ISERROR(SEARCH("/!\",I189)))</formula>
    </cfRule>
  </conditionalFormatting>
  <conditionalFormatting sqref="I190">
    <cfRule type="containsText" dxfId="406" priority="406" operator="containsText" text="/!\">
      <formula>NOT(ISERROR(SEARCH("/!\",I190)))</formula>
    </cfRule>
  </conditionalFormatting>
  <conditionalFormatting sqref="I194">
    <cfRule type="containsText" dxfId="404" priority="404" operator="containsText" text="/!\">
      <formula>NOT(ISERROR(SEARCH("/!\",I194)))</formula>
    </cfRule>
  </conditionalFormatting>
  <conditionalFormatting sqref="I196">
    <cfRule type="containsText" dxfId="402" priority="402" operator="containsText" text="/!\">
      <formula>NOT(ISERROR(SEARCH("/!\",I196)))</formula>
    </cfRule>
  </conditionalFormatting>
  <conditionalFormatting sqref="I198">
    <cfRule type="containsText" dxfId="400" priority="400" operator="containsText" text="/!\">
      <formula>NOT(ISERROR(SEARCH("/!\",I198)))</formula>
    </cfRule>
  </conditionalFormatting>
  <conditionalFormatting sqref="I199">
    <cfRule type="containsText" dxfId="398" priority="398" operator="containsText" text="/!\">
      <formula>NOT(ISERROR(SEARCH("/!\",I199)))</formula>
    </cfRule>
  </conditionalFormatting>
  <conditionalFormatting sqref="I200">
    <cfRule type="containsText" dxfId="396" priority="396" operator="containsText" text="/!\">
      <formula>NOT(ISERROR(SEARCH("/!\",I200)))</formula>
    </cfRule>
  </conditionalFormatting>
  <conditionalFormatting sqref="I201">
    <cfRule type="containsText" dxfId="394" priority="394" operator="containsText" text="/!\">
      <formula>NOT(ISERROR(SEARCH("/!\",I201)))</formula>
    </cfRule>
  </conditionalFormatting>
  <conditionalFormatting sqref="I202">
    <cfRule type="containsText" dxfId="392" priority="392" operator="containsText" text="/!\">
      <formula>NOT(ISERROR(SEARCH("/!\",I202)))</formula>
    </cfRule>
  </conditionalFormatting>
  <conditionalFormatting sqref="I206">
    <cfRule type="containsText" dxfId="390" priority="390" operator="containsText" text="/!\">
      <formula>NOT(ISERROR(SEARCH("/!\",I206)))</formula>
    </cfRule>
  </conditionalFormatting>
  <conditionalFormatting sqref="I208">
    <cfRule type="containsText" dxfId="388" priority="388" operator="containsText" text="/!\">
      <formula>NOT(ISERROR(SEARCH("/!\",I208)))</formula>
    </cfRule>
  </conditionalFormatting>
  <conditionalFormatting sqref="I210">
    <cfRule type="containsText" dxfId="386" priority="386" operator="containsText" text="/!\">
      <formula>NOT(ISERROR(SEARCH("/!\",I210)))</formula>
    </cfRule>
  </conditionalFormatting>
  <conditionalFormatting sqref="I211">
    <cfRule type="containsText" dxfId="384" priority="384" operator="containsText" text="/!\">
      <formula>NOT(ISERROR(SEARCH("/!\",I211)))</formula>
    </cfRule>
  </conditionalFormatting>
  <conditionalFormatting sqref="I212">
    <cfRule type="containsText" dxfId="382" priority="382" operator="containsText" text="/!\">
      <formula>NOT(ISERROR(SEARCH("/!\",I212)))</formula>
    </cfRule>
  </conditionalFormatting>
  <conditionalFormatting sqref="I213">
    <cfRule type="containsText" dxfId="380" priority="380" operator="containsText" text="/!\">
      <formula>NOT(ISERROR(SEARCH("/!\",I213)))</formula>
    </cfRule>
  </conditionalFormatting>
  <conditionalFormatting sqref="I214">
    <cfRule type="containsText" dxfId="378" priority="378" operator="containsText" text="/!\">
      <formula>NOT(ISERROR(SEARCH("/!\",I214)))</formula>
    </cfRule>
  </conditionalFormatting>
  <conditionalFormatting sqref="I218">
    <cfRule type="containsText" dxfId="376" priority="376" operator="containsText" text="/!\">
      <formula>NOT(ISERROR(SEARCH("/!\",I218)))</formula>
    </cfRule>
  </conditionalFormatting>
  <conditionalFormatting sqref="I220">
    <cfRule type="containsText" dxfId="374" priority="374" operator="containsText" text="/!\">
      <formula>NOT(ISERROR(SEARCH("/!\",I220)))</formula>
    </cfRule>
  </conditionalFormatting>
  <conditionalFormatting sqref="I222">
    <cfRule type="containsText" dxfId="372" priority="372" operator="containsText" text="/!\">
      <formula>NOT(ISERROR(SEARCH("/!\",I222)))</formula>
    </cfRule>
  </conditionalFormatting>
  <conditionalFormatting sqref="I223">
    <cfRule type="containsText" dxfId="370" priority="370" operator="containsText" text="/!\">
      <formula>NOT(ISERROR(SEARCH("/!\",I223)))</formula>
    </cfRule>
  </conditionalFormatting>
  <conditionalFormatting sqref="I224">
    <cfRule type="containsText" dxfId="368" priority="368" operator="containsText" text="/!\">
      <formula>NOT(ISERROR(SEARCH("/!\",I224)))</formula>
    </cfRule>
  </conditionalFormatting>
  <conditionalFormatting sqref="I225">
    <cfRule type="containsText" dxfId="366" priority="366" operator="containsText" text="/!\">
      <formula>NOT(ISERROR(SEARCH("/!\",I225)))</formula>
    </cfRule>
  </conditionalFormatting>
  <conditionalFormatting sqref="I226">
    <cfRule type="containsText" dxfId="364" priority="364" operator="containsText" text="/!\">
      <formula>NOT(ISERROR(SEARCH("/!\",I226)))</formula>
    </cfRule>
  </conditionalFormatting>
  <conditionalFormatting sqref="I230">
    <cfRule type="containsText" dxfId="362" priority="362" operator="containsText" text="/!\">
      <formula>NOT(ISERROR(SEARCH("/!\",I230)))</formula>
    </cfRule>
  </conditionalFormatting>
  <conditionalFormatting sqref="I232">
    <cfRule type="containsText" dxfId="360" priority="360" operator="containsText" text="/!\">
      <formula>NOT(ISERROR(SEARCH("/!\",I232)))</formula>
    </cfRule>
  </conditionalFormatting>
  <conditionalFormatting sqref="I234">
    <cfRule type="containsText" dxfId="358" priority="358" operator="containsText" text="/!\">
      <formula>NOT(ISERROR(SEARCH("/!\",I234)))</formula>
    </cfRule>
  </conditionalFormatting>
  <conditionalFormatting sqref="I235">
    <cfRule type="containsText" dxfId="356" priority="356" operator="containsText" text="/!\">
      <formula>NOT(ISERROR(SEARCH("/!\",I235)))</formula>
    </cfRule>
  </conditionalFormatting>
  <conditionalFormatting sqref="I236">
    <cfRule type="containsText" dxfId="354" priority="354" operator="containsText" text="/!\">
      <formula>NOT(ISERROR(SEARCH("/!\",I236)))</formula>
    </cfRule>
  </conditionalFormatting>
  <conditionalFormatting sqref="I237">
    <cfRule type="containsText" dxfId="352" priority="352" operator="containsText" text="/!\">
      <formula>NOT(ISERROR(SEARCH("/!\",I237)))</formula>
    </cfRule>
  </conditionalFormatting>
  <conditionalFormatting sqref="I238">
    <cfRule type="containsText" dxfId="350" priority="350" operator="containsText" text="/!\">
      <formula>NOT(ISERROR(SEARCH("/!\",I238)))</formula>
    </cfRule>
  </conditionalFormatting>
  <conditionalFormatting sqref="I242">
    <cfRule type="containsText" dxfId="348" priority="348" operator="containsText" text="/!\">
      <formula>NOT(ISERROR(SEARCH("/!\",I242)))</formula>
    </cfRule>
  </conditionalFormatting>
  <conditionalFormatting sqref="I244">
    <cfRule type="containsText" dxfId="346" priority="346" operator="containsText" text="/!\">
      <formula>NOT(ISERROR(SEARCH("/!\",I244)))</formula>
    </cfRule>
  </conditionalFormatting>
  <conditionalFormatting sqref="I246">
    <cfRule type="containsText" dxfId="344" priority="344" operator="containsText" text="/!\">
      <formula>NOT(ISERROR(SEARCH("/!\",I246)))</formula>
    </cfRule>
  </conditionalFormatting>
  <conditionalFormatting sqref="I247">
    <cfRule type="containsText" dxfId="342" priority="342" operator="containsText" text="/!\">
      <formula>NOT(ISERROR(SEARCH("/!\",I247)))</formula>
    </cfRule>
  </conditionalFormatting>
  <conditionalFormatting sqref="I248">
    <cfRule type="containsText" dxfId="340" priority="340" operator="containsText" text="/!\">
      <formula>NOT(ISERROR(SEARCH("/!\",I248)))</formula>
    </cfRule>
  </conditionalFormatting>
  <conditionalFormatting sqref="I249">
    <cfRule type="containsText" dxfId="338" priority="338" operator="containsText" text="/!\">
      <formula>NOT(ISERROR(SEARCH("/!\",I249)))</formula>
    </cfRule>
  </conditionalFormatting>
  <conditionalFormatting sqref="I250">
    <cfRule type="containsText" dxfId="336" priority="336" operator="containsText" text="/!\">
      <formula>NOT(ISERROR(SEARCH("/!\",I250)))</formula>
    </cfRule>
  </conditionalFormatting>
  <conditionalFormatting sqref="I254">
    <cfRule type="containsText" dxfId="334" priority="334" operator="containsText" text="/!\">
      <formula>NOT(ISERROR(SEARCH("/!\",I254)))</formula>
    </cfRule>
  </conditionalFormatting>
  <conditionalFormatting sqref="I256">
    <cfRule type="containsText" dxfId="332" priority="332" operator="containsText" text="/!\">
      <formula>NOT(ISERROR(SEARCH("/!\",I256)))</formula>
    </cfRule>
  </conditionalFormatting>
  <conditionalFormatting sqref="I258">
    <cfRule type="containsText" dxfId="330" priority="330" operator="containsText" text="/!\">
      <formula>NOT(ISERROR(SEARCH("/!\",I258)))</formula>
    </cfRule>
  </conditionalFormatting>
  <conditionalFormatting sqref="I259">
    <cfRule type="containsText" dxfId="328" priority="328" operator="containsText" text="/!\">
      <formula>NOT(ISERROR(SEARCH("/!\",I259)))</formula>
    </cfRule>
  </conditionalFormatting>
  <conditionalFormatting sqref="I260">
    <cfRule type="containsText" dxfId="326" priority="326" operator="containsText" text="/!\">
      <formula>NOT(ISERROR(SEARCH("/!\",I260)))</formula>
    </cfRule>
  </conditionalFormatting>
  <conditionalFormatting sqref="I261">
    <cfRule type="containsText" dxfId="324" priority="324" operator="containsText" text="/!\">
      <formula>NOT(ISERROR(SEARCH("/!\",I261)))</formula>
    </cfRule>
  </conditionalFormatting>
  <conditionalFormatting sqref="I262">
    <cfRule type="containsText" dxfId="322" priority="322" operator="containsText" text="/!\">
      <formula>NOT(ISERROR(SEARCH("/!\",I262)))</formula>
    </cfRule>
  </conditionalFormatting>
  <conditionalFormatting sqref="I266">
    <cfRule type="containsText" dxfId="320" priority="320" operator="containsText" text="/!\">
      <formula>NOT(ISERROR(SEARCH("/!\",I266)))</formula>
    </cfRule>
  </conditionalFormatting>
  <conditionalFormatting sqref="I268">
    <cfRule type="containsText" dxfId="318" priority="318" operator="containsText" text="/!\">
      <formula>NOT(ISERROR(SEARCH("/!\",I268)))</formula>
    </cfRule>
  </conditionalFormatting>
  <conditionalFormatting sqref="I270">
    <cfRule type="containsText" dxfId="316" priority="316" operator="containsText" text="/!\">
      <formula>NOT(ISERROR(SEARCH("/!\",I270)))</formula>
    </cfRule>
  </conditionalFormatting>
  <conditionalFormatting sqref="I271">
    <cfRule type="containsText" dxfId="314" priority="314" operator="containsText" text="/!\">
      <formula>NOT(ISERROR(SEARCH("/!\",I271)))</formula>
    </cfRule>
  </conditionalFormatting>
  <conditionalFormatting sqref="I272">
    <cfRule type="containsText" dxfId="312" priority="312" operator="containsText" text="/!\">
      <formula>NOT(ISERROR(SEARCH("/!\",I272)))</formula>
    </cfRule>
  </conditionalFormatting>
  <conditionalFormatting sqref="I273">
    <cfRule type="containsText" dxfId="310" priority="310" operator="containsText" text="/!\">
      <formula>NOT(ISERROR(SEARCH("/!\",I273)))</formula>
    </cfRule>
  </conditionalFormatting>
  <conditionalFormatting sqref="I274">
    <cfRule type="containsText" dxfId="308" priority="308" operator="containsText" text="/!\">
      <formula>NOT(ISERROR(SEARCH("/!\",I274)))</formula>
    </cfRule>
  </conditionalFormatting>
  <conditionalFormatting sqref="I278">
    <cfRule type="containsText" dxfId="306" priority="306" operator="containsText" text="/!\">
      <formula>NOT(ISERROR(SEARCH("/!\",I278)))</formula>
    </cfRule>
  </conditionalFormatting>
  <conditionalFormatting sqref="I280">
    <cfRule type="containsText" dxfId="304" priority="304" operator="containsText" text="/!\">
      <formula>NOT(ISERROR(SEARCH("/!\",I280)))</formula>
    </cfRule>
  </conditionalFormatting>
  <conditionalFormatting sqref="I282">
    <cfRule type="containsText" dxfId="302" priority="302" operator="containsText" text="/!\">
      <formula>NOT(ISERROR(SEARCH("/!\",I282)))</formula>
    </cfRule>
  </conditionalFormatting>
  <conditionalFormatting sqref="I283">
    <cfRule type="containsText" dxfId="300" priority="300" operator="containsText" text="/!\">
      <formula>NOT(ISERROR(SEARCH("/!\",I283)))</formula>
    </cfRule>
  </conditionalFormatting>
  <conditionalFormatting sqref="I284">
    <cfRule type="containsText" dxfId="298" priority="298" operator="containsText" text="/!\">
      <formula>NOT(ISERROR(SEARCH("/!\",I284)))</formula>
    </cfRule>
  </conditionalFormatting>
  <conditionalFormatting sqref="I285">
    <cfRule type="containsText" dxfId="296" priority="296" operator="containsText" text="/!\">
      <formula>NOT(ISERROR(SEARCH("/!\",I285)))</formula>
    </cfRule>
  </conditionalFormatting>
  <conditionalFormatting sqref="I286">
    <cfRule type="containsText" dxfId="294" priority="294" operator="containsText" text="/!\">
      <formula>NOT(ISERROR(SEARCH("/!\",I286)))</formula>
    </cfRule>
  </conditionalFormatting>
  <conditionalFormatting sqref="I290">
    <cfRule type="containsText" dxfId="292" priority="292" operator="containsText" text="/!\">
      <formula>NOT(ISERROR(SEARCH("/!\",I290)))</formula>
    </cfRule>
  </conditionalFormatting>
  <conditionalFormatting sqref="I292">
    <cfRule type="containsText" dxfId="290" priority="290" operator="containsText" text="/!\">
      <formula>NOT(ISERROR(SEARCH("/!\",I292)))</formula>
    </cfRule>
  </conditionalFormatting>
  <conditionalFormatting sqref="I294">
    <cfRule type="containsText" dxfId="288" priority="288" operator="containsText" text="/!\">
      <formula>NOT(ISERROR(SEARCH("/!\",I294)))</formula>
    </cfRule>
  </conditionalFormatting>
  <conditionalFormatting sqref="I295">
    <cfRule type="containsText" dxfId="286" priority="286" operator="containsText" text="/!\">
      <formula>NOT(ISERROR(SEARCH("/!\",I295)))</formula>
    </cfRule>
  </conditionalFormatting>
  <conditionalFormatting sqref="I296">
    <cfRule type="containsText" dxfId="284" priority="284" operator="containsText" text="/!\">
      <formula>NOT(ISERROR(SEARCH("/!\",I296)))</formula>
    </cfRule>
  </conditionalFormatting>
  <conditionalFormatting sqref="I297">
    <cfRule type="containsText" dxfId="282" priority="282" operator="containsText" text="/!\">
      <formula>NOT(ISERROR(SEARCH("/!\",I297)))</formula>
    </cfRule>
  </conditionalFormatting>
  <conditionalFormatting sqref="I298">
    <cfRule type="containsText" dxfId="280" priority="280" operator="containsText" text="/!\">
      <formula>NOT(ISERROR(SEARCH("/!\",I298)))</formula>
    </cfRule>
  </conditionalFormatting>
  <conditionalFormatting sqref="I302">
    <cfRule type="containsText" dxfId="278" priority="278" operator="containsText" text="/!\">
      <formula>NOT(ISERROR(SEARCH("/!\",I302)))</formula>
    </cfRule>
  </conditionalFormatting>
  <conditionalFormatting sqref="I304">
    <cfRule type="containsText" dxfId="276" priority="276" operator="containsText" text="/!\">
      <formula>NOT(ISERROR(SEARCH("/!\",I304)))</formula>
    </cfRule>
  </conditionalFormatting>
  <conditionalFormatting sqref="I306">
    <cfRule type="containsText" dxfId="274" priority="274" operator="containsText" text="/!\">
      <formula>NOT(ISERROR(SEARCH("/!\",I306)))</formula>
    </cfRule>
  </conditionalFormatting>
  <conditionalFormatting sqref="I307">
    <cfRule type="containsText" dxfId="272" priority="272" operator="containsText" text="/!\">
      <formula>NOT(ISERROR(SEARCH("/!\",I307)))</formula>
    </cfRule>
  </conditionalFormatting>
  <conditionalFormatting sqref="I308">
    <cfRule type="containsText" dxfId="270" priority="270" operator="containsText" text="/!\">
      <formula>NOT(ISERROR(SEARCH("/!\",I308)))</formula>
    </cfRule>
  </conditionalFormatting>
  <conditionalFormatting sqref="I309">
    <cfRule type="containsText" dxfId="268" priority="268" operator="containsText" text="/!\">
      <formula>NOT(ISERROR(SEARCH("/!\",I309)))</formula>
    </cfRule>
  </conditionalFormatting>
  <conditionalFormatting sqref="I310">
    <cfRule type="containsText" dxfId="266" priority="266" operator="containsText" text="/!\">
      <formula>NOT(ISERROR(SEARCH("/!\",I310)))</formula>
    </cfRule>
  </conditionalFormatting>
  <conditionalFormatting sqref="I314">
    <cfRule type="containsText" dxfId="264" priority="264" operator="containsText" text="/!\">
      <formula>NOT(ISERROR(SEARCH("/!\",I314)))</formula>
    </cfRule>
  </conditionalFormatting>
  <conditionalFormatting sqref="I316">
    <cfRule type="containsText" dxfId="262" priority="262" operator="containsText" text="/!\">
      <formula>NOT(ISERROR(SEARCH("/!\",I316)))</formula>
    </cfRule>
  </conditionalFormatting>
  <conditionalFormatting sqref="I318">
    <cfRule type="containsText" dxfId="260" priority="260" operator="containsText" text="/!\">
      <formula>NOT(ISERROR(SEARCH("/!\",I318)))</formula>
    </cfRule>
  </conditionalFormatting>
  <conditionalFormatting sqref="I319">
    <cfRule type="containsText" dxfId="258" priority="258" operator="containsText" text="/!\">
      <formula>NOT(ISERROR(SEARCH("/!\",I319)))</formula>
    </cfRule>
  </conditionalFormatting>
  <conditionalFormatting sqref="I320">
    <cfRule type="containsText" dxfId="256" priority="256" operator="containsText" text="/!\">
      <formula>NOT(ISERROR(SEARCH("/!\",I320)))</formula>
    </cfRule>
  </conditionalFormatting>
  <conditionalFormatting sqref="I321">
    <cfRule type="containsText" dxfId="254" priority="254" operator="containsText" text="/!\">
      <formula>NOT(ISERROR(SEARCH("/!\",I321)))</formula>
    </cfRule>
  </conditionalFormatting>
  <conditionalFormatting sqref="I322">
    <cfRule type="containsText" dxfId="252" priority="252" operator="containsText" text="/!\">
      <formula>NOT(ISERROR(SEARCH("/!\",I322)))</formula>
    </cfRule>
  </conditionalFormatting>
  <conditionalFormatting sqref="I326">
    <cfRule type="containsText" dxfId="250" priority="250" operator="containsText" text="/!\">
      <formula>NOT(ISERROR(SEARCH("/!\",I326)))</formula>
    </cfRule>
  </conditionalFormatting>
  <conditionalFormatting sqref="I328">
    <cfRule type="containsText" dxfId="248" priority="248" operator="containsText" text="/!\">
      <formula>NOT(ISERROR(SEARCH("/!\",I328)))</formula>
    </cfRule>
  </conditionalFormatting>
  <conditionalFormatting sqref="I330">
    <cfRule type="containsText" dxfId="246" priority="246" operator="containsText" text="/!\">
      <formula>NOT(ISERROR(SEARCH("/!\",I330)))</formula>
    </cfRule>
  </conditionalFormatting>
  <conditionalFormatting sqref="I331">
    <cfRule type="containsText" dxfId="244" priority="244" operator="containsText" text="/!\">
      <formula>NOT(ISERROR(SEARCH("/!\",I331)))</formula>
    </cfRule>
  </conditionalFormatting>
  <conditionalFormatting sqref="I332">
    <cfRule type="containsText" dxfId="242" priority="242" operator="containsText" text="/!\">
      <formula>NOT(ISERROR(SEARCH("/!\",I332)))</formula>
    </cfRule>
  </conditionalFormatting>
  <conditionalFormatting sqref="I333">
    <cfRule type="containsText" dxfId="240" priority="240" operator="containsText" text="/!\">
      <formula>NOT(ISERROR(SEARCH("/!\",I333)))</formula>
    </cfRule>
  </conditionalFormatting>
  <conditionalFormatting sqref="I334">
    <cfRule type="containsText" dxfId="238" priority="238" operator="containsText" text="/!\">
      <formula>NOT(ISERROR(SEARCH("/!\",I334)))</formula>
    </cfRule>
  </conditionalFormatting>
  <conditionalFormatting sqref="I338">
    <cfRule type="containsText" dxfId="236" priority="236" operator="containsText" text="/!\">
      <formula>NOT(ISERROR(SEARCH("/!\",I338)))</formula>
    </cfRule>
  </conditionalFormatting>
  <conditionalFormatting sqref="I340">
    <cfRule type="containsText" dxfId="234" priority="234" operator="containsText" text="/!\">
      <formula>NOT(ISERROR(SEARCH("/!\",I340)))</formula>
    </cfRule>
  </conditionalFormatting>
  <conditionalFormatting sqref="I342">
    <cfRule type="containsText" dxfId="232" priority="232" operator="containsText" text="/!\">
      <formula>NOT(ISERROR(SEARCH("/!\",I342)))</formula>
    </cfRule>
  </conditionalFormatting>
  <conditionalFormatting sqref="I343">
    <cfRule type="containsText" dxfId="230" priority="230" operator="containsText" text="/!\">
      <formula>NOT(ISERROR(SEARCH("/!\",I343)))</formula>
    </cfRule>
  </conditionalFormatting>
  <conditionalFormatting sqref="I344">
    <cfRule type="containsText" dxfId="228" priority="228" operator="containsText" text="/!\">
      <formula>NOT(ISERROR(SEARCH("/!\",I344)))</formula>
    </cfRule>
  </conditionalFormatting>
  <conditionalFormatting sqref="I345">
    <cfRule type="containsText" dxfId="226" priority="226" operator="containsText" text="/!\">
      <formula>NOT(ISERROR(SEARCH("/!\",I345)))</formula>
    </cfRule>
  </conditionalFormatting>
  <conditionalFormatting sqref="I346">
    <cfRule type="containsText" dxfId="224" priority="224" operator="containsText" text="/!\">
      <formula>NOT(ISERROR(SEARCH("/!\",I346)))</formula>
    </cfRule>
  </conditionalFormatting>
  <conditionalFormatting sqref="I350">
    <cfRule type="containsText" dxfId="222" priority="222" operator="containsText" text="/!\">
      <formula>NOT(ISERROR(SEARCH("/!\",I350)))</formula>
    </cfRule>
  </conditionalFormatting>
  <conditionalFormatting sqref="I352">
    <cfRule type="containsText" dxfId="220" priority="220" operator="containsText" text="/!\">
      <formula>NOT(ISERROR(SEARCH("/!\",I352)))</formula>
    </cfRule>
  </conditionalFormatting>
  <conditionalFormatting sqref="I354">
    <cfRule type="containsText" dxfId="218" priority="218" operator="containsText" text="/!\">
      <formula>NOT(ISERROR(SEARCH("/!\",I354)))</formula>
    </cfRule>
  </conditionalFormatting>
  <conditionalFormatting sqref="I355">
    <cfRule type="containsText" dxfId="216" priority="216" operator="containsText" text="/!\">
      <formula>NOT(ISERROR(SEARCH("/!\",I355)))</formula>
    </cfRule>
  </conditionalFormatting>
  <conditionalFormatting sqref="I356">
    <cfRule type="containsText" dxfId="214" priority="214" operator="containsText" text="/!\">
      <formula>NOT(ISERROR(SEARCH("/!\",I356)))</formula>
    </cfRule>
  </conditionalFormatting>
  <conditionalFormatting sqref="I357">
    <cfRule type="containsText" dxfId="212" priority="212" operator="containsText" text="/!\">
      <formula>NOT(ISERROR(SEARCH("/!\",I357)))</formula>
    </cfRule>
  </conditionalFormatting>
  <conditionalFormatting sqref="I358">
    <cfRule type="containsText" dxfId="210" priority="210" operator="containsText" text="/!\">
      <formula>NOT(ISERROR(SEARCH("/!\",I358)))</formula>
    </cfRule>
  </conditionalFormatting>
  <conditionalFormatting sqref="I362">
    <cfRule type="containsText" dxfId="208" priority="208" operator="containsText" text="/!\">
      <formula>NOT(ISERROR(SEARCH("/!\",I362)))</formula>
    </cfRule>
  </conditionalFormatting>
  <conditionalFormatting sqref="I364">
    <cfRule type="containsText" dxfId="206" priority="206" operator="containsText" text="/!\">
      <formula>NOT(ISERROR(SEARCH("/!\",I364)))</formula>
    </cfRule>
  </conditionalFormatting>
  <conditionalFormatting sqref="I366">
    <cfRule type="containsText" dxfId="204" priority="204" operator="containsText" text="/!\">
      <formula>NOT(ISERROR(SEARCH("/!\",I366)))</formula>
    </cfRule>
  </conditionalFormatting>
  <conditionalFormatting sqref="I367">
    <cfRule type="containsText" dxfId="202" priority="202" operator="containsText" text="/!\">
      <formula>NOT(ISERROR(SEARCH("/!\",I367)))</formula>
    </cfRule>
  </conditionalFormatting>
  <conditionalFormatting sqref="I368">
    <cfRule type="containsText" dxfId="200" priority="200" operator="containsText" text="/!\">
      <formula>NOT(ISERROR(SEARCH("/!\",I368)))</formula>
    </cfRule>
  </conditionalFormatting>
  <conditionalFormatting sqref="G368">
    <cfRule type="expression" dxfId="199" priority="199">
      <formula>$E$2&lt;$C$2</formula>
    </cfRule>
  </conditionalFormatting>
  <conditionalFormatting sqref="I369">
    <cfRule type="containsText" dxfId="197" priority="197" operator="containsText" text="/!\">
      <formula>NOT(ISERROR(SEARCH("/!\",I369)))</formula>
    </cfRule>
  </conditionalFormatting>
  <conditionalFormatting sqref="I370">
    <cfRule type="containsText" dxfId="195" priority="195" operator="containsText" text="/!\">
      <formula>NOT(ISERROR(SEARCH("/!\",I370)))</formula>
    </cfRule>
  </conditionalFormatting>
  <conditionalFormatting sqref="I374">
    <cfRule type="containsText" dxfId="193" priority="193" operator="containsText" text="/!\">
      <formula>NOT(ISERROR(SEARCH("/!\",I374)))</formula>
    </cfRule>
  </conditionalFormatting>
  <conditionalFormatting sqref="I376">
    <cfRule type="containsText" dxfId="191" priority="191" operator="containsText" text="/!\">
      <formula>NOT(ISERROR(SEARCH("/!\",I376)))</formula>
    </cfRule>
  </conditionalFormatting>
  <conditionalFormatting sqref="I378">
    <cfRule type="containsText" dxfId="189" priority="189" operator="containsText" text="/!\">
      <formula>NOT(ISERROR(SEARCH("/!\",I378)))</formula>
    </cfRule>
  </conditionalFormatting>
  <conditionalFormatting sqref="I379">
    <cfRule type="containsText" dxfId="187" priority="187" operator="containsText" text="/!\">
      <formula>NOT(ISERROR(SEARCH("/!\",I379)))</formula>
    </cfRule>
  </conditionalFormatting>
  <conditionalFormatting sqref="I380">
    <cfRule type="containsText" dxfId="185" priority="185" operator="containsText" text="/!\">
      <formula>NOT(ISERROR(SEARCH("/!\",I380)))</formula>
    </cfRule>
  </conditionalFormatting>
  <conditionalFormatting sqref="I381">
    <cfRule type="containsText" dxfId="183" priority="183" operator="containsText" text="/!\">
      <formula>NOT(ISERROR(SEARCH("/!\",I381)))</formula>
    </cfRule>
  </conditionalFormatting>
  <conditionalFormatting sqref="I382">
    <cfRule type="containsText" dxfId="181" priority="181" operator="containsText" text="/!\">
      <formula>NOT(ISERROR(SEARCH("/!\",I382)))</formula>
    </cfRule>
  </conditionalFormatting>
  <conditionalFormatting sqref="I389">
    <cfRule type="containsText" dxfId="179" priority="179" operator="containsText" text="/!\">
      <formula>NOT(ISERROR(SEARCH("/!\",I389)))</formula>
    </cfRule>
  </conditionalFormatting>
  <conditionalFormatting sqref="I391">
    <cfRule type="containsText" dxfId="177" priority="177" operator="containsText" text="/!\">
      <formula>NOT(ISERROR(SEARCH("/!\",I391)))</formula>
    </cfRule>
  </conditionalFormatting>
  <conditionalFormatting sqref="I393">
    <cfRule type="containsText" dxfId="175" priority="175" operator="containsText" text="/!\">
      <formula>NOT(ISERROR(SEARCH("/!\",I393)))</formula>
    </cfRule>
  </conditionalFormatting>
  <conditionalFormatting sqref="I394">
    <cfRule type="containsText" dxfId="173" priority="173" operator="containsText" text="/!\">
      <formula>NOT(ISERROR(SEARCH("/!\",I394)))</formula>
    </cfRule>
  </conditionalFormatting>
  <conditionalFormatting sqref="I395">
    <cfRule type="containsText" dxfId="171" priority="171" operator="containsText" text="/!\">
      <formula>NOT(ISERROR(SEARCH("/!\",I395)))</formula>
    </cfRule>
  </conditionalFormatting>
  <conditionalFormatting sqref="I396">
    <cfRule type="containsText" dxfId="169" priority="169" operator="containsText" text="/!\">
      <formula>NOT(ISERROR(SEARCH("/!\",I396)))</formula>
    </cfRule>
  </conditionalFormatting>
  <conditionalFormatting sqref="I397">
    <cfRule type="containsText" dxfId="167" priority="167" operator="containsText" text="/!\">
      <formula>NOT(ISERROR(SEARCH("/!\",I397)))</formula>
    </cfRule>
  </conditionalFormatting>
  <conditionalFormatting sqref="I401">
    <cfRule type="containsText" dxfId="165" priority="165" operator="containsText" text="/!\">
      <formula>NOT(ISERROR(SEARCH("/!\",I401)))</formula>
    </cfRule>
  </conditionalFormatting>
  <conditionalFormatting sqref="I403">
    <cfRule type="containsText" dxfId="163" priority="163" operator="containsText" text="/!\">
      <formula>NOT(ISERROR(SEARCH("/!\",I403)))</formula>
    </cfRule>
  </conditionalFormatting>
  <conditionalFormatting sqref="I405">
    <cfRule type="containsText" dxfId="161" priority="161" operator="containsText" text="/!\">
      <formula>NOT(ISERROR(SEARCH("/!\",I405)))</formula>
    </cfRule>
  </conditionalFormatting>
  <conditionalFormatting sqref="I406">
    <cfRule type="containsText" dxfId="159" priority="159" operator="containsText" text="/!\">
      <formula>NOT(ISERROR(SEARCH("/!\",I406)))</formula>
    </cfRule>
  </conditionalFormatting>
  <conditionalFormatting sqref="I407">
    <cfRule type="containsText" dxfId="157" priority="157" operator="containsText" text="/!\">
      <formula>NOT(ISERROR(SEARCH("/!\",I407)))</formula>
    </cfRule>
  </conditionalFormatting>
  <conditionalFormatting sqref="I408">
    <cfRule type="containsText" dxfId="155" priority="155" operator="containsText" text="/!\">
      <formula>NOT(ISERROR(SEARCH("/!\",I408)))</formula>
    </cfRule>
  </conditionalFormatting>
  <conditionalFormatting sqref="I409">
    <cfRule type="containsText" dxfId="153" priority="153" operator="containsText" text="/!\">
      <formula>NOT(ISERROR(SEARCH("/!\",I409)))</formula>
    </cfRule>
  </conditionalFormatting>
  <conditionalFormatting sqref="I413">
    <cfRule type="containsText" dxfId="151" priority="151" operator="containsText" text="/!\">
      <formula>NOT(ISERROR(SEARCH("/!\",I413)))</formula>
    </cfRule>
  </conditionalFormatting>
  <conditionalFormatting sqref="I415">
    <cfRule type="containsText" dxfId="149" priority="149" operator="containsText" text="/!\">
      <formula>NOT(ISERROR(SEARCH("/!\",I415)))</formula>
    </cfRule>
  </conditionalFormatting>
  <conditionalFormatting sqref="I417">
    <cfRule type="containsText" dxfId="147" priority="147" operator="containsText" text="/!\">
      <formula>NOT(ISERROR(SEARCH("/!\",I417)))</formula>
    </cfRule>
  </conditionalFormatting>
  <conditionalFormatting sqref="I418">
    <cfRule type="containsText" dxfId="145" priority="145" operator="containsText" text="/!\">
      <formula>NOT(ISERROR(SEARCH("/!\",I418)))</formula>
    </cfRule>
  </conditionalFormatting>
  <conditionalFormatting sqref="I419">
    <cfRule type="containsText" dxfId="143" priority="143" operator="containsText" text="/!\">
      <formula>NOT(ISERROR(SEARCH("/!\",I419)))</formula>
    </cfRule>
  </conditionalFormatting>
  <conditionalFormatting sqref="I420">
    <cfRule type="containsText" dxfId="141" priority="141" operator="containsText" text="/!\">
      <formula>NOT(ISERROR(SEARCH("/!\",I420)))</formula>
    </cfRule>
  </conditionalFormatting>
  <conditionalFormatting sqref="I421">
    <cfRule type="containsText" dxfId="139" priority="139" operator="containsText" text="/!\">
      <formula>NOT(ISERROR(SEARCH("/!\",I421)))</formula>
    </cfRule>
  </conditionalFormatting>
  <conditionalFormatting sqref="I425">
    <cfRule type="containsText" dxfId="137" priority="137" operator="containsText" text="/!\">
      <formula>NOT(ISERROR(SEARCH("/!\",I425)))</formula>
    </cfRule>
  </conditionalFormatting>
  <conditionalFormatting sqref="I427">
    <cfRule type="containsText" dxfId="135" priority="135" operator="containsText" text="/!\">
      <formula>NOT(ISERROR(SEARCH("/!\",I427)))</formula>
    </cfRule>
  </conditionalFormatting>
  <conditionalFormatting sqref="I429">
    <cfRule type="containsText" dxfId="133" priority="133" operator="containsText" text="/!\">
      <formula>NOT(ISERROR(SEARCH("/!\",I429)))</formula>
    </cfRule>
  </conditionalFormatting>
  <conditionalFormatting sqref="I430">
    <cfRule type="containsText" dxfId="131" priority="131" operator="containsText" text="/!\">
      <formula>NOT(ISERROR(SEARCH("/!\",I430)))</formula>
    </cfRule>
  </conditionalFormatting>
  <conditionalFormatting sqref="I431">
    <cfRule type="containsText" dxfId="129" priority="129" operator="containsText" text="/!\">
      <formula>NOT(ISERROR(SEARCH("/!\",I431)))</formula>
    </cfRule>
  </conditionalFormatting>
  <conditionalFormatting sqref="I432">
    <cfRule type="containsText" dxfId="127" priority="127" operator="containsText" text="/!\">
      <formula>NOT(ISERROR(SEARCH("/!\",I432)))</formula>
    </cfRule>
  </conditionalFormatting>
  <conditionalFormatting sqref="I433">
    <cfRule type="containsText" dxfId="125" priority="125" operator="containsText" text="/!\">
      <formula>NOT(ISERROR(SEARCH("/!\",I433)))</formula>
    </cfRule>
  </conditionalFormatting>
  <conditionalFormatting sqref="I437">
    <cfRule type="containsText" dxfId="123" priority="123" operator="containsText" text="/!\">
      <formula>NOT(ISERROR(SEARCH("/!\",I437)))</formula>
    </cfRule>
  </conditionalFormatting>
  <conditionalFormatting sqref="I439">
    <cfRule type="containsText" dxfId="121" priority="121" operator="containsText" text="/!\">
      <formula>NOT(ISERROR(SEARCH("/!\",I439)))</formula>
    </cfRule>
  </conditionalFormatting>
  <conditionalFormatting sqref="I441">
    <cfRule type="containsText" dxfId="119" priority="119" operator="containsText" text="/!\">
      <formula>NOT(ISERROR(SEARCH("/!\",I441)))</formula>
    </cfRule>
  </conditionalFormatting>
  <conditionalFormatting sqref="I442">
    <cfRule type="containsText" dxfId="117" priority="117" operator="containsText" text="/!\">
      <formula>NOT(ISERROR(SEARCH("/!\",I442)))</formula>
    </cfRule>
  </conditionalFormatting>
  <conditionalFormatting sqref="I443">
    <cfRule type="containsText" dxfId="115" priority="115" operator="containsText" text="/!\">
      <formula>NOT(ISERROR(SEARCH("/!\",I443)))</formula>
    </cfRule>
  </conditionalFormatting>
  <conditionalFormatting sqref="I444">
    <cfRule type="containsText" dxfId="113" priority="113" operator="containsText" text="/!\">
      <formula>NOT(ISERROR(SEARCH("/!\",I444)))</formula>
    </cfRule>
  </conditionalFormatting>
  <conditionalFormatting sqref="I448">
    <cfRule type="containsText" dxfId="111" priority="111" operator="containsText" text="/!\">
      <formula>NOT(ISERROR(SEARCH("/!\",I448)))</formula>
    </cfRule>
  </conditionalFormatting>
  <conditionalFormatting sqref="I450">
    <cfRule type="containsText" dxfId="109" priority="109" operator="containsText" text="/!\">
      <formula>NOT(ISERROR(SEARCH("/!\",I450)))</formula>
    </cfRule>
  </conditionalFormatting>
  <conditionalFormatting sqref="I452">
    <cfRule type="containsText" dxfId="107" priority="107" operator="containsText" text="/!\">
      <formula>NOT(ISERROR(SEARCH("/!\",I452)))</formula>
    </cfRule>
  </conditionalFormatting>
  <conditionalFormatting sqref="I453">
    <cfRule type="containsText" dxfId="105" priority="105" operator="containsText" text="/!\">
      <formula>NOT(ISERROR(SEARCH("/!\",I453)))</formula>
    </cfRule>
  </conditionalFormatting>
  <conditionalFormatting sqref="I454">
    <cfRule type="containsText" dxfId="103" priority="103" operator="containsText" text="/!\">
      <formula>NOT(ISERROR(SEARCH("/!\",I454)))</formula>
    </cfRule>
  </conditionalFormatting>
  <conditionalFormatting sqref="I455">
    <cfRule type="containsText" dxfId="101" priority="101" operator="containsText" text="/!\">
      <formula>NOT(ISERROR(SEARCH("/!\",I455)))</formula>
    </cfRule>
  </conditionalFormatting>
  <conditionalFormatting sqref="I456">
    <cfRule type="containsText" dxfId="99" priority="99" operator="containsText" text="/!\">
      <formula>NOT(ISERROR(SEARCH("/!\",I456)))</formula>
    </cfRule>
  </conditionalFormatting>
  <conditionalFormatting sqref="I460">
    <cfRule type="containsText" dxfId="97" priority="97" operator="containsText" text="/!\">
      <formula>NOT(ISERROR(SEARCH("/!\",I460)))</formula>
    </cfRule>
  </conditionalFormatting>
  <conditionalFormatting sqref="I462">
    <cfRule type="containsText" dxfId="95" priority="95" operator="containsText" text="/!\">
      <formula>NOT(ISERROR(SEARCH("/!\",I462)))</formula>
    </cfRule>
  </conditionalFormatting>
  <conditionalFormatting sqref="I464">
    <cfRule type="containsText" dxfId="93" priority="93" operator="containsText" text="/!\">
      <formula>NOT(ISERROR(SEARCH("/!\",I464)))</formula>
    </cfRule>
  </conditionalFormatting>
  <conditionalFormatting sqref="I465">
    <cfRule type="containsText" dxfId="91" priority="91" operator="containsText" text="/!\">
      <formula>NOT(ISERROR(SEARCH("/!\",I465)))</formula>
    </cfRule>
  </conditionalFormatting>
  <conditionalFormatting sqref="I466">
    <cfRule type="containsText" dxfId="89" priority="89" operator="containsText" text="/!\">
      <formula>NOT(ISERROR(SEARCH("/!\",I466)))</formula>
    </cfRule>
  </conditionalFormatting>
  <conditionalFormatting sqref="I467">
    <cfRule type="containsText" dxfId="87" priority="87" operator="containsText" text="/!\">
      <formula>NOT(ISERROR(SEARCH("/!\",I467)))</formula>
    </cfRule>
  </conditionalFormatting>
  <conditionalFormatting sqref="I468">
    <cfRule type="containsText" dxfId="85" priority="85" operator="containsText" text="/!\">
      <formula>NOT(ISERROR(SEARCH("/!\",I468)))</formula>
    </cfRule>
  </conditionalFormatting>
  <conditionalFormatting sqref="I472">
    <cfRule type="containsText" dxfId="83" priority="83" operator="containsText" text="/!\">
      <formula>NOT(ISERROR(SEARCH("/!\",I472)))</formula>
    </cfRule>
  </conditionalFormatting>
  <conditionalFormatting sqref="I474">
    <cfRule type="containsText" dxfId="81" priority="81" operator="containsText" text="/!\">
      <formula>NOT(ISERROR(SEARCH("/!\",I474)))</formula>
    </cfRule>
  </conditionalFormatting>
  <conditionalFormatting sqref="I476">
    <cfRule type="containsText" dxfId="79" priority="79" operator="containsText" text="/!\">
      <formula>NOT(ISERROR(SEARCH("/!\",I476)))</formula>
    </cfRule>
  </conditionalFormatting>
  <conditionalFormatting sqref="I477">
    <cfRule type="containsText" dxfId="77" priority="77" operator="containsText" text="/!\">
      <formula>NOT(ISERROR(SEARCH("/!\",I477)))</formula>
    </cfRule>
  </conditionalFormatting>
  <conditionalFormatting sqref="I478">
    <cfRule type="containsText" dxfId="75" priority="75" operator="containsText" text="/!\">
      <formula>NOT(ISERROR(SEARCH("/!\",I478)))</formula>
    </cfRule>
  </conditionalFormatting>
  <conditionalFormatting sqref="I479">
    <cfRule type="containsText" dxfId="73" priority="73" operator="containsText" text="/!\">
      <formula>NOT(ISERROR(SEARCH("/!\",I479)))</formula>
    </cfRule>
  </conditionalFormatting>
  <conditionalFormatting sqref="I480">
    <cfRule type="containsText" dxfId="71" priority="71" operator="containsText" text="/!\">
      <formula>NOT(ISERROR(SEARCH("/!\",I480)))</formula>
    </cfRule>
  </conditionalFormatting>
  <conditionalFormatting sqref="I484">
    <cfRule type="containsText" dxfId="69" priority="69" operator="containsText" text="/!\">
      <formula>NOT(ISERROR(SEARCH("/!\",I484)))</formula>
    </cfRule>
  </conditionalFormatting>
  <conditionalFormatting sqref="I486">
    <cfRule type="containsText" dxfId="67" priority="67" operator="containsText" text="/!\">
      <formula>NOT(ISERROR(SEARCH("/!\",I486)))</formula>
    </cfRule>
  </conditionalFormatting>
  <conditionalFormatting sqref="I488">
    <cfRule type="containsText" dxfId="65" priority="65" operator="containsText" text="/!\">
      <formula>NOT(ISERROR(SEARCH("/!\",I488)))</formula>
    </cfRule>
  </conditionalFormatting>
  <conditionalFormatting sqref="I489">
    <cfRule type="containsText" dxfId="63" priority="63" operator="containsText" text="/!\">
      <formula>NOT(ISERROR(SEARCH("/!\",I489)))</formula>
    </cfRule>
  </conditionalFormatting>
  <conditionalFormatting sqref="I490">
    <cfRule type="containsText" dxfId="61" priority="61" operator="containsText" text="/!\">
      <formula>NOT(ISERROR(SEARCH("/!\",I490)))</formula>
    </cfRule>
  </conditionalFormatting>
  <conditionalFormatting sqref="I491">
    <cfRule type="containsText" dxfId="59" priority="59" operator="containsText" text="/!\">
      <formula>NOT(ISERROR(SEARCH("/!\",I491)))</formula>
    </cfRule>
  </conditionalFormatting>
  <conditionalFormatting sqref="I492">
    <cfRule type="containsText" dxfId="57" priority="57" operator="containsText" text="/!\">
      <formula>NOT(ISERROR(SEARCH("/!\",I492)))</formula>
    </cfRule>
  </conditionalFormatting>
  <conditionalFormatting sqref="I496">
    <cfRule type="containsText" dxfId="55" priority="55" operator="containsText" text="/!\">
      <formula>NOT(ISERROR(SEARCH("/!\",I496)))</formula>
    </cfRule>
  </conditionalFormatting>
  <conditionalFormatting sqref="I498">
    <cfRule type="containsText" dxfId="53" priority="53" operator="containsText" text="/!\">
      <formula>NOT(ISERROR(SEARCH("/!\",I498)))</formula>
    </cfRule>
  </conditionalFormatting>
  <conditionalFormatting sqref="I500">
    <cfRule type="containsText" dxfId="51" priority="51" operator="containsText" text="/!\">
      <formula>NOT(ISERROR(SEARCH("/!\",I500)))</formula>
    </cfRule>
  </conditionalFormatting>
  <conditionalFormatting sqref="I501">
    <cfRule type="containsText" dxfId="49" priority="49" operator="containsText" text="/!\">
      <formula>NOT(ISERROR(SEARCH("/!\",I501)))</formula>
    </cfRule>
  </conditionalFormatting>
  <conditionalFormatting sqref="I502">
    <cfRule type="containsText" dxfId="47" priority="47" operator="containsText" text="/!\">
      <formula>NOT(ISERROR(SEARCH("/!\",I502)))</formula>
    </cfRule>
  </conditionalFormatting>
  <conditionalFormatting sqref="I503">
    <cfRule type="containsText" dxfId="45" priority="45" operator="containsText" text="/!\">
      <formula>NOT(ISERROR(SEARCH("/!\",I503)))</formula>
    </cfRule>
  </conditionalFormatting>
  <conditionalFormatting sqref="I507">
    <cfRule type="containsText" dxfId="43" priority="43" operator="containsText" text="/!\">
      <formula>NOT(ISERROR(SEARCH("/!\",I507)))</formula>
    </cfRule>
  </conditionalFormatting>
  <conditionalFormatting sqref="I509">
    <cfRule type="containsText" dxfId="41" priority="41" operator="containsText" text="/!\">
      <formula>NOT(ISERROR(SEARCH("/!\",I509)))</formula>
    </cfRule>
  </conditionalFormatting>
  <conditionalFormatting sqref="I511">
    <cfRule type="containsText" dxfId="39" priority="39" operator="containsText" text="/!\">
      <formula>NOT(ISERROR(SEARCH("/!\",I511)))</formula>
    </cfRule>
  </conditionalFormatting>
  <conditionalFormatting sqref="I512">
    <cfRule type="containsText" dxfId="37" priority="37" operator="containsText" text="/!\">
      <formula>NOT(ISERROR(SEARCH("/!\",I512)))</formula>
    </cfRule>
  </conditionalFormatting>
  <conditionalFormatting sqref="I513">
    <cfRule type="containsText" dxfId="35" priority="35" operator="containsText" text="/!\">
      <formula>NOT(ISERROR(SEARCH("/!\",I513)))</formula>
    </cfRule>
  </conditionalFormatting>
  <conditionalFormatting sqref="I514">
    <cfRule type="containsText" dxfId="33" priority="33" operator="containsText" text="/!\">
      <formula>NOT(ISERROR(SEARCH("/!\",I514)))</formula>
    </cfRule>
  </conditionalFormatting>
  <conditionalFormatting sqref="I515">
    <cfRule type="containsText" dxfId="31" priority="31" operator="containsText" text="/!\">
      <formula>NOT(ISERROR(SEARCH("/!\",I515)))</formula>
    </cfRule>
  </conditionalFormatting>
  <conditionalFormatting sqref="I519">
    <cfRule type="containsText" dxfId="29" priority="29" operator="containsText" text="/!\">
      <formula>NOT(ISERROR(SEARCH("/!\",I519)))</formula>
    </cfRule>
  </conditionalFormatting>
  <conditionalFormatting sqref="I521">
    <cfRule type="containsText" dxfId="27" priority="27" operator="containsText" text="/!\">
      <formula>NOT(ISERROR(SEARCH("/!\",I521)))</formula>
    </cfRule>
  </conditionalFormatting>
  <conditionalFormatting sqref="I523">
    <cfRule type="containsText" dxfId="25" priority="25" operator="containsText" text="/!\">
      <formula>NOT(ISERROR(SEARCH("/!\",I523)))</formula>
    </cfRule>
  </conditionalFormatting>
  <conditionalFormatting sqref="I524">
    <cfRule type="containsText" dxfId="23" priority="23" operator="containsText" text="/!\">
      <formula>NOT(ISERROR(SEARCH("/!\",I524)))</formula>
    </cfRule>
  </conditionalFormatting>
  <conditionalFormatting sqref="I525">
    <cfRule type="containsText" dxfId="21" priority="21" operator="containsText" text="/!\">
      <formula>NOT(ISERROR(SEARCH("/!\",I525)))</formula>
    </cfRule>
  </conditionalFormatting>
  <conditionalFormatting sqref="I526">
    <cfRule type="containsText" dxfId="19" priority="19" operator="containsText" text="/!\">
      <formula>NOT(ISERROR(SEARCH("/!\",I526)))</formula>
    </cfRule>
  </conditionalFormatting>
  <conditionalFormatting sqref="I527">
    <cfRule type="containsText" dxfId="17" priority="17" operator="containsText" text="/!\">
      <formula>NOT(ISERROR(SEARCH("/!\",I527)))</formula>
    </cfRule>
  </conditionalFormatting>
  <conditionalFormatting sqref="I531">
    <cfRule type="containsText" dxfId="15" priority="15" operator="containsText" text="/!\">
      <formula>NOT(ISERROR(SEARCH("/!\",I531)))</formula>
    </cfRule>
  </conditionalFormatting>
  <conditionalFormatting sqref="I533">
    <cfRule type="containsText" dxfId="13" priority="13" operator="containsText" text="/!\">
      <formula>NOT(ISERROR(SEARCH("/!\",I533)))</formula>
    </cfRule>
  </conditionalFormatting>
  <conditionalFormatting sqref="I535">
    <cfRule type="containsText" dxfId="11" priority="11" operator="containsText" text="/!\">
      <formula>NOT(ISERROR(SEARCH("/!\",I535)))</formula>
    </cfRule>
  </conditionalFormatting>
  <conditionalFormatting sqref="I536">
    <cfRule type="containsText" dxfId="9" priority="9" operator="containsText" text="/!\">
      <formula>NOT(ISERROR(SEARCH("/!\",I536)))</formula>
    </cfRule>
  </conditionalFormatting>
  <conditionalFormatting sqref="I537">
    <cfRule type="containsText" dxfId="7" priority="7" operator="containsText" text="/!\">
      <formula>NOT(ISERROR(SEARCH("/!\",I537)))</formula>
    </cfRule>
  </conditionalFormatting>
  <conditionalFormatting sqref="I538">
    <cfRule type="containsText" dxfId="5" priority="5" operator="containsText" text="/!\">
      <formula>NOT(ISERROR(SEARCH("/!\",I538)))</formula>
    </cfRule>
  </conditionalFormatting>
  <conditionalFormatting sqref="I539">
    <cfRule type="containsText" dxfId="3" priority="3" operator="containsText" text="/!\">
      <formula>NOT(ISERROR(SEARCH("/!\",I539)))</formula>
    </cfRule>
  </conditionalFormatting>
  <conditionalFormatting sqref="I543">
    <cfRule type="containsText" dxfId="1" priority="1" operator="containsText" text="/!\">
      <formula>NOT(ISERROR(SEARCH("/!\",I543)))</formula>
    </cfRule>
  </conditionalFormatting>
  <dataValidations count="10">
    <dataValidation type="list" allowBlank="1" showInputMessage="1" showErrorMessage="1" sqref="B32 B30 B40" xr:uid="{3228861F-11E6-4878-A70B-1ABA3F07CAE1}">
      <formula1>listedate</formula1>
    </dataValidation>
    <dataValidation type="list" allowBlank="1" showInputMessage="1" showErrorMessage="1" sqref="C31 D30 D32" xr:uid="{CB80E752-A2AF-4B6C-B339-9CBB66F8ED86}">
      <formula1>listetech</formula1>
    </dataValidation>
    <dataValidation type="list" allowBlank="1" showInputMessage="1" showErrorMessage="1" sqref="D31 E30 E32" xr:uid="{5D0AD8A7-1D88-47D2-A632-1D7F49821656}">
      <formula1>listesysteme</formula1>
    </dataValidation>
    <dataValidation type="list" allowBlank="1" showInputMessage="1" showErrorMessage="1" sqref="E31 F30 F32" xr:uid="{5778104C-E17D-4669-A9FB-126411A4F145}">
      <formula1>listen°systeme</formula1>
    </dataValidation>
    <dataValidation type="list" allowBlank="1" showInputMessage="1" showErrorMessage="1" sqref="I32 I30 H31 H40:I40" xr:uid="{73F6FA84-5217-4993-9862-7426178C72AB}">
      <formula1>listeouinon</formula1>
    </dataValidation>
    <dataValidation type="list" allowBlank="1" showInputMessage="1" showErrorMessage="1" sqref="I31 J30 J32" xr:uid="{253B6900-AB24-414F-8107-2D252BABB273}">
      <formula1>listesuivis</formula1>
    </dataValidation>
    <dataValidation type="list" allowBlank="1" showInputMessage="1" showErrorMessage="1" sqref="J31 K30 K32" xr:uid="{F46DA9E2-3A97-435C-A086-B3E1A84D478D}">
      <formula1>listetype</formula1>
    </dataValidation>
    <dataValidation type="list" allowBlank="1" showInputMessage="1" showErrorMessage="1" sqref="B31 C32" xr:uid="{61130B3F-3B3F-4D74-B8F2-57F8BD74D7D8}">
      <formula1>listeheure</formula1>
    </dataValidation>
    <dataValidation type="list" allowBlank="1" showInputMessage="1" showErrorMessage="1" sqref="D40" xr:uid="{458197EC-BDF5-47CE-9060-EDB4850070FC}">
      <formula1>listecom</formula1>
    </dataValidation>
    <dataValidation type="list" allowBlank="1" showInputMessage="1" showErrorMessage="1" sqref="C40" xr:uid="{CCCEDB38-B01C-468A-8793-2D855DD7F499}">
      <formula1>tech</formula1>
    </dataValidation>
  </dataValidations>
  <hyperlinks>
    <hyperlink ref="E308" r:id="rId1" display="sav@espera.fr " xr:uid="{BEA90C10-DAA3-4585-9275-17050FF7AE00}"/>
  </hyperlink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31" operator="containsText" id="{A8FDFB82-4BC9-4EA9-8E4B-93365AD7BFC9}">
            <xm:f>NOT(ISERROR(SEARCH("-",I2)))</xm:f>
            <xm:f>"-"</xm:f>
            <x14:dxf>
              <fill>
                <patternFill>
                  <bgColor rgb="FF00B050"/>
                </patternFill>
              </fill>
            </x14:dxf>
          </x14:cfRule>
          <xm:sqref>I2</xm:sqref>
        </x14:conditionalFormatting>
        <x14:conditionalFormatting xmlns:xm="http://schemas.microsoft.com/office/excel/2006/main">
          <x14:cfRule type="containsText" priority="629" operator="containsText" id="{BCDDE95F-DCBF-4EDB-AD01-CEE39E80E69A}">
            <xm:f>NOT(ISERROR(SEARCH("-",I3)))</xm:f>
            <xm:f>"-"</xm:f>
            <x14:dxf>
              <fill>
                <patternFill>
                  <bgColor rgb="FF00B050"/>
                </patternFill>
              </fill>
            </x14:dxf>
          </x14:cfRule>
          <xm:sqref>I3</xm:sqref>
        </x14:conditionalFormatting>
        <x14:conditionalFormatting xmlns:xm="http://schemas.microsoft.com/office/excel/2006/main">
          <x14:cfRule type="containsText" priority="627" operator="containsText" id="{3D842E29-22C7-4D60-B1E6-6040BE90BC1E}">
            <xm:f>NOT(ISERROR(SEARCH("-",I4)))</xm:f>
            <xm:f>"-"</xm:f>
            <x14:dxf>
              <fill>
                <patternFill>
                  <bgColor rgb="FF00B050"/>
                </patternFill>
              </fill>
            </x14:dxf>
          </x14:cfRule>
          <xm:sqref>I4</xm:sqref>
        </x14:conditionalFormatting>
        <x14:conditionalFormatting xmlns:xm="http://schemas.microsoft.com/office/excel/2006/main">
          <x14:cfRule type="containsText" priority="625" operator="containsText" id="{6F5285F1-40F9-4E53-96AC-0D3333E9CF7E}">
            <xm:f>NOT(ISERROR(SEARCH("-",I6)))</xm:f>
            <xm:f>"-"</xm:f>
            <x14:dxf>
              <fill>
                <patternFill>
                  <bgColor rgb="FF00B050"/>
                </patternFill>
              </fill>
            </x14:dxf>
          </x14:cfRule>
          <xm:sqref>I6</xm:sqref>
        </x14:conditionalFormatting>
        <x14:conditionalFormatting xmlns:xm="http://schemas.microsoft.com/office/excel/2006/main">
          <x14:cfRule type="containsText" priority="623" operator="containsText" id="{0E795C1F-0E6F-4CFB-8F57-4D5E77ECB053}">
            <xm:f>NOT(ISERROR(SEARCH("-",I7)))</xm:f>
            <xm:f>"-"</xm:f>
            <x14:dxf>
              <fill>
                <patternFill>
                  <bgColor rgb="FF00B050"/>
                </patternFill>
              </fill>
            </x14:dxf>
          </x14:cfRule>
          <xm:sqref>I7</xm:sqref>
        </x14:conditionalFormatting>
        <x14:conditionalFormatting xmlns:xm="http://schemas.microsoft.com/office/excel/2006/main">
          <x14:cfRule type="containsText" priority="621" operator="containsText" id="{F236DE04-740F-4CC0-94A6-2EC339CC6C96}">
            <xm:f>NOT(ISERROR(SEARCH("-",I8)))</xm:f>
            <xm:f>"-"</xm:f>
            <x14:dxf>
              <fill>
                <patternFill>
                  <bgColor rgb="FF00B050"/>
                </patternFill>
              </fill>
            </x14:dxf>
          </x14:cfRule>
          <xm:sqref>I8</xm:sqref>
        </x14:conditionalFormatting>
        <x14:conditionalFormatting xmlns:xm="http://schemas.microsoft.com/office/excel/2006/main">
          <x14:cfRule type="containsText" priority="619" operator="containsText" id="{E5A4D16A-9990-4E04-83DE-D57CA36E4589}">
            <xm:f>NOT(ISERROR(SEARCH("-",I9)))</xm:f>
            <xm:f>"-"</xm:f>
            <x14:dxf>
              <fill>
                <patternFill>
                  <bgColor rgb="FF00B050"/>
                </patternFill>
              </fill>
            </x14:dxf>
          </x14:cfRule>
          <xm:sqref>I9</xm:sqref>
        </x14:conditionalFormatting>
        <x14:conditionalFormatting xmlns:xm="http://schemas.microsoft.com/office/excel/2006/main">
          <x14:cfRule type="containsText" priority="617" operator="containsText" id="{634BB970-0ADD-4C39-A09F-D97F57FCBAE3}">
            <xm:f>NOT(ISERROR(SEARCH("-",I10)))</xm:f>
            <xm:f>"-"</xm:f>
            <x14:dxf>
              <fill>
                <patternFill>
                  <bgColor rgb="FF00B050"/>
                </patternFill>
              </fill>
            </x14:dxf>
          </x14:cfRule>
          <xm:sqref>I10</xm:sqref>
        </x14:conditionalFormatting>
        <x14:conditionalFormatting xmlns:xm="http://schemas.microsoft.com/office/excel/2006/main">
          <x14:cfRule type="containsText" priority="615" operator="containsText" id="{E7ECA255-0BE8-4E48-A434-587E8EBA0732}">
            <xm:f>NOT(ISERROR(SEARCH("-",I14)))</xm:f>
            <xm:f>"-"</xm:f>
            <x14:dxf>
              <fill>
                <patternFill>
                  <bgColor rgb="FF00B050"/>
                </patternFill>
              </fill>
            </x14:dxf>
          </x14:cfRule>
          <xm:sqref>I14</xm:sqref>
        </x14:conditionalFormatting>
        <x14:conditionalFormatting xmlns:xm="http://schemas.microsoft.com/office/excel/2006/main">
          <x14:cfRule type="containsText" priority="613" operator="containsText" id="{2F957D23-02D3-4F88-8DCE-18399E84E1FD}">
            <xm:f>NOT(ISERROR(SEARCH("-",I16)))</xm:f>
            <xm:f>"-"</xm:f>
            <x14:dxf>
              <fill>
                <patternFill>
                  <bgColor rgb="FF00B050"/>
                </patternFill>
              </fill>
            </x14:dxf>
          </x14:cfRule>
          <xm:sqref>I16</xm:sqref>
        </x14:conditionalFormatting>
        <x14:conditionalFormatting xmlns:xm="http://schemas.microsoft.com/office/excel/2006/main">
          <x14:cfRule type="containsText" priority="611" operator="containsText" id="{2544BDEA-8DDD-428A-B0A8-673E719FF715}">
            <xm:f>NOT(ISERROR(SEARCH("-",I18)))</xm:f>
            <xm:f>"-"</xm:f>
            <x14:dxf>
              <fill>
                <patternFill>
                  <bgColor rgb="FF00B050"/>
                </patternFill>
              </fill>
            </x14:dxf>
          </x14:cfRule>
          <xm:sqref>I18</xm:sqref>
        </x14:conditionalFormatting>
        <x14:conditionalFormatting xmlns:xm="http://schemas.microsoft.com/office/excel/2006/main">
          <x14:cfRule type="containsText" priority="609" operator="containsText" id="{46322659-B0F1-4162-AF5B-03EDB2E590C0}">
            <xm:f>NOT(ISERROR(SEARCH("-",I19)))</xm:f>
            <xm:f>"-"</xm:f>
            <x14:dxf>
              <fill>
                <patternFill>
                  <bgColor rgb="FF00B050"/>
                </patternFill>
              </fill>
            </x14:dxf>
          </x14:cfRule>
          <xm:sqref>I19</xm:sqref>
        </x14:conditionalFormatting>
        <x14:conditionalFormatting xmlns:xm="http://schemas.microsoft.com/office/excel/2006/main">
          <x14:cfRule type="containsText" priority="607" operator="containsText" id="{CCD8D3F5-33E5-4A27-8D34-6B328657A78D}">
            <xm:f>NOT(ISERROR(SEARCH("-",I20)))</xm:f>
            <xm:f>"-"</xm:f>
            <x14:dxf>
              <fill>
                <patternFill>
                  <bgColor rgb="FF00B050"/>
                </patternFill>
              </fill>
            </x14:dxf>
          </x14:cfRule>
          <xm:sqref>I20</xm:sqref>
        </x14:conditionalFormatting>
        <x14:conditionalFormatting xmlns:xm="http://schemas.microsoft.com/office/excel/2006/main">
          <x14:cfRule type="containsText" priority="605" operator="containsText" id="{4244D991-72DC-443C-A2A7-D5CD56BBBE75}">
            <xm:f>NOT(ISERROR(SEARCH("-",I21)))</xm:f>
            <xm:f>"-"</xm:f>
            <x14:dxf>
              <fill>
                <patternFill>
                  <bgColor rgb="FF00B050"/>
                </patternFill>
              </fill>
            </x14:dxf>
          </x14:cfRule>
          <xm:sqref>I21</xm:sqref>
        </x14:conditionalFormatting>
        <x14:conditionalFormatting xmlns:xm="http://schemas.microsoft.com/office/excel/2006/main">
          <x14:cfRule type="containsText" priority="603" operator="containsText" id="{4D7A87E1-5D8A-4540-B0F3-99A2FFC10DCC}">
            <xm:f>NOT(ISERROR(SEARCH("-",I22)))</xm:f>
            <xm:f>"-"</xm:f>
            <x14:dxf>
              <fill>
                <patternFill>
                  <bgColor rgb="FF00B050"/>
                </patternFill>
              </fill>
            </x14:dxf>
          </x14:cfRule>
          <xm:sqref>I22</xm:sqref>
        </x14:conditionalFormatting>
        <x14:conditionalFormatting xmlns:xm="http://schemas.microsoft.com/office/excel/2006/main">
          <x14:cfRule type="containsText" priority="601" operator="containsText" id="{53539376-FDC5-463D-B9F2-5161B56A3849}">
            <xm:f>NOT(ISERROR(SEARCH("-",I26)))</xm:f>
            <xm:f>"-"</xm:f>
            <x14:dxf>
              <fill>
                <patternFill>
                  <bgColor rgb="FF00B050"/>
                </patternFill>
              </fill>
            </x14:dxf>
          </x14:cfRule>
          <xm:sqref>I26</xm:sqref>
        </x14:conditionalFormatting>
        <x14:conditionalFormatting xmlns:xm="http://schemas.microsoft.com/office/excel/2006/main">
          <x14:cfRule type="containsText" priority="599" operator="containsText" id="{B3FD3E8B-DF46-4483-B05A-1F93D01FF117}">
            <xm:f>NOT(ISERROR(SEARCH("-",I28)))</xm:f>
            <xm:f>"-"</xm:f>
            <x14:dxf>
              <fill>
                <patternFill>
                  <bgColor rgb="FF00B050"/>
                </patternFill>
              </fill>
            </x14:dxf>
          </x14:cfRule>
          <xm:sqref>I28</xm:sqref>
        </x14:conditionalFormatting>
        <x14:conditionalFormatting xmlns:xm="http://schemas.microsoft.com/office/excel/2006/main">
          <x14:cfRule type="containsText" priority="597" operator="containsText" id="{0DF107AD-7E78-4655-84A1-D271EA92D68E}">
            <xm:f>NOT(ISERROR(SEARCH("-",I30)))</xm:f>
            <xm:f>"-"</xm:f>
            <x14:dxf>
              <fill>
                <patternFill>
                  <bgColor rgb="FF00B050"/>
                </patternFill>
              </fill>
            </x14:dxf>
          </x14:cfRule>
          <xm:sqref>I30</xm:sqref>
        </x14:conditionalFormatting>
        <x14:conditionalFormatting xmlns:xm="http://schemas.microsoft.com/office/excel/2006/main">
          <x14:cfRule type="containsText" priority="595" operator="containsText" id="{41F71627-6C1D-4885-8E3E-4835652CD480}">
            <xm:f>NOT(ISERROR(SEARCH("-",I31)))</xm:f>
            <xm:f>"-"</xm:f>
            <x14:dxf>
              <fill>
                <patternFill>
                  <bgColor rgb="FF00B050"/>
                </patternFill>
              </fill>
            </x14:dxf>
          </x14:cfRule>
          <xm:sqref>I31</xm:sqref>
        </x14:conditionalFormatting>
        <x14:conditionalFormatting xmlns:xm="http://schemas.microsoft.com/office/excel/2006/main">
          <x14:cfRule type="containsText" priority="593" operator="containsText" id="{9D509E52-273D-462C-B743-F98C347A4578}">
            <xm:f>NOT(ISERROR(SEARCH("-",I32)))</xm:f>
            <xm:f>"-"</xm:f>
            <x14:dxf>
              <fill>
                <patternFill>
                  <bgColor rgb="FF00B050"/>
                </patternFill>
              </fill>
            </x14:dxf>
          </x14:cfRule>
          <xm:sqref>I32</xm:sqref>
        </x14:conditionalFormatting>
        <x14:conditionalFormatting xmlns:xm="http://schemas.microsoft.com/office/excel/2006/main">
          <x14:cfRule type="containsText" priority="591" operator="containsText" id="{31100EBF-7962-4188-A4F3-2E6FA5C75738}">
            <xm:f>NOT(ISERROR(SEARCH("-",I33)))</xm:f>
            <xm:f>"-"</xm:f>
            <x14:dxf>
              <fill>
                <patternFill>
                  <bgColor rgb="FF00B050"/>
                </patternFill>
              </fill>
            </x14:dxf>
          </x14:cfRule>
          <xm:sqref>I33</xm:sqref>
        </x14:conditionalFormatting>
        <x14:conditionalFormatting xmlns:xm="http://schemas.microsoft.com/office/excel/2006/main">
          <x14:cfRule type="containsText" priority="589" operator="containsText" id="{5AE20B79-0022-455A-9981-B05B167C00F1}">
            <xm:f>NOT(ISERROR(SEARCH("-",I34)))</xm:f>
            <xm:f>"-"</xm:f>
            <x14:dxf>
              <fill>
                <patternFill>
                  <bgColor rgb="FF00B050"/>
                </patternFill>
              </fill>
            </x14:dxf>
          </x14:cfRule>
          <xm:sqref>I34</xm:sqref>
        </x14:conditionalFormatting>
        <x14:conditionalFormatting xmlns:xm="http://schemas.microsoft.com/office/excel/2006/main">
          <x14:cfRule type="containsText" priority="587" operator="containsText" id="{3326E690-E8B3-43D5-AAF6-88FB513B8A11}">
            <xm:f>NOT(ISERROR(SEARCH("-",I38)))</xm:f>
            <xm:f>"-"</xm:f>
            <x14:dxf>
              <fill>
                <patternFill>
                  <bgColor rgb="FF00B050"/>
                </patternFill>
              </fill>
            </x14:dxf>
          </x14:cfRule>
          <xm:sqref>I38</xm:sqref>
        </x14:conditionalFormatting>
        <x14:conditionalFormatting xmlns:xm="http://schemas.microsoft.com/office/excel/2006/main">
          <x14:cfRule type="containsText" priority="585" operator="containsText" id="{BE75E96D-534C-467D-874A-CFFE20EE4521}">
            <xm:f>NOT(ISERROR(SEARCH("-",I40)))</xm:f>
            <xm:f>"-"</xm:f>
            <x14:dxf>
              <fill>
                <patternFill>
                  <bgColor rgb="FF00B050"/>
                </patternFill>
              </fill>
            </x14:dxf>
          </x14:cfRule>
          <xm:sqref>I40</xm:sqref>
        </x14:conditionalFormatting>
        <x14:conditionalFormatting xmlns:xm="http://schemas.microsoft.com/office/excel/2006/main">
          <x14:cfRule type="containsText" priority="583" operator="containsText" id="{C94EAD06-934E-4E2B-BE6A-6273CC21E29F}">
            <xm:f>NOT(ISERROR(SEARCH("-",I42)))</xm:f>
            <xm:f>"-"</xm:f>
            <x14:dxf>
              <fill>
                <patternFill>
                  <bgColor rgb="FF00B050"/>
                </patternFill>
              </fill>
            </x14:dxf>
          </x14:cfRule>
          <xm:sqref>I42</xm:sqref>
        </x14:conditionalFormatting>
        <x14:conditionalFormatting xmlns:xm="http://schemas.microsoft.com/office/excel/2006/main">
          <x14:cfRule type="containsText" priority="581" operator="containsText" id="{EE9A712B-315D-47DC-9469-0544AD8617E5}">
            <xm:f>NOT(ISERROR(SEARCH("-",I43)))</xm:f>
            <xm:f>"-"</xm:f>
            <x14:dxf>
              <fill>
                <patternFill>
                  <bgColor rgb="FF00B050"/>
                </patternFill>
              </fill>
            </x14:dxf>
          </x14:cfRule>
          <xm:sqref>I43</xm:sqref>
        </x14:conditionalFormatting>
        <x14:conditionalFormatting xmlns:xm="http://schemas.microsoft.com/office/excel/2006/main">
          <x14:cfRule type="containsText" priority="579" operator="containsText" id="{CFC65A52-502F-4F94-A1FF-8B2411480D7A}">
            <xm:f>NOT(ISERROR(SEARCH("-",I44)))</xm:f>
            <xm:f>"-"</xm:f>
            <x14:dxf>
              <fill>
                <patternFill>
                  <bgColor rgb="FF00B050"/>
                </patternFill>
              </fill>
            </x14:dxf>
          </x14:cfRule>
          <xm:sqref>I44</xm:sqref>
        </x14:conditionalFormatting>
        <x14:conditionalFormatting xmlns:xm="http://schemas.microsoft.com/office/excel/2006/main">
          <x14:cfRule type="containsText" priority="577" operator="containsText" id="{369A1D80-D3FB-4B6E-9211-200D74F1147A}">
            <xm:f>NOT(ISERROR(SEARCH("-",I45)))</xm:f>
            <xm:f>"-"</xm:f>
            <x14:dxf>
              <fill>
                <patternFill>
                  <bgColor rgb="FF00B050"/>
                </patternFill>
              </fill>
            </x14:dxf>
          </x14:cfRule>
          <xm:sqref>I45</xm:sqref>
        </x14:conditionalFormatting>
        <x14:conditionalFormatting xmlns:xm="http://schemas.microsoft.com/office/excel/2006/main">
          <x14:cfRule type="containsText" priority="575" operator="containsText" id="{ED23A229-DD63-4A98-A6AC-25B38EE20315}">
            <xm:f>NOT(ISERROR(SEARCH("-",I46)))</xm:f>
            <xm:f>"-"</xm:f>
            <x14:dxf>
              <fill>
                <patternFill>
                  <bgColor rgb="FF00B050"/>
                </patternFill>
              </fill>
            </x14:dxf>
          </x14:cfRule>
          <xm:sqref>I46</xm:sqref>
        </x14:conditionalFormatting>
        <x14:conditionalFormatting xmlns:xm="http://schemas.microsoft.com/office/excel/2006/main">
          <x14:cfRule type="containsText" priority="573" operator="containsText" id="{816524C0-6A47-430D-B43A-4859654057AB}">
            <xm:f>NOT(ISERROR(SEARCH("-",I50)))</xm:f>
            <xm:f>"-"</xm:f>
            <x14:dxf>
              <fill>
                <patternFill>
                  <bgColor rgb="FF00B050"/>
                </patternFill>
              </fill>
            </x14:dxf>
          </x14:cfRule>
          <xm:sqref>I50</xm:sqref>
        </x14:conditionalFormatting>
        <x14:conditionalFormatting xmlns:xm="http://schemas.microsoft.com/office/excel/2006/main">
          <x14:cfRule type="containsText" priority="571" operator="containsText" id="{87176519-50FF-4BD1-B4D2-AB3F5A8C7E61}">
            <xm:f>NOT(ISERROR(SEARCH("-",I52)))</xm:f>
            <xm:f>"-"</xm:f>
            <x14:dxf>
              <fill>
                <patternFill>
                  <bgColor rgb="FF00B050"/>
                </patternFill>
              </fill>
            </x14:dxf>
          </x14:cfRule>
          <xm:sqref>I52</xm:sqref>
        </x14:conditionalFormatting>
        <x14:conditionalFormatting xmlns:xm="http://schemas.microsoft.com/office/excel/2006/main">
          <x14:cfRule type="containsText" priority="569" operator="containsText" id="{2A4D266A-EAB8-42DD-B4DE-C117C8C888A0}">
            <xm:f>NOT(ISERROR(SEARCH("-",I54)))</xm:f>
            <xm:f>"-"</xm:f>
            <x14:dxf>
              <fill>
                <patternFill>
                  <bgColor rgb="FF00B050"/>
                </patternFill>
              </fill>
            </x14:dxf>
          </x14:cfRule>
          <xm:sqref>I54</xm:sqref>
        </x14:conditionalFormatting>
        <x14:conditionalFormatting xmlns:xm="http://schemas.microsoft.com/office/excel/2006/main">
          <x14:cfRule type="containsText" priority="567" operator="containsText" id="{7A9AAA33-E41B-40C4-BA08-8E796D1E065F}">
            <xm:f>NOT(ISERROR(SEARCH("-",I55)))</xm:f>
            <xm:f>"-"</xm:f>
            <x14:dxf>
              <fill>
                <patternFill>
                  <bgColor rgb="FF00B050"/>
                </patternFill>
              </fill>
            </x14:dxf>
          </x14:cfRule>
          <xm:sqref>I55</xm:sqref>
        </x14:conditionalFormatting>
        <x14:conditionalFormatting xmlns:xm="http://schemas.microsoft.com/office/excel/2006/main">
          <x14:cfRule type="containsText" priority="565" operator="containsText" id="{4FECA629-78DF-481E-9ADE-3BF7190F8927}">
            <xm:f>NOT(ISERROR(SEARCH("-",I56)))</xm:f>
            <xm:f>"-"</xm:f>
            <x14:dxf>
              <fill>
                <patternFill>
                  <bgColor rgb="FF00B050"/>
                </patternFill>
              </fill>
            </x14:dxf>
          </x14:cfRule>
          <xm:sqref>I56</xm:sqref>
        </x14:conditionalFormatting>
        <x14:conditionalFormatting xmlns:xm="http://schemas.microsoft.com/office/excel/2006/main">
          <x14:cfRule type="containsText" priority="563" operator="containsText" id="{4A29EAF6-4E72-46F6-BB92-A8160492CBCF}">
            <xm:f>NOT(ISERROR(SEARCH("-",I57)))</xm:f>
            <xm:f>"-"</xm:f>
            <x14:dxf>
              <fill>
                <patternFill>
                  <bgColor rgb="FF00B050"/>
                </patternFill>
              </fill>
            </x14:dxf>
          </x14:cfRule>
          <xm:sqref>I57</xm:sqref>
        </x14:conditionalFormatting>
        <x14:conditionalFormatting xmlns:xm="http://schemas.microsoft.com/office/excel/2006/main">
          <x14:cfRule type="containsText" priority="561" operator="containsText" id="{600F895A-9490-4DE0-A06E-D7F92868EAF4}">
            <xm:f>NOT(ISERROR(SEARCH("-",I58)))</xm:f>
            <xm:f>"-"</xm:f>
            <x14:dxf>
              <fill>
                <patternFill>
                  <bgColor rgb="FF00B050"/>
                </patternFill>
              </fill>
            </x14:dxf>
          </x14:cfRule>
          <xm:sqref>I58</xm:sqref>
        </x14:conditionalFormatting>
        <x14:conditionalFormatting xmlns:xm="http://schemas.microsoft.com/office/excel/2006/main">
          <x14:cfRule type="containsText" priority="559" operator="containsText" id="{24BDD99D-A8B8-4FDE-B3A5-1ACEE8A56C8A}">
            <xm:f>NOT(ISERROR(SEARCH("-",I62)))</xm:f>
            <xm:f>"-"</xm:f>
            <x14:dxf>
              <fill>
                <patternFill>
                  <bgColor rgb="FF00B050"/>
                </patternFill>
              </fill>
            </x14:dxf>
          </x14:cfRule>
          <xm:sqref>I62</xm:sqref>
        </x14:conditionalFormatting>
        <x14:conditionalFormatting xmlns:xm="http://schemas.microsoft.com/office/excel/2006/main">
          <x14:cfRule type="containsText" priority="557" operator="containsText" id="{25F4F907-56F5-4B8B-9444-09D51356204B}">
            <xm:f>NOT(ISERROR(SEARCH("-",I64)))</xm:f>
            <xm:f>"-"</xm:f>
            <x14:dxf>
              <fill>
                <patternFill>
                  <bgColor rgb="FF00B050"/>
                </patternFill>
              </fill>
            </x14:dxf>
          </x14:cfRule>
          <xm:sqref>I64</xm:sqref>
        </x14:conditionalFormatting>
        <x14:conditionalFormatting xmlns:xm="http://schemas.microsoft.com/office/excel/2006/main">
          <x14:cfRule type="containsText" priority="555" operator="containsText" id="{8D3A3326-D1CB-467F-8B5B-C19A97193415}">
            <xm:f>NOT(ISERROR(SEARCH("-",I66)))</xm:f>
            <xm:f>"-"</xm:f>
            <x14:dxf>
              <fill>
                <patternFill>
                  <bgColor rgb="FF00B050"/>
                </patternFill>
              </fill>
            </x14:dxf>
          </x14:cfRule>
          <xm:sqref>I66</xm:sqref>
        </x14:conditionalFormatting>
        <x14:conditionalFormatting xmlns:xm="http://schemas.microsoft.com/office/excel/2006/main">
          <x14:cfRule type="containsText" priority="553" operator="containsText" id="{B2ECE415-B8A4-4297-9733-A044B73E652D}">
            <xm:f>NOT(ISERROR(SEARCH("-",I67)))</xm:f>
            <xm:f>"-"</xm:f>
            <x14:dxf>
              <fill>
                <patternFill>
                  <bgColor rgb="FF00B050"/>
                </patternFill>
              </fill>
            </x14:dxf>
          </x14:cfRule>
          <xm:sqref>I67</xm:sqref>
        </x14:conditionalFormatting>
        <x14:conditionalFormatting xmlns:xm="http://schemas.microsoft.com/office/excel/2006/main">
          <x14:cfRule type="containsText" priority="551" operator="containsText" id="{3B260B74-2977-4167-900A-0A4E03EFE843}">
            <xm:f>NOT(ISERROR(SEARCH("-",I68)))</xm:f>
            <xm:f>"-"</xm:f>
            <x14:dxf>
              <fill>
                <patternFill>
                  <bgColor rgb="FF00B050"/>
                </patternFill>
              </fill>
            </x14:dxf>
          </x14:cfRule>
          <xm:sqref>I68</xm:sqref>
        </x14:conditionalFormatting>
        <x14:conditionalFormatting xmlns:xm="http://schemas.microsoft.com/office/excel/2006/main">
          <x14:cfRule type="containsText" priority="549" operator="containsText" id="{AC41D66E-1D26-4926-BA37-801E45EA09BF}">
            <xm:f>NOT(ISERROR(SEARCH("-",I69)))</xm:f>
            <xm:f>"-"</xm:f>
            <x14:dxf>
              <fill>
                <patternFill>
                  <bgColor rgb="FF00B050"/>
                </patternFill>
              </fill>
            </x14:dxf>
          </x14:cfRule>
          <xm:sqref>I69</xm:sqref>
        </x14:conditionalFormatting>
        <x14:conditionalFormatting xmlns:xm="http://schemas.microsoft.com/office/excel/2006/main">
          <x14:cfRule type="containsText" priority="547" operator="containsText" id="{5308E5FA-968D-4A5C-9CB4-D588D2DE40BF}">
            <xm:f>NOT(ISERROR(SEARCH("-",I70)))</xm:f>
            <xm:f>"-"</xm:f>
            <x14:dxf>
              <fill>
                <patternFill>
                  <bgColor rgb="FF00B050"/>
                </patternFill>
              </fill>
            </x14:dxf>
          </x14:cfRule>
          <xm:sqref>I70</xm:sqref>
        </x14:conditionalFormatting>
        <x14:conditionalFormatting xmlns:xm="http://schemas.microsoft.com/office/excel/2006/main">
          <x14:cfRule type="containsText" priority="545" operator="containsText" id="{B6534FB0-9760-4B19-AD5C-DD61C42BA330}">
            <xm:f>NOT(ISERROR(SEARCH("-",I74)))</xm:f>
            <xm:f>"-"</xm:f>
            <x14:dxf>
              <fill>
                <patternFill>
                  <bgColor rgb="FF00B050"/>
                </patternFill>
              </fill>
            </x14:dxf>
          </x14:cfRule>
          <xm:sqref>I74</xm:sqref>
        </x14:conditionalFormatting>
        <x14:conditionalFormatting xmlns:xm="http://schemas.microsoft.com/office/excel/2006/main">
          <x14:cfRule type="containsText" priority="543" operator="containsText" id="{4FFFE0CF-FB0C-4317-A0DE-C0A2C0F79FAF}">
            <xm:f>NOT(ISERROR(SEARCH("-",I76)))</xm:f>
            <xm:f>"-"</xm:f>
            <x14:dxf>
              <fill>
                <patternFill>
                  <bgColor rgb="FF00B050"/>
                </patternFill>
              </fill>
            </x14:dxf>
          </x14:cfRule>
          <xm:sqref>I76</xm:sqref>
        </x14:conditionalFormatting>
        <x14:conditionalFormatting xmlns:xm="http://schemas.microsoft.com/office/excel/2006/main">
          <x14:cfRule type="containsText" priority="541" operator="containsText" id="{FEDF5AA0-F648-46E5-80D9-7B69CE85EFDA}">
            <xm:f>NOT(ISERROR(SEARCH("-",I78)))</xm:f>
            <xm:f>"-"</xm:f>
            <x14:dxf>
              <fill>
                <patternFill>
                  <bgColor rgb="FF00B050"/>
                </patternFill>
              </fill>
            </x14:dxf>
          </x14:cfRule>
          <xm:sqref>I78</xm:sqref>
        </x14:conditionalFormatting>
        <x14:conditionalFormatting xmlns:xm="http://schemas.microsoft.com/office/excel/2006/main">
          <x14:cfRule type="containsText" priority="539" operator="containsText" id="{D5F52007-1DFF-4094-9CBD-B960A0FD2E9D}">
            <xm:f>NOT(ISERROR(SEARCH("-",I79)))</xm:f>
            <xm:f>"-"</xm:f>
            <x14:dxf>
              <fill>
                <patternFill>
                  <bgColor rgb="FF00B050"/>
                </patternFill>
              </fill>
            </x14:dxf>
          </x14:cfRule>
          <xm:sqref>I79</xm:sqref>
        </x14:conditionalFormatting>
        <x14:conditionalFormatting xmlns:xm="http://schemas.microsoft.com/office/excel/2006/main">
          <x14:cfRule type="containsText" priority="537" operator="containsText" id="{8DFF9CE0-4DCB-409F-8BA3-B3BA53C589C4}">
            <xm:f>NOT(ISERROR(SEARCH("-",I80)))</xm:f>
            <xm:f>"-"</xm:f>
            <x14:dxf>
              <fill>
                <patternFill>
                  <bgColor rgb="FF00B050"/>
                </patternFill>
              </fill>
            </x14:dxf>
          </x14:cfRule>
          <xm:sqref>I80</xm:sqref>
        </x14:conditionalFormatting>
        <x14:conditionalFormatting xmlns:xm="http://schemas.microsoft.com/office/excel/2006/main">
          <x14:cfRule type="containsText" priority="535" operator="containsText" id="{FF0624EB-3397-4F1D-AF30-EDB8C0867A7C}">
            <xm:f>NOT(ISERROR(SEARCH("-",I81)))</xm:f>
            <xm:f>"-"</xm:f>
            <x14:dxf>
              <fill>
                <patternFill>
                  <bgColor rgb="FF00B050"/>
                </patternFill>
              </fill>
            </x14:dxf>
          </x14:cfRule>
          <xm:sqref>I81</xm:sqref>
        </x14:conditionalFormatting>
        <x14:conditionalFormatting xmlns:xm="http://schemas.microsoft.com/office/excel/2006/main">
          <x14:cfRule type="containsText" priority="533" operator="containsText" id="{796D2330-EEEB-4B1A-914F-DB0DD1FB6FA4}">
            <xm:f>NOT(ISERROR(SEARCH("-",I82)))</xm:f>
            <xm:f>"-"</xm:f>
            <x14:dxf>
              <fill>
                <patternFill>
                  <bgColor rgb="FF00B050"/>
                </patternFill>
              </fill>
            </x14:dxf>
          </x14:cfRule>
          <xm:sqref>I82</xm:sqref>
        </x14:conditionalFormatting>
        <x14:conditionalFormatting xmlns:xm="http://schemas.microsoft.com/office/excel/2006/main">
          <x14:cfRule type="containsText" priority="531" operator="containsText" id="{A2899CD9-39ED-4201-8263-32CCAF910310}">
            <xm:f>NOT(ISERROR(SEARCH("-",I86)))</xm:f>
            <xm:f>"-"</xm:f>
            <x14:dxf>
              <fill>
                <patternFill>
                  <bgColor rgb="FF00B050"/>
                </patternFill>
              </fill>
            </x14:dxf>
          </x14:cfRule>
          <xm:sqref>I86</xm:sqref>
        </x14:conditionalFormatting>
        <x14:conditionalFormatting xmlns:xm="http://schemas.microsoft.com/office/excel/2006/main">
          <x14:cfRule type="containsText" priority="529" operator="containsText" id="{DF075133-3E1E-4E69-82D4-DDA23D8A0E96}">
            <xm:f>NOT(ISERROR(SEARCH("-",I88)))</xm:f>
            <xm:f>"-"</xm:f>
            <x14:dxf>
              <fill>
                <patternFill>
                  <bgColor rgb="FF00B050"/>
                </patternFill>
              </fill>
            </x14:dxf>
          </x14:cfRule>
          <xm:sqref>I88</xm:sqref>
        </x14:conditionalFormatting>
        <x14:conditionalFormatting xmlns:xm="http://schemas.microsoft.com/office/excel/2006/main">
          <x14:cfRule type="containsText" priority="527" operator="containsText" id="{FFB2F9E1-5D31-4611-9E54-A8BDFE43B2A9}">
            <xm:f>NOT(ISERROR(SEARCH("-",I90)))</xm:f>
            <xm:f>"-"</xm:f>
            <x14:dxf>
              <fill>
                <patternFill>
                  <bgColor rgb="FF00B050"/>
                </patternFill>
              </fill>
            </x14:dxf>
          </x14:cfRule>
          <xm:sqref>I90</xm:sqref>
        </x14:conditionalFormatting>
        <x14:conditionalFormatting xmlns:xm="http://schemas.microsoft.com/office/excel/2006/main">
          <x14:cfRule type="containsText" priority="525" operator="containsText" id="{BC3BCC04-5ACD-4163-A2E2-9347F530E39A}">
            <xm:f>NOT(ISERROR(SEARCH("-",I91)))</xm:f>
            <xm:f>"-"</xm:f>
            <x14:dxf>
              <fill>
                <patternFill>
                  <bgColor rgb="FF00B050"/>
                </patternFill>
              </fill>
            </x14:dxf>
          </x14:cfRule>
          <xm:sqref>I91</xm:sqref>
        </x14:conditionalFormatting>
        <x14:conditionalFormatting xmlns:xm="http://schemas.microsoft.com/office/excel/2006/main">
          <x14:cfRule type="containsText" priority="523" operator="containsText" id="{214B10A2-23E3-43F9-B6BD-2F47827CAB68}">
            <xm:f>NOT(ISERROR(SEARCH("-",I92)))</xm:f>
            <xm:f>"-"</xm:f>
            <x14:dxf>
              <fill>
                <patternFill>
                  <bgColor rgb="FF00B050"/>
                </patternFill>
              </fill>
            </x14:dxf>
          </x14:cfRule>
          <xm:sqref>I92</xm:sqref>
        </x14:conditionalFormatting>
        <x14:conditionalFormatting xmlns:xm="http://schemas.microsoft.com/office/excel/2006/main">
          <x14:cfRule type="containsText" priority="521" operator="containsText" id="{9D6FA7E2-C006-4F08-A9AF-F890B0EC58D8}">
            <xm:f>NOT(ISERROR(SEARCH("-",I93)))</xm:f>
            <xm:f>"-"</xm:f>
            <x14:dxf>
              <fill>
                <patternFill>
                  <bgColor rgb="FF00B050"/>
                </patternFill>
              </fill>
            </x14:dxf>
          </x14:cfRule>
          <xm:sqref>I93</xm:sqref>
        </x14:conditionalFormatting>
        <x14:conditionalFormatting xmlns:xm="http://schemas.microsoft.com/office/excel/2006/main">
          <x14:cfRule type="containsText" priority="519" operator="containsText" id="{ECD09769-FB65-4FB6-B318-C8C793084CA1}">
            <xm:f>NOT(ISERROR(SEARCH("-",I94)))</xm:f>
            <xm:f>"-"</xm:f>
            <x14:dxf>
              <fill>
                <patternFill>
                  <bgColor rgb="FF00B050"/>
                </patternFill>
              </fill>
            </x14:dxf>
          </x14:cfRule>
          <xm:sqref>I94</xm:sqref>
        </x14:conditionalFormatting>
        <x14:conditionalFormatting xmlns:xm="http://schemas.microsoft.com/office/excel/2006/main">
          <x14:cfRule type="containsText" priority="517" operator="containsText" id="{09D17F16-CB26-47AD-95CA-87E025D96BB5}">
            <xm:f>NOT(ISERROR(SEARCH("-",I98)))</xm:f>
            <xm:f>"-"</xm:f>
            <x14:dxf>
              <fill>
                <patternFill>
                  <bgColor rgb="FF00B050"/>
                </patternFill>
              </fill>
            </x14:dxf>
          </x14:cfRule>
          <xm:sqref>I98</xm:sqref>
        </x14:conditionalFormatting>
        <x14:conditionalFormatting xmlns:xm="http://schemas.microsoft.com/office/excel/2006/main">
          <x14:cfRule type="containsText" priority="515" operator="containsText" id="{A03D9EC7-CAAF-46C3-903A-AA70DFFA9CB2}">
            <xm:f>NOT(ISERROR(SEARCH("-",I100)))</xm:f>
            <xm:f>"-"</xm:f>
            <x14:dxf>
              <fill>
                <patternFill>
                  <bgColor rgb="FF00B050"/>
                </patternFill>
              </fill>
            </x14:dxf>
          </x14:cfRule>
          <xm:sqref>I100</xm:sqref>
        </x14:conditionalFormatting>
        <x14:conditionalFormatting xmlns:xm="http://schemas.microsoft.com/office/excel/2006/main">
          <x14:cfRule type="containsText" priority="513" operator="containsText" id="{1501CC7A-8DF8-47FE-8B79-5D0BDBCE68E8}">
            <xm:f>NOT(ISERROR(SEARCH("-",I102)))</xm:f>
            <xm:f>"-"</xm:f>
            <x14:dxf>
              <fill>
                <patternFill>
                  <bgColor rgb="FF00B050"/>
                </patternFill>
              </fill>
            </x14:dxf>
          </x14:cfRule>
          <xm:sqref>I102</xm:sqref>
        </x14:conditionalFormatting>
        <x14:conditionalFormatting xmlns:xm="http://schemas.microsoft.com/office/excel/2006/main">
          <x14:cfRule type="containsText" priority="511" operator="containsText" id="{F2016B3C-F0D8-498A-A289-DCC632A0C0E4}">
            <xm:f>NOT(ISERROR(SEARCH("-",I103)))</xm:f>
            <xm:f>"-"</xm:f>
            <x14:dxf>
              <fill>
                <patternFill>
                  <bgColor rgb="FF00B050"/>
                </patternFill>
              </fill>
            </x14:dxf>
          </x14:cfRule>
          <xm:sqref>I103</xm:sqref>
        </x14:conditionalFormatting>
        <x14:conditionalFormatting xmlns:xm="http://schemas.microsoft.com/office/excel/2006/main">
          <x14:cfRule type="containsText" priority="509" operator="containsText" id="{40BE3A47-E989-415F-BE4A-DAD5A5795F9A}">
            <xm:f>NOT(ISERROR(SEARCH("-",I104)))</xm:f>
            <xm:f>"-"</xm:f>
            <x14:dxf>
              <fill>
                <patternFill>
                  <bgColor rgb="FF00B050"/>
                </patternFill>
              </fill>
            </x14:dxf>
          </x14:cfRule>
          <xm:sqref>I104</xm:sqref>
        </x14:conditionalFormatting>
        <x14:conditionalFormatting xmlns:xm="http://schemas.microsoft.com/office/excel/2006/main">
          <x14:cfRule type="containsText" priority="507" operator="containsText" id="{9DE56288-C4D4-47BC-A47A-9FD0328CDBE4}">
            <xm:f>NOT(ISERROR(SEARCH("-",I105)))</xm:f>
            <xm:f>"-"</xm:f>
            <x14:dxf>
              <fill>
                <patternFill>
                  <bgColor rgb="FF00B050"/>
                </patternFill>
              </fill>
            </x14:dxf>
          </x14:cfRule>
          <xm:sqref>I105</xm:sqref>
        </x14:conditionalFormatting>
        <x14:conditionalFormatting xmlns:xm="http://schemas.microsoft.com/office/excel/2006/main">
          <x14:cfRule type="containsText" priority="505" operator="containsText" id="{56D8F106-CFDA-4DE7-BED3-D8C4E0074685}">
            <xm:f>NOT(ISERROR(SEARCH("-",I106)))</xm:f>
            <xm:f>"-"</xm:f>
            <x14:dxf>
              <fill>
                <patternFill>
                  <bgColor rgb="FF00B050"/>
                </patternFill>
              </fill>
            </x14:dxf>
          </x14:cfRule>
          <xm:sqref>I106</xm:sqref>
        </x14:conditionalFormatting>
        <x14:conditionalFormatting xmlns:xm="http://schemas.microsoft.com/office/excel/2006/main">
          <x14:cfRule type="containsText" priority="503" operator="containsText" id="{55BA4768-1C8B-45AB-BAA5-28AAF602950B}">
            <xm:f>NOT(ISERROR(SEARCH("-",I110)))</xm:f>
            <xm:f>"-"</xm:f>
            <x14:dxf>
              <fill>
                <patternFill>
                  <bgColor rgb="FF00B050"/>
                </patternFill>
              </fill>
            </x14:dxf>
          </x14:cfRule>
          <xm:sqref>I110</xm:sqref>
        </x14:conditionalFormatting>
        <x14:conditionalFormatting xmlns:xm="http://schemas.microsoft.com/office/excel/2006/main">
          <x14:cfRule type="containsText" priority="501" operator="containsText" id="{7EAFCC4D-782C-4A76-8ADE-EE371926B494}">
            <xm:f>NOT(ISERROR(SEARCH("-",I112)))</xm:f>
            <xm:f>"-"</xm:f>
            <x14:dxf>
              <fill>
                <patternFill>
                  <bgColor rgb="FF00B050"/>
                </patternFill>
              </fill>
            </x14:dxf>
          </x14:cfRule>
          <xm:sqref>I112</xm:sqref>
        </x14:conditionalFormatting>
        <x14:conditionalFormatting xmlns:xm="http://schemas.microsoft.com/office/excel/2006/main">
          <x14:cfRule type="containsText" priority="499" operator="containsText" id="{CCF6F8E4-6814-4887-8FDC-C08633235AD3}">
            <xm:f>NOT(ISERROR(SEARCH("-",I114)))</xm:f>
            <xm:f>"-"</xm:f>
            <x14:dxf>
              <fill>
                <patternFill>
                  <bgColor rgb="FF00B050"/>
                </patternFill>
              </fill>
            </x14:dxf>
          </x14:cfRule>
          <xm:sqref>I114</xm:sqref>
        </x14:conditionalFormatting>
        <x14:conditionalFormatting xmlns:xm="http://schemas.microsoft.com/office/excel/2006/main">
          <x14:cfRule type="containsText" priority="497" operator="containsText" id="{037A741F-288E-4D8F-8FB3-D84653B9EC7E}">
            <xm:f>NOT(ISERROR(SEARCH("-",I115)))</xm:f>
            <xm:f>"-"</xm:f>
            <x14:dxf>
              <fill>
                <patternFill>
                  <bgColor rgb="FF00B050"/>
                </patternFill>
              </fill>
            </x14:dxf>
          </x14:cfRule>
          <xm:sqref>I115</xm:sqref>
        </x14:conditionalFormatting>
        <x14:conditionalFormatting xmlns:xm="http://schemas.microsoft.com/office/excel/2006/main">
          <x14:cfRule type="containsText" priority="495" operator="containsText" id="{150C47F9-9FCA-4AAF-9284-C226B1C7BDFA}">
            <xm:f>NOT(ISERROR(SEARCH("-",I116)))</xm:f>
            <xm:f>"-"</xm:f>
            <x14:dxf>
              <fill>
                <patternFill>
                  <bgColor rgb="FF00B050"/>
                </patternFill>
              </fill>
            </x14:dxf>
          </x14:cfRule>
          <xm:sqref>I116</xm:sqref>
        </x14:conditionalFormatting>
        <x14:conditionalFormatting xmlns:xm="http://schemas.microsoft.com/office/excel/2006/main">
          <x14:cfRule type="containsText" priority="493" operator="containsText" id="{5BBE4CF4-59E1-4BCE-812C-0C6A5BF6C966}">
            <xm:f>NOT(ISERROR(SEARCH("-",I117)))</xm:f>
            <xm:f>"-"</xm:f>
            <x14:dxf>
              <fill>
                <patternFill>
                  <bgColor rgb="FF00B050"/>
                </patternFill>
              </fill>
            </x14:dxf>
          </x14:cfRule>
          <xm:sqref>I117</xm:sqref>
        </x14:conditionalFormatting>
        <x14:conditionalFormatting xmlns:xm="http://schemas.microsoft.com/office/excel/2006/main">
          <x14:cfRule type="containsText" priority="491" operator="containsText" id="{965C7AEA-5F37-453E-99AC-4D62A50A08A7}">
            <xm:f>NOT(ISERROR(SEARCH("-",I118)))</xm:f>
            <xm:f>"-"</xm:f>
            <x14:dxf>
              <fill>
                <patternFill>
                  <bgColor rgb="FF00B050"/>
                </patternFill>
              </fill>
            </x14:dxf>
          </x14:cfRule>
          <xm:sqref>I118</xm:sqref>
        </x14:conditionalFormatting>
        <x14:conditionalFormatting xmlns:xm="http://schemas.microsoft.com/office/excel/2006/main">
          <x14:cfRule type="containsText" priority="489" operator="containsText" id="{3C0C6A0F-7AEE-4301-90D4-33803BFC803C}">
            <xm:f>NOT(ISERROR(SEARCH("-",I122)))</xm:f>
            <xm:f>"-"</xm:f>
            <x14:dxf>
              <fill>
                <patternFill>
                  <bgColor rgb="FF00B050"/>
                </patternFill>
              </fill>
            </x14:dxf>
          </x14:cfRule>
          <xm:sqref>I122</xm:sqref>
        </x14:conditionalFormatting>
        <x14:conditionalFormatting xmlns:xm="http://schemas.microsoft.com/office/excel/2006/main">
          <x14:cfRule type="containsText" priority="487" operator="containsText" id="{EA83F492-7FFB-41A2-B38D-1B978FAF4169}">
            <xm:f>NOT(ISERROR(SEARCH("-",I124)))</xm:f>
            <xm:f>"-"</xm:f>
            <x14:dxf>
              <fill>
                <patternFill>
                  <bgColor rgb="FF00B050"/>
                </patternFill>
              </fill>
            </x14:dxf>
          </x14:cfRule>
          <xm:sqref>I124</xm:sqref>
        </x14:conditionalFormatting>
        <x14:conditionalFormatting xmlns:xm="http://schemas.microsoft.com/office/excel/2006/main">
          <x14:cfRule type="containsText" priority="485" operator="containsText" id="{ABF4066B-1FDA-4B8B-90DE-2DC94A747BE8}">
            <xm:f>NOT(ISERROR(SEARCH("-",I126)))</xm:f>
            <xm:f>"-"</xm:f>
            <x14:dxf>
              <fill>
                <patternFill>
                  <bgColor rgb="FF00B050"/>
                </patternFill>
              </fill>
            </x14:dxf>
          </x14:cfRule>
          <xm:sqref>I126</xm:sqref>
        </x14:conditionalFormatting>
        <x14:conditionalFormatting xmlns:xm="http://schemas.microsoft.com/office/excel/2006/main">
          <x14:cfRule type="containsText" priority="483" operator="containsText" id="{B6F3AEC5-20EE-4248-8827-44EEA94DBD8E}">
            <xm:f>NOT(ISERROR(SEARCH("-",I127)))</xm:f>
            <xm:f>"-"</xm:f>
            <x14:dxf>
              <fill>
                <patternFill>
                  <bgColor rgb="FF00B050"/>
                </patternFill>
              </fill>
            </x14:dxf>
          </x14:cfRule>
          <xm:sqref>I127</xm:sqref>
        </x14:conditionalFormatting>
        <x14:conditionalFormatting xmlns:xm="http://schemas.microsoft.com/office/excel/2006/main">
          <x14:cfRule type="containsText" priority="481" operator="containsText" id="{4615F698-57C4-4E74-B8CA-C1CFCCA96A7D}">
            <xm:f>NOT(ISERROR(SEARCH("-",I128)))</xm:f>
            <xm:f>"-"</xm:f>
            <x14:dxf>
              <fill>
                <patternFill>
                  <bgColor rgb="FF00B050"/>
                </patternFill>
              </fill>
            </x14:dxf>
          </x14:cfRule>
          <xm:sqref>I128</xm:sqref>
        </x14:conditionalFormatting>
        <x14:conditionalFormatting xmlns:xm="http://schemas.microsoft.com/office/excel/2006/main">
          <x14:cfRule type="containsText" priority="479" operator="containsText" id="{3F059673-8534-4D7F-A299-476E5FCE4727}">
            <xm:f>NOT(ISERROR(SEARCH("-",I129)))</xm:f>
            <xm:f>"-"</xm:f>
            <x14:dxf>
              <fill>
                <patternFill>
                  <bgColor rgb="FF00B050"/>
                </patternFill>
              </fill>
            </x14:dxf>
          </x14:cfRule>
          <xm:sqref>I129</xm:sqref>
        </x14:conditionalFormatting>
        <x14:conditionalFormatting xmlns:xm="http://schemas.microsoft.com/office/excel/2006/main">
          <x14:cfRule type="containsText" priority="477" operator="containsText" id="{D4869FAD-575B-4083-B1A1-FB9E94C377F8}">
            <xm:f>NOT(ISERROR(SEARCH("-",I130)))</xm:f>
            <xm:f>"-"</xm:f>
            <x14:dxf>
              <fill>
                <patternFill>
                  <bgColor rgb="FF00B050"/>
                </patternFill>
              </fill>
            </x14:dxf>
          </x14:cfRule>
          <xm:sqref>I130</xm:sqref>
        </x14:conditionalFormatting>
        <x14:conditionalFormatting xmlns:xm="http://schemas.microsoft.com/office/excel/2006/main">
          <x14:cfRule type="containsText" priority="475" operator="containsText" id="{6FCA3666-4550-4A80-BD9F-E5373852707F}">
            <xm:f>NOT(ISERROR(SEARCH("-",I134)))</xm:f>
            <xm:f>"-"</xm:f>
            <x14:dxf>
              <fill>
                <patternFill>
                  <bgColor rgb="FF00B050"/>
                </patternFill>
              </fill>
            </x14:dxf>
          </x14:cfRule>
          <xm:sqref>I134</xm:sqref>
        </x14:conditionalFormatting>
        <x14:conditionalFormatting xmlns:xm="http://schemas.microsoft.com/office/excel/2006/main">
          <x14:cfRule type="containsText" priority="473" operator="containsText" id="{87B4706C-CE4A-41A7-944F-9290A1F6AF5B}">
            <xm:f>NOT(ISERROR(SEARCH("-",I136)))</xm:f>
            <xm:f>"-"</xm:f>
            <x14:dxf>
              <fill>
                <patternFill>
                  <bgColor rgb="FF00B050"/>
                </patternFill>
              </fill>
            </x14:dxf>
          </x14:cfRule>
          <xm:sqref>I136</xm:sqref>
        </x14:conditionalFormatting>
        <x14:conditionalFormatting xmlns:xm="http://schemas.microsoft.com/office/excel/2006/main">
          <x14:cfRule type="containsText" priority="471" operator="containsText" id="{CFC31719-EB60-4899-90FC-CED1C8122F46}">
            <xm:f>NOT(ISERROR(SEARCH("-",I138)))</xm:f>
            <xm:f>"-"</xm:f>
            <x14:dxf>
              <fill>
                <patternFill>
                  <bgColor rgb="FF00B050"/>
                </patternFill>
              </fill>
            </x14:dxf>
          </x14:cfRule>
          <xm:sqref>I138</xm:sqref>
        </x14:conditionalFormatting>
        <x14:conditionalFormatting xmlns:xm="http://schemas.microsoft.com/office/excel/2006/main">
          <x14:cfRule type="containsText" priority="469" operator="containsText" id="{DF6F47A8-0C03-4E07-94E7-99F1D22F116F}">
            <xm:f>NOT(ISERROR(SEARCH("-",I139)))</xm:f>
            <xm:f>"-"</xm:f>
            <x14:dxf>
              <fill>
                <patternFill>
                  <bgColor rgb="FF00B050"/>
                </patternFill>
              </fill>
            </x14:dxf>
          </x14:cfRule>
          <xm:sqref>I139</xm:sqref>
        </x14:conditionalFormatting>
        <x14:conditionalFormatting xmlns:xm="http://schemas.microsoft.com/office/excel/2006/main">
          <x14:cfRule type="containsText" priority="467" operator="containsText" id="{29CEEC40-0859-4104-B734-BC0BD74540AB}">
            <xm:f>NOT(ISERROR(SEARCH("-",I140)))</xm:f>
            <xm:f>"-"</xm:f>
            <x14:dxf>
              <fill>
                <patternFill>
                  <bgColor rgb="FF00B050"/>
                </patternFill>
              </fill>
            </x14:dxf>
          </x14:cfRule>
          <xm:sqref>I140</xm:sqref>
        </x14:conditionalFormatting>
        <x14:conditionalFormatting xmlns:xm="http://schemas.microsoft.com/office/excel/2006/main">
          <x14:cfRule type="containsText" priority="465" operator="containsText" id="{C98ABCA8-5748-4910-873F-7AE32D79CB12}">
            <xm:f>NOT(ISERROR(SEARCH("-",I141)))</xm:f>
            <xm:f>"-"</xm:f>
            <x14:dxf>
              <fill>
                <patternFill>
                  <bgColor rgb="FF00B050"/>
                </patternFill>
              </fill>
            </x14:dxf>
          </x14:cfRule>
          <xm:sqref>I141</xm:sqref>
        </x14:conditionalFormatting>
        <x14:conditionalFormatting xmlns:xm="http://schemas.microsoft.com/office/excel/2006/main">
          <x14:cfRule type="containsText" priority="463" operator="containsText" id="{019AF587-3995-4D39-AA67-4B5D294DC741}">
            <xm:f>NOT(ISERROR(SEARCH("-",I142)))</xm:f>
            <xm:f>"-"</xm:f>
            <x14:dxf>
              <fill>
                <patternFill>
                  <bgColor rgb="FF00B050"/>
                </patternFill>
              </fill>
            </x14:dxf>
          </x14:cfRule>
          <xm:sqref>I142</xm:sqref>
        </x14:conditionalFormatting>
        <x14:conditionalFormatting xmlns:xm="http://schemas.microsoft.com/office/excel/2006/main">
          <x14:cfRule type="containsText" priority="461" operator="containsText" id="{C71703FA-2CC9-4BAB-8265-7FA287FB8880}">
            <xm:f>NOT(ISERROR(SEARCH("-",I146)))</xm:f>
            <xm:f>"-"</xm:f>
            <x14:dxf>
              <fill>
                <patternFill>
                  <bgColor rgb="FF00B050"/>
                </patternFill>
              </fill>
            </x14:dxf>
          </x14:cfRule>
          <xm:sqref>I146</xm:sqref>
        </x14:conditionalFormatting>
        <x14:conditionalFormatting xmlns:xm="http://schemas.microsoft.com/office/excel/2006/main">
          <x14:cfRule type="containsText" priority="459" operator="containsText" id="{1636ECA7-0DE5-4335-8B5B-4818BEE51444}">
            <xm:f>NOT(ISERROR(SEARCH("-",I148)))</xm:f>
            <xm:f>"-"</xm:f>
            <x14:dxf>
              <fill>
                <patternFill>
                  <bgColor rgb="FF00B050"/>
                </patternFill>
              </fill>
            </x14:dxf>
          </x14:cfRule>
          <xm:sqref>I148</xm:sqref>
        </x14:conditionalFormatting>
        <x14:conditionalFormatting xmlns:xm="http://schemas.microsoft.com/office/excel/2006/main">
          <x14:cfRule type="containsText" priority="457" operator="containsText" id="{A408D007-1552-48E5-96B0-7AAA2A660290}">
            <xm:f>NOT(ISERROR(SEARCH("-",I150)))</xm:f>
            <xm:f>"-"</xm:f>
            <x14:dxf>
              <fill>
                <patternFill>
                  <bgColor rgb="FF00B050"/>
                </patternFill>
              </fill>
            </x14:dxf>
          </x14:cfRule>
          <xm:sqref>I150</xm:sqref>
        </x14:conditionalFormatting>
        <x14:conditionalFormatting xmlns:xm="http://schemas.microsoft.com/office/excel/2006/main">
          <x14:cfRule type="containsText" priority="455" operator="containsText" id="{77F62C7E-6A1A-47B8-940A-B999EBD063F7}">
            <xm:f>NOT(ISERROR(SEARCH("-",I151)))</xm:f>
            <xm:f>"-"</xm:f>
            <x14:dxf>
              <fill>
                <patternFill>
                  <bgColor rgb="FF00B050"/>
                </patternFill>
              </fill>
            </x14:dxf>
          </x14:cfRule>
          <xm:sqref>I151</xm:sqref>
        </x14:conditionalFormatting>
        <x14:conditionalFormatting xmlns:xm="http://schemas.microsoft.com/office/excel/2006/main">
          <x14:cfRule type="containsText" priority="453" operator="containsText" id="{4C82E89D-D3AC-4B05-BA29-AC0C7B3D0047}">
            <xm:f>NOT(ISERROR(SEARCH("-",I152)))</xm:f>
            <xm:f>"-"</xm:f>
            <x14:dxf>
              <fill>
                <patternFill>
                  <bgColor rgb="FF00B050"/>
                </patternFill>
              </fill>
            </x14:dxf>
          </x14:cfRule>
          <xm:sqref>I152</xm:sqref>
        </x14:conditionalFormatting>
        <x14:conditionalFormatting xmlns:xm="http://schemas.microsoft.com/office/excel/2006/main">
          <x14:cfRule type="containsText" priority="451" operator="containsText" id="{67753783-4560-4C04-8CED-84B890A04396}">
            <xm:f>NOT(ISERROR(SEARCH("-",I153)))</xm:f>
            <xm:f>"-"</xm:f>
            <x14:dxf>
              <fill>
                <patternFill>
                  <bgColor rgb="FF00B050"/>
                </patternFill>
              </fill>
            </x14:dxf>
          </x14:cfRule>
          <xm:sqref>I153</xm:sqref>
        </x14:conditionalFormatting>
        <x14:conditionalFormatting xmlns:xm="http://schemas.microsoft.com/office/excel/2006/main">
          <x14:cfRule type="containsText" priority="449" operator="containsText" id="{1EF83FAB-66F5-4BF1-9249-D181F0360161}">
            <xm:f>NOT(ISERROR(SEARCH("-",I154)))</xm:f>
            <xm:f>"-"</xm:f>
            <x14:dxf>
              <fill>
                <patternFill>
                  <bgColor rgb="FF00B050"/>
                </patternFill>
              </fill>
            </x14:dxf>
          </x14:cfRule>
          <xm:sqref>I154</xm:sqref>
        </x14:conditionalFormatting>
        <x14:conditionalFormatting xmlns:xm="http://schemas.microsoft.com/office/excel/2006/main">
          <x14:cfRule type="containsText" priority="447" operator="containsText" id="{F4E7870C-6C69-4B31-B62A-3CA0726A3C63}">
            <xm:f>NOT(ISERROR(SEARCH("-",I158)))</xm:f>
            <xm:f>"-"</xm:f>
            <x14:dxf>
              <fill>
                <patternFill>
                  <bgColor rgb="FF00B050"/>
                </patternFill>
              </fill>
            </x14:dxf>
          </x14:cfRule>
          <xm:sqref>I158</xm:sqref>
        </x14:conditionalFormatting>
        <x14:conditionalFormatting xmlns:xm="http://schemas.microsoft.com/office/excel/2006/main">
          <x14:cfRule type="containsText" priority="445" operator="containsText" id="{4BEFD991-4A9C-48E9-8065-042A98C776D6}">
            <xm:f>NOT(ISERROR(SEARCH("-",I160)))</xm:f>
            <xm:f>"-"</xm:f>
            <x14:dxf>
              <fill>
                <patternFill>
                  <bgColor rgb="FF00B050"/>
                </patternFill>
              </fill>
            </x14:dxf>
          </x14:cfRule>
          <xm:sqref>I160</xm:sqref>
        </x14:conditionalFormatting>
        <x14:conditionalFormatting xmlns:xm="http://schemas.microsoft.com/office/excel/2006/main">
          <x14:cfRule type="containsText" priority="443" operator="containsText" id="{B1F87527-32FE-4A5E-A288-A5AA27B68C1E}">
            <xm:f>NOT(ISERROR(SEARCH("-",I162)))</xm:f>
            <xm:f>"-"</xm:f>
            <x14:dxf>
              <fill>
                <patternFill>
                  <bgColor rgb="FF00B050"/>
                </patternFill>
              </fill>
            </x14:dxf>
          </x14:cfRule>
          <xm:sqref>I162</xm:sqref>
        </x14:conditionalFormatting>
        <x14:conditionalFormatting xmlns:xm="http://schemas.microsoft.com/office/excel/2006/main">
          <x14:cfRule type="containsText" priority="441" operator="containsText" id="{D19C52D5-252F-4C4F-AE1E-8F6A323B3793}">
            <xm:f>NOT(ISERROR(SEARCH("-",I163)))</xm:f>
            <xm:f>"-"</xm:f>
            <x14:dxf>
              <fill>
                <patternFill>
                  <bgColor rgb="FF00B050"/>
                </patternFill>
              </fill>
            </x14:dxf>
          </x14:cfRule>
          <xm:sqref>I163</xm:sqref>
        </x14:conditionalFormatting>
        <x14:conditionalFormatting xmlns:xm="http://schemas.microsoft.com/office/excel/2006/main">
          <x14:cfRule type="containsText" priority="439" operator="containsText" id="{8ECCA208-F970-47BF-AC21-5AAEDE85EE34}">
            <xm:f>NOT(ISERROR(SEARCH("-",I164)))</xm:f>
            <xm:f>"-"</xm:f>
            <x14:dxf>
              <fill>
                <patternFill>
                  <bgColor rgb="FF00B050"/>
                </patternFill>
              </fill>
            </x14:dxf>
          </x14:cfRule>
          <xm:sqref>I164</xm:sqref>
        </x14:conditionalFormatting>
        <x14:conditionalFormatting xmlns:xm="http://schemas.microsoft.com/office/excel/2006/main">
          <x14:cfRule type="containsText" priority="437" operator="containsText" id="{70595F7D-EDE4-45A8-8B7A-F6C89C8BF514}">
            <xm:f>NOT(ISERROR(SEARCH("-",I165)))</xm:f>
            <xm:f>"-"</xm:f>
            <x14:dxf>
              <fill>
                <patternFill>
                  <bgColor rgb="FF00B050"/>
                </patternFill>
              </fill>
            </x14:dxf>
          </x14:cfRule>
          <xm:sqref>I165</xm:sqref>
        </x14:conditionalFormatting>
        <x14:conditionalFormatting xmlns:xm="http://schemas.microsoft.com/office/excel/2006/main">
          <x14:cfRule type="containsText" priority="435" operator="containsText" id="{D146D565-EC9B-44D9-B586-8C3229575A6C}">
            <xm:f>NOT(ISERROR(SEARCH("-",I166)))</xm:f>
            <xm:f>"-"</xm:f>
            <x14:dxf>
              <fill>
                <patternFill>
                  <bgColor rgb="FF00B050"/>
                </patternFill>
              </fill>
            </x14:dxf>
          </x14:cfRule>
          <xm:sqref>I166</xm:sqref>
        </x14:conditionalFormatting>
        <x14:conditionalFormatting xmlns:xm="http://schemas.microsoft.com/office/excel/2006/main">
          <x14:cfRule type="containsText" priority="433" operator="containsText" id="{792457D6-FD72-4359-AF61-810A9204D035}">
            <xm:f>NOT(ISERROR(SEARCH("-",I170)))</xm:f>
            <xm:f>"-"</xm:f>
            <x14:dxf>
              <fill>
                <patternFill>
                  <bgColor rgb="FF00B050"/>
                </patternFill>
              </fill>
            </x14:dxf>
          </x14:cfRule>
          <xm:sqref>I170</xm:sqref>
        </x14:conditionalFormatting>
        <x14:conditionalFormatting xmlns:xm="http://schemas.microsoft.com/office/excel/2006/main">
          <x14:cfRule type="containsText" priority="431" operator="containsText" id="{A977C7FB-C3A8-4D74-B4FD-8DD9B49A9C5E}">
            <xm:f>NOT(ISERROR(SEARCH("-",I172)))</xm:f>
            <xm:f>"-"</xm:f>
            <x14:dxf>
              <fill>
                <patternFill>
                  <bgColor rgb="FF00B050"/>
                </patternFill>
              </fill>
            </x14:dxf>
          </x14:cfRule>
          <xm:sqref>I172</xm:sqref>
        </x14:conditionalFormatting>
        <x14:conditionalFormatting xmlns:xm="http://schemas.microsoft.com/office/excel/2006/main">
          <x14:cfRule type="containsText" priority="429" operator="containsText" id="{0550C90F-3414-4ABE-B9CB-9A34978B1745}">
            <xm:f>NOT(ISERROR(SEARCH("-",I174)))</xm:f>
            <xm:f>"-"</xm:f>
            <x14:dxf>
              <fill>
                <patternFill>
                  <bgColor rgb="FF00B050"/>
                </patternFill>
              </fill>
            </x14:dxf>
          </x14:cfRule>
          <xm:sqref>I174</xm:sqref>
        </x14:conditionalFormatting>
        <x14:conditionalFormatting xmlns:xm="http://schemas.microsoft.com/office/excel/2006/main">
          <x14:cfRule type="containsText" priority="427" operator="containsText" id="{39B8554F-14B5-4D3A-877D-F88989A2C4F8}">
            <xm:f>NOT(ISERROR(SEARCH("-",I175)))</xm:f>
            <xm:f>"-"</xm:f>
            <x14:dxf>
              <fill>
                <patternFill>
                  <bgColor rgb="FF00B050"/>
                </patternFill>
              </fill>
            </x14:dxf>
          </x14:cfRule>
          <xm:sqref>I175</xm:sqref>
        </x14:conditionalFormatting>
        <x14:conditionalFormatting xmlns:xm="http://schemas.microsoft.com/office/excel/2006/main">
          <x14:cfRule type="containsText" priority="425" operator="containsText" id="{7B669282-0794-4EF4-83A1-5BA67701851A}">
            <xm:f>NOT(ISERROR(SEARCH("-",I176)))</xm:f>
            <xm:f>"-"</xm:f>
            <x14:dxf>
              <fill>
                <patternFill>
                  <bgColor rgb="FF00B050"/>
                </patternFill>
              </fill>
            </x14:dxf>
          </x14:cfRule>
          <xm:sqref>I176</xm:sqref>
        </x14:conditionalFormatting>
        <x14:conditionalFormatting xmlns:xm="http://schemas.microsoft.com/office/excel/2006/main">
          <x14:cfRule type="containsText" priority="423" operator="containsText" id="{74376BAE-360C-48A3-A2B0-50D3BD46DD80}">
            <xm:f>NOT(ISERROR(SEARCH("-",I177)))</xm:f>
            <xm:f>"-"</xm:f>
            <x14:dxf>
              <fill>
                <patternFill>
                  <bgColor rgb="FF00B050"/>
                </patternFill>
              </fill>
            </x14:dxf>
          </x14:cfRule>
          <xm:sqref>I177</xm:sqref>
        </x14:conditionalFormatting>
        <x14:conditionalFormatting xmlns:xm="http://schemas.microsoft.com/office/excel/2006/main">
          <x14:cfRule type="containsText" priority="421" operator="containsText" id="{C207524A-10B3-4868-A761-35D7509426D7}">
            <xm:f>NOT(ISERROR(SEARCH("-",I178)))</xm:f>
            <xm:f>"-"</xm:f>
            <x14:dxf>
              <fill>
                <patternFill>
                  <bgColor rgb="FF00B050"/>
                </patternFill>
              </fill>
            </x14:dxf>
          </x14:cfRule>
          <xm:sqref>I178</xm:sqref>
        </x14:conditionalFormatting>
        <x14:conditionalFormatting xmlns:xm="http://schemas.microsoft.com/office/excel/2006/main">
          <x14:cfRule type="containsText" priority="419" operator="containsText" id="{25809975-12D1-4ADF-AFB0-BF8DE2475EE2}">
            <xm:f>NOT(ISERROR(SEARCH("-",I182)))</xm:f>
            <xm:f>"-"</xm:f>
            <x14:dxf>
              <fill>
                <patternFill>
                  <bgColor rgb="FF00B050"/>
                </patternFill>
              </fill>
            </x14:dxf>
          </x14:cfRule>
          <xm:sqref>I182</xm:sqref>
        </x14:conditionalFormatting>
        <x14:conditionalFormatting xmlns:xm="http://schemas.microsoft.com/office/excel/2006/main">
          <x14:cfRule type="containsText" priority="417" operator="containsText" id="{E732D203-DD1C-4446-AF88-0C5977F1066E}">
            <xm:f>NOT(ISERROR(SEARCH("-",I184)))</xm:f>
            <xm:f>"-"</xm:f>
            <x14:dxf>
              <fill>
                <patternFill>
                  <bgColor rgb="FF00B050"/>
                </patternFill>
              </fill>
            </x14:dxf>
          </x14:cfRule>
          <xm:sqref>I184</xm:sqref>
        </x14:conditionalFormatting>
        <x14:conditionalFormatting xmlns:xm="http://schemas.microsoft.com/office/excel/2006/main">
          <x14:cfRule type="containsText" priority="415" operator="containsText" id="{2E39E75B-AEEC-427C-8730-A3A135E19891}">
            <xm:f>NOT(ISERROR(SEARCH("-",I186)))</xm:f>
            <xm:f>"-"</xm:f>
            <x14:dxf>
              <fill>
                <patternFill>
                  <bgColor rgb="FF00B050"/>
                </patternFill>
              </fill>
            </x14:dxf>
          </x14:cfRule>
          <xm:sqref>I186</xm:sqref>
        </x14:conditionalFormatting>
        <x14:conditionalFormatting xmlns:xm="http://schemas.microsoft.com/office/excel/2006/main">
          <x14:cfRule type="containsText" priority="413" operator="containsText" id="{F038F8F4-1B25-490E-86A2-3B6C9D5A6D1F}">
            <xm:f>NOT(ISERROR(SEARCH("-",I187)))</xm:f>
            <xm:f>"-"</xm:f>
            <x14:dxf>
              <fill>
                <patternFill>
                  <bgColor rgb="FF00B050"/>
                </patternFill>
              </fill>
            </x14:dxf>
          </x14:cfRule>
          <xm:sqref>I187</xm:sqref>
        </x14:conditionalFormatting>
        <x14:conditionalFormatting xmlns:xm="http://schemas.microsoft.com/office/excel/2006/main">
          <x14:cfRule type="containsText" priority="411" operator="containsText" id="{F05CF471-849A-4962-B761-AF5C4A9B8459}">
            <xm:f>NOT(ISERROR(SEARCH("-",I188)))</xm:f>
            <xm:f>"-"</xm:f>
            <x14:dxf>
              <fill>
                <patternFill>
                  <bgColor rgb="FF00B050"/>
                </patternFill>
              </fill>
            </x14:dxf>
          </x14:cfRule>
          <xm:sqref>I188</xm:sqref>
        </x14:conditionalFormatting>
        <x14:conditionalFormatting xmlns:xm="http://schemas.microsoft.com/office/excel/2006/main">
          <x14:cfRule type="containsText" priority="409" operator="containsText" id="{69BB0DC7-B0D0-4380-A737-B7E9C3EBC3AB}">
            <xm:f>NOT(ISERROR(SEARCH("-",I189)))</xm:f>
            <xm:f>"-"</xm:f>
            <x14:dxf>
              <fill>
                <patternFill>
                  <bgColor rgb="FF00B050"/>
                </patternFill>
              </fill>
            </x14:dxf>
          </x14:cfRule>
          <xm:sqref>I189</xm:sqref>
        </x14:conditionalFormatting>
        <x14:conditionalFormatting xmlns:xm="http://schemas.microsoft.com/office/excel/2006/main">
          <x14:cfRule type="containsText" priority="407" operator="containsText" id="{6F8B2043-3EAB-4525-8B09-BC68F831DCB7}">
            <xm:f>NOT(ISERROR(SEARCH("-",I190)))</xm:f>
            <xm:f>"-"</xm:f>
            <x14:dxf>
              <fill>
                <patternFill>
                  <bgColor rgb="FF00B050"/>
                </patternFill>
              </fill>
            </x14:dxf>
          </x14:cfRule>
          <xm:sqref>I190</xm:sqref>
        </x14:conditionalFormatting>
        <x14:conditionalFormatting xmlns:xm="http://schemas.microsoft.com/office/excel/2006/main">
          <x14:cfRule type="containsText" priority="405" operator="containsText" id="{52DC8F54-4B6C-4870-BCBC-F9E3A175CEE5}">
            <xm:f>NOT(ISERROR(SEARCH("-",I194)))</xm:f>
            <xm:f>"-"</xm:f>
            <x14:dxf>
              <fill>
                <patternFill>
                  <bgColor rgb="FF00B050"/>
                </patternFill>
              </fill>
            </x14:dxf>
          </x14:cfRule>
          <xm:sqref>I194</xm:sqref>
        </x14:conditionalFormatting>
        <x14:conditionalFormatting xmlns:xm="http://schemas.microsoft.com/office/excel/2006/main">
          <x14:cfRule type="containsText" priority="403" operator="containsText" id="{36618DDF-85BE-4955-A718-5ED3DA75AFEC}">
            <xm:f>NOT(ISERROR(SEARCH("-",I196)))</xm:f>
            <xm:f>"-"</xm:f>
            <x14:dxf>
              <fill>
                <patternFill>
                  <bgColor rgb="FF00B050"/>
                </patternFill>
              </fill>
            </x14:dxf>
          </x14:cfRule>
          <xm:sqref>I196</xm:sqref>
        </x14:conditionalFormatting>
        <x14:conditionalFormatting xmlns:xm="http://schemas.microsoft.com/office/excel/2006/main">
          <x14:cfRule type="containsText" priority="401" operator="containsText" id="{78142C44-2991-4082-BA85-DD24D77186B4}">
            <xm:f>NOT(ISERROR(SEARCH("-",I198)))</xm:f>
            <xm:f>"-"</xm:f>
            <x14:dxf>
              <fill>
                <patternFill>
                  <bgColor rgb="FF00B050"/>
                </patternFill>
              </fill>
            </x14:dxf>
          </x14:cfRule>
          <xm:sqref>I198</xm:sqref>
        </x14:conditionalFormatting>
        <x14:conditionalFormatting xmlns:xm="http://schemas.microsoft.com/office/excel/2006/main">
          <x14:cfRule type="containsText" priority="399" operator="containsText" id="{79726844-F097-4DBC-98F0-C2DC71DD3126}">
            <xm:f>NOT(ISERROR(SEARCH("-",I199)))</xm:f>
            <xm:f>"-"</xm:f>
            <x14:dxf>
              <fill>
                <patternFill>
                  <bgColor rgb="FF00B050"/>
                </patternFill>
              </fill>
            </x14:dxf>
          </x14:cfRule>
          <xm:sqref>I199</xm:sqref>
        </x14:conditionalFormatting>
        <x14:conditionalFormatting xmlns:xm="http://schemas.microsoft.com/office/excel/2006/main">
          <x14:cfRule type="containsText" priority="397" operator="containsText" id="{20CC3110-194F-4E99-B537-431BBF9BF0FF}">
            <xm:f>NOT(ISERROR(SEARCH("-",I200)))</xm:f>
            <xm:f>"-"</xm:f>
            <x14:dxf>
              <fill>
                <patternFill>
                  <bgColor rgb="FF00B050"/>
                </patternFill>
              </fill>
            </x14:dxf>
          </x14:cfRule>
          <xm:sqref>I200</xm:sqref>
        </x14:conditionalFormatting>
        <x14:conditionalFormatting xmlns:xm="http://schemas.microsoft.com/office/excel/2006/main">
          <x14:cfRule type="containsText" priority="395" operator="containsText" id="{57A2B0F3-AB4A-47EC-8D85-093EC802418C}">
            <xm:f>NOT(ISERROR(SEARCH("-",I201)))</xm:f>
            <xm:f>"-"</xm:f>
            <x14:dxf>
              <fill>
                <patternFill>
                  <bgColor rgb="FF00B050"/>
                </patternFill>
              </fill>
            </x14:dxf>
          </x14:cfRule>
          <xm:sqref>I201</xm:sqref>
        </x14:conditionalFormatting>
        <x14:conditionalFormatting xmlns:xm="http://schemas.microsoft.com/office/excel/2006/main">
          <x14:cfRule type="containsText" priority="393" operator="containsText" id="{22BBC61E-3C87-44DC-A750-22CF3BC1AB39}">
            <xm:f>NOT(ISERROR(SEARCH("-",I202)))</xm:f>
            <xm:f>"-"</xm:f>
            <x14:dxf>
              <fill>
                <patternFill>
                  <bgColor rgb="FF00B050"/>
                </patternFill>
              </fill>
            </x14:dxf>
          </x14:cfRule>
          <xm:sqref>I202</xm:sqref>
        </x14:conditionalFormatting>
        <x14:conditionalFormatting xmlns:xm="http://schemas.microsoft.com/office/excel/2006/main">
          <x14:cfRule type="containsText" priority="391" operator="containsText" id="{9F09BD6F-078F-40B0-B4B6-E9B27380F496}">
            <xm:f>NOT(ISERROR(SEARCH("-",I206)))</xm:f>
            <xm:f>"-"</xm:f>
            <x14:dxf>
              <fill>
                <patternFill>
                  <bgColor rgb="FF00B050"/>
                </patternFill>
              </fill>
            </x14:dxf>
          </x14:cfRule>
          <xm:sqref>I206</xm:sqref>
        </x14:conditionalFormatting>
        <x14:conditionalFormatting xmlns:xm="http://schemas.microsoft.com/office/excel/2006/main">
          <x14:cfRule type="containsText" priority="389" operator="containsText" id="{32360516-EA10-4DF0-AC4D-1DD2860C9F00}">
            <xm:f>NOT(ISERROR(SEARCH("-",I208)))</xm:f>
            <xm:f>"-"</xm:f>
            <x14:dxf>
              <fill>
                <patternFill>
                  <bgColor rgb="FF00B050"/>
                </patternFill>
              </fill>
            </x14:dxf>
          </x14:cfRule>
          <xm:sqref>I208</xm:sqref>
        </x14:conditionalFormatting>
        <x14:conditionalFormatting xmlns:xm="http://schemas.microsoft.com/office/excel/2006/main">
          <x14:cfRule type="containsText" priority="387" operator="containsText" id="{94C24C10-0969-4C28-A17C-D5B4EA6A3CE5}">
            <xm:f>NOT(ISERROR(SEARCH("-",I210)))</xm:f>
            <xm:f>"-"</xm:f>
            <x14:dxf>
              <fill>
                <patternFill>
                  <bgColor rgb="FF00B050"/>
                </patternFill>
              </fill>
            </x14:dxf>
          </x14:cfRule>
          <xm:sqref>I210</xm:sqref>
        </x14:conditionalFormatting>
        <x14:conditionalFormatting xmlns:xm="http://schemas.microsoft.com/office/excel/2006/main">
          <x14:cfRule type="containsText" priority="385" operator="containsText" id="{ED755C92-1FFF-409C-93FC-55B291625B56}">
            <xm:f>NOT(ISERROR(SEARCH("-",I211)))</xm:f>
            <xm:f>"-"</xm:f>
            <x14:dxf>
              <fill>
                <patternFill>
                  <bgColor rgb="FF00B050"/>
                </patternFill>
              </fill>
            </x14:dxf>
          </x14:cfRule>
          <xm:sqref>I211</xm:sqref>
        </x14:conditionalFormatting>
        <x14:conditionalFormatting xmlns:xm="http://schemas.microsoft.com/office/excel/2006/main">
          <x14:cfRule type="containsText" priority="383" operator="containsText" id="{F8062FFF-97D4-4E06-BE3E-DC34025E99D6}">
            <xm:f>NOT(ISERROR(SEARCH("-",I212)))</xm:f>
            <xm:f>"-"</xm:f>
            <x14:dxf>
              <fill>
                <patternFill>
                  <bgColor rgb="FF00B050"/>
                </patternFill>
              </fill>
            </x14:dxf>
          </x14:cfRule>
          <xm:sqref>I212</xm:sqref>
        </x14:conditionalFormatting>
        <x14:conditionalFormatting xmlns:xm="http://schemas.microsoft.com/office/excel/2006/main">
          <x14:cfRule type="containsText" priority="381" operator="containsText" id="{3575DF37-8CA0-45DB-A3B1-B5D80BB48581}">
            <xm:f>NOT(ISERROR(SEARCH("-",I213)))</xm:f>
            <xm:f>"-"</xm:f>
            <x14:dxf>
              <fill>
                <patternFill>
                  <bgColor rgb="FF00B050"/>
                </patternFill>
              </fill>
            </x14:dxf>
          </x14:cfRule>
          <xm:sqref>I213</xm:sqref>
        </x14:conditionalFormatting>
        <x14:conditionalFormatting xmlns:xm="http://schemas.microsoft.com/office/excel/2006/main">
          <x14:cfRule type="containsText" priority="379" operator="containsText" id="{72A75825-CAD9-4C13-B6B7-CA7FE1DF315F}">
            <xm:f>NOT(ISERROR(SEARCH("-",I214)))</xm:f>
            <xm:f>"-"</xm:f>
            <x14:dxf>
              <fill>
                <patternFill>
                  <bgColor rgb="FF00B050"/>
                </patternFill>
              </fill>
            </x14:dxf>
          </x14:cfRule>
          <xm:sqref>I214</xm:sqref>
        </x14:conditionalFormatting>
        <x14:conditionalFormatting xmlns:xm="http://schemas.microsoft.com/office/excel/2006/main">
          <x14:cfRule type="containsText" priority="377" operator="containsText" id="{EBE59F52-3248-4248-B136-9918B587579C}">
            <xm:f>NOT(ISERROR(SEARCH("-",I218)))</xm:f>
            <xm:f>"-"</xm:f>
            <x14:dxf>
              <fill>
                <patternFill>
                  <bgColor rgb="FF00B050"/>
                </patternFill>
              </fill>
            </x14:dxf>
          </x14:cfRule>
          <xm:sqref>I218</xm:sqref>
        </x14:conditionalFormatting>
        <x14:conditionalFormatting xmlns:xm="http://schemas.microsoft.com/office/excel/2006/main">
          <x14:cfRule type="containsText" priority="375" operator="containsText" id="{C0DA2259-AA40-4D8B-919D-F17593BB5B5E}">
            <xm:f>NOT(ISERROR(SEARCH("-",I220)))</xm:f>
            <xm:f>"-"</xm:f>
            <x14:dxf>
              <fill>
                <patternFill>
                  <bgColor rgb="FF00B050"/>
                </patternFill>
              </fill>
            </x14:dxf>
          </x14:cfRule>
          <xm:sqref>I220</xm:sqref>
        </x14:conditionalFormatting>
        <x14:conditionalFormatting xmlns:xm="http://schemas.microsoft.com/office/excel/2006/main">
          <x14:cfRule type="containsText" priority="373" operator="containsText" id="{B8A66E22-08EC-40E3-BE59-BDC6CAA5134F}">
            <xm:f>NOT(ISERROR(SEARCH("-",I222)))</xm:f>
            <xm:f>"-"</xm:f>
            <x14:dxf>
              <fill>
                <patternFill>
                  <bgColor rgb="FF00B050"/>
                </patternFill>
              </fill>
            </x14:dxf>
          </x14:cfRule>
          <xm:sqref>I222</xm:sqref>
        </x14:conditionalFormatting>
        <x14:conditionalFormatting xmlns:xm="http://schemas.microsoft.com/office/excel/2006/main">
          <x14:cfRule type="containsText" priority="371" operator="containsText" id="{0B4C1625-040C-42E9-AE7E-A8E9CA572403}">
            <xm:f>NOT(ISERROR(SEARCH("-",I223)))</xm:f>
            <xm:f>"-"</xm:f>
            <x14:dxf>
              <fill>
                <patternFill>
                  <bgColor rgb="FF00B050"/>
                </patternFill>
              </fill>
            </x14:dxf>
          </x14:cfRule>
          <xm:sqref>I223</xm:sqref>
        </x14:conditionalFormatting>
        <x14:conditionalFormatting xmlns:xm="http://schemas.microsoft.com/office/excel/2006/main">
          <x14:cfRule type="containsText" priority="369" operator="containsText" id="{EFB592B7-7557-44CF-942A-CE9464E290D4}">
            <xm:f>NOT(ISERROR(SEARCH("-",I224)))</xm:f>
            <xm:f>"-"</xm:f>
            <x14:dxf>
              <fill>
                <patternFill>
                  <bgColor rgb="FF00B050"/>
                </patternFill>
              </fill>
            </x14:dxf>
          </x14:cfRule>
          <xm:sqref>I224</xm:sqref>
        </x14:conditionalFormatting>
        <x14:conditionalFormatting xmlns:xm="http://schemas.microsoft.com/office/excel/2006/main">
          <x14:cfRule type="containsText" priority="367" operator="containsText" id="{F2CB8723-FB9B-401E-B7AB-F35947C1BF64}">
            <xm:f>NOT(ISERROR(SEARCH("-",I225)))</xm:f>
            <xm:f>"-"</xm:f>
            <x14:dxf>
              <fill>
                <patternFill>
                  <bgColor rgb="FF00B050"/>
                </patternFill>
              </fill>
            </x14:dxf>
          </x14:cfRule>
          <xm:sqref>I225</xm:sqref>
        </x14:conditionalFormatting>
        <x14:conditionalFormatting xmlns:xm="http://schemas.microsoft.com/office/excel/2006/main">
          <x14:cfRule type="containsText" priority="365" operator="containsText" id="{747C82AB-18D1-48ED-8AA7-B8ADB1549EEE}">
            <xm:f>NOT(ISERROR(SEARCH("-",I226)))</xm:f>
            <xm:f>"-"</xm:f>
            <x14:dxf>
              <fill>
                <patternFill>
                  <bgColor rgb="FF00B050"/>
                </patternFill>
              </fill>
            </x14:dxf>
          </x14:cfRule>
          <xm:sqref>I226</xm:sqref>
        </x14:conditionalFormatting>
        <x14:conditionalFormatting xmlns:xm="http://schemas.microsoft.com/office/excel/2006/main">
          <x14:cfRule type="containsText" priority="363" operator="containsText" id="{791EA896-4DEA-4B70-BB21-C1E725EE4445}">
            <xm:f>NOT(ISERROR(SEARCH("-",I230)))</xm:f>
            <xm:f>"-"</xm:f>
            <x14:dxf>
              <fill>
                <patternFill>
                  <bgColor rgb="FF00B050"/>
                </patternFill>
              </fill>
            </x14:dxf>
          </x14:cfRule>
          <xm:sqref>I230</xm:sqref>
        </x14:conditionalFormatting>
        <x14:conditionalFormatting xmlns:xm="http://schemas.microsoft.com/office/excel/2006/main">
          <x14:cfRule type="containsText" priority="361" operator="containsText" id="{8BE034FE-226D-47E0-AF5C-9BD121DCFAF4}">
            <xm:f>NOT(ISERROR(SEARCH("-",I232)))</xm:f>
            <xm:f>"-"</xm:f>
            <x14:dxf>
              <fill>
                <patternFill>
                  <bgColor rgb="FF00B050"/>
                </patternFill>
              </fill>
            </x14:dxf>
          </x14:cfRule>
          <xm:sqref>I232</xm:sqref>
        </x14:conditionalFormatting>
        <x14:conditionalFormatting xmlns:xm="http://schemas.microsoft.com/office/excel/2006/main">
          <x14:cfRule type="containsText" priority="359" operator="containsText" id="{A4572572-2948-4F6C-B7EB-E1A6A8EC521E}">
            <xm:f>NOT(ISERROR(SEARCH("-",I234)))</xm:f>
            <xm:f>"-"</xm:f>
            <x14:dxf>
              <fill>
                <patternFill>
                  <bgColor rgb="FF00B050"/>
                </patternFill>
              </fill>
            </x14:dxf>
          </x14:cfRule>
          <xm:sqref>I234</xm:sqref>
        </x14:conditionalFormatting>
        <x14:conditionalFormatting xmlns:xm="http://schemas.microsoft.com/office/excel/2006/main">
          <x14:cfRule type="containsText" priority="357" operator="containsText" id="{7A6CCCE6-7D2E-449F-825B-6FB0BF442DBD}">
            <xm:f>NOT(ISERROR(SEARCH("-",I235)))</xm:f>
            <xm:f>"-"</xm:f>
            <x14:dxf>
              <fill>
                <patternFill>
                  <bgColor rgb="FF00B050"/>
                </patternFill>
              </fill>
            </x14:dxf>
          </x14:cfRule>
          <xm:sqref>I235</xm:sqref>
        </x14:conditionalFormatting>
        <x14:conditionalFormatting xmlns:xm="http://schemas.microsoft.com/office/excel/2006/main">
          <x14:cfRule type="containsText" priority="355" operator="containsText" id="{4ADBA1E3-BA6A-4FFA-A6BB-C7BF14EA483D}">
            <xm:f>NOT(ISERROR(SEARCH("-",I236)))</xm:f>
            <xm:f>"-"</xm:f>
            <x14:dxf>
              <fill>
                <patternFill>
                  <bgColor rgb="FF00B050"/>
                </patternFill>
              </fill>
            </x14:dxf>
          </x14:cfRule>
          <xm:sqref>I236</xm:sqref>
        </x14:conditionalFormatting>
        <x14:conditionalFormatting xmlns:xm="http://schemas.microsoft.com/office/excel/2006/main">
          <x14:cfRule type="containsText" priority="353" operator="containsText" id="{90FD0F93-01E0-487D-A455-95D1F095C46F}">
            <xm:f>NOT(ISERROR(SEARCH("-",I237)))</xm:f>
            <xm:f>"-"</xm:f>
            <x14:dxf>
              <fill>
                <patternFill>
                  <bgColor rgb="FF00B050"/>
                </patternFill>
              </fill>
            </x14:dxf>
          </x14:cfRule>
          <xm:sqref>I237</xm:sqref>
        </x14:conditionalFormatting>
        <x14:conditionalFormatting xmlns:xm="http://schemas.microsoft.com/office/excel/2006/main">
          <x14:cfRule type="containsText" priority="351" operator="containsText" id="{157D5D50-89B5-457E-9462-2F2B2C94819D}">
            <xm:f>NOT(ISERROR(SEARCH("-",I238)))</xm:f>
            <xm:f>"-"</xm:f>
            <x14:dxf>
              <fill>
                <patternFill>
                  <bgColor rgb="FF00B050"/>
                </patternFill>
              </fill>
            </x14:dxf>
          </x14:cfRule>
          <xm:sqref>I238</xm:sqref>
        </x14:conditionalFormatting>
        <x14:conditionalFormatting xmlns:xm="http://schemas.microsoft.com/office/excel/2006/main">
          <x14:cfRule type="containsText" priority="349" operator="containsText" id="{BBFD43A8-1718-4C4D-B5C7-35B7E786E120}">
            <xm:f>NOT(ISERROR(SEARCH("-",I242)))</xm:f>
            <xm:f>"-"</xm:f>
            <x14:dxf>
              <fill>
                <patternFill>
                  <bgColor rgb="FF00B050"/>
                </patternFill>
              </fill>
            </x14:dxf>
          </x14:cfRule>
          <xm:sqref>I242</xm:sqref>
        </x14:conditionalFormatting>
        <x14:conditionalFormatting xmlns:xm="http://schemas.microsoft.com/office/excel/2006/main">
          <x14:cfRule type="containsText" priority="347" operator="containsText" id="{6DE10B00-E348-4BE2-A872-78796148CCD4}">
            <xm:f>NOT(ISERROR(SEARCH("-",I244)))</xm:f>
            <xm:f>"-"</xm:f>
            <x14:dxf>
              <fill>
                <patternFill>
                  <bgColor rgb="FF00B050"/>
                </patternFill>
              </fill>
            </x14:dxf>
          </x14:cfRule>
          <xm:sqref>I244</xm:sqref>
        </x14:conditionalFormatting>
        <x14:conditionalFormatting xmlns:xm="http://schemas.microsoft.com/office/excel/2006/main">
          <x14:cfRule type="containsText" priority="345" operator="containsText" id="{161227CE-3ECA-445E-A691-879202A8256A}">
            <xm:f>NOT(ISERROR(SEARCH("-",I246)))</xm:f>
            <xm:f>"-"</xm:f>
            <x14:dxf>
              <fill>
                <patternFill>
                  <bgColor rgb="FF00B050"/>
                </patternFill>
              </fill>
            </x14:dxf>
          </x14:cfRule>
          <xm:sqref>I246</xm:sqref>
        </x14:conditionalFormatting>
        <x14:conditionalFormatting xmlns:xm="http://schemas.microsoft.com/office/excel/2006/main">
          <x14:cfRule type="containsText" priority="343" operator="containsText" id="{774BFFD3-46C5-412A-9E3B-230F766A3A1C}">
            <xm:f>NOT(ISERROR(SEARCH("-",I247)))</xm:f>
            <xm:f>"-"</xm:f>
            <x14:dxf>
              <fill>
                <patternFill>
                  <bgColor rgb="FF00B050"/>
                </patternFill>
              </fill>
            </x14:dxf>
          </x14:cfRule>
          <xm:sqref>I247</xm:sqref>
        </x14:conditionalFormatting>
        <x14:conditionalFormatting xmlns:xm="http://schemas.microsoft.com/office/excel/2006/main">
          <x14:cfRule type="containsText" priority="341" operator="containsText" id="{77131F5E-ADC2-4413-8074-A6B06BEA6557}">
            <xm:f>NOT(ISERROR(SEARCH("-",I248)))</xm:f>
            <xm:f>"-"</xm:f>
            <x14:dxf>
              <fill>
                <patternFill>
                  <bgColor rgb="FF00B050"/>
                </patternFill>
              </fill>
            </x14:dxf>
          </x14:cfRule>
          <xm:sqref>I248</xm:sqref>
        </x14:conditionalFormatting>
        <x14:conditionalFormatting xmlns:xm="http://schemas.microsoft.com/office/excel/2006/main">
          <x14:cfRule type="containsText" priority="339" operator="containsText" id="{D2FDB1C1-D3A0-4423-8D77-94564232B2E2}">
            <xm:f>NOT(ISERROR(SEARCH("-",I249)))</xm:f>
            <xm:f>"-"</xm:f>
            <x14:dxf>
              <fill>
                <patternFill>
                  <bgColor rgb="FF00B050"/>
                </patternFill>
              </fill>
            </x14:dxf>
          </x14:cfRule>
          <xm:sqref>I249</xm:sqref>
        </x14:conditionalFormatting>
        <x14:conditionalFormatting xmlns:xm="http://schemas.microsoft.com/office/excel/2006/main">
          <x14:cfRule type="containsText" priority="337" operator="containsText" id="{F10760D5-68C1-486E-9AF1-E953958C3763}">
            <xm:f>NOT(ISERROR(SEARCH("-",I250)))</xm:f>
            <xm:f>"-"</xm:f>
            <x14:dxf>
              <fill>
                <patternFill>
                  <bgColor rgb="FF00B050"/>
                </patternFill>
              </fill>
            </x14:dxf>
          </x14:cfRule>
          <xm:sqref>I250</xm:sqref>
        </x14:conditionalFormatting>
        <x14:conditionalFormatting xmlns:xm="http://schemas.microsoft.com/office/excel/2006/main">
          <x14:cfRule type="containsText" priority="335" operator="containsText" id="{442DEB3F-6897-42F9-8340-4497E6ABDA1F}">
            <xm:f>NOT(ISERROR(SEARCH("-",I254)))</xm:f>
            <xm:f>"-"</xm:f>
            <x14:dxf>
              <fill>
                <patternFill>
                  <bgColor rgb="FF00B050"/>
                </patternFill>
              </fill>
            </x14:dxf>
          </x14:cfRule>
          <xm:sqref>I254</xm:sqref>
        </x14:conditionalFormatting>
        <x14:conditionalFormatting xmlns:xm="http://schemas.microsoft.com/office/excel/2006/main">
          <x14:cfRule type="containsText" priority="333" operator="containsText" id="{439BEF3E-4A99-486E-B613-A7394A0752A2}">
            <xm:f>NOT(ISERROR(SEARCH("-",I256)))</xm:f>
            <xm:f>"-"</xm:f>
            <x14:dxf>
              <fill>
                <patternFill>
                  <bgColor rgb="FF00B050"/>
                </patternFill>
              </fill>
            </x14:dxf>
          </x14:cfRule>
          <xm:sqref>I256</xm:sqref>
        </x14:conditionalFormatting>
        <x14:conditionalFormatting xmlns:xm="http://schemas.microsoft.com/office/excel/2006/main">
          <x14:cfRule type="containsText" priority="331" operator="containsText" id="{D19446B4-F7B2-4A70-996C-B571DD4DD958}">
            <xm:f>NOT(ISERROR(SEARCH("-",I258)))</xm:f>
            <xm:f>"-"</xm:f>
            <x14:dxf>
              <fill>
                <patternFill>
                  <bgColor rgb="FF00B050"/>
                </patternFill>
              </fill>
            </x14:dxf>
          </x14:cfRule>
          <xm:sqref>I258</xm:sqref>
        </x14:conditionalFormatting>
        <x14:conditionalFormatting xmlns:xm="http://schemas.microsoft.com/office/excel/2006/main">
          <x14:cfRule type="containsText" priority="329" operator="containsText" id="{17B16A1F-4E2D-4808-AE19-AE6694BE0DB0}">
            <xm:f>NOT(ISERROR(SEARCH("-",I259)))</xm:f>
            <xm:f>"-"</xm:f>
            <x14:dxf>
              <fill>
                <patternFill>
                  <bgColor rgb="FF00B050"/>
                </patternFill>
              </fill>
            </x14:dxf>
          </x14:cfRule>
          <xm:sqref>I259</xm:sqref>
        </x14:conditionalFormatting>
        <x14:conditionalFormatting xmlns:xm="http://schemas.microsoft.com/office/excel/2006/main">
          <x14:cfRule type="containsText" priority="327" operator="containsText" id="{F8212777-E3C0-439F-8301-19BABC68F879}">
            <xm:f>NOT(ISERROR(SEARCH("-",I260)))</xm:f>
            <xm:f>"-"</xm:f>
            <x14:dxf>
              <fill>
                <patternFill>
                  <bgColor rgb="FF00B050"/>
                </patternFill>
              </fill>
            </x14:dxf>
          </x14:cfRule>
          <xm:sqref>I260</xm:sqref>
        </x14:conditionalFormatting>
        <x14:conditionalFormatting xmlns:xm="http://schemas.microsoft.com/office/excel/2006/main">
          <x14:cfRule type="containsText" priority="325" operator="containsText" id="{C7127E2A-46D7-4559-B595-46FB980ED770}">
            <xm:f>NOT(ISERROR(SEARCH("-",I261)))</xm:f>
            <xm:f>"-"</xm:f>
            <x14:dxf>
              <fill>
                <patternFill>
                  <bgColor rgb="FF00B050"/>
                </patternFill>
              </fill>
            </x14:dxf>
          </x14:cfRule>
          <xm:sqref>I261</xm:sqref>
        </x14:conditionalFormatting>
        <x14:conditionalFormatting xmlns:xm="http://schemas.microsoft.com/office/excel/2006/main">
          <x14:cfRule type="containsText" priority="323" operator="containsText" id="{5D606D56-FD4D-4F69-A27D-C7DA4D6AE263}">
            <xm:f>NOT(ISERROR(SEARCH("-",I262)))</xm:f>
            <xm:f>"-"</xm:f>
            <x14:dxf>
              <fill>
                <patternFill>
                  <bgColor rgb="FF00B050"/>
                </patternFill>
              </fill>
            </x14:dxf>
          </x14:cfRule>
          <xm:sqref>I262</xm:sqref>
        </x14:conditionalFormatting>
        <x14:conditionalFormatting xmlns:xm="http://schemas.microsoft.com/office/excel/2006/main">
          <x14:cfRule type="containsText" priority="321" operator="containsText" id="{68818E52-BA4A-479F-8EEA-50E28630AC7F}">
            <xm:f>NOT(ISERROR(SEARCH("-",I266)))</xm:f>
            <xm:f>"-"</xm:f>
            <x14:dxf>
              <fill>
                <patternFill>
                  <bgColor rgb="FF00B050"/>
                </patternFill>
              </fill>
            </x14:dxf>
          </x14:cfRule>
          <xm:sqref>I266</xm:sqref>
        </x14:conditionalFormatting>
        <x14:conditionalFormatting xmlns:xm="http://schemas.microsoft.com/office/excel/2006/main">
          <x14:cfRule type="containsText" priority="319" operator="containsText" id="{5DCFADDE-F9C5-4F2D-A24E-6A031EE43C67}">
            <xm:f>NOT(ISERROR(SEARCH("-",I268)))</xm:f>
            <xm:f>"-"</xm:f>
            <x14:dxf>
              <fill>
                <patternFill>
                  <bgColor rgb="FF00B050"/>
                </patternFill>
              </fill>
            </x14:dxf>
          </x14:cfRule>
          <xm:sqref>I268</xm:sqref>
        </x14:conditionalFormatting>
        <x14:conditionalFormatting xmlns:xm="http://schemas.microsoft.com/office/excel/2006/main">
          <x14:cfRule type="containsText" priority="317" operator="containsText" id="{5CC6F7A5-52A0-4B01-9D09-F5637457F859}">
            <xm:f>NOT(ISERROR(SEARCH("-",I270)))</xm:f>
            <xm:f>"-"</xm:f>
            <x14:dxf>
              <fill>
                <patternFill>
                  <bgColor rgb="FF00B050"/>
                </patternFill>
              </fill>
            </x14:dxf>
          </x14:cfRule>
          <xm:sqref>I270</xm:sqref>
        </x14:conditionalFormatting>
        <x14:conditionalFormatting xmlns:xm="http://schemas.microsoft.com/office/excel/2006/main">
          <x14:cfRule type="containsText" priority="315" operator="containsText" id="{6C783572-0773-4AB8-9DA3-B1E7FA6A9D7E}">
            <xm:f>NOT(ISERROR(SEARCH("-",I271)))</xm:f>
            <xm:f>"-"</xm:f>
            <x14:dxf>
              <fill>
                <patternFill>
                  <bgColor rgb="FF00B050"/>
                </patternFill>
              </fill>
            </x14:dxf>
          </x14:cfRule>
          <xm:sqref>I271</xm:sqref>
        </x14:conditionalFormatting>
        <x14:conditionalFormatting xmlns:xm="http://schemas.microsoft.com/office/excel/2006/main">
          <x14:cfRule type="containsText" priority="313" operator="containsText" id="{5D3D390A-3370-4581-8E88-123825BC6B3F}">
            <xm:f>NOT(ISERROR(SEARCH("-",I272)))</xm:f>
            <xm:f>"-"</xm:f>
            <x14:dxf>
              <fill>
                <patternFill>
                  <bgColor rgb="FF00B050"/>
                </patternFill>
              </fill>
            </x14:dxf>
          </x14:cfRule>
          <xm:sqref>I272</xm:sqref>
        </x14:conditionalFormatting>
        <x14:conditionalFormatting xmlns:xm="http://schemas.microsoft.com/office/excel/2006/main">
          <x14:cfRule type="containsText" priority="311" operator="containsText" id="{434F9E05-A13B-40E4-8614-CAF1D4BB5075}">
            <xm:f>NOT(ISERROR(SEARCH("-",I273)))</xm:f>
            <xm:f>"-"</xm:f>
            <x14:dxf>
              <fill>
                <patternFill>
                  <bgColor rgb="FF00B050"/>
                </patternFill>
              </fill>
            </x14:dxf>
          </x14:cfRule>
          <xm:sqref>I273</xm:sqref>
        </x14:conditionalFormatting>
        <x14:conditionalFormatting xmlns:xm="http://schemas.microsoft.com/office/excel/2006/main">
          <x14:cfRule type="containsText" priority="309" operator="containsText" id="{28406315-725F-40D6-A0D1-1372B33BD911}">
            <xm:f>NOT(ISERROR(SEARCH("-",I274)))</xm:f>
            <xm:f>"-"</xm:f>
            <x14:dxf>
              <fill>
                <patternFill>
                  <bgColor rgb="FF00B050"/>
                </patternFill>
              </fill>
            </x14:dxf>
          </x14:cfRule>
          <xm:sqref>I274</xm:sqref>
        </x14:conditionalFormatting>
        <x14:conditionalFormatting xmlns:xm="http://schemas.microsoft.com/office/excel/2006/main">
          <x14:cfRule type="containsText" priority="307" operator="containsText" id="{8F2315FC-A407-434B-8475-2DA6DE99ADC4}">
            <xm:f>NOT(ISERROR(SEARCH("-",I278)))</xm:f>
            <xm:f>"-"</xm:f>
            <x14:dxf>
              <fill>
                <patternFill>
                  <bgColor rgb="FF00B050"/>
                </patternFill>
              </fill>
            </x14:dxf>
          </x14:cfRule>
          <xm:sqref>I278</xm:sqref>
        </x14:conditionalFormatting>
        <x14:conditionalFormatting xmlns:xm="http://schemas.microsoft.com/office/excel/2006/main">
          <x14:cfRule type="containsText" priority="305" operator="containsText" id="{0C650EEB-0E3D-4C0E-8BD5-6339E4845333}">
            <xm:f>NOT(ISERROR(SEARCH("-",I280)))</xm:f>
            <xm:f>"-"</xm:f>
            <x14:dxf>
              <fill>
                <patternFill>
                  <bgColor rgb="FF00B050"/>
                </patternFill>
              </fill>
            </x14:dxf>
          </x14:cfRule>
          <xm:sqref>I280</xm:sqref>
        </x14:conditionalFormatting>
        <x14:conditionalFormatting xmlns:xm="http://schemas.microsoft.com/office/excel/2006/main">
          <x14:cfRule type="containsText" priority="303" operator="containsText" id="{FDF9A1BD-ABD3-4FE2-8C9F-C05F4CD44B30}">
            <xm:f>NOT(ISERROR(SEARCH("-",I282)))</xm:f>
            <xm:f>"-"</xm:f>
            <x14:dxf>
              <fill>
                <patternFill>
                  <bgColor rgb="FF00B050"/>
                </patternFill>
              </fill>
            </x14:dxf>
          </x14:cfRule>
          <xm:sqref>I282</xm:sqref>
        </x14:conditionalFormatting>
        <x14:conditionalFormatting xmlns:xm="http://schemas.microsoft.com/office/excel/2006/main">
          <x14:cfRule type="containsText" priority="301" operator="containsText" id="{605403BD-0790-414B-A5F9-11EEDEAA7210}">
            <xm:f>NOT(ISERROR(SEARCH("-",I283)))</xm:f>
            <xm:f>"-"</xm:f>
            <x14:dxf>
              <fill>
                <patternFill>
                  <bgColor rgb="FF00B050"/>
                </patternFill>
              </fill>
            </x14:dxf>
          </x14:cfRule>
          <xm:sqref>I283</xm:sqref>
        </x14:conditionalFormatting>
        <x14:conditionalFormatting xmlns:xm="http://schemas.microsoft.com/office/excel/2006/main">
          <x14:cfRule type="containsText" priority="299" operator="containsText" id="{D11351C4-6EE4-4AE0-8B18-7EFEE1403CAB}">
            <xm:f>NOT(ISERROR(SEARCH("-",I284)))</xm:f>
            <xm:f>"-"</xm:f>
            <x14:dxf>
              <fill>
                <patternFill>
                  <bgColor rgb="FF00B050"/>
                </patternFill>
              </fill>
            </x14:dxf>
          </x14:cfRule>
          <xm:sqref>I284</xm:sqref>
        </x14:conditionalFormatting>
        <x14:conditionalFormatting xmlns:xm="http://schemas.microsoft.com/office/excel/2006/main">
          <x14:cfRule type="containsText" priority="297" operator="containsText" id="{FAE0D3F8-30B3-4457-8B1F-DA6B8A1C08CB}">
            <xm:f>NOT(ISERROR(SEARCH("-",I285)))</xm:f>
            <xm:f>"-"</xm:f>
            <x14:dxf>
              <fill>
                <patternFill>
                  <bgColor rgb="FF00B050"/>
                </patternFill>
              </fill>
            </x14:dxf>
          </x14:cfRule>
          <xm:sqref>I285</xm:sqref>
        </x14:conditionalFormatting>
        <x14:conditionalFormatting xmlns:xm="http://schemas.microsoft.com/office/excel/2006/main">
          <x14:cfRule type="containsText" priority="295" operator="containsText" id="{5249702A-915E-4B0E-8350-8C4B3A85007E}">
            <xm:f>NOT(ISERROR(SEARCH("-",I286)))</xm:f>
            <xm:f>"-"</xm:f>
            <x14:dxf>
              <fill>
                <patternFill>
                  <bgColor rgb="FF00B050"/>
                </patternFill>
              </fill>
            </x14:dxf>
          </x14:cfRule>
          <xm:sqref>I286</xm:sqref>
        </x14:conditionalFormatting>
        <x14:conditionalFormatting xmlns:xm="http://schemas.microsoft.com/office/excel/2006/main">
          <x14:cfRule type="containsText" priority="293" operator="containsText" id="{051816CC-C7A2-4ED9-9077-D3CB26BC8348}">
            <xm:f>NOT(ISERROR(SEARCH("-",I290)))</xm:f>
            <xm:f>"-"</xm:f>
            <x14:dxf>
              <fill>
                <patternFill>
                  <bgColor rgb="FF00B050"/>
                </patternFill>
              </fill>
            </x14:dxf>
          </x14:cfRule>
          <xm:sqref>I290</xm:sqref>
        </x14:conditionalFormatting>
        <x14:conditionalFormatting xmlns:xm="http://schemas.microsoft.com/office/excel/2006/main">
          <x14:cfRule type="containsText" priority="291" operator="containsText" id="{FF0AC778-59A8-49CA-B25D-9C3660EAF646}">
            <xm:f>NOT(ISERROR(SEARCH("-",I292)))</xm:f>
            <xm:f>"-"</xm:f>
            <x14:dxf>
              <fill>
                <patternFill>
                  <bgColor rgb="FF00B050"/>
                </patternFill>
              </fill>
            </x14:dxf>
          </x14:cfRule>
          <xm:sqref>I292</xm:sqref>
        </x14:conditionalFormatting>
        <x14:conditionalFormatting xmlns:xm="http://schemas.microsoft.com/office/excel/2006/main">
          <x14:cfRule type="containsText" priority="289" operator="containsText" id="{FA465EBA-68F0-4FA5-8FE9-3638B7A3547A}">
            <xm:f>NOT(ISERROR(SEARCH("-",I294)))</xm:f>
            <xm:f>"-"</xm:f>
            <x14:dxf>
              <fill>
                <patternFill>
                  <bgColor rgb="FF00B050"/>
                </patternFill>
              </fill>
            </x14:dxf>
          </x14:cfRule>
          <xm:sqref>I294</xm:sqref>
        </x14:conditionalFormatting>
        <x14:conditionalFormatting xmlns:xm="http://schemas.microsoft.com/office/excel/2006/main">
          <x14:cfRule type="containsText" priority="287" operator="containsText" id="{6781D940-BF78-4FFF-83DB-2FFA963C349F}">
            <xm:f>NOT(ISERROR(SEARCH("-",I295)))</xm:f>
            <xm:f>"-"</xm:f>
            <x14:dxf>
              <fill>
                <patternFill>
                  <bgColor rgb="FF00B050"/>
                </patternFill>
              </fill>
            </x14:dxf>
          </x14:cfRule>
          <xm:sqref>I295</xm:sqref>
        </x14:conditionalFormatting>
        <x14:conditionalFormatting xmlns:xm="http://schemas.microsoft.com/office/excel/2006/main">
          <x14:cfRule type="containsText" priority="285" operator="containsText" id="{D6878E6D-528C-4D4F-935E-7E341F06C0CB}">
            <xm:f>NOT(ISERROR(SEARCH("-",I296)))</xm:f>
            <xm:f>"-"</xm:f>
            <x14:dxf>
              <fill>
                <patternFill>
                  <bgColor rgb="FF00B050"/>
                </patternFill>
              </fill>
            </x14:dxf>
          </x14:cfRule>
          <xm:sqref>I296</xm:sqref>
        </x14:conditionalFormatting>
        <x14:conditionalFormatting xmlns:xm="http://schemas.microsoft.com/office/excel/2006/main">
          <x14:cfRule type="containsText" priority="283" operator="containsText" id="{9910F5DA-DDF0-4CF3-BA45-868022BACAB4}">
            <xm:f>NOT(ISERROR(SEARCH("-",I297)))</xm:f>
            <xm:f>"-"</xm:f>
            <x14:dxf>
              <fill>
                <patternFill>
                  <bgColor rgb="FF00B050"/>
                </patternFill>
              </fill>
            </x14:dxf>
          </x14:cfRule>
          <xm:sqref>I297</xm:sqref>
        </x14:conditionalFormatting>
        <x14:conditionalFormatting xmlns:xm="http://schemas.microsoft.com/office/excel/2006/main">
          <x14:cfRule type="containsText" priority="281" operator="containsText" id="{0572AB0C-D457-4B1D-8594-E00490D6564F}">
            <xm:f>NOT(ISERROR(SEARCH("-",I298)))</xm:f>
            <xm:f>"-"</xm:f>
            <x14:dxf>
              <fill>
                <patternFill>
                  <bgColor rgb="FF00B050"/>
                </patternFill>
              </fill>
            </x14:dxf>
          </x14:cfRule>
          <xm:sqref>I298</xm:sqref>
        </x14:conditionalFormatting>
        <x14:conditionalFormatting xmlns:xm="http://schemas.microsoft.com/office/excel/2006/main">
          <x14:cfRule type="containsText" priority="279" operator="containsText" id="{4AF03C5B-5FC3-4E78-8282-6C5D0D0F7110}">
            <xm:f>NOT(ISERROR(SEARCH("-",I302)))</xm:f>
            <xm:f>"-"</xm:f>
            <x14:dxf>
              <fill>
                <patternFill>
                  <bgColor rgb="FF00B050"/>
                </patternFill>
              </fill>
            </x14:dxf>
          </x14:cfRule>
          <xm:sqref>I302</xm:sqref>
        </x14:conditionalFormatting>
        <x14:conditionalFormatting xmlns:xm="http://schemas.microsoft.com/office/excel/2006/main">
          <x14:cfRule type="containsText" priority="277" operator="containsText" id="{2E442FEA-3593-4C1C-A35A-955BD097B184}">
            <xm:f>NOT(ISERROR(SEARCH("-",I304)))</xm:f>
            <xm:f>"-"</xm:f>
            <x14:dxf>
              <fill>
                <patternFill>
                  <bgColor rgb="FF00B050"/>
                </patternFill>
              </fill>
            </x14:dxf>
          </x14:cfRule>
          <xm:sqref>I304</xm:sqref>
        </x14:conditionalFormatting>
        <x14:conditionalFormatting xmlns:xm="http://schemas.microsoft.com/office/excel/2006/main">
          <x14:cfRule type="containsText" priority="275" operator="containsText" id="{30D5C351-2124-4FB2-9A5E-4A7E3FACA28F}">
            <xm:f>NOT(ISERROR(SEARCH("-",I306)))</xm:f>
            <xm:f>"-"</xm:f>
            <x14:dxf>
              <fill>
                <patternFill>
                  <bgColor rgb="FF00B050"/>
                </patternFill>
              </fill>
            </x14:dxf>
          </x14:cfRule>
          <xm:sqref>I306</xm:sqref>
        </x14:conditionalFormatting>
        <x14:conditionalFormatting xmlns:xm="http://schemas.microsoft.com/office/excel/2006/main">
          <x14:cfRule type="containsText" priority="273" operator="containsText" id="{CB921563-3E90-461B-A477-DA66F4C802B4}">
            <xm:f>NOT(ISERROR(SEARCH("-",I307)))</xm:f>
            <xm:f>"-"</xm:f>
            <x14:dxf>
              <fill>
                <patternFill>
                  <bgColor rgb="FF00B050"/>
                </patternFill>
              </fill>
            </x14:dxf>
          </x14:cfRule>
          <xm:sqref>I307</xm:sqref>
        </x14:conditionalFormatting>
        <x14:conditionalFormatting xmlns:xm="http://schemas.microsoft.com/office/excel/2006/main">
          <x14:cfRule type="containsText" priority="271" operator="containsText" id="{D2C9A6CC-E9EE-4E13-BBA6-DAF1768EBB7C}">
            <xm:f>NOT(ISERROR(SEARCH("-",I308)))</xm:f>
            <xm:f>"-"</xm:f>
            <x14:dxf>
              <fill>
                <patternFill>
                  <bgColor rgb="FF00B050"/>
                </patternFill>
              </fill>
            </x14:dxf>
          </x14:cfRule>
          <xm:sqref>I308</xm:sqref>
        </x14:conditionalFormatting>
        <x14:conditionalFormatting xmlns:xm="http://schemas.microsoft.com/office/excel/2006/main">
          <x14:cfRule type="containsText" priority="269" operator="containsText" id="{D2822F93-6112-48AB-B566-84BB84FBC39F}">
            <xm:f>NOT(ISERROR(SEARCH("-",I309)))</xm:f>
            <xm:f>"-"</xm:f>
            <x14:dxf>
              <fill>
                <patternFill>
                  <bgColor rgb="FF00B050"/>
                </patternFill>
              </fill>
            </x14:dxf>
          </x14:cfRule>
          <xm:sqref>I309</xm:sqref>
        </x14:conditionalFormatting>
        <x14:conditionalFormatting xmlns:xm="http://schemas.microsoft.com/office/excel/2006/main">
          <x14:cfRule type="containsText" priority="267" operator="containsText" id="{C4E1674E-FDCB-4ECE-A8DD-DEACF7FA658F}">
            <xm:f>NOT(ISERROR(SEARCH("-",I310)))</xm:f>
            <xm:f>"-"</xm:f>
            <x14:dxf>
              <fill>
                <patternFill>
                  <bgColor rgb="FF00B050"/>
                </patternFill>
              </fill>
            </x14:dxf>
          </x14:cfRule>
          <xm:sqref>I310</xm:sqref>
        </x14:conditionalFormatting>
        <x14:conditionalFormatting xmlns:xm="http://schemas.microsoft.com/office/excel/2006/main">
          <x14:cfRule type="containsText" priority="265" operator="containsText" id="{40F9D070-0635-4D5F-89DE-EE677A4BCA92}">
            <xm:f>NOT(ISERROR(SEARCH("-",I314)))</xm:f>
            <xm:f>"-"</xm:f>
            <x14:dxf>
              <fill>
                <patternFill>
                  <bgColor rgb="FF00B050"/>
                </patternFill>
              </fill>
            </x14:dxf>
          </x14:cfRule>
          <xm:sqref>I314</xm:sqref>
        </x14:conditionalFormatting>
        <x14:conditionalFormatting xmlns:xm="http://schemas.microsoft.com/office/excel/2006/main">
          <x14:cfRule type="containsText" priority="263" operator="containsText" id="{036C7D97-712A-4D5C-A31B-9388381E4F8E}">
            <xm:f>NOT(ISERROR(SEARCH("-",I316)))</xm:f>
            <xm:f>"-"</xm:f>
            <x14:dxf>
              <fill>
                <patternFill>
                  <bgColor rgb="FF00B050"/>
                </patternFill>
              </fill>
            </x14:dxf>
          </x14:cfRule>
          <xm:sqref>I316</xm:sqref>
        </x14:conditionalFormatting>
        <x14:conditionalFormatting xmlns:xm="http://schemas.microsoft.com/office/excel/2006/main">
          <x14:cfRule type="containsText" priority="261" operator="containsText" id="{3197CD81-8DE7-4C9B-8C18-7C9EFD89FC22}">
            <xm:f>NOT(ISERROR(SEARCH("-",I318)))</xm:f>
            <xm:f>"-"</xm:f>
            <x14:dxf>
              <fill>
                <patternFill>
                  <bgColor rgb="FF00B050"/>
                </patternFill>
              </fill>
            </x14:dxf>
          </x14:cfRule>
          <xm:sqref>I318</xm:sqref>
        </x14:conditionalFormatting>
        <x14:conditionalFormatting xmlns:xm="http://schemas.microsoft.com/office/excel/2006/main">
          <x14:cfRule type="containsText" priority="259" operator="containsText" id="{9E030D5E-9B1B-4474-B4A5-16CA47D51603}">
            <xm:f>NOT(ISERROR(SEARCH("-",I319)))</xm:f>
            <xm:f>"-"</xm:f>
            <x14:dxf>
              <fill>
                <patternFill>
                  <bgColor rgb="FF00B050"/>
                </patternFill>
              </fill>
            </x14:dxf>
          </x14:cfRule>
          <xm:sqref>I319</xm:sqref>
        </x14:conditionalFormatting>
        <x14:conditionalFormatting xmlns:xm="http://schemas.microsoft.com/office/excel/2006/main">
          <x14:cfRule type="containsText" priority="257" operator="containsText" id="{1C5C6D96-5AD2-4085-8800-B08504F81C61}">
            <xm:f>NOT(ISERROR(SEARCH("-",I320)))</xm:f>
            <xm:f>"-"</xm:f>
            <x14:dxf>
              <fill>
                <patternFill>
                  <bgColor rgb="FF00B050"/>
                </patternFill>
              </fill>
            </x14:dxf>
          </x14:cfRule>
          <xm:sqref>I320</xm:sqref>
        </x14:conditionalFormatting>
        <x14:conditionalFormatting xmlns:xm="http://schemas.microsoft.com/office/excel/2006/main">
          <x14:cfRule type="containsText" priority="255" operator="containsText" id="{D6DA1974-FDE9-4646-88B8-C0AF37A474B4}">
            <xm:f>NOT(ISERROR(SEARCH("-",I321)))</xm:f>
            <xm:f>"-"</xm:f>
            <x14:dxf>
              <fill>
                <patternFill>
                  <bgColor rgb="FF00B050"/>
                </patternFill>
              </fill>
            </x14:dxf>
          </x14:cfRule>
          <xm:sqref>I321</xm:sqref>
        </x14:conditionalFormatting>
        <x14:conditionalFormatting xmlns:xm="http://schemas.microsoft.com/office/excel/2006/main">
          <x14:cfRule type="containsText" priority="253" operator="containsText" id="{A8854098-323E-4AFA-86DD-0219FD7C9475}">
            <xm:f>NOT(ISERROR(SEARCH("-",I322)))</xm:f>
            <xm:f>"-"</xm:f>
            <x14:dxf>
              <fill>
                <patternFill>
                  <bgColor rgb="FF00B050"/>
                </patternFill>
              </fill>
            </x14:dxf>
          </x14:cfRule>
          <xm:sqref>I322</xm:sqref>
        </x14:conditionalFormatting>
        <x14:conditionalFormatting xmlns:xm="http://schemas.microsoft.com/office/excel/2006/main">
          <x14:cfRule type="containsText" priority="251" operator="containsText" id="{67758392-0DB3-4771-A91E-91F27C6F51E9}">
            <xm:f>NOT(ISERROR(SEARCH("-",I326)))</xm:f>
            <xm:f>"-"</xm:f>
            <x14:dxf>
              <fill>
                <patternFill>
                  <bgColor rgb="FF00B050"/>
                </patternFill>
              </fill>
            </x14:dxf>
          </x14:cfRule>
          <xm:sqref>I326</xm:sqref>
        </x14:conditionalFormatting>
        <x14:conditionalFormatting xmlns:xm="http://schemas.microsoft.com/office/excel/2006/main">
          <x14:cfRule type="containsText" priority="249" operator="containsText" id="{CC785672-AD54-48ED-8B68-8D9A6A340EBA}">
            <xm:f>NOT(ISERROR(SEARCH("-",I328)))</xm:f>
            <xm:f>"-"</xm:f>
            <x14:dxf>
              <fill>
                <patternFill>
                  <bgColor rgb="FF00B050"/>
                </patternFill>
              </fill>
            </x14:dxf>
          </x14:cfRule>
          <xm:sqref>I328</xm:sqref>
        </x14:conditionalFormatting>
        <x14:conditionalFormatting xmlns:xm="http://schemas.microsoft.com/office/excel/2006/main">
          <x14:cfRule type="containsText" priority="247" operator="containsText" id="{C16D95FD-071F-439A-97A3-522FFD09A6A9}">
            <xm:f>NOT(ISERROR(SEARCH("-",I330)))</xm:f>
            <xm:f>"-"</xm:f>
            <x14:dxf>
              <fill>
                <patternFill>
                  <bgColor rgb="FF00B050"/>
                </patternFill>
              </fill>
            </x14:dxf>
          </x14:cfRule>
          <xm:sqref>I330</xm:sqref>
        </x14:conditionalFormatting>
        <x14:conditionalFormatting xmlns:xm="http://schemas.microsoft.com/office/excel/2006/main">
          <x14:cfRule type="containsText" priority="245" operator="containsText" id="{DD74EC73-AE38-45A5-9F98-49E9D7388EE8}">
            <xm:f>NOT(ISERROR(SEARCH("-",I331)))</xm:f>
            <xm:f>"-"</xm:f>
            <x14:dxf>
              <fill>
                <patternFill>
                  <bgColor rgb="FF00B050"/>
                </patternFill>
              </fill>
            </x14:dxf>
          </x14:cfRule>
          <xm:sqref>I331</xm:sqref>
        </x14:conditionalFormatting>
        <x14:conditionalFormatting xmlns:xm="http://schemas.microsoft.com/office/excel/2006/main">
          <x14:cfRule type="containsText" priority="243" operator="containsText" id="{DEE53699-1B75-4EE4-9483-006D8588923C}">
            <xm:f>NOT(ISERROR(SEARCH("-",I332)))</xm:f>
            <xm:f>"-"</xm:f>
            <x14:dxf>
              <fill>
                <patternFill>
                  <bgColor rgb="FF00B050"/>
                </patternFill>
              </fill>
            </x14:dxf>
          </x14:cfRule>
          <xm:sqref>I332</xm:sqref>
        </x14:conditionalFormatting>
        <x14:conditionalFormatting xmlns:xm="http://schemas.microsoft.com/office/excel/2006/main">
          <x14:cfRule type="containsText" priority="241" operator="containsText" id="{C3F1CB42-28D5-4739-9706-FD197EF1239E}">
            <xm:f>NOT(ISERROR(SEARCH("-",I333)))</xm:f>
            <xm:f>"-"</xm:f>
            <x14:dxf>
              <fill>
                <patternFill>
                  <bgColor rgb="FF00B050"/>
                </patternFill>
              </fill>
            </x14:dxf>
          </x14:cfRule>
          <xm:sqref>I333</xm:sqref>
        </x14:conditionalFormatting>
        <x14:conditionalFormatting xmlns:xm="http://schemas.microsoft.com/office/excel/2006/main">
          <x14:cfRule type="containsText" priority="239" operator="containsText" id="{7BD4EF86-99F5-47E4-8C10-0593E924DE1D}">
            <xm:f>NOT(ISERROR(SEARCH("-",I334)))</xm:f>
            <xm:f>"-"</xm:f>
            <x14:dxf>
              <fill>
                <patternFill>
                  <bgColor rgb="FF00B050"/>
                </patternFill>
              </fill>
            </x14:dxf>
          </x14:cfRule>
          <xm:sqref>I334</xm:sqref>
        </x14:conditionalFormatting>
        <x14:conditionalFormatting xmlns:xm="http://schemas.microsoft.com/office/excel/2006/main">
          <x14:cfRule type="containsText" priority="237" operator="containsText" id="{D31719BA-2640-4E36-9F04-5D70929B761B}">
            <xm:f>NOT(ISERROR(SEARCH("-",I338)))</xm:f>
            <xm:f>"-"</xm:f>
            <x14:dxf>
              <fill>
                <patternFill>
                  <bgColor rgb="FF00B050"/>
                </patternFill>
              </fill>
            </x14:dxf>
          </x14:cfRule>
          <xm:sqref>I338</xm:sqref>
        </x14:conditionalFormatting>
        <x14:conditionalFormatting xmlns:xm="http://schemas.microsoft.com/office/excel/2006/main">
          <x14:cfRule type="containsText" priority="235" operator="containsText" id="{63B042F5-234D-4DD6-AA01-08AD1DD97C29}">
            <xm:f>NOT(ISERROR(SEARCH("-",I340)))</xm:f>
            <xm:f>"-"</xm:f>
            <x14:dxf>
              <fill>
                <patternFill>
                  <bgColor rgb="FF00B050"/>
                </patternFill>
              </fill>
            </x14:dxf>
          </x14:cfRule>
          <xm:sqref>I340</xm:sqref>
        </x14:conditionalFormatting>
        <x14:conditionalFormatting xmlns:xm="http://schemas.microsoft.com/office/excel/2006/main">
          <x14:cfRule type="containsText" priority="233" operator="containsText" id="{F177A7EC-B351-4B0F-AE1A-2B495F3F32DD}">
            <xm:f>NOT(ISERROR(SEARCH("-",I342)))</xm:f>
            <xm:f>"-"</xm:f>
            <x14:dxf>
              <fill>
                <patternFill>
                  <bgColor rgb="FF00B050"/>
                </patternFill>
              </fill>
            </x14:dxf>
          </x14:cfRule>
          <xm:sqref>I342</xm:sqref>
        </x14:conditionalFormatting>
        <x14:conditionalFormatting xmlns:xm="http://schemas.microsoft.com/office/excel/2006/main">
          <x14:cfRule type="containsText" priority="231" operator="containsText" id="{E9CB1510-18A5-4D59-BC6C-1786E6CC1906}">
            <xm:f>NOT(ISERROR(SEARCH("-",I343)))</xm:f>
            <xm:f>"-"</xm:f>
            <x14:dxf>
              <fill>
                <patternFill>
                  <bgColor rgb="FF00B050"/>
                </patternFill>
              </fill>
            </x14:dxf>
          </x14:cfRule>
          <xm:sqref>I343</xm:sqref>
        </x14:conditionalFormatting>
        <x14:conditionalFormatting xmlns:xm="http://schemas.microsoft.com/office/excel/2006/main">
          <x14:cfRule type="containsText" priority="229" operator="containsText" id="{EDBCEBC0-DAD1-4612-A97D-DD51930E1C09}">
            <xm:f>NOT(ISERROR(SEARCH("-",I344)))</xm:f>
            <xm:f>"-"</xm:f>
            <x14:dxf>
              <fill>
                <patternFill>
                  <bgColor rgb="FF00B050"/>
                </patternFill>
              </fill>
            </x14:dxf>
          </x14:cfRule>
          <xm:sqref>I344</xm:sqref>
        </x14:conditionalFormatting>
        <x14:conditionalFormatting xmlns:xm="http://schemas.microsoft.com/office/excel/2006/main">
          <x14:cfRule type="containsText" priority="227" operator="containsText" id="{F2BB09B3-9D1D-4E58-9742-137E5AF67C86}">
            <xm:f>NOT(ISERROR(SEARCH("-",I345)))</xm:f>
            <xm:f>"-"</xm:f>
            <x14:dxf>
              <fill>
                <patternFill>
                  <bgColor rgb="FF00B050"/>
                </patternFill>
              </fill>
            </x14:dxf>
          </x14:cfRule>
          <xm:sqref>I345</xm:sqref>
        </x14:conditionalFormatting>
        <x14:conditionalFormatting xmlns:xm="http://schemas.microsoft.com/office/excel/2006/main">
          <x14:cfRule type="containsText" priority="225" operator="containsText" id="{BD885236-5B72-4646-AF9E-103770A2123E}">
            <xm:f>NOT(ISERROR(SEARCH("-",I346)))</xm:f>
            <xm:f>"-"</xm:f>
            <x14:dxf>
              <fill>
                <patternFill>
                  <bgColor rgb="FF00B050"/>
                </patternFill>
              </fill>
            </x14:dxf>
          </x14:cfRule>
          <xm:sqref>I346</xm:sqref>
        </x14:conditionalFormatting>
        <x14:conditionalFormatting xmlns:xm="http://schemas.microsoft.com/office/excel/2006/main">
          <x14:cfRule type="containsText" priority="223" operator="containsText" id="{A7703713-48BC-4E24-97C9-FDED1BF87079}">
            <xm:f>NOT(ISERROR(SEARCH("-",I350)))</xm:f>
            <xm:f>"-"</xm:f>
            <x14:dxf>
              <fill>
                <patternFill>
                  <bgColor rgb="FF00B050"/>
                </patternFill>
              </fill>
            </x14:dxf>
          </x14:cfRule>
          <xm:sqref>I350</xm:sqref>
        </x14:conditionalFormatting>
        <x14:conditionalFormatting xmlns:xm="http://schemas.microsoft.com/office/excel/2006/main">
          <x14:cfRule type="containsText" priority="221" operator="containsText" id="{C2D5228B-B755-4057-8C96-6A77DCA93636}">
            <xm:f>NOT(ISERROR(SEARCH("-",I352)))</xm:f>
            <xm:f>"-"</xm:f>
            <x14:dxf>
              <fill>
                <patternFill>
                  <bgColor rgb="FF00B050"/>
                </patternFill>
              </fill>
            </x14:dxf>
          </x14:cfRule>
          <xm:sqref>I352</xm:sqref>
        </x14:conditionalFormatting>
        <x14:conditionalFormatting xmlns:xm="http://schemas.microsoft.com/office/excel/2006/main">
          <x14:cfRule type="containsText" priority="219" operator="containsText" id="{574FC7CA-C9CE-4A65-A879-73BA5186D754}">
            <xm:f>NOT(ISERROR(SEARCH("-",I354)))</xm:f>
            <xm:f>"-"</xm:f>
            <x14:dxf>
              <fill>
                <patternFill>
                  <bgColor rgb="FF00B050"/>
                </patternFill>
              </fill>
            </x14:dxf>
          </x14:cfRule>
          <xm:sqref>I354</xm:sqref>
        </x14:conditionalFormatting>
        <x14:conditionalFormatting xmlns:xm="http://schemas.microsoft.com/office/excel/2006/main">
          <x14:cfRule type="containsText" priority="217" operator="containsText" id="{59726A55-F6C0-4B06-8FAE-46B1E065020C}">
            <xm:f>NOT(ISERROR(SEARCH("-",I355)))</xm:f>
            <xm:f>"-"</xm:f>
            <x14:dxf>
              <fill>
                <patternFill>
                  <bgColor rgb="FF00B050"/>
                </patternFill>
              </fill>
            </x14:dxf>
          </x14:cfRule>
          <xm:sqref>I355</xm:sqref>
        </x14:conditionalFormatting>
        <x14:conditionalFormatting xmlns:xm="http://schemas.microsoft.com/office/excel/2006/main">
          <x14:cfRule type="containsText" priority="215" operator="containsText" id="{20416816-2963-4C0A-A768-8D7804B3E1DE}">
            <xm:f>NOT(ISERROR(SEARCH("-",I356)))</xm:f>
            <xm:f>"-"</xm:f>
            <x14:dxf>
              <fill>
                <patternFill>
                  <bgColor rgb="FF00B050"/>
                </patternFill>
              </fill>
            </x14:dxf>
          </x14:cfRule>
          <xm:sqref>I356</xm:sqref>
        </x14:conditionalFormatting>
        <x14:conditionalFormatting xmlns:xm="http://schemas.microsoft.com/office/excel/2006/main">
          <x14:cfRule type="containsText" priority="213" operator="containsText" id="{7FA2391A-7CCC-4DDF-97B8-18A2B05D16A4}">
            <xm:f>NOT(ISERROR(SEARCH("-",I357)))</xm:f>
            <xm:f>"-"</xm:f>
            <x14:dxf>
              <fill>
                <patternFill>
                  <bgColor rgb="FF00B050"/>
                </patternFill>
              </fill>
            </x14:dxf>
          </x14:cfRule>
          <xm:sqref>I357</xm:sqref>
        </x14:conditionalFormatting>
        <x14:conditionalFormatting xmlns:xm="http://schemas.microsoft.com/office/excel/2006/main">
          <x14:cfRule type="containsText" priority="211" operator="containsText" id="{463B7FD8-889B-4104-9AA7-8576E9614198}">
            <xm:f>NOT(ISERROR(SEARCH("-",I358)))</xm:f>
            <xm:f>"-"</xm:f>
            <x14:dxf>
              <fill>
                <patternFill>
                  <bgColor rgb="FF00B050"/>
                </patternFill>
              </fill>
            </x14:dxf>
          </x14:cfRule>
          <xm:sqref>I358</xm:sqref>
        </x14:conditionalFormatting>
        <x14:conditionalFormatting xmlns:xm="http://schemas.microsoft.com/office/excel/2006/main">
          <x14:cfRule type="containsText" priority="209" operator="containsText" id="{8557BA1C-8DA5-43CD-8B89-5F9F1E173D34}">
            <xm:f>NOT(ISERROR(SEARCH("-",I362)))</xm:f>
            <xm:f>"-"</xm:f>
            <x14:dxf>
              <fill>
                <patternFill>
                  <bgColor rgb="FF00B050"/>
                </patternFill>
              </fill>
            </x14:dxf>
          </x14:cfRule>
          <xm:sqref>I362</xm:sqref>
        </x14:conditionalFormatting>
        <x14:conditionalFormatting xmlns:xm="http://schemas.microsoft.com/office/excel/2006/main">
          <x14:cfRule type="containsText" priority="207" operator="containsText" id="{F0CC5112-D126-408C-9583-1592634790F1}">
            <xm:f>NOT(ISERROR(SEARCH("-",I364)))</xm:f>
            <xm:f>"-"</xm:f>
            <x14:dxf>
              <fill>
                <patternFill>
                  <bgColor rgb="FF00B050"/>
                </patternFill>
              </fill>
            </x14:dxf>
          </x14:cfRule>
          <xm:sqref>I364</xm:sqref>
        </x14:conditionalFormatting>
        <x14:conditionalFormatting xmlns:xm="http://schemas.microsoft.com/office/excel/2006/main">
          <x14:cfRule type="containsText" priority="205" operator="containsText" id="{FBFC5AA3-5683-4E6C-82EB-E28215EE2B81}">
            <xm:f>NOT(ISERROR(SEARCH("-",I366)))</xm:f>
            <xm:f>"-"</xm:f>
            <x14:dxf>
              <fill>
                <patternFill>
                  <bgColor rgb="FF00B050"/>
                </patternFill>
              </fill>
            </x14:dxf>
          </x14:cfRule>
          <xm:sqref>I366</xm:sqref>
        </x14:conditionalFormatting>
        <x14:conditionalFormatting xmlns:xm="http://schemas.microsoft.com/office/excel/2006/main">
          <x14:cfRule type="containsText" priority="203" operator="containsText" id="{A21E3F02-411D-47FA-B336-D74C61B0099E}">
            <xm:f>NOT(ISERROR(SEARCH("-",I367)))</xm:f>
            <xm:f>"-"</xm:f>
            <x14:dxf>
              <fill>
                <patternFill>
                  <bgColor rgb="FF00B050"/>
                </patternFill>
              </fill>
            </x14:dxf>
          </x14:cfRule>
          <xm:sqref>I367</xm:sqref>
        </x14:conditionalFormatting>
        <x14:conditionalFormatting xmlns:xm="http://schemas.microsoft.com/office/excel/2006/main">
          <x14:cfRule type="containsText" priority="201" operator="containsText" id="{E1D16C9B-4ABB-4E80-9C54-8AAE623F5090}">
            <xm:f>NOT(ISERROR(SEARCH("-",I368)))</xm:f>
            <xm:f>"-"</xm:f>
            <x14:dxf>
              <fill>
                <patternFill>
                  <bgColor rgb="FF00B050"/>
                </patternFill>
              </fill>
            </x14:dxf>
          </x14:cfRule>
          <xm:sqref>I368</xm:sqref>
        </x14:conditionalFormatting>
        <x14:conditionalFormatting xmlns:xm="http://schemas.microsoft.com/office/excel/2006/main">
          <x14:cfRule type="containsText" priority="198" operator="containsText" id="{F99CD933-728D-4098-A981-2FC4010C4D24}">
            <xm:f>NOT(ISERROR(SEARCH("-",I369)))</xm:f>
            <xm:f>"-"</xm:f>
            <x14:dxf>
              <fill>
                <patternFill>
                  <bgColor rgb="FF00B050"/>
                </patternFill>
              </fill>
            </x14:dxf>
          </x14:cfRule>
          <xm:sqref>I369</xm:sqref>
        </x14:conditionalFormatting>
        <x14:conditionalFormatting xmlns:xm="http://schemas.microsoft.com/office/excel/2006/main">
          <x14:cfRule type="containsText" priority="196" operator="containsText" id="{86655828-77A8-4A59-A3E6-5542AEAF3DC3}">
            <xm:f>NOT(ISERROR(SEARCH("-",I370)))</xm:f>
            <xm:f>"-"</xm:f>
            <x14:dxf>
              <fill>
                <patternFill>
                  <bgColor rgb="FF00B050"/>
                </patternFill>
              </fill>
            </x14:dxf>
          </x14:cfRule>
          <xm:sqref>I370</xm:sqref>
        </x14:conditionalFormatting>
        <x14:conditionalFormatting xmlns:xm="http://schemas.microsoft.com/office/excel/2006/main">
          <x14:cfRule type="containsText" priority="194" operator="containsText" id="{7F0AB48C-D5D0-4142-B8B9-57C967451556}">
            <xm:f>NOT(ISERROR(SEARCH("-",I374)))</xm:f>
            <xm:f>"-"</xm:f>
            <x14:dxf>
              <fill>
                <patternFill>
                  <bgColor rgb="FF00B050"/>
                </patternFill>
              </fill>
            </x14:dxf>
          </x14:cfRule>
          <xm:sqref>I374</xm:sqref>
        </x14:conditionalFormatting>
        <x14:conditionalFormatting xmlns:xm="http://schemas.microsoft.com/office/excel/2006/main">
          <x14:cfRule type="containsText" priority="192" operator="containsText" id="{715314BB-A75C-44C7-BDCC-A7E9C3EFD698}">
            <xm:f>NOT(ISERROR(SEARCH("-",I376)))</xm:f>
            <xm:f>"-"</xm:f>
            <x14:dxf>
              <fill>
                <patternFill>
                  <bgColor rgb="FF00B050"/>
                </patternFill>
              </fill>
            </x14:dxf>
          </x14:cfRule>
          <xm:sqref>I376</xm:sqref>
        </x14:conditionalFormatting>
        <x14:conditionalFormatting xmlns:xm="http://schemas.microsoft.com/office/excel/2006/main">
          <x14:cfRule type="containsText" priority="190" operator="containsText" id="{53568D6B-AC42-452B-91DA-9C341CCB96D0}">
            <xm:f>NOT(ISERROR(SEARCH("-",I378)))</xm:f>
            <xm:f>"-"</xm:f>
            <x14:dxf>
              <fill>
                <patternFill>
                  <bgColor rgb="FF00B050"/>
                </patternFill>
              </fill>
            </x14:dxf>
          </x14:cfRule>
          <xm:sqref>I378</xm:sqref>
        </x14:conditionalFormatting>
        <x14:conditionalFormatting xmlns:xm="http://schemas.microsoft.com/office/excel/2006/main">
          <x14:cfRule type="containsText" priority="188" operator="containsText" id="{99B36ED7-D01C-4BB0-AFEC-4D919D6C0B16}">
            <xm:f>NOT(ISERROR(SEARCH("-",I379)))</xm:f>
            <xm:f>"-"</xm:f>
            <x14:dxf>
              <fill>
                <patternFill>
                  <bgColor rgb="FF00B050"/>
                </patternFill>
              </fill>
            </x14:dxf>
          </x14:cfRule>
          <xm:sqref>I379</xm:sqref>
        </x14:conditionalFormatting>
        <x14:conditionalFormatting xmlns:xm="http://schemas.microsoft.com/office/excel/2006/main">
          <x14:cfRule type="containsText" priority="186" operator="containsText" id="{0F88B7C6-1ACB-40A7-916B-53F779B5ED02}">
            <xm:f>NOT(ISERROR(SEARCH("-",I380)))</xm:f>
            <xm:f>"-"</xm:f>
            <x14:dxf>
              <fill>
                <patternFill>
                  <bgColor rgb="FF00B050"/>
                </patternFill>
              </fill>
            </x14:dxf>
          </x14:cfRule>
          <xm:sqref>I380</xm:sqref>
        </x14:conditionalFormatting>
        <x14:conditionalFormatting xmlns:xm="http://schemas.microsoft.com/office/excel/2006/main">
          <x14:cfRule type="containsText" priority="184" operator="containsText" id="{D1513982-8BD9-4B18-AD78-18DCE85094DD}">
            <xm:f>NOT(ISERROR(SEARCH("-",I381)))</xm:f>
            <xm:f>"-"</xm:f>
            <x14:dxf>
              <fill>
                <patternFill>
                  <bgColor rgb="FF00B050"/>
                </patternFill>
              </fill>
            </x14:dxf>
          </x14:cfRule>
          <xm:sqref>I381</xm:sqref>
        </x14:conditionalFormatting>
        <x14:conditionalFormatting xmlns:xm="http://schemas.microsoft.com/office/excel/2006/main">
          <x14:cfRule type="containsText" priority="182" operator="containsText" id="{9C2AEE1E-E3BD-4C9D-B308-8D45053EFFA7}">
            <xm:f>NOT(ISERROR(SEARCH("-",I382)))</xm:f>
            <xm:f>"-"</xm:f>
            <x14:dxf>
              <fill>
                <patternFill>
                  <bgColor rgb="FF00B050"/>
                </patternFill>
              </fill>
            </x14:dxf>
          </x14:cfRule>
          <xm:sqref>I382</xm:sqref>
        </x14:conditionalFormatting>
        <x14:conditionalFormatting xmlns:xm="http://schemas.microsoft.com/office/excel/2006/main">
          <x14:cfRule type="containsText" priority="180" operator="containsText" id="{5F362AAB-0B5E-451F-891F-0C3B506BCCA5}">
            <xm:f>NOT(ISERROR(SEARCH("-",I389)))</xm:f>
            <xm:f>"-"</xm:f>
            <x14:dxf>
              <fill>
                <patternFill>
                  <bgColor rgb="FF00B050"/>
                </patternFill>
              </fill>
            </x14:dxf>
          </x14:cfRule>
          <xm:sqref>I389</xm:sqref>
        </x14:conditionalFormatting>
        <x14:conditionalFormatting xmlns:xm="http://schemas.microsoft.com/office/excel/2006/main">
          <x14:cfRule type="containsText" priority="178" operator="containsText" id="{860EE2F9-964E-45A5-A7C7-0F41ACACE7C5}">
            <xm:f>NOT(ISERROR(SEARCH("-",I391)))</xm:f>
            <xm:f>"-"</xm:f>
            <x14:dxf>
              <fill>
                <patternFill>
                  <bgColor rgb="FF00B050"/>
                </patternFill>
              </fill>
            </x14:dxf>
          </x14:cfRule>
          <xm:sqref>I391</xm:sqref>
        </x14:conditionalFormatting>
        <x14:conditionalFormatting xmlns:xm="http://schemas.microsoft.com/office/excel/2006/main">
          <x14:cfRule type="containsText" priority="176" operator="containsText" id="{B32941C3-D22B-4CF4-AD04-75F148A118D8}">
            <xm:f>NOT(ISERROR(SEARCH("-",I393)))</xm:f>
            <xm:f>"-"</xm:f>
            <x14:dxf>
              <fill>
                <patternFill>
                  <bgColor rgb="FF00B050"/>
                </patternFill>
              </fill>
            </x14:dxf>
          </x14:cfRule>
          <xm:sqref>I393</xm:sqref>
        </x14:conditionalFormatting>
        <x14:conditionalFormatting xmlns:xm="http://schemas.microsoft.com/office/excel/2006/main">
          <x14:cfRule type="containsText" priority="174" operator="containsText" id="{CB5EF047-98C5-4970-9814-65C037A99553}">
            <xm:f>NOT(ISERROR(SEARCH("-",I394)))</xm:f>
            <xm:f>"-"</xm:f>
            <x14:dxf>
              <fill>
                <patternFill>
                  <bgColor rgb="FF00B050"/>
                </patternFill>
              </fill>
            </x14:dxf>
          </x14:cfRule>
          <xm:sqref>I394</xm:sqref>
        </x14:conditionalFormatting>
        <x14:conditionalFormatting xmlns:xm="http://schemas.microsoft.com/office/excel/2006/main">
          <x14:cfRule type="containsText" priority="172" operator="containsText" id="{5D7065A9-7555-4A39-BAD2-D04F82A9016C}">
            <xm:f>NOT(ISERROR(SEARCH("-",I395)))</xm:f>
            <xm:f>"-"</xm:f>
            <x14:dxf>
              <fill>
                <patternFill>
                  <bgColor rgb="FF00B050"/>
                </patternFill>
              </fill>
            </x14:dxf>
          </x14:cfRule>
          <xm:sqref>I395</xm:sqref>
        </x14:conditionalFormatting>
        <x14:conditionalFormatting xmlns:xm="http://schemas.microsoft.com/office/excel/2006/main">
          <x14:cfRule type="containsText" priority="170" operator="containsText" id="{18E38E7B-B759-4F49-8BA7-A049EFD3F4B1}">
            <xm:f>NOT(ISERROR(SEARCH("-",I396)))</xm:f>
            <xm:f>"-"</xm:f>
            <x14:dxf>
              <fill>
                <patternFill>
                  <bgColor rgb="FF00B050"/>
                </patternFill>
              </fill>
            </x14:dxf>
          </x14:cfRule>
          <xm:sqref>I396</xm:sqref>
        </x14:conditionalFormatting>
        <x14:conditionalFormatting xmlns:xm="http://schemas.microsoft.com/office/excel/2006/main">
          <x14:cfRule type="containsText" priority="168" operator="containsText" id="{7D9C22B8-D740-478F-B6B9-6883F9ACA181}">
            <xm:f>NOT(ISERROR(SEARCH("-",I397)))</xm:f>
            <xm:f>"-"</xm:f>
            <x14:dxf>
              <fill>
                <patternFill>
                  <bgColor rgb="FF00B050"/>
                </patternFill>
              </fill>
            </x14:dxf>
          </x14:cfRule>
          <xm:sqref>I397</xm:sqref>
        </x14:conditionalFormatting>
        <x14:conditionalFormatting xmlns:xm="http://schemas.microsoft.com/office/excel/2006/main">
          <x14:cfRule type="containsText" priority="166" operator="containsText" id="{26B960A3-77F5-466B-9597-EC15BE3A1239}">
            <xm:f>NOT(ISERROR(SEARCH("-",I401)))</xm:f>
            <xm:f>"-"</xm:f>
            <x14:dxf>
              <fill>
                <patternFill>
                  <bgColor rgb="FF00B050"/>
                </patternFill>
              </fill>
            </x14:dxf>
          </x14:cfRule>
          <xm:sqref>I401</xm:sqref>
        </x14:conditionalFormatting>
        <x14:conditionalFormatting xmlns:xm="http://schemas.microsoft.com/office/excel/2006/main">
          <x14:cfRule type="containsText" priority="164" operator="containsText" id="{4CFAB65C-C694-4DDA-8A3A-62199D7EE7A7}">
            <xm:f>NOT(ISERROR(SEARCH("-",I403)))</xm:f>
            <xm:f>"-"</xm:f>
            <x14:dxf>
              <fill>
                <patternFill>
                  <bgColor rgb="FF00B050"/>
                </patternFill>
              </fill>
            </x14:dxf>
          </x14:cfRule>
          <xm:sqref>I403</xm:sqref>
        </x14:conditionalFormatting>
        <x14:conditionalFormatting xmlns:xm="http://schemas.microsoft.com/office/excel/2006/main">
          <x14:cfRule type="containsText" priority="162" operator="containsText" id="{3C0CF6B6-9FA9-480B-9E87-143ED530FA94}">
            <xm:f>NOT(ISERROR(SEARCH("-",I405)))</xm:f>
            <xm:f>"-"</xm:f>
            <x14:dxf>
              <fill>
                <patternFill>
                  <bgColor rgb="FF00B050"/>
                </patternFill>
              </fill>
            </x14:dxf>
          </x14:cfRule>
          <xm:sqref>I405</xm:sqref>
        </x14:conditionalFormatting>
        <x14:conditionalFormatting xmlns:xm="http://schemas.microsoft.com/office/excel/2006/main">
          <x14:cfRule type="containsText" priority="160" operator="containsText" id="{840810FF-33A2-4099-9ACE-C6D2AAE463C5}">
            <xm:f>NOT(ISERROR(SEARCH("-",I406)))</xm:f>
            <xm:f>"-"</xm:f>
            <x14:dxf>
              <fill>
                <patternFill>
                  <bgColor rgb="FF00B050"/>
                </patternFill>
              </fill>
            </x14:dxf>
          </x14:cfRule>
          <xm:sqref>I406</xm:sqref>
        </x14:conditionalFormatting>
        <x14:conditionalFormatting xmlns:xm="http://schemas.microsoft.com/office/excel/2006/main">
          <x14:cfRule type="containsText" priority="158" operator="containsText" id="{8969853A-21D3-4526-BBC7-FEEB74AA5D98}">
            <xm:f>NOT(ISERROR(SEARCH("-",I407)))</xm:f>
            <xm:f>"-"</xm:f>
            <x14:dxf>
              <fill>
                <patternFill>
                  <bgColor rgb="FF00B050"/>
                </patternFill>
              </fill>
            </x14:dxf>
          </x14:cfRule>
          <xm:sqref>I407</xm:sqref>
        </x14:conditionalFormatting>
        <x14:conditionalFormatting xmlns:xm="http://schemas.microsoft.com/office/excel/2006/main">
          <x14:cfRule type="containsText" priority="156" operator="containsText" id="{0536E2F7-DE1D-44FF-B319-3C288D2155F6}">
            <xm:f>NOT(ISERROR(SEARCH("-",I408)))</xm:f>
            <xm:f>"-"</xm:f>
            <x14:dxf>
              <fill>
                <patternFill>
                  <bgColor rgb="FF00B050"/>
                </patternFill>
              </fill>
            </x14:dxf>
          </x14:cfRule>
          <xm:sqref>I408</xm:sqref>
        </x14:conditionalFormatting>
        <x14:conditionalFormatting xmlns:xm="http://schemas.microsoft.com/office/excel/2006/main">
          <x14:cfRule type="containsText" priority="154" operator="containsText" id="{DA385B5E-935C-44E6-94A5-117C638E5027}">
            <xm:f>NOT(ISERROR(SEARCH("-",I409)))</xm:f>
            <xm:f>"-"</xm:f>
            <x14:dxf>
              <fill>
                <patternFill>
                  <bgColor rgb="FF00B050"/>
                </patternFill>
              </fill>
            </x14:dxf>
          </x14:cfRule>
          <xm:sqref>I409</xm:sqref>
        </x14:conditionalFormatting>
        <x14:conditionalFormatting xmlns:xm="http://schemas.microsoft.com/office/excel/2006/main">
          <x14:cfRule type="containsText" priority="152" operator="containsText" id="{64FF7622-14F9-4DF1-9DAF-5FA619434812}">
            <xm:f>NOT(ISERROR(SEARCH("-",I413)))</xm:f>
            <xm:f>"-"</xm:f>
            <x14:dxf>
              <fill>
                <patternFill>
                  <bgColor rgb="FF00B050"/>
                </patternFill>
              </fill>
            </x14:dxf>
          </x14:cfRule>
          <xm:sqref>I413</xm:sqref>
        </x14:conditionalFormatting>
        <x14:conditionalFormatting xmlns:xm="http://schemas.microsoft.com/office/excel/2006/main">
          <x14:cfRule type="containsText" priority="150" operator="containsText" id="{A66E0CFA-58C3-43FE-9661-60B34EEBAB00}">
            <xm:f>NOT(ISERROR(SEARCH("-",I415)))</xm:f>
            <xm:f>"-"</xm:f>
            <x14:dxf>
              <fill>
                <patternFill>
                  <bgColor rgb="FF00B050"/>
                </patternFill>
              </fill>
            </x14:dxf>
          </x14:cfRule>
          <xm:sqref>I415</xm:sqref>
        </x14:conditionalFormatting>
        <x14:conditionalFormatting xmlns:xm="http://schemas.microsoft.com/office/excel/2006/main">
          <x14:cfRule type="containsText" priority="148" operator="containsText" id="{81F6B61A-EFA6-419E-8307-71599FE4C124}">
            <xm:f>NOT(ISERROR(SEARCH("-",I417)))</xm:f>
            <xm:f>"-"</xm:f>
            <x14:dxf>
              <fill>
                <patternFill>
                  <bgColor rgb="FF00B050"/>
                </patternFill>
              </fill>
            </x14:dxf>
          </x14:cfRule>
          <xm:sqref>I417</xm:sqref>
        </x14:conditionalFormatting>
        <x14:conditionalFormatting xmlns:xm="http://schemas.microsoft.com/office/excel/2006/main">
          <x14:cfRule type="containsText" priority="146" operator="containsText" id="{5D24C224-D5AF-454A-8CA0-2B789DF914DA}">
            <xm:f>NOT(ISERROR(SEARCH("-",I418)))</xm:f>
            <xm:f>"-"</xm:f>
            <x14:dxf>
              <fill>
                <patternFill>
                  <bgColor rgb="FF00B050"/>
                </patternFill>
              </fill>
            </x14:dxf>
          </x14:cfRule>
          <xm:sqref>I418</xm:sqref>
        </x14:conditionalFormatting>
        <x14:conditionalFormatting xmlns:xm="http://schemas.microsoft.com/office/excel/2006/main">
          <x14:cfRule type="containsText" priority="144" operator="containsText" id="{3C3E5EC1-6F88-47D9-9AFE-B29367D3B30A}">
            <xm:f>NOT(ISERROR(SEARCH("-",I419)))</xm:f>
            <xm:f>"-"</xm:f>
            <x14:dxf>
              <fill>
                <patternFill>
                  <bgColor rgb="FF00B050"/>
                </patternFill>
              </fill>
            </x14:dxf>
          </x14:cfRule>
          <xm:sqref>I419</xm:sqref>
        </x14:conditionalFormatting>
        <x14:conditionalFormatting xmlns:xm="http://schemas.microsoft.com/office/excel/2006/main">
          <x14:cfRule type="containsText" priority="142" operator="containsText" id="{5801F046-B8B9-43B6-846B-E8EDBB177725}">
            <xm:f>NOT(ISERROR(SEARCH("-",I420)))</xm:f>
            <xm:f>"-"</xm:f>
            <x14:dxf>
              <fill>
                <patternFill>
                  <bgColor rgb="FF00B050"/>
                </patternFill>
              </fill>
            </x14:dxf>
          </x14:cfRule>
          <xm:sqref>I420</xm:sqref>
        </x14:conditionalFormatting>
        <x14:conditionalFormatting xmlns:xm="http://schemas.microsoft.com/office/excel/2006/main">
          <x14:cfRule type="containsText" priority="140" operator="containsText" id="{D2739204-481B-4C27-9D21-2A734F4A1305}">
            <xm:f>NOT(ISERROR(SEARCH("-",I421)))</xm:f>
            <xm:f>"-"</xm:f>
            <x14:dxf>
              <fill>
                <patternFill>
                  <bgColor rgb="FF00B050"/>
                </patternFill>
              </fill>
            </x14:dxf>
          </x14:cfRule>
          <xm:sqref>I421</xm:sqref>
        </x14:conditionalFormatting>
        <x14:conditionalFormatting xmlns:xm="http://schemas.microsoft.com/office/excel/2006/main">
          <x14:cfRule type="containsText" priority="138" operator="containsText" id="{A766FDCB-AC12-4161-AE5D-BB43A9AF9DFE}">
            <xm:f>NOT(ISERROR(SEARCH("-",I425)))</xm:f>
            <xm:f>"-"</xm:f>
            <x14:dxf>
              <fill>
                <patternFill>
                  <bgColor rgb="FF00B050"/>
                </patternFill>
              </fill>
            </x14:dxf>
          </x14:cfRule>
          <xm:sqref>I425</xm:sqref>
        </x14:conditionalFormatting>
        <x14:conditionalFormatting xmlns:xm="http://schemas.microsoft.com/office/excel/2006/main">
          <x14:cfRule type="containsText" priority="136" operator="containsText" id="{4CE0725C-F766-4E74-9C88-ABAA47B0B346}">
            <xm:f>NOT(ISERROR(SEARCH("-",I427)))</xm:f>
            <xm:f>"-"</xm:f>
            <x14:dxf>
              <fill>
                <patternFill>
                  <bgColor rgb="FF00B050"/>
                </patternFill>
              </fill>
            </x14:dxf>
          </x14:cfRule>
          <xm:sqref>I427</xm:sqref>
        </x14:conditionalFormatting>
        <x14:conditionalFormatting xmlns:xm="http://schemas.microsoft.com/office/excel/2006/main">
          <x14:cfRule type="containsText" priority="134" operator="containsText" id="{F0A64C53-E0DC-4DF8-898B-26259F9EADB8}">
            <xm:f>NOT(ISERROR(SEARCH("-",I429)))</xm:f>
            <xm:f>"-"</xm:f>
            <x14:dxf>
              <fill>
                <patternFill>
                  <bgColor rgb="FF00B050"/>
                </patternFill>
              </fill>
            </x14:dxf>
          </x14:cfRule>
          <xm:sqref>I429</xm:sqref>
        </x14:conditionalFormatting>
        <x14:conditionalFormatting xmlns:xm="http://schemas.microsoft.com/office/excel/2006/main">
          <x14:cfRule type="containsText" priority="132" operator="containsText" id="{6E10CCA7-59E0-477A-927A-DD963710942A}">
            <xm:f>NOT(ISERROR(SEARCH("-",I430)))</xm:f>
            <xm:f>"-"</xm:f>
            <x14:dxf>
              <fill>
                <patternFill>
                  <bgColor rgb="FF00B050"/>
                </patternFill>
              </fill>
            </x14:dxf>
          </x14:cfRule>
          <xm:sqref>I430</xm:sqref>
        </x14:conditionalFormatting>
        <x14:conditionalFormatting xmlns:xm="http://schemas.microsoft.com/office/excel/2006/main">
          <x14:cfRule type="containsText" priority="130" operator="containsText" id="{7F8AD279-6147-44DC-91BC-58242DD87D69}">
            <xm:f>NOT(ISERROR(SEARCH("-",I431)))</xm:f>
            <xm:f>"-"</xm:f>
            <x14:dxf>
              <fill>
                <patternFill>
                  <bgColor rgb="FF00B050"/>
                </patternFill>
              </fill>
            </x14:dxf>
          </x14:cfRule>
          <xm:sqref>I431</xm:sqref>
        </x14:conditionalFormatting>
        <x14:conditionalFormatting xmlns:xm="http://schemas.microsoft.com/office/excel/2006/main">
          <x14:cfRule type="containsText" priority="128" operator="containsText" id="{E08CE118-CEA8-4104-9988-7830B944F5C9}">
            <xm:f>NOT(ISERROR(SEARCH("-",I432)))</xm:f>
            <xm:f>"-"</xm:f>
            <x14:dxf>
              <fill>
                <patternFill>
                  <bgColor rgb="FF00B050"/>
                </patternFill>
              </fill>
            </x14:dxf>
          </x14:cfRule>
          <xm:sqref>I432</xm:sqref>
        </x14:conditionalFormatting>
        <x14:conditionalFormatting xmlns:xm="http://schemas.microsoft.com/office/excel/2006/main">
          <x14:cfRule type="containsText" priority="126" operator="containsText" id="{EB2E866B-2F1A-41CC-96E5-53C0C9ADF26D}">
            <xm:f>NOT(ISERROR(SEARCH("-",I433)))</xm:f>
            <xm:f>"-"</xm:f>
            <x14:dxf>
              <fill>
                <patternFill>
                  <bgColor rgb="FF00B050"/>
                </patternFill>
              </fill>
            </x14:dxf>
          </x14:cfRule>
          <xm:sqref>I433</xm:sqref>
        </x14:conditionalFormatting>
        <x14:conditionalFormatting xmlns:xm="http://schemas.microsoft.com/office/excel/2006/main">
          <x14:cfRule type="containsText" priority="124" operator="containsText" id="{2D8BD607-9516-4AA6-94EE-662A3F2C89B6}">
            <xm:f>NOT(ISERROR(SEARCH("-",I437)))</xm:f>
            <xm:f>"-"</xm:f>
            <x14:dxf>
              <fill>
                <patternFill>
                  <bgColor rgb="FF00B050"/>
                </patternFill>
              </fill>
            </x14:dxf>
          </x14:cfRule>
          <xm:sqref>I437</xm:sqref>
        </x14:conditionalFormatting>
        <x14:conditionalFormatting xmlns:xm="http://schemas.microsoft.com/office/excel/2006/main">
          <x14:cfRule type="containsText" priority="122" operator="containsText" id="{6102F324-005C-4141-A1D2-755FD21DEE83}">
            <xm:f>NOT(ISERROR(SEARCH("-",I439)))</xm:f>
            <xm:f>"-"</xm:f>
            <x14:dxf>
              <fill>
                <patternFill>
                  <bgColor rgb="FF00B050"/>
                </patternFill>
              </fill>
            </x14:dxf>
          </x14:cfRule>
          <xm:sqref>I439</xm:sqref>
        </x14:conditionalFormatting>
        <x14:conditionalFormatting xmlns:xm="http://schemas.microsoft.com/office/excel/2006/main">
          <x14:cfRule type="containsText" priority="120" operator="containsText" id="{DA0B0522-1BC0-4F20-A6D6-A772443FCBF5}">
            <xm:f>NOT(ISERROR(SEARCH("-",I441)))</xm:f>
            <xm:f>"-"</xm:f>
            <x14:dxf>
              <fill>
                <patternFill>
                  <bgColor rgb="FF00B050"/>
                </patternFill>
              </fill>
            </x14:dxf>
          </x14:cfRule>
          <xm:sqref>I441</xm:sqref>
        </x14:conditionalFormatting>
        <x14:conditionalFormatting xmlns:xm="http://schemas.microsoft.com/office/excel/2006/main">
          <x14:cfRule type="containsText" priority="118" operator="containsText" id="{0B5A34B1-0D4B-40DF-B7A5-7CE4E1F11D34}">
            <xm:f>NOT(ISERROR(SEARCH("-",I442)))</xm:f>
            <xm:f>"-"</xm:f>
            <x14:dxf>
              <fill>
                <patternFill>
                  <bgColor rgb="FF00B050"/>
                </patternFill>
              </fill>
            </x14:dxf>
          </x14:cfRule>
          <xm:sqref>I442</xm:sqref>
        </x14:conditionalFormatting>
        <x14:conditionalFormatting xmlns:xm="http://schemas.microsoft.com/office/excel/2006/main">
          <x14:cfRule type="containsText" priority="116" operator="containsText" id="{5087ED8F-8A4D-44BC-8433-F6B96C5703E6}">
            <xm:f>NOT(ISERROR(SEARCH("-",I443)))</xm:f>
            <xm:f>"-"</xm:f>
            <x14:dxf>
              <fill>
                <patternFill>
                  <bgColor rgb="FF00B050"/>
                </patternFill>
              </fill>
            </x14:dxf>
          </x14:cfRule>
          <xm:sqref>I443</xm:sqref>
        </x14:conditionalFormatting>
        <x14:conditionalFormatting xmlns:xm="http://schemas.microsoft.com/office/excel/2006/main">
          <x14:cfRule type="containsText" priority="114" operator="containsText" id="{3C9491B1-B027-418F-9F3D-C93E07178E2F}">
            <xm:f>NOT(ISERROR(SEARCH("-",I444)))</xm:f>
            <xm:f>"-"</xm:f>
            <x14:dxf>
              <fill>
                <patternFill>
                  <bgColor rgb="FF00B050"/>
                </patternFill>
              </fill>
            </x14:dxf>
          </x14:cfRule>
          <xm:sqref>I444</xm:sqref>
        </x14:conditionalFormatting>
        <x14:conditionalFormatting xmlns:xm="http://schemas.microsoft.com/office/excel/2006/main">
          <x14:cfRule type="containsText" priority="112" operator="containsText" id="{90F0A8AB-53D5-4813-8741-E57F304324AB}">
            <xm:f>NOT(ISERROR(SEARCH("-",I448)))</xm:f>
            <xm:f>"-"</xm:f>
            <x14:dxf>
              <fill>
                <patternFill>
                  <bgColor rgb="FF00B050"/>
                </patternFill>
              </fill>
            </x14:dxf>
          </x14:cfRule>
          <xm:sqref>I448</xm:sqref>
        </x14:conditionalFormatting>
        <x14:conditionalFormatting xmlns:xm="http://schemas.microsoft.com/office/excel/2006/main">
          <x14:cfRule type="containsText" priority="110" operator="containsText" id="{EA5D5BA7-C834-4D71-93FD-B5E2FB0BA338}">
            <xm:f>NOT(ISERROR(SEARCH("-",I450)))</xm:f>
            <xm:f>"-"</xm:f>
            <x14:dxf>
              <fill>
                <patternFill>
                  <bgColor rgb="FF00B050"/>
                </patternFill>
              </fill>
            </x14:dxf>
          </x14:cfRule>
          <xm:sqref>I450</xm:sqref>
        </x14:conditionalFormatting>
        <x14:conditionalFormatting xmlns:xm="http://schemas.microsoft.com/office/excel/2006/main">
          <x14:cfRule type="containsText" priority="108" operator="containsText" id="{7C311188-7E8E-4677-80A4-521A9EC629C6}">
            <xm:f>NOT(ISERROR(SEARCH("-",I452)))</xm:f>
            <xm:f>"-"</xm:f>
            <x14:dxf>
              <fill>
                <patternFill>
                  <bgColor rgb="FF00B050"/>
                </patternFill>
              </fill>
            </x14:dxf>
          </x14:cfRule>
          <xm:sqref>I452</xm:sqref>
        </x14:conditionalFormatting>
        <x14:conditionalFormatting xmlns:xm="http://schemas.microsoft.com/office/excel/2006/main">
          <x14:cfRule type="containsText" priority="106" operator="containsText" id="{CB782974-3492-47B5-99BC-2167AAB1B752}">
            <xm:f>NOT(ISERROR(SEARCH("-",I453)))</xm:f>
            <xm:f>"-"</xm:f>
            <x14:dxf>
              <fill>
                <patternFill>
                  <bgColor rgb="FF00B050"/>
                </patternFill>
              </fill>
            </x14:dxf>
          </x14:cfRule>
          <xm:sqref>I453</xm:sqref>
        </x14:conditionalFormatting>
        <x14:conditionalFormatting xmlns:xm="http://schemas.microsoft.com/office/excel/2006/main">
          <x14:cfRule type="containsText" priority="104" operator="containsText" id="{3FF4E3BE-2BDF-40A0-94FA-D9CD6EF1E54B}">
            <xm:f>NOT(ISERROR(SEARCH("-",I454)))</xm:f>
            <xm:f>"-"</xm:f>
            <x14:dxf>
              <fill>
                <patternFill>
                  <bgColor rgb="FF00B050"/>
                </patternFill>
              </fill>
            </x14:dxf>
          </x14:cfRule>
          <xm:sqref>I454</xm:sqref>
        </x14:conditionalFormatting>
        <x14:conditionalFormatting xmlns:xm="http://schemas.microsoft.com/office/excel/2006/main">
          <x14:cfRule type="containsText" priority="102" operator="containsText" id="{BE8F71CD-52CD-4AF5-B22D-8533B8A07ABD}">
            <xm:f>NOT(ISERROR(SEARCH("-",I455)))</xm:f>
            <xm:f>"-"</xm:f>
            <x14:dxf>
              <fill>
                <patternFill>
                  <bgColor rgb="FF00B050"/>
                </patternFill>
              </fill>
            </x14:dxf>
          </x14:cfRule>
          <xm:sqref>I455</xm:sqref>
        </x14:conditionalFormatting>
        <x14:conditionalFormatting xmlns:xm="http://schemas.microsoft.com/office/excel/2006/main">
          <x14:cfRule type="containsText" priority="100" operator="containsText" id="{2595B265-9A7D-4F4A-B28D-250CE9A7D2DC}">
            <xm:f>NOT(ISERROR(SEARCH("-",I456)))</xm:f>
            <xm:f>"-"</xm:f>
            <x14:dxf>
              <fill>
                <patternFill>
                  <bgColor rgb="FF00B050"/>
                </patternFill>
              </fill>
            </x14:dxf>
          </x14:cfRule>
          <xm:sqref>I456</xm:sqref>
        </x14:conditionalFormatting>
        <x14:conditionalFormatting xmlns:xm="http://schemas.microsoft.com/office/excel/2006/main">
          <x14:cfRule type="containsText" priority="98" operator="containsText" id="{8BF730A0-0469-447D-BE15-6938ADB64FEA}">
            <xm:f>NOT(ISERROR(SEARCH("-",I460)))</xm:f>
            <xm:f>"-"</xm:f>
            <x14:dxf>
              <fill>
                <patternFill>
                  <bgColor rgb="FF00B050"/>
                </patternFill>
              </fill>
            </x14:dxf>
          </x14:cfRule>
          <xm:sqref>I460</xm:sqref>
        </x14:conditionalFormatting>
        <x14:conditionalFormatting xmlns:xm="http://schemas.microsoft.com/office/excel/2006/main">
          <x14:cfRule type="containsText" priority="96" operator="containsText" id="{F4DABBCA-B0A8-44FB-8AD9-86484961914E}">
            <xm:f>NOT(ISERROR(SEARCH("-",I462)))</xm:f>
            <xm:f>"-"</xm:f>
            <x14:dxf>
              <fill>
                <patternFill>
                  <bgColor rgb="FF00B050"/>
                </patternFill>
              </fill>
            </x14:dxf>
          </x14:cfRule>
          <xm:sqref>I462</xm:sqref>
        </x14:conditionalFormatting>
        <x14:conditionalFormatting xmlns:xm="http://schemas.microsoft.com/office/excel/2006/main">
          <x14:cfRule type="containsText" priority="94" operator="containsText" id="{C686F499-4FFA-4D9D-92C6-9391EC5A8918}">
            <xm:f>NOT(ISERROR(SEARCH("-",I464)))</xm:f>
            <xm:f>"-"</xm:f>
            <x14:dxf>
              <fill>
                <patternFill>
                  <bgColor rgb="FF00B050"/>
                </patternFill>
              </fill>
            </x14:dxf>
          </x14:cfRule>
          <xm:sqref>I464</xm:sqref>
        </x14:conditionalFormatting>
        <x14:conditionalFormatting xmlns:xm="http://schemas.microsoft.com/office/excel/2006/main">
          <x14:cfRule type="containsText" priority="92" operator="containsText" id="{EC41FDA9-1255-4A82-B577-D25714E5FCEF}">
            <xm:f>NOT(ISERROR(SEARCH("-",I465)))</xm:f>
            <xm:f>"-"</xm:f>
            <x14:dxf>
              <fill>
                <patternFill>
                  <bgColor rgb="FF00B050"/>
                </patternFill>
              </fill>
            </x14:dxf>
          </x14:cfRule>
          <xm:sqref>I465</xm:sqref>
        </x14:conditionalFormatting>
        <x14:conditionalFormatting xmlns:xm="http://schemas.microsoft.com/office/excel/2006/main">
          <x14:cfRule type="containsText" priority="90" operator="containsText" id="{556B9B8E-06FD-449B-81F3-94186847A220}">
            <xm:f>NOT(ISERROR(SEARCH("-",I466)))</xm:f>
            <xm:f>"-"</xm:f>
            <x14:dxf>
              <fill>
                <patternFill>
                  <bgColor rgb="FF00B050"/>
                </patternFill>
              </fill>
            </x14:dxf>
          </x14:cfRule>
          <xm:sqref>I466</xm:sqref>
        </x14:conditionalFormatting>
        <x14:conditionalFormatting xmlns:xm="http://schemas.microsoft.com/office/excel/2006/main">
          <x14:cfRule type="containsText" priority="88" operator="containsText" id="{A35D9C9D-20C2-4BF6-A90F-A81A47BFFF3B}">
            <xm:f>NOT(ISERROR(SEARCH("-",I467)))</xm:f>
            <xm:f>"-"</xm:f>
            <x14:dxf>
              <fill>
                <patternFill>
                  <bgColor rgb="FF00B050"/>
                </patternFill>
              </fill>
            </x14:dxf>
          </x14:cfRule>
          <xm:sqref>I467</xm:sqref>
        </x14:conditionalFormatting>
        <x14:conditionalFormatting xmlns:xm="http://schemas.microsoft.com/office/excel/2006/main">
          <x14:cfRule type="containsText" priority="86" operator="containsText" id="{2BFFC358-A77E-42BB-B3AB-C3BA7B44025C}">
            <xm:f>NOT(ISERROR(SEARCH("-",I468)))</xm:f>
            <xm:f>"-"</xm:f>
            <x14:dxf>
              <fill>
                <patternFill>
                  <bgColor rgb="FF00B050"/>
                </patternFill>
              </fill>
            </x14:dxf>
          </x14:cfRule>
          <xm:sqref>I468</xm:sqref>
        </x14:conditionalFormatting>
        <x14:conditionalFormatting xmlns:xm="http://schemas.microsoft.com/office/excel/2006/main">
          <x14:cfRule type="containsText" priority="84" operator="containsText" id="{D9637DA4-592A-48A7-81F3-29D841C6291D}">
            <xm:f>NOT(ISERROR(SEARCH("-",I472)))</xm:f>
            <xm:f>"-"</xm:f>
            <x14:dxf>
              <fill>
                <patternFill>
                  <bgColor rgb="FF00B050"/>
                </patternFill>
              </fill>
            </x14:dxf>
          </x14:cfRule>
          <xm:sqref>I472</xm:sqref>
        </x14:conditionalFormatting>
        <x14:conditionalFormatting xmlns:xm="http://schemas.microsoft.com/office/excel/2006/main">
          <x14:cfRule type="containsText" priority="82" operator="containsText" id="{D0685D9F-F29C-4948-ACFC-1B441BDC6BB8}">
            <xm:f>NOT(ISERROR(SEARCH("-",I474)))</xm:f>
            <xm:f>"-"</xm:f>
            <x14:dxf>
              <fill>
                <patternFill>
                  <bgColor rgb="FF00B050"/>
                </patternFill>
              </fill>
            </x14:dxf>
          </x14:cfRule>
          <xm:sqref>I474</xm:sqref>
        </x14:conditionalFormatting>
        <x14:conditionalFormatting xmlns:xm="http://schemas.microsoft.com/office/excel/2006/main">
          <x14:cfRule type="containsText" priority="80" operator="containsText" id="{64E3E97B-FC2D-48F7-AE60-0D78575CBB68}">
            <xm:f>NOT(ISERROR(SEARCH("-",I476)))</xm:f>
            <xm:f>"-"</xm:f>
            <x14:dxf>
              <fill>
                <patternFill>
                  <bgColor rgb="FF00B050"/>
                </patternFill>
              </fill>
            </x14:dxf>
          </x14:cfRule>
          <xm:sqref>I476</xm:sqref>
        </x14:conditionalFormatting>
        <x14:conditionalFormatting xmlns:xm="http://schemas.microsoft.com/office/excel/2006/main">
          <x14:cfRule type="containsText" priority="78" operator="containsText" id="{1B25ED8C-01A3-4D5F-93D6-BF2388C2A60E}">
            <xm:f>NOT(ISERROR(SEARCH("-",I477)))</xm:f>
            <xm:f>"-"</xm:f>
            <x14:dxf>
              <fill>
                <patternFill>
                  <bgColor rgb="FF00B050"/>
                </patternFill>
              </fill>
            </x14:dxf>
          </x14:cfRule>
          <xm:sqref>I477</xm:sqref>
        </x14:conditionalFormatting>
        <x14:conditionalFormatting xmlns:xm="http://schemas.microsoft.com/office/excel/2006/main">
          <x14:cfRule type="containsText" priority="76" operator="containsText" id="{38A4D525-D47B-445C-88CD-6C42281487CF}">
            <xm:f>NOT(ISERROR(SEARCH("-",I478)))</xm:f>
            <xm:f>"-"</xm:f>
            <x14:dxf>
              <fill>
                <patternFill>
                  <bgColor rgb="FF00B050"/>
                </patternFill>
              </fill>
            </x14:dxf>
          </x14:cfRule>
          <xm:sqref>I478</xm:sqref>
        </x14:conditionalFormatting>
        <x14:conditionalFormatting xmlns:xm="http://schemas.microsoft.com/office/excel/2006/main">
          <x14:cfRule type="containsText" priority="74" operator="containsText" id="{2D5BAA43-EFB6-4227-BAAE-D025D5F400D3}">
            <xm:f>NOT(ISERROR(SEARCH("-",I479)))</xm:f>
            <xm:f>"-"</xm:f>
            <x14:dxf>
              <fill>
                <patternFill>
                  <bgColor rgb="FF00B050"/>
                </patternFill>
              </fill>
            </x14:dxf>
          </x14:cfRule>
          <xm:sqref>I479</xm:sqref>
        </x14:conditionalFormatting>
        <x14:conditionalFormatting xmlns:xm="http://schemas.microsoft.com/office/excel/2006/main">
          <x14:cfRule type="containsText" priority="72" operator="containsText" id="{8EA072B5-10C4-460A-A1D4-4EC57CC8D60E}">
            <xm:f>NOT(ISERROR(SEARCH("-",I480)))</xm:f>
            <xm:f>"-"</xm:f>
            <x14:dxf>
              <fill>
                <patternFill>
                  <bgColor rgb="FF00B050"/>
                </patternFill>
              </fill>
            </x14:dxf>
          </x14:cfRule>
          <xm:sqref>I480</xm:sqref>
        </x14:conditionalFormatting>
        <x14:conditionalFormatting xmlns:xm="http://schemas.microsoft.com/office/excel/2006/main">
          <x14:cfRule type="containsText" priority="70" operator="containsText" id="{89D347DA-0ECF-4B27-BF57-433604302177}">
            <xm:f>NOT(ISERROR(SEARCH("-",I484)))</xm:f>
            <xm:f>"-"</xm:f>
            <x14:dxf>
              <fill>
                <patternFill>
                  <bgColor rgb="FF00B050"/>
                </patternFill>
              </fill>
            </x14:dxf>
          </x14:cfRule>
          <xm:sqref>I484</xm:sqref>
        </x14:conditionalFormatting>
        <x14:conditionalFormatting xmlns:xm="http://schemas.microsoft.com/office/excel/2006/main">
          <x14:cfRule type="containsText" priority="68" operator="containsText" id="{06400CA6-168C-44A6-A669-D891164A0AE1}">
            <xm:f>NOT(ISERROR(SEARCH("-",I486)))</xm:f>
            <xm:f>"-"</xm:f>
            <x14:dxf>
              <fill>
                <patternFill>
                  <bgColor rgb="FF00B050"/>
                </patternFill>
              </fill>
            </x14:dxf>
          </x14:cfRule>
          <xm:sqref>I486</xm:sqref>
        </x14:conditionalFormatting>
        <x14:conditionalFormatting xmlns:xm="http://schemas.microsoft.com/office/excel/2006/main">
          <x14:cfRule type="containsText" priority="66" operator="containsText" id="{80DC46C5-7BD6-4FC0-A189-FBB17E1545F1}">
            <xm:f>NOT(ISERROR(SEARCH("-",I488)))</xm:f>
            <xm:f>"-"</xm:f>
            <x14:dxf>
              <fill>
                <patternFill>
                  <bgColor rgb="FF00B050"/>
                </patternFill>
              </fill>
            </x14:dxf>
          </x14:cfRule>
          <xm:sqref>I488</xm:sqref>
        </x14:conditionalFormatting>
        <x14:conditionalFormatting xmlns:xm="http://schemas.microsoft.com/office/excel/2006/main">
          <x14:cfRule type="containsText" priority="64" operator="containsText" id="{F1B0C59D-6FB4-4EAE-A253-22EF21AF24A9}">
            <xm:f>NOT(ISERROR(SEARCH("-",I489)))</xm:f>
            <xm:f>"-"</xm:f>
            <x14:dxf>
              <fill>
                <patternFill>
                  <bgColor rgb="FF00B050"/>
                </patternFill>
              </fill>
            </x14:dxf>
          </x14:cfRule>
          <xm:sqref>I489</xm:sqref>
        </x14:conditionalFormatting>
        <x14:conditionalFormatting xmlns:xm="http://schemas.microsoft.com/office/excel/2006/main">
          <x14:cfRule type="containsText" priority="62" operator="containsText" id="{B830E6E6-36E2-4D5C-BAEF-ABAA16B9DB31}">
            <xm:f>NOT(ISERROR(SEARCH("-",I490)))</xm:f>
            <xm:f>"-"</xm:f>
            <x14:dxf>
              <fill>
                <patternFill>
                  <bgColor rgb="FF00B050"/>
                </patternFill>
              </fill>
            </x14:dxf>
          </x14:cfRule>
          <xm:sqref>I490</xm:sqref>
        </x14:conditionalFormatting>
        <x14:conditionalFormatting xmlns:xm="http://schemas.microsoft.com/office/excel/2006/main">
          <x14:cfRule type="containsText" priority="60" operator="containsText" id="{DC6B50FA-E866-4705-A30A-A3AA0CC4E440}">
            <xm:f>NOT(ISERROR(SEARCH("-",I491)))</xm:f>
            <xm:f>"-"</xm:f>
            <x14:dxf>
              <fill>
                <patternFill>
                  <bgColor rgb="FF00B050"/>
                </patternFill>
              </fill>
            </x14:dxf>
          </x14:cfRule>
          <xm:sqref>I491</xm:sqref>
        </x14:conditionalFormatting>
        <x14:conditionalFormatting xmlns:xm="http://schemas.microsoft.com/office/excel/2006/main">
          <x14:cfRule type="containsText" priority="58" operator="containsText" id="{D8CFCDDE-A541-4EDC-A2EB-1DD0F4CEDD10}">
            <xm:f>NOT(ISERROR(SEARCH("-",I492)))</xm:f>
            <xm:f>"-"</xm:f>
            <x14:dxf>
              <fill>
                <patternFill>
                  <bgColor rgb="FF00B050"/>
                </patternFill>
              </fill>
            </x14:dxf>
          </x14:cfRule>
          <xm:sqref>I492</xm:sqref>
        </x14:conditionalFormatting>
        <x14:conditionalFormatting xmlns:xm="http://schemas.microsoft.com/office/excel/2006/main">
          <x14:cfRule type="containsText" priority="56" operator="containsText" id="{2AF1E5CB-2FD9-40A6-BFD0-97BF849ACF29}">
            <xm:f>NOT(ISERROR(SEARCH("-",I496)))</xm:f>
            <xm:f>"-"</xm:f>
            <x14:dxf>
              <fill>
                <patternFill>
                  <bgColor rgb="FF00B050"/>
                </patternFill>
              </fill>
            </x14:dxf>
          </x14:cfRule>
          <xm:sqref>I496</xm:sqref>
        </x14:conditionalFormatting>
        <x14:conditionalFormatting xmlns:xm="http://schemas.microsoft.com/office/excel/2006/main">
          <x14:cfRule type="containsText" priority="54" operator="containsText" id="{4D60A650-6546-4322-838A-051E2DDA5118}">
            <xm:f>NOT(ISERROR(SEARCH("-",I498)))</xm:f>
            <xm:f>"-"</xm:f>
            <x14:dxf>
              <fill>
                <patternFill>
                  <bgColor rgb="FF00B050"/>
                </patternFill>
              </fill>
            </x14:dxf>
          </x14:cfRule>
          <xm:sqref>I498</xm:sqref>
        </x14:conditionalFormatting>
        <x14:conditionalFormatting xmlns:xm="http://schemas.microsoft.com/office/excel/2006/main">
          <x14:cfRule type="containsText" priority="52" operator="containsText" id="{ACCBAC83-D6C5-42D7-8CD8-628F22DC8931}">
            <xm:f>NOT(ISERROR(SEARCH("-",I500)))</xm:f>
            <xm:f>"-"</xm:f>
            <x14:dxf>
              <fill>
                <patternFill>
                  <bgColor rgb="FF00B050"/>
                </patternFill>
              </fill>
            </x14:dxf>
          </x14:cfRule>
          <xm:sqref>I500</xm:sqref>
        </x14:conditionalFormatting>
        <x14:conditionalFormatting xmlns:xm="http://schemas.microsoft.com/office/excel/2006/main">
          <x14:cfRule type="containsText" priority="50" operator="containsText" id="{7CC22DFC-EFE4-4A4B-A386-FF6B25C28802}">
            <xm:f>NOT(ISERROR(SEARCH("-",I501)))</xm:f>
            <xm:f>"-"</xm:f>
            <x14:dxf>
              <fill>
                <patternFill>
                  <bgColor rgb="FF00B050"/>
                </patternFill>
              </fill>
            </x14:dxf>
          </x14:cfRule>
          <xm:sqref>I501</xm:sqref>
        </x14:conditionalFormatting>
        <x14:conditionalFormatting xmlns:xm="http://schemas.microsoft.com/office/excel/2006/main">
          <x14:cfRule type="containsText" priority="48" operator="containsText" id="{8C1D4D79-5621-4F38-A4D5-9A45E09AAD5B}">
            <xm:f>NOT(ISERROR(SEARCH("-",I502)))</xm:f>
            <xm:f>"-"</xm:f>
            <x14:dxf>
              <fill>
                <patternFill>
                  <bgColor rgb="FF00B050"/>
                </patternFill>
              </fill>
            </x14:dxf>
          </x14:cfRule>
          <xm:sqref>I502</xm:sqref>
        </x14:conditionalFormatting>
        <x14:conditionalFormatting xmlns:xm="http://schemas.microsoft.com/office/excel/2006/main">
          <x14:cfRule type="containsText" priority="46" operator="containsText" id="{3AB1337B-D865-47D8-8E0A-4DCAD1CA3943}">
            <xm:f>NOT(ISERROR(SEARCH("-",I503)))</xm:f>
            <xm:f>"-"</xm:f>
            <x14:dxf>
              <fill>
                <patternFill>
                  <bgColor rgb="FF00B050"/>
                </patternFill>
              </fill>
            </x14:dxf>
          </x14:cfRule>
          <xm:sqref>I503</xm:sqref>
        </x14:conditionalFormatting>
        <x14:conditionalFormatting xmlns:xm="http://schemas.microsoft.com/office/excel/2006/main">
          <x14:cfRule type="containsText" priority="44" operator="containsText" id="{988256E7-20A7-4F2C-8F9C-2FC9AF8148C6}">
            <xm:f>NOT(ISERROR(SEARCH("-",I507)))</xm:f>
            <xm:f>"-"</xm:f>
            <x14:dxf>
              <fill>
                <patternFill>
                  <bgColor rgb="FF00B050"/>
                </patternFill>
              </fill>
            </x14:dxf>
          </x14:cfRule>
          <xm:sqref>I507</xm:sqref>
        </x14:conditionalFormatting>
        <x14:conditionalFormatting xmlns:xm="http://schemas.microsoft.com/office/excel/2006/main">
          <x14:cfRule type="containsText" priority="42" operator="containsText" id="{45DC646B-7C11-49F8-9EAA-DE3E6CB85B86}">
            <xm:f>NOT(ISERROR(SEARCH("-",I509)))</xm:f>
            <xm:f>"-"</xm:f>
            <x14:dxf>
              <fill>
                <patternFill>
                  <bgColor rgb="FF00B050"/>
                </patternFill>
              </fill>
            </x14:dxf>
          </x14:cfRule>
          <xm:sqref>I509</xm:sqref>
        </x14:conditionalFormatting>
        <x14:conditionalFormatting xmlns:xm="http://schemas.microsoft.com/office/excel/2006/main">
          <x14:cfRule type="containsText" priority="40" operator="containsText" id="{02F86BC6-1120-4DA0-B279-8829BBAFE0BE}">
            <xm:f>NOT(ISERROR(SEARCH("-",I511)))</xm:f>
            <xm:f>"-"</xm:f>
            <x14:dxf>
              <fill>
                <patternFill>
                  <bgColor rgb="FF00B050"/>
                </patternFill>
              </fill>
            </x14:dxf>
          </x14:cfRule>
          <xm:sqref>I511</xm:sqref>
        </x14:conditionalFormatting>
        <x14:conditionalFormatting xmlns:xm="http://schemas.microsoft.com/office/excel/2006/main">
          <x14:cfRule type="containsText" priority="38" operator="containsText" id="{1F89EDC6-AF2E-4671-9865-BBC283C196B0}">
            <xm:f>NOT(ISERROR(SEARCH("-",I512)))</xm:f>
            <xm:f>"-"</xm:f>
            <x14:dxf>
              <fill>
                <patternFill>
                  <bgColor rgb="FF00B050"/>
                </patternFill>
              </fill>
            </x14:dxf>
          </x14:cfRule>
          <xm:sqref>I512</xm:sqref>
        </x14:conditionalFormatting>
        <x14:conditionalFormatting xmlns:xm="http://schemas.microsoft.com/office/excel/2006/main">
          <x14:cfRule type="containsText" priority="36" operator="containsText" id="{9D70BFAC-770E-4FAE-9FEA-8681722F6755}">
            <xm:f>NOT(ISERROR(SEARCH("-",I513)))</xm:f>
            <xm:f>"-"</xm:f>
            <x14:dxf>
              <fill>
                <patternFill>
                  <bgColor rgb="FF00B050"/>
                </patternFill>
              </fill>
            </x14:dxf>
          </x14:cfRule>
          <xm:sqref>I513</xm:sqref>
        </x14:conditionalFormatting>
        <x14:conditionalFormatting xmlns:xm="http://schemas.microsoft.com/office/excel/2006/main">
          <x14:cfRule type="containsText" priority="34" operator="containsText" id="{A2618507-3AE7-4E21-AA6B-7E0395A63129}">
            <xm:f>NOT(ISERROR(SEARCH("-",I514)))</xm:f>
            <xm:f>"-"</xm:f>
            <x14:dxf>
              <fill>
                <patternFill>
                  <bgColor rgb="FF00B050"/>
                </patternFill>
              </fill>
            </x14:dxf>
          </x14:cfRule>
          <xm:sqref>I514</xm:sqref>
        </x14:conditionalFormatting>
        <x14:conditionalFormatting xmlns:xm="http://schemas.microsoft.com/office/excel/2006/main">
          <x14:cfRule type="containsText" priority="32" operator="containsText" id="{0A82B797-880B-4254-8671-14F29AC196C4}">
            <xm:f>NOT(ISERROR(SEARCH("-",I515)))</xm:f>
            <xm:f>"-"</xm:f>
            <x14:dxf>
              <fill>
                <patternFill>
                  <bgColor rgb="FF00B050"/>
                </patternFill>
              </fill>
            </x14:dxf>
          </x14:cfRule>
          <xm:sqref>I515</xm:sqref>
        </x14:conditionalFormatting>
        <x14:conditionalFormatting xmlns:xm="http://schemas.microsoft.com/office/excel/2006/main">
          <x14:cfRule type="containsText" priority="30" operator="containsText" id="{5E9971B3-6D36-4AEE-A89A-68FBF5F67D37}">
            <xm:f>NOT(ISERROR(SEARCH("-",I519)))</xm:f>
            <xm:f>"-"</xm:f>
            <x14:dxf>
              <fill>
                <patternFill>
                  <bgColor rgb="FF00B050"/>
                </patternFill>
              </fill>
            </x14:dxf>
          </x14:cfRule>
          <xm:sqref>I519</xm:sqref>
        </x14:conditionalFormatting>
        <x14:conditionalFormatting xmlns:xm="http://schemas.microsoft.com/office/excel/2006/main">
          <x14:cfRule type="containsText" priority="28" operator="containsText" id="{D153CDE6-B3F3-4D3E-9D11-8FB5FB7D1421}">
            <xm:f>NOT(ISERROR(SEARCH("-",I521)))</xm:f>
            <xm:f>"-"</xm:f>
            <x14:dxf>
              <fill>
                <patternFill>
                  <bgColor rgb="FF00B050"/>
                </patternFill>
              </fill>
            </x14:dxf>
          </x14:cfRule>
          <xm:sqref>I521</xm:sqref>
        </x14:conditionalFormatting>
        <x14:conditionalFormatting xmlns:xm="http://schemas.microsoft.com/office/excel/2006/main">
          <x14:cfRule type="containsText" priority="26" operator="containsText" id="{159C2FEF-8643-4560-9716-FFB787676EE0}">
            <xm:f>NOT(ISERROR(SEARCH("-",I523)))</xm:f>
            <xm:f>"-"</xm:f>
            <x14:dxf>
              <fill>
                <patternFill>
                  <bgColor rgb="FF00B050"/>
                </patternFill>
              </fill>
            </x14:dxf>
          </x14:cfRule>
          <xm:sqref>I523</xm:sqref>
        </x14:conditionalFormatting>
        <x14:conditionalFormatting xmlns:xm="http://schemas.microsoft.com/office/excel/2006/main">
          <x14:cfRule type="containsText" priority="24" operator="containsText" id="{8A081543-239A-4E6D-83EC-98B0EB2A7D46}">
            <xm:f>NOT(ISERROR(SEARCH("-",I524)))</xm:f>
            <xm:f>"-"</xm:f>
            <x14:dxf>
              <fill>
                <patternFill>
                  <bgColor rgb="FF00B050"/>
                </patternFill>
              </fill>
            </x14:dxf>
          </x14:cfRule>
          <xm:sqref>I524</xm:sqref>
        </x14:conditionalFormatting>
        <x14:conditionalFormatting xmlns:xm="http://schemas.microsoft.com/office/excel/2006/main">
          <x14:cfRule type="containsText" priority="22" operator="containsText" id="{9BD3246B-BCBA-4B3C-9E10-E5D7B091DB58}">
            <xm:f>NOT(ISERROR(SEARCH("-",I525)))</xm:f>
            <xm:f>"-"</xm:f>
            <x14:dxf>
              <fill>
                <patternFill>
                  <bgColor rgb="FF00B050"/>
                </patternFill>
              </fill>
            </x14:dxf>
          </x14:cfRule>
          <xm:sqref>I525</xm:sqref>
        </x14:conditionalFormatting>
        <x14:conditionalFormatting xmlns:xm="http://schemas.microsoft.com/office/excel/2006/main">
          <x14:cfRule type="containsText" priority="20" operator="containsText" id="{6863F1B4-EBD8-4F40-B2F9-D79D929280C8}">
            <xm:f>NOT(ISERROR(SEARCH("-",I526)))</xm:f>
            <xm:f>"-"</xm:f>
            <x14:dxf>
              <fill>
                <patternFill>
                  <bgColor rgb="FF00B050"/>
                </patternFill>
              </fill>
            </x14:dxf>
          </x14:cfRule>
          <xm:sqref>I526</xm:sqref>
        </x14:conditionalFormatting>
        <x14:conditionalFormatting xmlns:xm="http://schemas.microsoft.com/office/excel/2006/main">
          <x14:cfRule type="containsText" priority="18" operator="containsText" id="{5C958917-3872-45F9-A394-9C96FE48E8EE}">
            <xm:f>NOT(ISERROR(SEARCH("-",I527)))</xm:f>
            <xm:f>"-"</xm:f>
            <x14:dxf>
              <fill>
                <patternFill>
                  <bgColor rgb="FF00B050"/>
                </patternFill>
              </fill>
            </x14:dxf>
          </x14:cfRule>
          <xm:sqref>I527</xm:sqref>
        </x14:conditionalFormatting>
        <x14:conditionalFormatting xmlns:xm="http://schemas.microsoft.com/office/excel/2006/main">
          <x14:cfRule type="containsText" priority="16" operator="containsText" id="{D8CDFD72-D36A-43B5-8754-423D679E3A79}">
            <xm:f>NOT(ISERROR(SEARCH("-",I531)))</xm:f>
            <xm:f>"-"</xm:f>
            <x14:dxf>
              <fill>
                <patternFill>
                  <bgColor rgb="FF00B050"/>
                </patternFill>
              </fill>
            </x14:dxf>
          </x14:cfRule>
          <xm:sqref>I531</xm:sqref>
        </x14:conditionalFormatting>
        <x14:conditionalFormatting xmlns:xm="http://schemas.microsoft.com/office/excel/2006/main">
          <x14:cfRule type="containsText" priority="14" operator="containsText" id="{1808EC27-D7B9-4044-B53F-13236A28998A}">
            <xm:f>NOT(ISERROR(SEARCH("-",I533)))</xm:f>
            <xm:f>"-"</xm:f>
            <x14:dxf>
              <fill>
                <patternFill>
                  <bgColor rgb="FF00B050"/>
                </patternFill>
              </fill>
            </x14:dxf>
          </x14:cfRule>
          <xm:sqref>I533</xm:sqref>
        </x14:conditionalFormatting>
        <x14:conditionalFormatting xmlns:xm="http://schemas.microsoft.com/office/excel/2006/main">
          <x14:cfRule type="containsText" priority="12" operator="containsText" id="{99320E80-BE96-4E4D-9E47-8A95FDD9488A}">
            <xm:f>NOT(ISERROR(SEARCH("-",I535)))</xm:f>
            <xm:f>"-"</xm:f>
            <x14:dxf>
              <fill>
                <patternFill>
                  <bgColor rgb="FF00B050"/>
                </patternFill>
              </fill>
            </x14:dxf>
          </x14:cfRule>
          <xm:sqref>I535</xm:sqref>
        </x14:conditionalFormatting>
        <x14:conditionalFormatting xmlns:xm="http://schemas.microsoft.com/office/excel/2006/main">
          <x14:cfRule type="containsText" priority="10" operator="containsText" id="{68159246-E54C-443B-96A3-0A5BA75D80A1}">
            <xm:f>NOT(ISERROR(SEARCH("-",I536)))</xm:f>
            <xm:f>"-"</xm:f>
            <x14:dxf>
              <fill>
                <patternFill>
                  <bgColor rgb="FF00B050"/>
                </patternFill>
              </fill>
            </x14:dxf>
          </x14:cfRule>
          <xm:sqref>I536</xm:sqref>
        </x14:conditionalFormatting>
        <x14:conditionalFormatting xmlns:xm="http://schemas.microsoft.com/office/excel/2006/main">
          <x14:cfRule type="containsText" priority="8" operator="containsText" id="{7D2E1AB1-6046-4B35-9ED4-4658D3F77CEC}">
            <xm:f>NOT(ISERROR(SEARCH("-",I537)))</xm:f>
            <xm:f>"-"</xm:f>
            <x14:dxf>
              <fill>
                <patternFill>
                  <bgColor rgb="FF00B050"/>
                </patternFill>
              </fill>
            </x14:dxf>
          </x14:cfRule>
          <xm:sqref>I537</xm:sqref>
        </x14:conditionalFormatting>
        <x14:conditionalFormatting xmlns:xm="http://schemas.microsoft.com/office/excel/2006/main">
          <x14:cfRule type="containsText" priority="6" operator="containsText" id="{7613F7AC-D200-46BB-B2E0-7C986174CCB6}">
            <xm:f>NOT(ISERROR(SEARCH("-",I538)))</xm:f>
            <xm:f>"-"</xm:f>
            <x14:dxf>
              <fill>
                <patternFill>
                  <bgColor rgb="FF00B050"/>
                </patternFill>
              </fill>
            </x14:dxf>
          </x14:cfRule>
          <xm:sqref>I538</xm:sqref>
        </x14:conditionalFormatting>
        <x14:conditionalFormatting xmlns:xm="http://schemas.microsoft.com/office/excel/2006/main">
          <x14:cfRule type="containsText" priority="4" operator="containsText" id="{89B5E029-EA03-49BE-9BD1-D56ABA0346B9}">
            <xm:f>NOT(ISERROR(SEARCH("-",I539)))</xm:f>
            <xm:f>"-"</xm:f>
            <x14:dxf>
              <fill>
                <patternFill>
                  <bgColor rgb="FF00B050"/>
                </patternFill>
              </fill>
            </x14:dxf>
          </x14:cfRule>
          <xm:sqref>I539</xm:sqref>
        </x14:conditionalFormatting>
        <x14:conditionalFormatting xmlns:xm="http://schemas.microsoft.com/office/excel/2006/main">
          <x14:cfRule type="containsText" priority="2" operator="containsText" id="{8E280EDE-FDBA-41F8-A7C4-966313658C27}">
            <xm:f>NOT(ISERROR(SEARCH("-",I543)))</xm:f>
            <xm:f>"-"</xm:f>
            <x14:dxf>
              <fill>
                <patternFill>
                  <bgColor rgb="FF00B050"/>
                </patternFill>
              </fill>
            </x14:dxf>
          </x14:cfRule>
          <xm:sqref>I543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stock total système</vt:lpstr>
      <vt:lpstr>commande</vt:lpstr>
    </vt:vector>
  </TitlesOfParts>
  <Company>Nutrition et Santé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MOLINE</dc:creator>
  <cp:lastModifiedBy>Arnaud FLEITH</cp:lastModifiedBy>
  <dcterms:created xsi:type="dcterms:W3CDTF">2020-11-30T08:43:51Z</dcterms:created>
  <dcterms:modified xsi:type="dcterms:W3CDTF">2021-02-24T14:20:51Z</dcterms:modified>
</cp:coreProperties>
</file>