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Damien\"/>
    </mc:Choice>
  </mc:AlternateContent>
  <bookViews>
    <workbookView xWindow="0" yWindow="120" windowWidth="15315" windowHeight="10290"/>
  </bookViews>
  <sheets>
    <sheet name="Saisie" sheetId="9" r:id="rId1"/>
    <sheet name="User_Prog" sheetId="7" r:id="rId2"/>
    <sheet name="Source" sheetId="5" r:id="rId3"/>
    <sheet name="Fériés" sheetId="1" r:id="rId4"/>
    <sheet name="Calendrier" sheetId="4" r:id="rId5"/>
    <sheet name="Feuil3" sheetId="3" r:id="rId6"/>
    <sheet name="Proc" sheetId="8" r:id="rId7"/>
  </sheets>
  <functionGroups builtInGroupCount="18"/>
  <externalReferences>
    <externalReference r:id="rId8"/>
    <externalReference r:id="rId9"/>
  </externalReferences>
  <definedNames>
    <definedName name="Agences">[1]listes!$B$11:$B$16</definedName>
    <definedName name="Chefs">[1]listes!$C$34:$C$72</definedName>
    <definedName name="Fériés">Fériés!$B$2:$B$35</definedName>
    <definedName name="horaires">[1]listes!$C$122:$C$128</definedName>
    <definedName name="Liste1">[1]listes!$B$18:$B$19</definedName>
    <definedName name="Liste2">[1]listes!$B$18:$B$19</definedName>
    <definedName name="Liste3">[1]listes!$C$31:$C$32</definedName>
    <definedName name="ListeNON">[1]listes!#REF!</definedName>
    <definedName name="Ouverture">Fériés!$G$2:$H$8</definedName>
    <definedName name="sections">[1]listes!$C$75:$C$119</definedName>
    <definedName name="statut">[1]listes!$B$3:$B$8</definedName>
  </definedNames>
  <calcPr calcId="152511"/>
</workbook>
</file>

<file path=xl/calcChain.xml><?xml version="1.0" encoding="utf-8"?>
<calcChain xmlns="http://schemas.openxmlformats.org/spreadsheetml/2006/main">
  <c r="D2" i="3" l="1"/>
  <c r="D3" i="3"/>
  <c r="D4" i="3"/>
  <c r="D5" i="3"/>
  <c r="D6" i="3"/>
  <c r="B15" i="1" l="1"/>
  <c r="D8" i="3"/>
  <c r="W45" i="9" l="1"/>
  <c r="AI46" i="9"/>
  <c r="AI45" i="9"/>
  <c r="AJ45" i="9" s="1"/>
  <c r="AK51" i="9"/>
  <c r="AJ46" i="9"/>
  <c r="AC46" i="9"/>
  <c r="AD46" i="9"/>
  <c r="AC45" i="9"/>
  <c r="AD45" i="9" s="1"/>
  <c r="AE51" i="9"/>
  <c r="C28" i="7" l="1"/>
  <c r="D28" i="7"/>
  <c r="D29" i="7" s="1"/>
  <c r="C27" i="7"/>
  <c r="X45" i="9" s="1"/>
  <c r="D27" i="7"/>
  <c r="Y51" i="9"/>
  <c r="W46" i="9"/>
  <c r="X46" i="9" s="1"/>
  <c r="E29" i="7" l="1"/>
  <c r="K11" i="9"/>
  <c r="C29" i="7"/>
  <c r="E8" i="9" l="1"/>
  <c r="G11" i="9"/>
  <c r="E6" i="9"/>
  <c r="P21" i="7"/>
  <c r="R21" i="7"/>
  <c r="S21" i="7"/>
  <c r="T21" i="7"/>
  <c r="U21" i="7"/>
  <c r="V21" i="7"/>
  <c r="Q21" i="7"/>
  <c r="O29" i="4"/>
  <c r="F13" i="9"/>
  <c r="O19" i="4" l="1"/>
  <c r="G18" i="9"/>
  <c r="C8" i="3" s="1"/>
  <c r="E18" i="9"/>
  <c r="C18" i="9"/>
  <c r="B7" i="3" s="1"/>
  <c r="B9" i="5"/>
  <c r="D7" i="3"/>
  <c r="B8" i="3" l="1"/>
  <c r="B9" i="3"/>
  <c r="C7" i="3"/>
  <c r="C9" i="3"/>
  <c r="Q22" i="7"/>
  <c r="D9" i="3"/>
  <c r="M17" i="9" l="1"/>
  <c r="AC47" i="9" s="1"/>
  <c r="AD47" i="9" s="1"/>
  <c r="K17" i="9"/>
  <c r="W47" i="9" s="1"/>
  <c r="O17" i="9"/>
  <c r="AI47" i="9" s="1"/>
  <c r="Q23" i="7"/>
  <c r="R22" i="7"/>
  <c r="R23" i="7" s="1"/>
  <c r="S22" i="7"/>
  <c r="S23" i="7" s="1"/>
  <c r="T22" i="7"/>
  <c r="T23" i="7" s="1"/>
  <c r="U22" i="7"/>
  <c r="U23" i="7" s="1"/>
  <c r="V22" i="7"/>
  <c r="V23" i="7" s="1"/>
  <c r="P22" i="7"/>
  <c r="P23" i="7" s="1"/>
  <c r="E8" i="7"/>
  <c r="F8" i="7" s="1"/>
  <c r="F9" i="7"/>
  <c r="BD6" i="7"/>
  <c r="BD7" i="7" s="1"/>
  <c r="BC5" i="7"/>
  <c r="BA3" i="7"/>
  <c r="BC6" i="7" l="1"/>
  <c r="AF45" i="9"/>
  <c r="AF47" i="9" s="1"/>
  <c r="AE52" i="9" s="1"/>
  <c r="AF44" i="9"/>
  <c r="M27" i="9" s="1"/>
  <c r="AL45" i="9"/>
  <c r="AL44" i="9"/>
  <c r="O27" i="9" s="1"/>
  <c r="AJ47" i="9"/>
  <c r="Z45" i="9"/>
  <c r="Z44" i="9"/>
  <c r="K27" i="9" s="1"/>
  <c r="X47" i="9"/>
  <c r="F10" i="7"/>
  <c r="BD8" i="7"/>
  <c r="BC7" i="7"/>
  <c r="AE50" i="9" l="1"/>
  <c r="AK50" i="9"/>
  <c r="AL47" i="9"/>
  <c r="AK52" i="9" s="1"/>
  <c r="Y50" i="9"/>
  <c r="Z47" i="9"/>
  <c r="Y52" i="9" s="1"/>
  <c r="BC8" i="7"/>
  <c r="BD9" i="7"/>
  <c r="BD10" i="7" l="1"/>
  <c r="BC9" i="7"/>
  <c r="BD11" i="7" l="1"/>
  <c r="BC10" i="7"/>
  <c r="BD12" i="7" l="1"/>
  <c r="BC12" i="7" s="1"/>
  <c r="BC11" i="7"/>
  <c r="G9" i="5" l="1"/>
  <c r="F9" i="5"/>
  <c r="E9" i="5"/>
  <c r="D9" i="5"/>
  <c r="C9" i="5"/>
  <c r="L30" i="4" l="1"/>
  <c r="K24" i="4"/>
  <c r="O16" i="4" l="1"/>
  <c r="O30" i="4" s="1"/>
  <c r="M13" i="4" l="1"/>
  <c r="M5" i="4" l="1"/>
  <c r="B8" i="1"/>
  <c r="B2" i="1"/>
  <c r="B3" i="1"/>
  <c r="B4" i="1"/>
  <c r="B7" i="1" s="1"/>
  <c r="B5" i="1"/>
  <c r="B6" i="1"/>
  <c r="B9" i="1"/>
  <c r="B10" i="1"/>
  <c r="B11" i="1"/>
  <c r="B12" i="1"/>
  <c r="B13" i="1"/>
  <c r="B14" i="1"/>
  <c r="A2" i="1"/>
  <c r="C4" i="1"/>
  <c r="C5" i="1"/>
  <c r="A14" i="1"/>
  <c r="O10" i="4" l="1"/>
  <c r="O5" i="4"/>
  <c r="O8" i="4"/>
  <c r="O13" i="4"/>
  <c r="D4" i="1"/>
  <c r="D5" i="1"/>
  <c r="D3" i="4" l="1"/>
  <c r="D6" i="4" s="1"/>
  <c r="E6" i="4" l="1"/>
  <c r="F6" i="4" l="1"/>
  <c r="G6" i="4" l="1"/>
  <c r="H6" i="4" l="1"/>
  <c r="I6" i="4" l="1"/>
  <c r="J6" i="4" l="1"/>
  <c r="D7" i="4" l="1"/>
  <c r="D5" i="4" l="1"/>
  <c r="E7" i="4"/>
  <c r="F7" i="4" l="1"/>
  <c r="E5" i="4"/>
  <c r="F5" i="4" l="1"/>
  <c r="G7" i="4"/>
  <c r="H7" i="4" l="1"/>
  <c r="G5" i="4"/>
  <c r="H5" i="4" l="1"/>
  <c r="I7" i="4"/>
  <c r="I5" i="4" l="1"/>
  <c r="J7" i="4"/>
  <c r="J5" i="4" l="1"/>
  <c r="D8" i="4"/>
  <c r="E8" i="4" l="1"/>
  <c r="F8" i="4" l="1"/>
  <c r="G8" i="4" l="1"/>
  <c r="H8" i="4" l="1"/>
  <c r="I8" i="4" l="1"/>
  <c r="J8" i="4" l="1"/>
  <c r="D9" i="4" l="1"/>
  <c r="E9" i="4" l="1"/>
  <c r="F9" i="4" l="1"/>
  <c r="G9" i="4" l="1"/>
  <c r="H9" i="4" l="1"/>
  <c r="I9" i="4" l="1"/>
  <c r="J9" i="4" l="1"/>
  <c r="D10" i="4" l="1"/>
  <c r="E10" i="4" l="1"/>
  <c r="F10" i="4" l="1"/>
  <c r="G10" i="4" l="1"/>
  <c r="H10" i="4" l="1"/>
  <c r="I10" i="4" l="1"/>
  <c r="J10" i="4" l="1"/>
  <c r="D11" i="4" l="1"/>
  <c r="E11" i="4" l="1"/>
  <c r="D22" i="4"/>
  <c r="D23" i="4" l="1"/>
  <c r="D24" i="4"/>
  <c r="F11" i="4"/>
  <c r="E22" i="4"/>
  <c r="D25" i="4" l="1"/>
  <c r="E25" i="4"/>
  <c r="E23" i="4"/>
  <c r="E24" i="4"/>
  <c r="G11" i="4"/>
  <c r="F22" i="4"/>
  <c r="F25" i="4" l="1"/>
  <c r="F23" i="4"/>
  <c r="H11" i="4"/>
  <c r="G22" i="4"/>
  <c r="F24" i="4"/>
  <c r="G23" i="4" l="1"/>
  <c r="G24" i="4"/>
  <c r="I11" i="4"/>
  <c r="H22" i="4"/>
  <c r="G25" i="4" l="1"/>
  <c r="H25" i="4"/>
  <c r="H23" i="4"/>
  <c r="J11" i="4"/>
  <c r="J22" i="4" s="1"/>
  <c r="J23" i="4" s="1"/>
  <c r="I22" i="4"/>
  <c r="H24" i="4"/>
  <c r="I25" i="4" l="1"/>
  <c r="I23" i="4"/>
  <c r="I24" i="4"/>
  <c r="J24" i="4"/>
  <c r="J25" i="4" s="1"/>
  <c r="L25" i="4" l="1"/>
</calcChain>
</file>

<file path=xl/comments1.xml><?xml version="1.0" encoding="utf-8"?>
<comments xmlns="http://schemas.openxmlformats.org/spreadsheetml/2006/main">
  <authors>
    <author>Eric</author>
  </authors>
  <commentList>
    <comment ref="B4" authorId="0" shapeId="0">
      <text>
        <r>
          <rPr>
            <sz val="9"/>
            <color indexed="81"/>
            <rFont val="Tahoma"/>
            <family val="2"/>
          </rPr>
          <t xml:space="preserve">fonctionne pour TOUTES les années entre </t>
        </r>
        <r>
          <rPr>
            <b/>
            <sz val="9"/>
            <color indexed="81"/>
            <rFont val="Tahoma"/>
            <family val="2"/>
          </rPr>
          <t>1900-2203</t>
        </r>
        <r>
          <rPr>
            <sz val="9"/>
            <color indexed="81"/>
            <rFont val="Tahoma"/>
            <family val="2"/>
          </rPr>
          <t>, 
compatible avec les deux calendriers (1900/1904).</t>
        </r>
      </text>
    </comment>
  </commentList>
</comments>
</file>

<file path=xl/sharedStrings.xml><?xml version="1.0" encoding="utf-8"?>
<sst xmlns="http://schemas.openxmlformats.org/spreadsheetml/2006/main" count="1202" uniqueCount="564">
  <si>
    <t>Jour de l'an</t>
  </si>
  <si>
    <t>Lundi de Pâques</t>
  </si>
  <si>
    <t>Fête du travail</t>
  </si>
  <si>
    <t>Ascension</t>
  </si>
  <si>
    <t>Fête nationale</t>
  </si>
  <si>
    <t>Assomption</t>
  </si>
  <si>
    <t>Toussaint</t>
  </si>
  <si>
    <t>Victoire 45</t>
  </si>
  <si>
    <t>Armistice 14-18</t>
  </si>
  <si>
    <t>Noël</t>
  </si>
  <si>
    <t>Année</t>
  </si>
  <si>
    <t>Lundi de Pentecôte</t>
  </si>
  <si>
    <t>Ponts, fériés locaux</t>
  </si>
  <si>
    <t>et jours chômés</t>
  </si>
  <si>
    <t>by eriiic</t>
  </si>
  <si>
    <t>Jour</t>
  </si>
  <si>
    <t>Début</t>
  </si>
  <si>
    <t>Fin</t>
  </si>
  <si>
    <t>Lundi</t>
  </si>
  <si>
    <t>Mardi</t>
  </si>
  <si>
    <t>Mercredi</t>
  </si>
  <si>
    <t>Jeudi</t>
  </si>
  <si>
    <t>Vendredi</t>
  </si>
  <si>
    <t>Samedi</t>
  </si>
  <si>
    <t>Dimanche</t>
  </si>
  <si>
    <t>Délai H ouvrable</t>
  </si>
  <si>
    <t>Mois</t>
  </si>
  <si>
    <t>Tuto</t>
  </si>
  <si>
    <t>https://www.youtube.com/watch?v=qEKhj3KzxlE</t>
  </si>
  <si>
    <t>Date du jour</t>
  </si>
  <si>
    <t>https://www.youtube.com/watch?v=eHZ4kGry51c&amp;t=318s</t>
  </si>
  <si>
    <t>Userform</t>
  </si>
  <si>
    <t>Liste des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</si>
  <si>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</si>
  <si>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</si>
  <si>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</si>
  <si>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</si>
  <si>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</si>
  <si>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</si>
  <si>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</si>
  <si>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</si>
  <si>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</si>
  <si>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</si>
  <si>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</si>
  <si>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</si>
  <si>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 du jour</t>
  </si>
  <si>
    <t>Mois du jour</t>
  </si>
  <si>
    <t>M/A Userform</t>
  </si>
  <si>
    <t>Date userform</t>
  </si>
  <si>
    <t>Jour du jour</t>
  </si>
  <si>
    <t>Recherche jour actif</t>
  </si>
  <si>
    <t>Recherche Label Jour J</t>
  </si>
  <si>
    <t>Référence article</t>
  </si>
  <si>
    <t>désignation article</t>
  </si>
  <si>
    <t>Indice</t>
  </si>
  <si>
    <t>programme client</t>
  </si>
  <si>
    <t>gamme sous quartis créée</t>
  </si>
  <si>
    <t>opération de rattachement quartis</t>
  </si>
  <si>
    <t>CROISILLON DIFFERENTIEL RED. 43</t>
  </si>
  <si>
    <t>MP</t>
  </si>
  <si>
    <t>BOITIER DE DIFFERENTIEL</t>
  </si>
  <si>
    <t>J</t>
  </si>
  <si>
    <t>VAB</t>
  </si>
  <si>
    <t>MACHOIRE DOUBLE</t>
  </si>
  <si>
    <t>E</t>
  </si>
  <si>
    <t>CARTER ASSEMBLE</t>
  </si>
  <si>
    <t>H</t>
  </si>
  <si>
    <t>OK QUARTIS OP 100</t>
  </si>
  <si>
    <t>PALIER DE POINT FIXE  EQUIPE VAB</t>
  </si>
  <si>
    <t>SUPPORT MOT.DROIT COTE DISTRIBUTION</t>
  </si>
  <si>
    <t>M ARBRE</t>
  </si>
  <si>
    <t>C</t>
  </si>
  <si>
    <t>PORTE SATELLITES</t>
  </si>
  <si>
    <t>G</t>
  </si>
  <si>
    <t>OK QUARTIS OP 1100</t>
  </si>
  <si>
    <t>PIVOT ROUE</t>
  </si>
  <si>
    <t>I</t>
  </si>
  <si>
    <t>BRIDE GAUCHE</t>
  </si>
  <si>
    <t>F</t>
  </si>
  <si>
    <t>BRIDE DROITE</t>
  </si>
  <si>
    <t>ARBRE DE COMMANDE</t>
  </si>
  <si>
    <t>K</t>
  </si>
  <si>
    <t>MOYEU DE FREIN</t>
  </si>
  <si>
    <t>PLATEAU D ENTRAINEMENT</t>
  </si>
  <si>
    <t>BRIDE D ENTRAINEMENT</t>
  </si>
  <si>
    <t>ARBRE DU RELAIS GAUCHE</t>
  </si>
  <si>
    <t>BOITIER DE SUSPENSION VAB</t>
  </si>
  <si>
    <t>S</t>
  </si>
  <si>
    <t>LEVIER PENDANT</t>
  </si>
  <si>
    <t>D</t>
  </si>
  <si>
    <t>CYLINDRE DE CRABOTAGE</t>
  </si>
  <si>
    <t>LEVIER D ATTAQUE</t>
  </si>
  <si>
    <t>TRANSMISSION</t>
  </si>
  <si>
    <t>BOITIER SUPPORT EQUIPE</t>
  </si>
  <si>
    <t>BIELLE D ATTAQUE</t>
  </si>
  <si>
    <t>ENTRETOISE DE LIAISON</t>
  </si>
  <si>
    <t>BOITIER ROULEMENT</t>
  </si>
  <si>
    <t>SUPPORT DIFFERENTIEL ASSEMBLE</t>
  </si>
  <si>
    <t>MOYEU DE POMPE A EAU</t>
  </si>
  <si>
    <t xml:space="preserve">PR </t>
  </si>
  <si>
    <t>CHAPEAU PALIER PONT</t>
  </si>
  <si>
    <t>MIDLUM</t>
  </si>
  <si>
    <t>SUPP0RT CAPTEUR FPRP</t>
  </si>
  <si>
    <t>A</t>
  </si>
  <si>
    <t>ENS.BRIDE GUNTI</t>
  </si>
  <si>
    <t>SUPPORT PRIMAIRE TROMPETTE</t>
  </si>
  <si>
    <t>COQUILLE DROITE A BD  09 A 11X41</t>
  </si>
  <si>
    <t>COQUILLE DROITE</t>
  </si>
  <si>
    <t>MPX16</t>
  </si>
  <si>
    <t>COQUILLE GAUCHE S BD</t>
  </si>
  <si>
    <t>B</t>
  </si>
  <si>
    <t>ENS.ENTRETOISE SUPPORT DE FIL</t>
  </si>
  <si>
    <t>OK QUARTIS OP 1022</t>
  </si>
  <si>
    <t>LEVIER STABILISATEUR</t>
  </si>
  <si>
    <t>FUSEE</t>
  </si>
  <si>
    <t>MOYEU DE ROUE</t>
  </si>
  <si>
    <t>SUPPORT MOTEUR COTE VOLANT</t>
  </si>
  <si>
    <t>LEVIER ACCOUPLEMENT GAUCHE</t>
  </si>
  <si>
    <t>CORPS DE PPE CIRCULA</t>
  </si>
  <si>
    <t>V</t>
  </si>
  <si>
    <t>COUVERCLE DESCENTE EQUIPE</t>
  </si>
  <si>
    <t>OK QUARTIS OP 1020</t>
  </si>
  <si>
    <t>PIGNON 25 DENTS</t>
  </si>
  <si>
    <t>COUVERCLE DE DIFFERENTIEL</t>
  </si>
  <si>
    <t>REPRISE D'USINAGE DU BOITIER ET COUVERCL</t>
  </si>
  <si>
    <t>ARBRE D'ENTREE</t>
  </si>
  <si>
    <t>BRIDE D'ENTRAINEMENT</t>
  </si>
  <si>
    <t>BRIDE D'ENTRAINEMENT 1500 DIN</t>
  </si>
  <si>
    <t>COUVERCLE</t>
  </si>
  <si>
    <t>PLAQUE DE FERMETURE</t>
  </si>
  <si>
    <t>ARBRE DE SORTIE</t>
  </si>
  <si>
    <t>CARTER DE PONT</t>
  </si>
  <si>
    <t>OK QUARTIS OP 1110</t>
  </si>
  <si>
    <t>COURONNE REDUCTEUR DE ROUE</t>
  </si>
  <si>
    <t>OK QUARTIS OP 5105 ET 70</t>
  </si>
  <si>
    <t>FUSEE GAUCHE</t>
  </si>
  <si>
    <t>M</t>
  </si>
  <si>
    <t>OK QUARTIS OP 1035</t>
  </si>
  <si>
    <t>VBCI</t>
  </si>
  <si>
    <t>ENS.FERRURE BAGUEE GOUPILLEE</t>
  </si>
  <si>
    <t>ECROU DE FUSEE</t>
  </si>
  <si>
    <t>ENS PLATEAU D'ACCOUPLEMENT</t>
  </si>
  <si>
    <t>LEVIER DE COMMANDE</t>
  </si>
  <si>
    <t>IRISBUS</t>
  </si>
  <si>
    <t>ARBRE DE ROUE</t>
  </si>
  <si>
    <t>ARPEGE</t>
  </si>
  <si>
    <t>CARTER SUPP MOTEUR</t>
  </si>
  <si>
    <t>Carter latéral</t>
  </si>
  <si>
    <t>ARPEGE 11T5</t>
  </si>
  <si>
    <t>SUPPORT D'ARBRE DE SORTIE</t>
  </si>
  <si>
    <t>ENS TRIANGLE SUP</t>
  </si>
  <si>
    <t>ENS TRIANGLE SUSP</t>
  </si>
  <si>
    <t>BRIDE A PATIN</t>
  </si>
  <si>
    <t>FUSEE NUE AV G  CAG</t>
  </si>
  <si>
    <t>SUPPORT COMPRESSEUR DE CLIMATISATION</t>
  </si>
  <si>
    <t>PIVOT FUSEE PORTE-PI VOT</t>
  </si>
  <si>
    <t>OK QUARTIS OP 1040</t>
  </si>
  <si>
    <t>PLAQUE PIVOT</t>
  </si>
  <si>
    <t>LEVIER CONNEXION</t>
  </si>
  <si>
    <t>CARTER OF BRIDGE S B D</t>
  </si>
  <si>
    <t>CARTER OF BRIDGE A B D</t>
  </si>
  <si>
    <t>LEVIER DIRECTION. CA G</t>
  </si>
  <si>
    <t>NON déjà sous quartis</t>
  </si>
  <si>
    <t xml:space="preserve">MOYEU ROUE      </t>
  </si>
  <si>
    <t>CIVIS</t>
  </si>
  <si>
    <t>COURONNE DENTEE INSI DE RADIUS GV</t>
  </si>
  <si>
    <t>COUVERCLE PPE HUILE  .</t>
  </si>
  <si>
    <t>CORPS POMPE A HUILE .          .</t>
  </si>
  <si>
    <t>CARTER VOLANT PAM</t>
  </si>
  <si>
    <t>BOITE .</t>
  </si>
  <si>
    <t>COUVERCLE ECHANGEUR  HUILE EAU</t>
  </si>
  <si>
    <t>PORTE SATELLITES PV</t>
  </si>
  <si>
    <t>PORTE JOINT : BAGUE</t>
  </si>
  <si>
    <t>CORPS DE PONT MOTEUR</t>
  </si>
  <si>
    <t>SOLFEGE</t>
  </si>
  <si>
    <t>PIGNON COMMANDE 21 DENTS</t>
  </si>
  <si>
    <t>PLQ FERM .</t>
  </si>
  <si>
    <t>PORTE SATELLITES GV</t>
  </si>
  <si>
    <t>COUVERCLE DESCENTE</t>
  </si>
  <si>
    <t>CARTER ASS</t>
  </si>
  <si>
    <t>SUPPORT PIVOT 1ER RENVOI CAG</t>
  </si>
  <si>
    <t>ARBRE PLATEAU D 165</t>
  </si>
  <si>
    <t>BRIDE DROITE D'ACCOUPLT 1500</t>
  </si>
  <si>
    <t>ENTRAINEUR A PLATEAU</t>
  </si>
  <si>
    <t>MOYEU DE FREIN ASSEMBLE</t>
  </si>
  <si>
    <t>DISQUE COMPTAGE</t>
  </si>
  <si>
    <t>COURONNE PV 91 DENTS</t>
  </si>
  <si>
    <t>COR2 PORTE JOINT : ETANCH</t>
  </si>
  <si>
    <t>COREGE</t>
  </si>
  <si>
    <t>CARTER LATERAL ARPEGE</t>
  </si>
  <si>
    <t>ARPEGE 12T5</t>
  </si>
  <si>
    <t>BOITIER DE FREIN CARTER DROIT</t>
  </si>
  <si>
    <t>BOITIER DE FREIN CARTER GAUCHE</t>
  </si>
  <si>
    <t>ROULEMENT A ROULEAUX  CONI NTN HM807040</t>
  </si>
  <si>
    <t>PIVOT FUSEE AV  GAUCHE     DG</t>
  </si>
  <si>
    <t>PIVOT FUSEE AV  DROITE  DG</t>
  </si>
  <si>
    <t>PIGNON SATELLITE 20 DENTS</t>
  </si>
  <si>
    <t>LEVIER DRIVE SHAFT C ONNEXION</t>
  </si>
  <si>
    <t>LEVIER DIRECTION CAD</t>
  </si>
  <si>
    <t>PIGNON 40 D ENTREE DM</t>
  </si>
  <si>
    <t>COUVERCLE DM</t>
  </si>
  <si>
    <t>CARTER DM</t>
  </si>
  <si>
    <t>CARTER ASSEMBLE USINAGE FINIT</t>
  </si>
  <si>
    <t>CARTER AVANT BOITE TRANSFERT</t>
  </si>
  <si>
    <t>COUVERCLE BOITE TRANSFERT</t>
  </si>
  <si>
    <t>ARBRE COULISSANT BOITE TRANSFERT</t>
  </si>
  <si>
    <t xml:space="preserve"> MOYEU ROUE USINE</t>
  </si>
  <si>
    <t>OK QUARTIS OP 1070</t>
  </si>
  <si>
    <t>CHEMISE CRABOT</t>
  </si>
  <si>
    <t>ARBRE SORTIE GAUCHEA</t>
  </si>
  <si>
    <t>ARBRE PLATEAU D 150</t>
  </si>
  <si>
    <t>PLATEAU ENTR 180XS</t>
  </si>
  <si>
    <t>ARBRE ENTREE RELAIS</t>
  </si>
  <si>
    <t>PIGNON CMDE 25DTS</t>
  </si>
  <si>
    <t>COUVERCLE DE DIFF</t>
  </si>
  <si>
    <t>CHAPEAU PALIER</t>
  </si>
  <si>
    <t>CARTER DE DISTRIBUTI ON PONT</t>
  </si>
  <si>
    <t>BOITIER DIFFERENTIEL</t>
  </si>
  <si>
    <t>ENS BOITIER DIFF REPRISE   D'USIN</t>
  </si>
  <si>
    <t>ENTRETOISE  SPACER</t>
  </si>
  <si>
    <t>LEVIER CONNEXION  IN</t>
  </si>
  <si>
    <t>LEVIER DIR. CAG</t>
  </si>
  <si>
    <t>LEVIER CONNEXION  DR</t>
  </si>
  <si>
    <t>PIVOT FUSEE AV G  .</t>
  </si>
  <si>
    <t>PIVOT FUSEE AV D  .</t>
  </si>
  <si>
    <t>CHAPEAU DE MOYEU - D 375</t>
  </si>
  <si>
    <t>ARBRE PIVOT 234</t>
  </si>
  <si>
    <t>PLATEAU PONT XS155 POUR DM</t>
  </si>
  <si>
    <t>ENS COQUILLE MEC 3</t>
  </si>
  <si>
    <t>COR2 CARTER LAT COTE FREI</t>
  </si>
  <si>
    <t>COR2 CARTER LAT COTE ROUE</t>
  </si>
  <si>
    <t>PLANETAIRE</t>
  </si>
  <si>
    <t>SIEMENS</t>
  </si>
  <si>
    <t>POUTRE</t>
  </si>
  <si>
    <t>O</t>
  </si>
  <si>
    <t>IXEGE</t>
  </si>
  <si>
    <t>MOYEU</t>
  </si>
  <si>
    <t>PORTE PIVOT</t>
  </si>
  <si>
    <t>L</t>
  </si>
  <si>
    <t>LEVIER DIRECTION GAUCHE</t>
  </si>
  <si>
    <t>OK QUARTIS OP1040</t>
  </si>
  <si>
    <t>PORTE COURONNE</t>
  </si>
  <si>
    <t>SATELLITE</t>
  </si>
  <si>
    <t>SUPPORT DIFF. ASS.</t>
  </si>
  <si>
    <t>OK QUARTIS OP1020</t>
  </si>
  <si>
    <t>LEVIER DIRECTION DROIT</t>
  </si>
  <si>
    <t>COR2 MOYEU PONT PORTEUR</t>
  </si>
  <si>
    <t>LEVIER DIRECTION GA</t>
  </si>
  <si>
    <t>NTL</t>
  </si>
  <si>
    <t>LEVIER DIRECT DROIT</t>
  </si>
  <si>
    <t>BOITIER ARBRE D ENTR</t>
  </si>
  <si>
    <t>CUVE MOTEUR NUE</t>
  </si>
  <si>
    <t>CORPS DE PONT</t>
  </si>
  <si>
    <t>COR2 CARTER REDUCTEUR</t>
  </si>
  <si>
    <t>COR2 TOLE DEFLECTEUR</t>
  </si>
  <si>
    <t>COR2 BOITIER RLT</t>
  </si>
  <si>
    <t>ENS. CUVE + CARTER SUPP MOTEUR</t>
  </si>
  <si>
    <t>MOYEU ARPEGE 12.5T</t>
  </si>
  <si>
    <t>ENS CORPS DE PONT MPNG</t>
  </si>
  <si>
    <t>MPNG</t>
  </si>
  <si>
    <t>ENS COQUILLE DIFFERENTIEL</t>
  </si>
  <si>
    <t>OK QUARTIS OP1030</t>
  </si>
  <si>
    <t>BOITIER DE ROULEMENT</t>
  </si>
  <si>
    <t>ARBRE DE ROUE GAUCHE S/BD</t>
  </si>
  <si>
    <t>MP14</t>
  </si>
  <si>
    <t>ARBRE DE ROUE DROIT S/BD</t>
  </si>
  <si>
    <t>Corps de pont porteur MPNG</t>
  </si>
  <si>
    <t>ENS CARTER REDUCTEUR</t>
  </si>
  <si>
    <t>ENTRETOISE COURONNE 69 DENTS</t>
  </si>
  <si>
    <t>CARTER INTERMEDIAIRE</t>
  </si>
  <si>
    <t>CARTER REDUCTEUR</t>
  </si>
  <si>
    <t>MOYEU ROUE MPNG</t>
  </si>
  <si>
    <t>Carter intermédiaire</t>
  </si>
  <si>
    <t>Carter</t>
  </si>
  <si>
    <t>CORPS DE PONT MPM10 2013 OBT</t>
  </si>
  <si>
    <t>TROMPETTE  L 536</t>
  </si>
  <si>
    <t>Trompette sans CTIS</t>
  </si>
  <si>
    <t>VLRA</t>
  </si>
  <si>
    <t>porte satellite 4 axes</t>
  </si>
  <si>
    <t>FUSEE 40</t>
  </si>
  <si>
    <t>ARBRE DE ROUE L987 SS BLOCAGE</t>
  </si>
  <si>
    <t>MPM10</t>
  </si>
  <si>
    <t>ARBRE DE ROUE L1213  SS BLOC DIFF</t>
  </si>
  <si>
    <t>Poutre moteur MPM10</t>
  </si>
  <si>
    <t>Ensemble carter reducteur</t>
  </si>
  <si>
    <t>ENS CORPS DE PONT METRO DE LIL</t>
  </si>
  <si>
    <t>MDL</t>
  </si>
  <si>
    <t>OK QUARTIS OP 1020 ET 1030</t>
  </si>
  <si>
    <t>Carter PAV VLRA2 assemblé</t>
  </si>
  <si>
    <t>MOYEU METRO DE LILLE</t>
  </si>
  <si>
    <t>ENS PLATEAU ACCOUPLEMENT</t>
  </si>
  <si>
    <t>SUPPORT DIFF ASS METRO DE LILLE</t>
  </si>
  <si>
    <t>ARBRE DE ROUE SBD L840</t>
  </si>
  <si>
    <t>PONT IPONAM T20</t>
  </si>
  <si>
    <t>IPONAM</t>
  </si>
  <si>
    <t>ENS. CUVE + DM MOTEUR PMM</t>
  </si>
  <si>
    <t>MPMX</t>
  </si>
  <si>
    <t>ENS COQUILLE DIFF NS16</t>
  </si>
  <si>
    <t>NS16</t>
  </si>
  <si>
    <t>CORPS DE PONT OBT</t>
  </si>
  <si>
    <t>COUVERCLE PORTEUR MDL</t>
  </si>
  <si>
    <t>Axe satellite</t>
  </si>
  <si>
    <t>Etrier 4x60 KNOTT 2</t>
  </si>
  <si>
    <t>ROUE PHONIQUE</t>
  </si>
  <si>
    <t>FUSEE DROITE</t>
  </si>
  <si>
    <t>PORTE FUSEE FONTE GAMME TANGO</t>
  </si>
  <si>
    <t>OK QUARTIS OP 1050</t>
  </si>
  <si>
    <t>CARTER MCS</t>
  </si>
  <si>
    <t>TANGO</t>
  </si>
  <si>
    <t>MOYEU PORTEUR</t>
  </si>
  <si>
    <t>BOITIER ROULEMENT COTE REDUCTEUR</t>
  </si>
  <si>
    <t>BOITIER ROULEMENT COTE FREIN</t>
  </si>
  <si>
    <t>BOITIER ROULEMENT COTE REDUC</t>
  </si>
  <si>
    <t>CROISILLON RED 43</t>
  </si>
  <si>
    <t>MPFPRM3</t>
  </si>
  <si>
    <t>CARTER SUPPORT MOTEUR</t>
  </si>
  <si>
    <t>ROUE PHONIQUE NI-CH</t>
  </si>
  <si>
    <t>COQUILLE GAUCHE PLEINE</t>
  </si>
  <si>
    <t>PIGNON MOTEUR 23D</t>
  </si>
  <si>
    <t>COURONNE 69 DENTS 12T5 DENTURE ELARGIE</t>
  </si>
  <si>
    <t>CARTER</t>
  </si>
  <si>
    <t>COQUILLE GAUCHE</t>
  </si>
  <si>
    <t>CUVE DE PONT MOTEUR NS16</t>
  </si>
  <si>
    <t>COQUILLE DIFF GAUCHE NS16</t>
  </si>
  <si>
    <t>FUSEE ISS</t>
  </si>
  <si>
    <t>T750</t>
  </si>
  <si>
    <t>UPPER WHISHBONE T700 LHT</t>
  </si>
  <si>
    <t>T700</t>
  </si>
  <si>
    <t>LOWER WHISHBONE B T700 LHT</t>
  </si>
  <si>
    <t>LOWER WHISHBONE A T700 LHT</t>
  </si>
  <si>
    <t>POUTRE IPONAM</t>
  </si>
  <si>
    <t>MOYEU BROCHÉ IPONAM v5 NITRU</t>
  </si>
  <si>
    <t>FUSEE ISS HD</t>
  </si>
  <si>
    <t>FUSEE ISS HD SYM</t>
  </si>
  <si>
    <t>MOYEU IXÈGE v5 TREMPÉ</t>
  </si>
  <si>
    <t>ARBRE DE TRANS CANN. BOMBEE TREMPEE V5</t>
  </si>
  <si>
    <t>KNUCKLE ISS HD</t>
  </si>
  <si>
    <t>MOYEU IPONAM v5 TREMPÉ</t>
  </si>
  <si>
    <t>POUTRE IPONAM T20</t>
  </si>
  <si>
    <t>COUVERCLE CARTER</t>
  </si>
  <si>
    <t>HUB HD - KR DISC - CTIS</t>
  </si>
  <si>
    <t>COLLIER DE SERRAGE D60-90-LG 9</t>
  </si>
  <si>
    <t>TX10</t>
  </si>
  <si>
    <t>LEVIER DE DIRECTION GAUCHE</t>
  </si>
  <si>
    <t>LEVIER DE DIRECTION DROIT</t>
  </si>
  <si>
    <t>ARBRE IPOMOS V5</t>
  </si>
  <si>
    <t>IPOMOS</t>
  </si>
  <si>
    <t>COURONNE BRUT EBAUCHE</t>
  </si>
  <si>
    <t>HALF SHAFT - 6C tx</t>
  </si>
  <si>
    <t>T900</t>
  </si>
  <si>
    <t>KNUCKLE STUB AIR BRAKE tx</t>
  </si>
  <si>
    <t>NEEDLE ROLLER BEARING tx</t>
  </si>
  <si>
    <t>INPUT SHAFT 6C tx</t>
  </si>
  <si>
    <t>HUB HOUSING tx</t>
  </si>
  <si>
    <t>na</t>
  </si>
  <si>
    <t>LOWER WISHBONE B Tx</t>
  </si>
  <si>
    <t>LOWER WISHBONE A Tx</t>
  </si>
  <si>
    <t>BIELLE REPRISE TRAVERSE_851667</t>
  </si>
  <si>
    <t>4A</t>
  </si>
  <si>
    <t>BOITARD ROULEMENT</t>
  </si>
  <si>
    <t>MOYEU REDUCTEUR</t>
  </si>
  <si>
    <t>TRAVERSE GUIDAGE_851671</t>
  </si>
  <si>
    <t>REPRISE GALET_851506</t>
  </si>
  <si>
    <t>BRAS DE SUSPENSION BAS A Tx</t>
  </si>
  <si>
    <t>BRAS DE SUSPENSION BAS B Tx</t>
  </si>
  <si>
    <t>PLANET CARRIER</t>
  </si>
  <si>
    <t>STEERING ARM STUB AXLE AIR BRA</t>
  </si>
  <si>
    <t>STEERING ARM STUB AXLE AIR BRAK</t>
  </si>
  <si>
    <t>UPPER WISHBONE</t>
  </si>
  <si>
    <t>HOUSING, FINAL DRIVE AXLE CASTI</t>
  </si>
  <si>
    <t>4B</t>
  </si>
  <si>
    <t>DIFF CARRIER LINE BORING ASSY FI</t>
  </si>
  <si>
    <t>4C</t>
  </si>
  <si>
    <t>BRIDE SUPPORT USINEE</t>
  </si>
  <si>
    <t>LOWER WISHBONE A ZANARDI</t>
  </si>
  <si>
    <t>LOWER WISHBONE B ZANARDI</t>
  </si>
  <si>
    <t xml:space="preserve">KNUCKLE STUB AXIAL AIR BRAKE A </t>
  </si>
  <si>
    <t>KNUCKLE STUB AXIAL AIR BRAKE B T</t>
  </si>
  <si>
    <t>KNUCKLE STUB RADIAL AIR BRAKE A TX</t>
  </si>
  <si>
    <t xml:space="preserve">KNUCKLE STUB RADIAL AIR BRAKE B </t>
  </si>
  <si>
    <t>REPRISE GALETS ASSEMBLEE</t>
  </si>
  <si>
    <t>BIELLE REPRISE TRAVERSE 854799</t>
  </si>
  <si>
    <t>TRAVERSE GUIDAGE V2 854800</t>
  </si>
  <si>
    <t>ARBRE OIL PUMP</t>
  </si>
  <si>
    <t>BOITIER DIFFERENTIEL  FRONT DRIV</t>
  </si>
  <si>
    <t>PA995</t>
  </si>
  <si>
    <t>BRAS EQUIP. INFERIEUR DE SUSPENSI</t>
  </si>
  <si>
    <t>BRAS EQUIP. INFERIEU R SYM. DE SU</t>
  </si>
  <si>
    <t>CARTER D'ESSIEU DIRECTEUR AVEC B</t>
  </si>
  <si>
    <t>FUSEE TROMPETTE PMR</t>
  </si>
  <si>
    <t>KERAX</t>
  </si>
  <si>
    <t>FUSEE PA995 PP TAT VPG</t>
  </si>
  <si>
    <t xml:space="preserve"> ARBRE PLATEAU D 150</t>
  </si>
  <si>
    <t xml:space="preserve">MOYEU PTO, ALTERNATE UR D12D </t>
  </si>
  <si>
    <t>OK QUARTIS OP 1090</t>
  </si>
  <si>
    <t>BRIDE</t>
  </si>
  <si>
    <t>ENSEMBLE BOITIER DIFF REPRISE U</t>
  </si>
  <si>
    <t>COURONNE DENTEE</t>
  </si>
  <si>
    <t>MOYEU DE ROUE USINE</t>
  </si>
  <si>
    <t>Porte satellite 28T céramique</t>
  </si>
  <si>
    <t>porte satellite 32T céramique</t>
  </si>
  <si>
    <t>OK QUARTIS OP 1125</t>
  </si>
  <si>
    <t>CARTER DE PONT VBCI AVEC SONDE</t>
  </si>
  <si>
    <t>XXXX</t>
  </si>
  <si>
    <t>CHAPEAU DE MOYEU</t>
  </si>
  <si>
    <t>MAIN DE RESSORT</t>
  </si>
  <si>
    <t>VAB MARK</t>
  </si>
  <si>
    <t>LEVIER D ACCOUPLEMENT DROIT</t>
  </si>
  <si>
    <t>HOUSING (cuve assemblée)</t>
  </si>
  <si>
    <t>CHAPEAU DE MOYEU D375</t>
  </si>
  <si>
    <t>7422819588V</t>
  </si>
  <si>
    <t>P004001912</t>
  </si>
  <si>
    <t>P004002014</t>
  </si>
  <si>
    <t>ARBRE PLATEAU SS BD</t>
  </si>
  <si>
    <t>P004002903</t>
  </si>
  <si>
    <t>P004003468</t>
  </si>
  <si>
    <t>ARBRE PLATEAU AC BD</t>
  </si>
  <si>
    <t>P004003480</t>
  </si>
  <si>
    <t>ARBRE REDUCTEUR ISS HD</t>
  </si>
  <si>
    <t>P423814894</t>
  </si>
  <si>
    <t>vérification</t>
  </si>
  <si>
    <t>opération ponctuelle</t>
  </si>
  <si>
    <t>NA</t>
  </si>
  <si>
    <t>Etalonnage</t>
  </si>
  <si>
    <t>opération hebdomadaire</t>
  </si>
  <si>
    <t>Bla</t>
  </si>
  <si>
    <t>Nom procédure</t>
  </si>
  <si>
    <t>Fonction</t>
  </si>
  <si>
    <t>Sous Prog1</t>
  </si>
  <si>
    <t>Sous Prog2</t>
  </si>
  <si>
    <t>Sous Prog3</t>
  </si>
  <si>
    <t>Sous Prog4</t>
  </si>
  <si>
    <t>Sub / Fonc / Userform</t>
  </si>
  <si>
    <t>User_Prog</t>
  </si>
  <si>
    <t>Utilisateur Opé</t>
  </si>
  <si>
    <t>Mots de Passe</t>
  </si>
  <si>
    <t>Droits Contrôle</t>
  </si>
  <si>
    <t>Contrôle</t>
  </si>
  <si>
    <t>Programmeur</t>
  </si>
  <si>
    <t>x</t>
  </si>
  <si>
    <t>MDP Feuille protect</t>
  </si>
  <si>
    <t>1a</t>
  </si>
  <si>
    <t>Espace Programmeur</t>
  </si>
  <si>
    <t>Machine</t>
  </si>
  <si>
    <t>Technicien</t>
  </si>
  <si>
    <t>provenance article</t>
  </si>
  <si>
    <t>OUI</t>
  </si>
  <si>
    <t xml:space="preserve">FP6000 </t>
  </si>
  <si>
    <t>Arnaud Labrousse</t>
  </si>
  <si>
    <t>Non conforme</t>
  </si>
  <si>
    <t>NON</t>
  </si>
  <si>
    <t>écart dimensionnel</t>
  </si>
  <si>
    <t>Série</t>
  </si>
  <si>
    <t>HELLER 300 G</t>
  </si>
  <si>
    <t>Nicolas Milan</t>
  </si>
  <si>
    <t xml:space="preserve">Conforme </t>
  </si>
  <si>
    <t>écart géométrique</t>
  </si>
  <si>
    <t>M en Route</t>
  </si>
  <si>
    <t>HELLER 300 H</t>
  </si>
  <si>
    <t>Sébatien Savary</t>
  </si>
  <si>
    <t>Les 2</t>
  </si>
  <si>
    <t>Expert QI</t>
  </si>
  <si>
    <t>HELLER 250</t>
  </si>
  <si>
    <t>Gerard Deurre</t>
  </si>
  <si>
    <t>expert QC</t>
  </si>
  <si>
    <t>FP14000</t>
  </si>
  <si>
    <t>Sébastien Meynard</t>
  </si>
  <si>
    <t>CR</t>
  </si>
  <si>
    <t>GROB</t>
  </si>
  <si>
    <t>SAV</t>
  </si>
  <si>
    <t xml:space="preserve">CHIRON </t>
  </si>
  <si>
    <t>BE</t>
  </si>
  <si>
    <t>RECTIF</t>
  </si>
  <si>
    <t>proto</t>
  </si>
  <si>
    <t>KD3</t>
  </si>
  <si>
    <t>Banc ess</t>
  </si>
  <si>
    <t>HITACHI</t>
  </si>
  <si>
    <t>Outillage</t>
  </si>
  <si>
    <t>HELLER 460</t>
  </si>
  <si>
    <t>BT H</t>
  </si>
  <si>
    <t>CU102A</t>
  </si>
  <si>
    <t>Métro</t>
  </si>
  <si>
    <t>HULLER</t>
  </si>
  <si>
    <t>P</t>
  </si>
  <si>
    <t>Q</t>
  </si>
  <si>
    <t>R</t>
  </si>
  <si>
    <t>T</t>
  </si>
  <si>
    <t>U</t>
  </si>
  <si>
    <t>Listes déroulante</t>
  </si>
  <si>
    <t>bascule_cmm_vers_quartis</t>
  </si>
  <si>
    <t>Nature de l'écart</t>
  </si>
  <si>
    <t>Repassage</t>
  </si>
  <si>
    <t>Statut</t>
  </si>
  <si>
    <t>Fonc</t>
  </si>
  <si>
    <t>delai_H_Ouv</t>
  </si>
  <si>
    <t>Fonction calcul Jour/heure ouvrés</t>
  </si>
  <si>
    <t>Proc type</t>
  </si>
  <si>
    <t>Feuille</t>
  </si>
  <si>
    <t>WorkBook</t>
  </si>
  <si>
    <t>PrecMois</t>
  </si>
  <si>
    <t>Procedure de décrémentation des mois</t>
  </si>
  <si>
    <t>Date_Picker</t>
  </si>
  <si>
    <t>UserF Date Picker</t>
  </si>
  <si>
    <t>Mod / Userf/ / Feuil</t>
  </si>
  <si>
    <t>Sub</t>
  </si>
  <si>
    <t>Sub Userf</t>
  </si>
  <si>
    <t>UserForm_Initialize</t>
  </si>
  <si>
    <t>Initialise Userform 1</t>
  </si>
  <si>
    <t>Jour_Label</t>
  </si>
  <si>
    <t>Mise à jour des labels J</t>
  </si>
  <si>
    <t>Label_Blanc</t>
  </si>
  <si>
    <t>Initialise les couleurs de label</t>
  </si>
  <si>
    <t>CommandButton1_Click</t>
  </si>
  <si>
    <t>Selctionne le mois suivant</t>
  </si>
  <si>
    <t>SuivMois</t>
  </si>
  <si>
    <t>CommandButton2_Click</t>
  </si>
  <si>
    <t>Selctionne le mois précédent</t>
  </si>
  <si>
    <t>Incrit la date dans Feuille "Calendrier"</t>
  </si>
  <si>
    <t>J1_Click / J42_Click</t>
  </si>
  <si>
    <t>Référence</t>
  </si>
  <si>
    <t>Opération</t>
  </si>
  <si>
    <t>Date de prise en charge</t>
  </si>
  <si>
    <t>Date de la demande</t>
  </si>
  <si>
    <t>Heure de la demande</t>
  </si>
  <si>
    <t>Date de fin de contrôle</t>
  </si>
  <si>
    <t>Heure de fin de contrôle</t>
  </si>
  <si>
    <t>Heure de prise en charge</t>
  </si>
  <si>
    <t>OF</t>
  </si>
  <si>
    <t>N° Ind</t>
  </si>
  <si>
    <t>Prog Client</t>
  </si>
  <si>
    <t>Temps d'attente</t>
  </si>
  <si>
    <t>Temps de contrôle</t>
  </si>
  <si>
    <t>Temps global</t>
  </si>
  <si>
    <t>Attente</t>
  </si>
  <si>
    <t>Cont</t>
  </si>
  <si>
    <t>Total</t>
  </si>
  <si>
    <t>Heures</t>
  </si>
  <si>
    <t>Heures /    mn</t>
  </si>
  <si>
    <t>Heure Finale</t>
  </si>
  <si>
    <t>Formul_Ouvre</t>
  </si>
  <si>
    <t>Ecrit les formule jour ouvrés en feuil3</t>
  </si>
  <si>
    <t>H_Fin</t>
  </si>
  <si>
    <t>Select heure de fin pour Uf1</t>
  </si>
  <si>
    <t>H_Controle</t>
  </si>
  <si>
    <t>Select heure de Contrôle pour Uf1</t>
  </si>
  <si>
    <t>H_arrive</t>
  </si>
  <si>
    <t>Select heure de Arrivé pour Uf1</t>
  </si>
  <si>
    <t>Controleur</t>
  </si>
  <si>
    <t>Provenance</t>
  </si>
  <si>
    <t>Service Contrôle</t>
  </si>
  <si>
    <t>Reppassage</t>
  </si>
  <si>
    <t>Commantaire</t>
  </si>
  <si>
    <t xml:space="preserve">Bascule CMM/QUARTIS </t>
  </si>
  <si>
    <t>Conforme / Non Conforme</t>
  </si>
  <si>
    <t>Type d'écart</t>
  </si>
  <si>
    <t>Diamètre 102 NC</t>
  </si>
  <si>
    <t>Time Objectif</t>
  </si>
  <si>
    <t>Gamme Quartis</t>
  </si>
  <si>
    <t>Mini</t>
  </si>
  <si>
    <t>Maxi</t>
  </si>
  <si>
    <t>Reel</t>
  </si>
  <si>
    <t>https://www.youtube.com/watch?v=UWd_omefaIY</t>
  </si>
  <si>
    <t>Normal</t>
  </si>
  <si>
    <t>Calculs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</si>
</sst>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h]:mm"/>
    <numFmt numFmtId="165" formatCode="ddd&quot;. &quot;dd\ mmm\ yyyy"/>
    <numFmt numFmtId="166" formatCode="ddd\ dd/mm/yyyy\ hh:mm"/>
    <numFmt numFmtId="167" formatCode="mmmm\ yy"/>
    <numFmt numFmtId="168" formatCode="d"/>
    <numFmt numFmtId="169" formatCode="mmmm"/>
    <numFmt numFmtId="170" formatCode="[$-40C]mmm\-yy;@"/>
    <numFmt numFmtId="171" formatCode="00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i/>
      <sz val="8"/>
      <name val="Arial"/>
      <family val="2"/>
    </font>
    <font>
      <i/>
      <sz val="10"/>
      <color indexed="2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12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8"/>
      <color rgb="FF000000"/>
      <name val="Tahoma"/>
      <family val="2"/>
    </font>
    <font>
      <sz val="10"/>
      <color rgb="FF00000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1"/>
      <name val="Arial"/>
      <family val="2"/>
    </font>
    <font>
      <sz val="8"/>
      <color rgb="FF000000"/>
      <name val="Segoe UI"/>
      <family val="2"/>
    </font>
    <font>
      <sz val="12"/>
      <color rgb="FFFFFF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 tint="-0.1499984740745262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0" tint="-0.249977111117893"/>
      <name val="Arial"/>
      <family val="2"/>
    </font>
    <font>
      <b/>
      <i/>
      <u/>
      <sz val="26"/>
      <color theme="3" tint="0.59999389629810485"/>
      <name val="Arial"/>
      <family val="2"/>
    </font>
  </fonts>
  <fills count="25">
    <fill>
      <patternFill patternType="none"/>
    </fill>
    <fill>
      <patternFill patternType="gray125"/>
    </fill>
    <fill>
      <patternFill patternType="lightGray">
        <fgColor indexed="45"/>
      </patternFill>
    </fill>
    <fill>
      <patternFill patternType="lightGray">
        <fgColor indexed="27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12"/>
      </left>
      <right style="thin">
        <color indexed="64"/>
      </right>
      <top style="medium">
        <color indexed="12"/>
      </top>
      <bottom style="thin">
        <color indexed="64"/>
      </bottom>
      <diagonal/>
    </border>
    <border>
      <left style="thin">
        <color indexed="64"/>
      </left>
      <right style="medium">
        <color indexed="12"/>
      </right>
      <top style="medium">
        <color indexed="12"/>
      </top>
      <bottom style="thin">
        <color indexed="64"/>
      </bottom>
      <diagonal/>
    </border>
    <border>
      <left style="medium">
        <color indexed="1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2"/>
      </right>
      <top style="thin">
        <color indexed="64"/>
      </top>
      <bottom style="thin">
        <color indexed="64"/>
      </bottom>
      <diagonal/>
    </border>
    <border>
      <left style="medium">
        <color indexed="12"/>
      </left>
      <right style="thin">
        <color indexed="64"/>
      </right>
      <top style="thin">
        <color indexed="64"/>
      </top>
      <bottom style="medium">
        <color indexed="12"/>
      </bottom>
      <diagonal/>
    </border>
    <border>
      <left style="thin">
        <color indexed="64"/>
      </left>
      <right style="medium">
        <color indexed="12"/>
      </right>
      <top style="thin">
        <color indexed="64"/>
      </top>
      <bottom style="medium">
        <color indexed="12"/>
      </bottom>
      <diagonal/>
    </border>
    <border>
      <left style="medium">
        <color indexed="12"/>
      </left>
      <right style="medium">
        <color indexed="12"/>
      </right>
      <top style="thin">
        <color indexed="64"/>
      </top>
      <bottom style="thin">
        <color indexed="64"/>
      </bottom>
      <diagonal/>
    </border>
    <border>
      <left style="medium">
        <color indexed="12"/>
      </left>
      <right style="medium">
        <color indexed="12"/>
      </right>
      <top style="thin">
        <color indexed="64"/>
      </top>
      <bottom style="medium">
        <color indexed="1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2" borderId="2" xfId="0" applyFill="1" applyBorder="1"/>
    <xf numFmtId="16" fontId="0" fillId="0" borderId="2" xfId="0" applyNumberFormat="1" applyBorder="1"/>
    <xf numFmtId="0" fontId="4" fillId="3" borderId="2" xfId="0" applyFont="1" applyFill="1" applyBorder="1"/>
    <xf numFmtId="0" fontId="6" fillId="4" borderId="3" xfId="0" applyFont="1" applyFill="1" applyBorder="1" applyAlignment="1">
      <alignment horizontal="center" vertical="center"/>
    </xf>
    <xf numFmtId="0" fontId="7" fillId="5" borderId="2" xfId="0" applyFont="1" applyFill="1" applyBorder="1"/>
    <xf numFmtId="0" fontId="11" fillId="0" borderId="0" xfId="0" applyFont="1" applyAlignment="1">
      <alignment horizontal="right"/>
    </xf>
    <xf numFmtId="20" fontId="0" fillId="0" borderId="0" xfId="0" applyNumberFormat="1"/>
    <xf numFmtId="20" fontId="0" fillId="0" borderId="4" xfId="0" applyNumberFormat="1" applyBorder="1" applyAlignment="1">
      <alignment horizontal="center"/>
    </xf>
    <xf numFmtId="20" fontId="0" fillId="0" borderId="5" xfId="0" applyNumberFormat="1" applyBorder="1" applyAlignment="1">
      <alignment horizontal="center"/>
    </xf>
    <xf numFmtId="20" fontId="0" fillId="0" borderId="6" xfId="0" applyNumberFormat="1" applyBorder="1" applyAlignment="1">
      <alignment horizontal="center"/>
    </xf>
    <xf numFmtId="20" fontId="0" fillId="0" borderId="7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3" fillId="0" borderId="1" xfId="0" applyFont="1" applyBorder="1"/>
    <xf numFmtId="0" fontId="3" fillId="0" borderId="3" xfId="0" applyFont="1" applyBorder="1" applyAlignment="1">
      <alignment horizontal="center"/>
    </xf>
    <xf numFmtId="0" fontId="3" fillId="0" borderId="2" xfId="0" applyFont="1" applyBorder="1"/>
    <xf numFmtId="165" fontId="7" fillId="5" borderId="10" xfId="0" applyNumberFormat="1" applyFont="1" applyFill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165" fontId="0" fillId="2" borderId="10" xfId="0" applyNumberFormat="1" applyFill="1" applyBorder="1" applyAlignment="1">
      <alignment horizontal="center"/>
    </xf>
    <xf numFmtId="165" fontId="0" fillId="3" borderId="10" xfId="0" applyNumberFormat="1" applyFill="1" applyBorder="1" applyAlignment="1">
      <alignment horizontal="center"/>
    </xf>
    <xf numFmtId="165" fontId="0" fillId="3" borderId="11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6" fontId="0" fillId="0" borderId="0" xfId="0" applyNumberFormat="1"/>
    <xf numFmtId="0" fontId="0" fillId="9" borderId="0" xfId="0" applyFill="1"/>
    <xf numFmtId="0" fontId="12" fillId="9" borderId="0" xfId="0" applyFont="1" applyFill="1"/>
    <xf numFmtId="0" fontId="2" fillId="9" borderId="0" xfId="1" applyFill="1" applyAlignment="1" applyProtection="1"/>
    <xf numFmtId="0" fontId="13" fillId="7" borderId="0" xfId="0" applyFont="1" applyFill="1" applyAlignment="1">
      <alignment horizontal="center"/>
    </xf>
    <xf numFmtId="168" fontId="0" fillId="8" borderId="1" xfId="0" applyNumberFormat="1" applyFill="1" applyBorder="1" applyAlignment="1">
      <alignment horizontal="center"/>
    </xf>
    <xf numFmtId="0" fontId="0" fillId="8" borderId="0" xfId="0" applyFill="1" applyAlignment="1">
      <alignment horizontal="center"/>
    </xf>
    <xf numFmtId="14" fontId="0" fillId="0" borderId="0" xfId="0" applyNumberFormat="1"/>
    <xf numFmtId="0" fontId="12" fillId="8" borderId="1" xfId="0" applyFont="1" applyFill="1" applyBorder="1"/>
    <xf numFmtId="0" fontId="0" fillId="6" borderId="12" xfId="0" applyFill="1" applyBorder="1"/>
    <xf numFmtId="0" fontId="0" fillId="6" borderId="13" xfId="0" applyFill="1" applyBorder="1"/>
    <xf numFmtId="0" fontId="0" fillId="6" borderId="14" xfId="0" applyFill="1" applyBorder="1"/>
    <xf numFmtId="0" fontId="0" fillId="6" borderId="15" xfId="0" applyFill="1" applyBorder="1"/>
    <xf numFmtId="0" fontId="0" fillId="6" borderId="18" xfId="0" applyFill="1" applyBorder="1"/>
    <xf numFmtId="0" fontId="0" fillId="6" borderId="19" xfId="0" applyFill="1" applyBorder="1"/>
    <xf numFmtId="0" fontId="0" fillId="6" borderId="20" xfId="0" applyFill="1" applyBorder="1"/>
    <xf numFmtId="0" fontId="0" fillId="6" borderId="3" xfId="0" applyFill="1" applyBorder="1"/>
    <xf numFmtId="0" fontId="12" fillId="6" borderId="12" xfId="0" applyFont="1" applyFill="1" applyBorder="1"/>
    <xf numFmtId="0" fontId="0" fillId="6" borderId="21" xfId="0" applyFill="1" applyBorder="1"/>
    <xf numFmtId="14" fontId="0" fillId="8" borderId="1" xfId="0" applyNumberFormat="1" applyFill="1" applyBorder="1"/>
    <xf numFmtId="0" fontId="0" fillId="6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2" fillId="6" borderId="1" xfId="0" applyFont="1" applyFill="1" applyBorder="1" applyAlignment="1">
      <alignment horizontal="center"/>
    </xf>
    <xf numFmtId="169" fontId="0" fillId="8" borderId="1" xfId="0" applyNumberFormat="1" applyFill="1" applyBorder="1" applyAlignment="1">
      <alignment horizontal="center"/>
    </xf>
    <xf numFmtId="170" fontId="0" fillId="8" borderId="1" xfId="0" applyNumberFormat="1" applyFill="1" applyBorder="1" applyAlignment="1">
      <alignment horizontal="center"/>
    </xf>
    <xf numFmtId="0" fontId="12" fillId="0" borderId="0" xfId="0" applyFont="1"/>
    <xf numFmtId="168" fontId="0" fillId="9" borderId="0" xfId="0" applyNumberFormat="1" applyFill="1"/>
    <xf numFmtId="0" fontId="0" fillId="8" borderId="25" xfId="0" applyFill="1" applyBorder="1" applyAlignment="1">
      <alignment horizontal="center"/>
    </xf>
    <xf numFmtId="0" fontId="0" fillId="9" borderId="0" xfId="0" applyFill="1" applyBorder="1"/>
    <xf numFmtId="0" fontId="0" fillId="9" borderId="26" xfId="0" applyFill="1" applyBorder="1"/>
    <xf numFmtId="0" fontId="0" fillId="8" borderId="27" xfId="0" applyFill="1" applyBorder="1" applyAlignment="1">
      <alignment horizontal="center"/>
    </xf>
    <xf numFmtId="0" fontId="0" fillId="9" borderId="26" xfId="0" applyFill="1" applyBorder="1" applyAlignment="1">
      <alignment horizontal="center"/>
    </xf>
    <xf numFmtId="0" fontId="0" fillId="8" borderId="29" xfId="0" applyFill="1" applyBorder="1" applyAlignment="1">
      <alignment horizontal="center"/>
    </xf>
    <xf numFmtId="0" fontId="0" fillId="8" borderId="30" xfId="0" applyFill="1" applyBorder="1" applyAlignment="1">
      <alignment horizontal="center"/>
    </xf>
    <xf numFmtId="0" fontId="0" fillId="9" borderId="31" xfId="0" applyFill="1" applyBorder="1"/>
    <xf numFmtId="0" fontId="0" fillId="9" borderId="32" xfId="0" applyFill="1" applyBorder="1"/>
    <xf numFmtId="0" fontId="8" fillId="9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19" fillId="9" borderId="0" xfId="0" applyFont="1" applyFill="1"/>
    <xf numFmtId="0" fontId="19" fillId="0" borderId="1" xfId="0" applyFont="1" applyBorder="1"/>
    <xf numFmtId="0" fontId="19" fillId="0" borderId="20" xfId="0" applyFont="1" applyBorder="1"/>
    <xf numFmtId="0" fontId="19" fillId="0" borderId="1" xfId="0" applyFont="1" applyFill="1" applyBorder="1"/>
    <xf numFmtId="0" fontId="19" fillId="0" borderId="2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19" fillId="8" borderId="1" xfId="0" applyFont="1" applyFill="1" applyBorder="1"/>
    <xf numFmtId="0" fontId="19" fillId="10" borderId="1" xfId="0" applyFont="1" applyFill="1" applyBorder="1"/>
    <xf numFmtId="0" fontId="19" fillId="0" borderId="19" xfId="0" applyFont="1" applyBorder="1"/>
    <xf numFmtId="0" fontId="17" fillId="14" borderId="20" xfId="0" applyFont="1" applyFill="1" applyBorder="1" applyAlignment="1">
      <alignment horizontal="center"/>
    </xf>
    <xf numFmtId="0" fontId="17" fillId="14" borderId="21" xfId="0" applyFont="1" applyFill="1" applyBorder="1" applyAlignment="1">
      <alignment horizontal="center"/>
    </xf>
    <xf numFmtId="0" fontId="17" fillId="14" borderId="18" xfId="0" applyFont="1" applyFill="1" applyBorder="1" applyAlignment="1">
      <alignment horizontal="center"/>
    </xf>
    <xf numFmtId="0" fontId="19" fillId="0" borderId="3" xfId="0" applyFont="1" applyFill="1" applyBorder="1"/>
    <xf numFmtId="0" fontId="19" fillId="0" borderId="3" xfId="0" applyFont="1" applyBorder="1"/>
    <xf numFmtId="0" fontId="19" fillId="0" borderId="17" xfId="0" applyFont="1" applyBorder="1"/>
    <xf numFmtId="0" fontId="19" fillId="0" borderId="0" xfId="0" applyFont="1" applyBorder="1"/>
    <xf numFmtId="0" fontId="12" fillId="9" borderId="0" xfId="0" applyFont="1" applyFill="1" applyAlignment="1">
      <alignment horizontal="center"/>
    </xf>
    <xf numFmtId="0" fontId="0" fillId="16" borderId="0" xfId="0" applyFill="1"/>
    <xf numFmtId="0" fontId="0" fillId="16" borderId="0" xfId="0" applyFill="1" applyAlignment="1">
      <alignment horizontal="center"/>
    </xf>
    <xf numFmtId="0" fontId="0" fillId="17" borderId="1" xfId="0" applyFill="1" applyBorder="1" applyAlignment="1">
      <alignment horizontal="center"/>
    </xf>
    <xf numFmtId="0" fontId="21" fillId="18" borderId="1" xfId="0" applyFont="1" applyFill="1" applyBorder="1" applyAlignment="1">
      <alignment horizontal="center"/>
    </xf>
    <xf numFmtId="0" fontId="0" fillId="15" borderId="0" xfId="0" applyFill="1" applyAlignment="1">
      <alignment horizontal="center"/>
    </xf>
    <xf numFmtId="0" fontId="23" fillId="12" borderId="1" xfId="0" applyFont="1" applyFill="1" applyBorder="1"/>
    <xf numFmtId="0" fontId="22" fillId="12" borderId="1" xfId="0" applyFont="1" applyFill="1" applyBorder="1"/>
    <xf numFmtId="0" fontId="0" fillId="0" borderId="1" xfId="0" applyFill="1" applyBorder="1" applyAlignment="1">
      <alignment horizontal="center"/>
    </xf>
    <xf numFmtId="0" fontId="22" fillId="21" borderId="1" xfId="0" applyFont="1" applyFill="1" applyBorder="1" applyProtection="1">
      <protection hidden="1"/>
    </xf>
    <xf numFmtId="0" fontId="22" fillId="8" borderId="1" xfId="0" applyFont="1" applyFill="1" applyBorder="1" applyAlignment="1" applyProtection="1">
      <alignment horizontal="center"/>
    </xf>
    <xf numFmtId="0" fontId="24" fillId="11" borderId="1" xfId="0" applyFont="1" applyFill="1" applyBorder="1" applyAlignment="1" applyProtection="1">
      <alignment horizontal="center"/>
      <protection hidden="1"/>
    </xf>
    <xf numFmtId="0" fontId="22" fillId="0" borderId="1" xfId="0" applyFont="1" applyFill="1" applyBorder="1"/>
    <xf numFmtId="0" fontId="0" fillId="13" borderId="1" xfId="0" applyFill="1" applyBorder="1"/>
    <xf numFmtId="0" fontId="22" fillId="13" borderId="1" xfId="0" applyFont="1" applyFill="1" applyBorder="1"/>
    <xf numFmtId="0" fontId="22" fillId="10" borderId="1" xfId="0" applyFont="1" applyFill="1" applyBorder="1"/>
    <xf numFmtId="0" fontId="22" fillId="10" borderId="1" xfId="0" applyFont="1" applyFill="1" applyBorder="1" applyAlignment="1">
      <alignment horizontal="center"/>
    </xf>
    <xf numFmtId="0" fontId="22" fillId="13" borderId="1" xfId="0" applyFont="1" applyFill="1" applyBorder="1" applyAlignment="1">
      <alignment vertical="center"/>
    </xf>
    <xf numFmtId="0" fontId="12" fillId="13" borderId="1" xfId="0" applyFont="1" applyFill="1" applyBorder="1"/>
    <xf numFmtId="0" fontId="0" fillId="16" borderId="22" xfId="0" applyFill="1" applyBorder="1"/>
    <xf numFmtId="0" fontId="0" fillId="16" borderId="23" xfId="0" applyFill="1" applyBorder="1"/>
    <xf numFmtId="0" fontId="0" fillId="16" borderId="24" xfId="0" applyFill="1" applyBorder="1"/>
    <xf numFmtId="0" fontId="0" fillId="16" borderId="28" xfId="0" applyFill="1" applyBorder="1"/>
    <xf numFmtId="0" fontId="0" fillId="16" borderId="0" xfId="0" applyFill="1" applyBorder="1"/>
    <xf numFmtId="0" fontId="0" fillId="16" borderId="26" xfId="0" applyFill="1" applyBorder="1"/>
    <xf numFmtId="0" fontId="0" fillId="9" borderId="28" xfId="0" applyFill="1" applyBorder="1"/>
    <xf numFmtId="0" fontId="22" fillId="12" borderId="0" xfId="0" applyFont="1" applyFill="1" applyBorder="1"/>
    <xf numFmtId="0" fontId="16" fillId="14" borderId="21" xfId="0" applyFont="1" applyFill="1" applyBorder="1" applyAlignment="1">
      <alignment horizontal="left" vertical="center"/>
    </xf>
    <xf numFmtId="0" fontId="16" fillId="14" borderId="21" xfId="0" applyFont="1" applyFill="1" applyBorder="1"/>
    <xf numFmtId="0" fontId="18" fillId="14" borderId="21" xfId="0" applyFont="1" applyFill="1" applyBorder="1"/>
    <xf numFmtId="0" fontId="18" fillId="14" borderId="18" xfId="0" applyFont="1" applyFill="1" applyBorder="1"/>
    <xf numFmtId="0" fontId="0" fillId="0" borderId="20" xfId="0" applyFill="1" applyBorder="1" applyAlignment="1">
      <alignment horizontal="left" vertical="center"/>
    </xf>
    <xf numFmtId="0" fontId="0" fillId="0" borderId="2" xfId="0" applyFill="1" applyBorder="1" applyAlignment="1">
      <alignment horizontal="center"/>
    </xf>
    <xf numFmtId="0" fontId="12" fillId="0" borderId="20" xfId="0" applyFont="1" applyFill="1" applyBorder="1" applyAlignment="1">
      <alignment horizontal="left" vertical="center"/>
    </xf>
    <xf numFmtId="0" fontId="0" fillId="0" borderId="17" xfId="0" applyFill="1" applyBorder="1" applyAlignment="1">
      <alignment horizontal="left" vertical="center"/>
    </xf>
    <xf numFmtId="0" fontId="0" fillId="0" borderId="3" xfId="0" applyFill="1" applyBorder="1"/>
    <xf numFmtId="0" fontId="0" fillId="0" borderId="13" xfId="0" applyFill="1" applyBorder="1" applyAlignment="1">
      <alignment horizontal="center"/>
    </xf>
    <xf numFmtId="0" fontId="12" fillId="0" borderId="20" xfId="0" applyFont="1" applyFill="1" applyBorder="1"/>
    <xf numFmtId="0" fontId="12" fillId="0" borderId="21" xfId="0" applyFont="1" applyFill="1" applyBorder="1" applyAlignment="1">
      <alignment horizontal="center"/>
    </xf>
    <xf numFmtId="0" fontId="12" fillId="0" borderId="21" xfId="0" applyFont="1" applyFill="1" applyBorder="1" applyAlignment="1">
      <alignment horizontal="left"/>
    </xf>
    <xf numFmtId="0" fontId="12" fillId="0" borderId="18" xfId="0" applyFont="1" applyFill="1" applyBorder="1" applyAlignment="1">
      <alignment horizontal="left"/>
    </xf>
    <xf numFmtId="0" fontId="12" fillId="0" borderId="15" xfId="0" applyFont="1" applyFill="1" applyBorder="1"/>
    <xf numFmtId="0" fontId="12" fillId="0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2" fillId="0" borderId="33" xfId="0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19" xfId="0" applyFont="1" applyFill="1" applyBorder="1"/>
    <xf numFmtId="0" fontId="12" fillId="0" borderId="35" xfId="0" applyFont="1" applyFill="1" applyBorder="1"/>
    <xf numFmtId="0" fontId="12" fillId="0" borderId="14" xfId="0" applyFont="1" applyFill="1" applyBorder="1"/>
    <xf numFmtId="0" fontId="12" fillId="13" borderId="1" xfId="0" applyFont="1" applyFill="1" applyBorder="1" applyAlignment="1">
      <alignment horizontal="center" vertical="center" wrapText="1"/>
    </xf>
    <xf numFmtId="0" fontId="0" fillId="9" borderId="0" xfId="0" applyFill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2" fillId="20" borderId="1" xfId="0" applyFont="1" applyFill="1" applyBorder="1" applyAlignment="1">
      <alignment horizontal="center" vertical="center" wrapText="1"/>
    </xf>
    <xf numFmtId="3" fontId="19" fillId="0" borderId="33" xfId="0" applyNumberFormat="1" applyFont="1" applyFill="1" applyBorder="1" applyAlignment="1">
      <alignment horizontal="center" vertical="center"/>
    </xf>
    <xf numFmtId="3" fontId="19" fillId="0" borderId="33" xfId="0" applyNumberFormat="1" applyFont="1" applyBorder="1" applyAlignment="1">
      <alignment horizontal="center"/>
    </xf>
    <xf numFmtId="3" fontId="19" fillId="0" borderId="15" xfId="0" applyNumberFormat="1" applyFont="1" applyBorder="1" applyAlignment="1">
      <alignment horizontal="center"/>
    </xf>
    <xf numFmtId="0" fontId="0" fillId="16" borderId="0" xfId="0" applyFill="1" applyAlignment="1">
      <alignment horizontal="center" vertical="center"/>
    </xf>
    <xf numFmtId="0" fontId="12" fillId="20" borderId="1" xfId="0" applyFont="1" applyFill="1" applyBorder="1" applyAlignment="1">
      <alignment horizontal="center" vertical="center"/>
    </xf>
    <xf numFmtId="0" fontId="25" fillId="9" borderId="0" xfId="0" applyFont="1" applyFill="1" applyAlignment="1">
      <alignment horizontal="center" vertical="center"/>
    </xf>
    <xf numFmtId="171" fontId="0" fillId="9" borderId="0" xfId="0" applyNumberFormat="1" applyFill="1"/>
    <xf numFmtId="171" fontId="0" fillId="8" borderId="1" xfId="0" applyNumberFormat="1" applyFill="1" applyBorder="1" applyAlignment="1">
      <alignment horizontal="center"/>
    </xf>
    <xf numFmtId="14" fontId="12" fillId="10" borderId="1" xfId="0" applyNumberFormat="1" applyFont="1" applyFill="1" applyBorder="1" applyAlignment="1">
      <alignment horizontal="center"/>
    </xf>
    <xf numFmtId="164" fontId="0" fillId="9" borderId="0" xfId="0" applyNumberFormat="1" applyFill="1" applyAlignment="1">
      <alignment horizontal="center" vertical="center"/>
    </xf>
    <xf numFmtId="0" fontId="0" fillId="8" borderId="1" xfId="0" applyNumberFormat="1" applyFill="1" applyBorder="1"/>
    <xf numFmtId="166" fontId="0" fillId="0" borderId="0" xfId="0" applyNumberFormat="1" applyAlignment="1">
      <alignment horizontal="center"/>
    </xf>
    <xf numFmtId="3" fontId="0" fillId="8" borderId="1" xfId="0" applyNumberFormat="1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12" fillId="6" borderId="1" xfId="0" applyFont="1" applyFill="1" applyBorder="1"/>
    <xf numFmtId="0" fontId="12" fillId="19" borderId="1" xfId="0" applyFont="1" applyFill="1" applyBorder="1" applyAlignment="1">
      <alignment horizontal="center" vertical="center"/>
    </xf>
    <xf numFmtId="0" fontId="18" fillId="6" borderId="0" xfId="0" applyFont="1" applyFill="1" applyAlignment="1">
      <alignment horizontal="center" vertical="center"/>
    </xf>
    <xf numFmtId="2" fontId="0" fillId="9" borderId="0" xfId="0" applyNumberFormat="1" applyFill="1" applyAlignment="1">
      <alignment horizontal="center" vertical="center"/>
    </xf>
    <xf numFmtId="0" fontId="2" fillId="9" borderId="0" xfId="1" applyFill="1" applyAlignment="1" applyProtection="1">
      <alignment horizontal="center" vertical="center"/>
    </xf>
    <xf numFmtId="10" fontId="0" fillId="9" borderId="0" xfId="0" applyNumberFormat="1" applyFill="1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1" fontId="0" fillId="8" borderId="1" xfId="0" applyNumberFormat="1" applyFill="1" applyBorder="1" applyAlignment="1">
      <alignment horizontal="center" vertical="center"/>
    </xf>
    <xf numFmtId="2" fontId="0" fillId="8" borderId="1" xfId="0" applyNumberFormat="1" applyFill="1" applyBorder="1" applyAlignment="1">
      <alignment horizontal="center" vertical="center"/>
    </xf>
    <xf numFmtId="2" fontId="12" fillId="8" borderId="1" xfId="0" applyNumberFormat="1" applyFont="1" applyFill="1" applyBorder="1" applyAlignment="1">
      <alignment horizontal="center" vertical="center"/>
    </xf>
    <xf numFmtId="0" fontId="26" fillId="16" borderId="0" xfId="0" applyFont="1" applyFill="1" applyAlignment="1">
      <alignment horizontal="left" vertical="center"/>
    </xf>
    <xf numFmtId="0" fontId="18" fillId="7" borderId="0" xfId="0" applyFont="1" applyFill="1" applyAlignment="1">
      <alignment horizontal="center" vertical="center"/>
    </xf>
    <xf numFmtId="10" fontId="0" fillId="23" borderId="0" xfId="0" applyNumberFormat="1" applyFill="1" applyAlignment="1">
      <alignment horizontal="center" vertical="center"/>
    </xf>
    <xf numFmtId="0" fontId="0" fillId="23" borderId="0" xfId="0" applyFill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5" xfId="0" applyFill="1" applyBorder="1" applyAlignment="1">
      <alignment horizontal="center" vertical="center"/>
    </xf>
    <xf numFmtId="0" fontId="0" fillId="8" borderId="33" xfId="0" applyFill="1" applyBorder="1" applyAlignment="1">
      <alignment horizontal="center" vertical="center"/>
    </xf>
    <xf numFmtId="0" fontId="12" fillId="20" borderId="2" xfId="0" applyFont="1" applyFill="1" applyBorder="1" applyAlignment="1">
      <alignment horizontal="center" vertical="center"/>
    </xf>
    <xf numFmtId="0" fontId="12" fillId="20" borderId="35" xfId="0" applyFont="1" applyFill="1" applyBorder="1" applyAlignment="1">
      <alignment horizontal="center" vertical="center"/>
    </xf>
    <xf numFmtId="0" fontId="12" fillId="20" borderId="33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 wrapText="1"/>
    </xf>
    <xf numFmtId="0" fontId="12" fillId="8" borderId="35" xfId="0" applyFont="1" applyFill="1" applyBorder="1" applyAlignment="1">
      <alignment horizontal="center" vertical="center" wrapText="1"/>
    </xf>
    <xf numFmtId="0" fontId="12" fillId="8" borderId="33" xfId="0" applyFont="1" applyFill="1" applyBorder="1" applyAlignment="1">
      <alignment horizontal="center" vertical="center" wrapText="1"/>
    </xf>
    <xf numFmtId="0" fontId="12" fillId="20" borderId="1" xfId="0" applyFont="1" applyFill="1" applyBorder="1" applyAlignment="1">
      <alignment horizontal="center" vertical="center"/>
    </xf>
    <xf numFmtId="0" fontId="0" fillId="20" borderId="35" xfId="0" applyFill="1" applyBorder="1" applyAlignment="1">
      <alignment horizontal="center" vertical="center"/>
    </xf>
    <xf numFmtId="0" fontId="0" fillId="20" borderId="33" xfId="0" applyFill="1" applyBorder="1" applyAlignment="1">
      <alignment horizontal="center" vertical="center"/>
    </xf>
    <xf numFmtId="0" fontId="18" fillId="22" borderId="34" xfId="0" applyFont="1" applyFill="1" applyBorder="1" applyAlignment="1">
      <alignment horizontal="center"/>
    </xf>
    <xf numFmtId="0" fontId="18" fillId="22" borderId="31" xfId="0" applyFont="1" applyFill="1" applyBorder="1" applyAlignment="1">
      <alignment horizontal="center"/>
    </xf>
    <xf numFmtId="0" fontId="18" fillId="22" borderId="32" xfId="0" applyFont="1" applyFill="1" applyBorder="1" applyAlignment="1">
      <alignment horizontal="center"/>
    </xf>
    <xf numFmtId="0" fontId="18" fillId="22" borderId="0" xfId="0" applyFont="1" applyFill="1" applyAlignment="1">
      <alignment horizontal="center"/>
    </xf>
    <xf numFmtId="0" fontId="18" fillId="7" borderId="19" xfId="0" applyFont="1" applyFill="1" applyBorder="1" applyAlignment="1">
      <alignment horizontal="center"/>
    </xf>
    <xf numFmtId="0" fontId="18" fillId="7" borderId="22" xfId="0" applyFont="1" applyFill="1" applyBorder="1" applyAlignment="1">
      <alignment horizontal="center"/>
    </xf>
    <xf numFmtId="0" fontId="18" fillId="7" borderId="23" xfId="0" applyFont="1" applyFill="1" applyBorder="1" applyAlignment="1">
      <alignment horizontal="center"/>
    </xf>
    <xf numFmtId="0" fontId="18" fillId="7" borderId="24" xfId="0" applyFont="1" applyFill="1" applyBorder="1" applyAlignment="1">
      <alignment horizontal="center"/>
    </xf>
    <xf numFmtId="0" fontId="18" fillId="7" borderId="28" xfId="0" applyFont="1" applyFill="1" applyBorder="1" applyAlignment="1">
      <alignment horizontal="center"/>
    </xf>
    <xf numFmtId="0" fontId="18" fillId="7" borderId="0" xfId="0" applyFont="1" applyFill="1" applyBorder="1" applyAlignment="1">
      <alignment horizontal="center"/>
    </xf>
    <xf numFmtId="0" fontId="18" fillId="7" borderId="26" xfId="0" applyFont="1" applyFill="1" applyBorder="1" applyAlignment="1">
      <alignment horizontal="center"/>
    </xf>
    <xf numFmtId="0" fontId="12" fillId="6" borderId="3" xfId="0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/>
    </xf>
    <xf numFmtId="0" fontId="12" fillId="6" borderId="21" xfId="0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12" fillId="6" borderId="21" xfId="0" applyFont="1" applyFill="1" applyBorder="1" applyAlignment="1">
      <alignment horizontal="center" vertical="center" wrapText="1"/>
    </xf>
    <xf numFmtId="167" fontId="6" fillId="6" borderId="16" xfId="0" applyNumberFormat="1" applyFont="1" applyFill="1" applyBorder="1" applyAlignment="1">
      <alignment horizontal="center"/>
    </xf>
    <xf numFmtId="167" fontId="6" fillId="6" borderId="0" xfId="0" applyNumberFormat="1" applyFont="1" applyFill="1" applyBorder="1" applyAlignment="1">
      <alignment horizontal="center"/>
    </xf>
    <xf numFmtId="167" fontId="6" fillId="6" borderId="17" xfId="0" applyNumberFormat="1" applyFont="1" applyFill="1" applyBorder="1" applyAlignment="1">
      <alignment horizontal="center"/>
    </xf>
    <xf numFmtId="0" fontId="12" fillId="6" borderId="3" xfId="0" applyFont="1" applyFill="1" applyBorder="1" applyAlignment="1">
      <alignment horizontal="center" wrapText="1"/>
    </xf>
    <xf numFmtId="0" fontId="12" fillId="6" borderId="12" xfId="0" applyFont="1" applyFill="1" applyBorder="1" applyAlignment="1">
      <alignment horizontal="center" wrapText="1"/>
    </xf>
    <xf numFmtId="0" fontId="12" fillId="9" borderId="0" xfId="0" applyFont="1" applyFill="1" applyAlignment="1">
      <alignment horizontal="center" vertical="center"/>
    </xf>
    <xf numFmtId="166" fontId="12" fillId="9" borderId="0" xfId="0" applyNumberFormat="1" applyFont="1" applyFill="1" applyAlignment="1">
      <alignment horizontal="center"/>
    </xf>
    <xf numFmtId="0" fontId="12" fillId="0" borderId="22" xfId="0" applyFont="1" applyBorder="1"/>
    <xf numFmtId="166" fontId="0" fillId="0" borderId="23" xfId="0" applyNumberFormat="1" applyBorder="1"/>
    <xf numFmtId="164" fontId="0" fillId="0" borderId="24" xfId="0" applyNumberFormat="1" applyBorder="1" applyAlignment="1">
      <alignment horizontal="center"/>
    </xf>
    <xf numFmtId="0" fontId="12" fillId="0" borderId="28" xfId="0" applyFont="1" applyBorder="1"/>
    <xf numFmtId="166" fontId="0" fillId="0" borderId="0" xfId="0" applyNumberFormat="1" applyBorder="1"/>
    <xf numFmtId="164" fontId="0" fillId="0" borderId="26" xfId="0" applyNumberFormat="1" applyBorder="1" applyAlignment="1">
      <alignment horizontal="center"/>
    </xf>
    <xf numFmtId="0" fontId="12" fillId="0" borderId="34" xfId="0" applyFont="1" applyBorder="1"/>
    <xf numFmtId="166" fontId="0" fillId="0" borderId="31" xfId="0" applyNumberFormat="1" applyBorder="1"/>
    <xf numFmtId="164" fontId="0" fillId="0" borderId="32" xfId="0" applyNumberFormat="1" applyBorder="1" applyAlignment="1">
      <alignment horizontal="center"/>
    </xf>
    <xf numFmtId="14" fontId="0" fillId="24" borderId="1" xfId="0" applyNumberFormat="1" applyFill="1" applyBorder="1" applyAlignment="1">
      <alignment horizontal="center" vertical="center"/>
    </xf>
    <xf numFmtId="20" fontId="0" fillId="24" borderId="1" xfId="0" applyNumberFormat="1" applyFill="1" applyBorder="1" applyAlignment="1">
      <alignment horizontal="center" vertical="center"/>
    </xf>
    <xf numFmtId="14" fontId="12" fillId="24" borderId="1" xfId="0" applyNumberFormat="1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52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theme="0" tint="-0.24994659260841701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theme="0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border diagonalUp="0" diagonalDown="0">
        <left/>
        <right/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0"/>
      </font>
      <fill>
        <patternFill patternType="solid">
          <fgColor indexed="64"/>
          <bgColor theme="4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</dxfs>
  <tableStyles count="0" defaultTableStyle="TableStyleMedium2" defaultPivotStyle="PivotStyleLight16"/>
  <colors>
    <mruColors>
      <color rgb="FF009600"/>
      <color rgb="FFF3D88D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/>
              <a:t>Attente Traitement</a:t>
            </a:r>
          </a:p>
        </c:rich>
      </c:tx>
      <c:layout>
        <c:manualLayout>
          <c:xMode val="edge"/>
          <c:yMode val="edge"/>
          <c:x val="0.22974273143393309"/>
          <c:y val="0.5985034082106007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2340262064943029"/>
          <c:y val="1.731890292146198E-2"/>
          <c:w val="0.74587504148188377"/>
          <c:h val="0.9709393259791923"/>
        </c:manualLayout>
      </c:layout>
      <c:doughnutChart>
        <c:varyColors val="1"/>
        <c:ser>
          <c:idx val="1"/>
          <c:order val="0"/>
          <c:tx>
            <c:v>Tranche</c:v>
          </c:tx>
          <c:spPr>
            <a:ln>
              <a:noFill/>
            </a:ln>
          </c:spPr>
          <c:dPt>
            <c:idx val="0"/>
            <c:bubble3D val="0"/>
            <c:spPr>
              <a:solidFill>
                <a:srgbClr val="00B050"/>
              </a:solidFill>
              <a:ln w="19050">
                <a:noFill/>
              </a:ln>
              <a:effectLst/>
            </c:spPr>
          </c:dPt>
          <c:dPt>
            <c:idx val="1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</c:dPt>
          <c:val>
            <c:numRef>
              <c:f>Saisie!$Y$45:$Y$48</c:f>
              <c:numCache>
                <c:formatCode>0</c:formatCode>
                <c:ptCount val="4"/>
                <c:pt idx="0">
                  <c:v>33.33</c:v>
                </c:pt>
                <c:pt idx="1">
                  <c:v>33.33</c:v>
                </c:pt>
                <c:pt idx="2">
                  <c:v>33.299999999999997</c:v>
                </c:pt>
                <c:pt idx="3">
                  <c:v>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68"/>
      </c:doughnutChart>
      <c:pieChart>
        <c:varyColors val="1"/>
        <c:ser>
          <c:idx val="0"/>
          <c:order val="1"/>
          <c:tx>
            <c:v>Indicateur</c:v>
          </c:tx>
          <c:spPr>
            <a:noFill/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tx1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</c:dPt>
          <c:val>
            <c:numRef>
              <c:f>Saisie!$Y$50:$Y$52</c:f>
              <c:numCache>
                <c:formatCode>General</c:formatCode>
                <c:ptCount val="3"/>
                <c:pt idx="0">
                  <c:v>5.5555555553938651</c:v>
                </c:pt>
                <c:pt idx="1">
                  <c:v>2</c:v>
                </c:pt>
                <c:pt idx="2">
                  <c:v>194.44444444460615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/>
              <a:t>Attente Traitement</a:t>
            </a:r>
          </a:p>
        </c:rich>
      </c:tx>
      <c:layout>
        <c:manualLayout>
          <c:xMode val="edge"/>
          <c:yMode val="edge"/>
          <c:x val="0.22974273143393309"/>
          <c:y val="0.5985034082106007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2340262064943029"/>
          <c:y val="1.731890292146198E-2"/>
          <c:w val="0.74587504148188377"/>
          <c:h val="0.9709393259791923"/>
        </c:manualLayout>
      </c:layout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/>
              <a:t>Temps   Contrôle</a:t>
            </a:r>
          </a:p>
        </c:rich>
      </c:tx>
      <c:layout>
        <c:manualLayout>
          <c:xMode val="edge"/>
          <c:yMode val="edge"/>
          <c:x val="0.26839007442910218"/>
          <c:y val="0.60576952783953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2340262064943029"/>
          <c:y val="1.731890292146198E-2"/>
          <c:w val="0.74587504148188377"/>
          <c:h val="0.9709393259791923"/>
        </c:manualLayout>
      </c:layout>
      <c:doughnutChart>
        <c:varyColors val="1"/>
        <c:ser>
          <c:idx val="1"/>
          <c:order val="0"/>
          <c:tx>
            <c:v>Tranche</c:v>
          </c:tx>
          <c:spPr>
            <a:ln>
              <a:noFill/>
            </a:ln>
          </c:spPr>
          <c:dPt>
            <c:idx val="0"/>
            <c:bubble3D val="0"/>
            <c:spPr>
              <a:solidFill>
                <a:srgbClr val="00B050"/>
              </a:solidFill>
              <a:ln w="19050">
                <a:noFill/>
              </a:ln>
              <a:effectLst/>
            </c:spPr>
          </c:dPt>
          <c:dPt>
            <c:idx val="1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</c:dPt>
          <c:val>
            <c:numRef>
              <c:f>Saisie!$Y$45:$Y$48</c:f>
              <c:numCache>
                <c:formatCode>0</c:formatCode>
                <c:ptCount val="4"/>
                <c:pt idx="0">
                  <c:v>33.33</c:v>
                </c:pt>
                <c:pt idx="1">
                  <c:v>33.33</c:v>
                </c:pt>
                <c:pt idx="2">
                  <c:v>33.299999999999997</c:v>
                </c:pt>
                <c:pt idx="3">
                  <c:v>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68"/>
      </c:doughnutChart>
      <c:pieChart>
        <c:varyColors val="1"/>
        <c:ser>
          <c:idx val="0"/>
          <c:order val="1"/>
          <c:tx>
            <c:v>Indicateur</c:v>
          </c:tx>
          <c:spPr>
            <a:noFill/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tx1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</c:dPt>
          <c:val>
            <c:numRef>
              <c:f>Saisie!$AE$50:$AE$52</c:f>
              <c:numCache>
                <c:formatCode>General</c:formatCode>
                <c:ptCount val="3"/>
                <c:pt idx="0">
                  <c:v>25.000000002910383</c:v>
                </c:pt>
                <c:pt idx="1">
                  <c:v>2</c:v>
                </c:pt>
                <c:pt idx="2">
                  <c:v>174.99999999708962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/>
              <a:t>Temps          Total</a:t>
            </a:r>
          </a:p>
        </c:rich>
      </c:tx>
      <c:layout>
        <c:manualLayout>
          <c:xMode val="edge"/>
          <c:yMode val="edge"/>
          <c:x val="0.34568476041944035"/>
          <c:y val="0.613035647468472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2340262064943029"/>
          <c:y val="1.731890292146198E-2"/>
          <c:w val="0.74587504148188377"/>
          <c:h val="0.9709393259791923"/>
        </c:manualLayout>
      </c:layout>
      <c:doughnutChart>
        <c:varyColors val="1"/>
        <c:ser>
          <c:idx val="1"/>
          <c:order val="0"/>
          <c:tx>
            <c:v>Tranche</c:v>
          </c:tx>
          <c:spPr>
            <a:ln>
              <a:noFill/>
            </a:ln>
          </c:spPr>
          <c:dPt>
            <c:idx val="0"/>
            <c:bubble3D val="0"/>
            <c:spPr>
              <a:solidFill>
                <a:srgbClr val="00B050"/>
              </a:solidFill>
              <a:ln w="19050">
                <a:noFill/>
              </a:ln>
              <a:effectLst/>
            </c:spPr>
          </c:dPt>
          <c:dPt>
            <c:idx val="1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</c:dPt>
          <c:val>
            <c:numRef>
              <c:f>Saisie!$Y$45:$Y$48</c:f>
              <c:numCache>
                <c:formatCode>0</c:formatCode>
                <c:ptCount val="4"/>
                <c:pt idx="0">
                  <c:v>33.33</c:v>
                </c:pt>
                <c:pt idx="1">
                  <c:v>33.33</c:v>
                </c:pt>
                <c:pt idx="2">
                  <c:v>33.299999999999997</c:v>
                </c:pt>
                <c:pt idx="3">
                  <c:v>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68"/>
      </c:doughnutChart>
      <c:pieChart>
        <c:varyColors val="1"/>
        <c:ser>
          <c:idx val="0"/>
          <c:order val="1"/>
          <c:tx>
            <c:v>Indicateur</c:v>
          </c:tx>
          <c:spPr>
            <a:noFill/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tx1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</c:dPt>
          <c:val>
            <c:numRef>
              <c:f>Saisie!$AK$50:$AK$52</c:f>
              <c:numCache>
                <c:formatCode>General</c:formatCode>
                <c:ptCount val="3"/>
                <c:pt idx="0">
                  <c:v>7.5000000001455165</c:v>
                </c:pt>
                <c:pt idx="1">
                  <c:v>2</c:v>
                </c:pt>
                <c:pt idx="2">
                  <c:v>192.49999999985448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C$11" lockText="1"/>
</file>

<file path=xl/ctrlProps/ctrlProp2.xml><?xml version="1.0" encoding="utf-8"?>
<formControlPr xmlns="http://schemas.microsoft.com/office/spreadsheetml/2009/9/main" objectType="CheckBox" checked="Checked" fmlaLink="$C$1" lockText="1" noThreeD="1"/>
</file>

<file path=xl/ctrlProps/ctrlProp3.xml><?xml version="1.0" encoding="utf-8"?>
<formControlPr xmlns="http://schemas.microsoft.com/office/spreadsheetml/2009/9/main" objectType="Spin" dx="16" fmlaLink="$B$1" max="2999" min="1900" page="10" val="2021"/>
</file>

<file path=xl/ctrlProps/ctrlProp4.xml><?xml version="1.0" encoding="utf-8"?>
<formControlPr xmlns="http://schemas.microsoft.com/office/spreadsheetml/2009/9/main" objectType="Spin" dx="22" fmlaLink="$M$8" max="12" min="1" page="10" val="5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552450</xdr:colOff>
      <xdr:row>17</xdr:row>
      <xdr:rowOff>123825</xdr:rowOff>
    </xdr:from>
    <xdr:to>
      <xdr:col>14</xdr:col>
      <xdr:colOff>1600200</xdr:colOff>
      <xdr:row>25</xdr:row>
      <xdr:rowOff>66675</xdr:rowOff>
    </xdr:to>
    <xdr:sp macro="" textlink="">
      <xdr:nvSpPr>
        <xdr:cNvPr id="18" name="Rectangle 17"/>
        <xdr:cNvSpPr/>
      </xdr:nvSpPr>
      <xdr:spPr>
        <a:xfrm>
          <a:off x="12392025" y="3495675"/>
          <a:ext cx="1609725" cy="175260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9525</xdr:colOff>
      <xdr:row>17</xdr:row>
      <xdr:rowOff>123825</xdr:rowOff>
    </xdr:from>
    <xdr:to>
      <xdr:col>10</xdr:col>
      <xdr:colOff>1619250</xdr:colOff>
      <xdr:row>25</xdr:row>
      <xdr:rowOff>66675</xdr:rowOff>
    </xdr:to>
    <xdr:sp macro="" textlink="">
      <xdr:nvSpPr>
        <xdr:cNvPr id="14" name="Rectangle 13"/>
        <xdr:cNvSpPr/>
      </xdr:nvSpPr>
      <xdr:spPr>
        <a:xfrm>
          <a:off x="8286750" y="3800475"/>
          <a:ext cx="1609725" cy="175260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12</xdr:row>
      <xdr:rowOff>95250</xdr:rowOff>
    </xdr:from>
    <xdr:to>
      <xdr:col>2</xdr:col>
      <xdr:colOff>1447800</xdr:colOff>
      <xdr:row>13</xdr:row>
      <xdr:rowOff>76200</xdr:rowOff>
    </xdr:to>
    <xdr:sp macro="[0]!H_arrive" textlink="">
      <xdr:nvSpPr>
        <xdr:cNvPr id="2" name="Rectangle à coins arrondis 1"/>
        <xdr:cNvSpPr/>
      </xdr:nvSpPr>
      <xdr:spPr>
        <a:xfrm>
          <a:off x="676275" y="2809875"/>
          <a:ext cx="1371600" cy="228600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Saisie Demande</a:t>
          </a:r>
        </a:p>
      </xdr:txBody>
    </xdr:sp>
    <xdr:clientData/>
  </xdr:twoCellAnchor>
  <xdr:twoCellAnchor>
    <xdr:from>
      <xdr:col>4</xdr:col>
      <xdr:colOff>133350</xdr:colOff>
      <xdr:row>12</xdr:row>
      <xdr:rowOff>95250</xdr:rowOff>
    </xdr:from>
    <xdr:to>
      <xdr:col>4</xdr:col>
      <xdr:colOff>1504950</xdr:colOff>
      <xdr:row>13</xdr:row>
      <xdr:rowOff>76200</xdr:rowOff>
    </xdr:to>
    <xdr:sp macro="[0]!H_Controle" textlink="">
      <xdr:nvSpPr>
        <xdr:cNvPr id="4" name="Rectangle à coins arrondis 3"/>
        <xdr:cNvSpPr/>
      </xdr:nvSpPr>
      <xdr:spPr>
        <a:xfrm>
          <a:off x="2733675" y="2809875"/>
          <a:ext cx="1371600" cy="228600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Saisie Contrôle</a:t>
          </a:r>
        </a:p>
      </xdr:txBody>
    </xdr:sp>
    <xdr:clientData/>
  </xdr:twoCellAnchor>
  <xdr:twoCellAnchor>
    <xdr:from>
      <xdr:col>6</xdr:col>
      <xdr:colOff>123825</xdr:colOff>
      <xdr:row>12</xdr:row>
      <xdr:rowOff>95250</xdr:rowOff>
    </xdr:from>
    <xdr:to>
      <xdr:col>6</xdr:col>
      <xdr:colOff>1495425</xdr:colOff>
      <xdr:row>13</xdr:row>
      <xdr:rowOff>76200</xdr:rowOff>
    </xdr:to>
    <xdr:sp macro="[0]!H_Fin" textlink="">
      <xdr:nvSpPr>
        <xdr:cNvPr id="5" name="Rectangle à coins arrondis 4"/>
        <xdr:cNvSpPr/>
      </xdr:nvSpPr>
      <xdr:spPr>
        <a:xfrm>
          <a:off x="4962525" y="2809875"/>
          <a:ext cx="1371600" cy="228600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Saisie Fin</a:t>
          </a:r>
        </a:p>
      </xdr:txBody>
    </xdr:sp>
    <xdr:clientData/>
  </xdr:twoCellAnchor>
  <xdr:twoCellAnchor>
    <xdr:from>
      <xdr:col>9</xdr:col>
      <xdr:colOff>238125</xdr:colOff>
      <xdr:row>17</xdr:row>
      <xdr:rowOff>176213</xdr:rowOff>
    </xdr:from>
    <xdr:to>
      <xdr:col>11</xdr:col>
      <xdr:colOff>161925</xdr:colOff>
      <xdr:row>26</xdr:row>
      <xdr:rowOff>28576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1183697</xdr:colOff>
      <xdr:row>20</xdr:row>
      <xdr:rowOff>156440</xdr:rowOff>
    </xdr:from>
    <xdr:to>
      <xdr:col>11</xdr:col>
      <xdr:colOff>21648</xdr:colOff>
      <xdr:row>21</xdr:row>
      <xdr:rowOff>105640</xdr:rowOff>
    </xdr:to>
    <xdr:sp macro="" textlink="User_Prog!E27">
      <xdr:nvSpPr>
        <xdr:cNvPr id="7" name="Rectangle à coins arrondis 6"/>
        <xdr:cNvSpPr/>
      </xdr:nvSpPr>
      <xdr:spPr>
        <a:xfrm>
          <a:off x="9453129" y="4392179"/>
          <a:ext cx="483178" cy="23783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265F1183-A464-45CA-8070-E44B06923586}" type="TxLink">
            <a:rPr lang="en-US" sz="800" b="0" i="0" u="none" strike="noStrike" cap="none" spc="0">
              <a:ln w="0"/>
              <a:solidFill>
                <a:srgbClr val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/>
              <a:cs typeface="Arial"/>
            </a:rPr>
            <a:pPr algn="l"/>
            <a:t>36:00</a:t>
          </a:fld>
          <a:endParaRPr lang="fr-FR" sz="8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9</xdr:col>
      <xdr:colOff>368012</xdr:colOff>
      <xdr:row>20</xdr:row>
      <xdr:rowOff>165966</xdr:rowOff>
    </xdr:from>
    <xdr:to>
      <xdr:col>10</xdr:col>
      <xdr:colOff>454315</xdr:colOff>
      <xdr:row>21</xdr:row>
      <xdr:rowOff>115166</xdr:rowOff>
    </xdr:to>
    <xdr:sp macro="" textlink="User_Prog!C27">
      <xdr:nvSpPr>
        <xdr:cNvPr id="10" name="Rectangle à coins arrondis 9"/>
        <xdr:cNvSpPr/>
      </xdr:nvSpPr>
      <xdr:spPr>
        <a:xfrm>
          <a:off x="8240569" y="4401705"/>
          <a:ext cx="483178" cy="23783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B6427D0D-1E21-4471-9748-E911AB0029BF}" type="TxLink">
            <a:rPr lang="en-US" sz="800" b="0" i="0" u="none" strike="noStrike" cap="none" spc="0">
              <a:ln w="0"/>
              <a:solidFill>
                <a:srgbClr val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/>
              <a:cs typeface="Arial"/>
            </a:rPr>
            <a:pPr algn="l"/>
            <a:t>10:48</a:t>
          </a:fld>
          <a:endParaRPr lang="fr-FR" sz="8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10</xdr:col>
      <xdr:colOff>584489</xdr:colOff>
      <xdr:row>17</xdr:row>
      <xdr:rowOff>115454</xdr:rowOff>
    </xdr:from>
    <xdr:to>
      <xdr:col>10</xdr:col>
      <xdr:colOff>1067667</xdr:colOff>
      <xdr:row>18</xdr:row>
      <xdr:rowOff>86302</xdr:rowOff>
    </xdr:to>
    <xdr:sp macro="" textlink="User_Prog!D27">
      <xdr:nvSpPr>
        <xdr:cNvPr id="11" name="Rectangle à coins arrondis 10"/>
        <xdr:cNvSpPr/>
      </xdr:nvSpPr>
      <xdr:spPr>
        <a:xfrm>
          <a:off x="8853921" y="3470852"/>
          <a:ext cx="483178" cy="23783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4076471B-9CD1-4EBF-A26C-FEA70A81401A}" type="TxLink">
            <a:rPr lang="en-US" sz="800" b="0" i="0" u="none" strike="noStrike" cap="none" spc="0">
              <a:ln w="0"/>
              <a:solidFill>
                <a:srgbClr val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/>
              <a:cs typeface="Arial"/>
            </a:rPr>
            <a:pPr algn="l"/>
            <a:t>21:37</a:t>
          </a:fld>
          <a:endParaRPr lang="fr-FR" sz="8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14</xdr:col>
      <xdr:colOff>0</xdr:colOff>
      <xdr:row>18</xdr:row>
      <xdr:rowOff>0</xdr:rowOff>
    </xdr:from>
    <xdr:to>
      <xdr:col>15</xdr:col>
      <xdr:colOff>352425</xdr:colOff>
      <xdr:row>26</xdr:row>
      <xdr:rowOff>119063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266699</xdr:colOff>
      <xdr:row>17</xdr:row>
      <xdr:rowOff>133350</xdr:rowOff>
    </xdr:from>
    <xdr:to>
      <xdr:col>13</xdr:col>
      <xdr:colOff>161925</xdr:colOff>
      <xdr:row>26</xdr:row>
      <xdr:rowOff>23813</xdr:rowOff>
    </xdr:to>
    <xdr:grpSp>
      <xdr:nvGrpSpPr>
        <xdr:cNvPr id="8" name="Groupe 7"/>
        <xdr:cNvGrpSpPr/>
      </xdr:nvGrpSpPr>
      <xdr:grpSpPr>
        <a:xfrm>
          <a:off x="10125074" y="3810000"/>
          <a:ext cx="1905001" cy="1785938"/>
          <a:chOff x="10201274" y="3486150"/>
          <a:chExt cx="1905001" cy="1785938"/>
        </a:xfrm>
      </xdr:grpSpPr>
      <xdr:sp macro="" textlink="">
        <xdr:nvSpPr>
          <xdr:cNvPr id="13" name="Rectangle 12"/>
          <xdr:cNvSpPr/>
        </xdr:nvSpPr>
        <xdr:spPr>
          <a:xfrm>
            <a:off x="10362716" y="3486150"/>
            <a:ext cx="1571407" cy="1752600"/>
          </a:xfrm>
          <a:prstGeom prst="rect">
            <a:avLst/>
          </a:prstGeom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graphicFrame macro="">
        <xdr:nvGraphicFramePr>
          <xdr:cNvPr id="16" name="Graphique 15"/>
          <xdr:cNvGraphicFramePr>
            <a:graphicFrameLocks/>
          </xdr:cNvGraphicFramePr>
        </xdr:nvGraphicFramePr>
        <xdr:xfrm>
          <a:off x="10201274" y="3524250"/>
          <a:ext cx="1905001" cy="174783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</xdr:grpSp>
    <xdr:clientData/>
  </xdr:twoCellAnchor>
  <xdr:twoCellAnchor>
    <xdr:from>
      <xdr:col>13</xdr:col>
      <xdr:colOff>333375</xdr:colOff>
      <xdr:row>17</xdr:row>
      <xdr:rowOff>152400</xdr:rowOff>
    </xdr:from>
    <xdr:to>
      <xdr:col>15</xdr:col>
      <xdr:colOff>123825</xdr:colOff>
      <xdr:row>26</xdr:row>
      <xdr:rowOff>4763</xdr:rowOff>
    </xdr:to>
    <xdr:graphicFrame macro="">
      <xdr:nvGraphicFramePr>
        <xdr:cNvPr id="17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9</xdr:row>
          <xdr:rowOff>209550</xdr:rowOff>
        </xdr:from>
        <xdr:to>
          <xdr:col>1</xdr:col>
          <xdr:colOff>1343025</xdr:colOff>
          <xdr:row>11</xdr:row>
          <xdr:rowOff>9525</xdr:rowOff>
        </xdr:to>
        <xdr:sp macro="" textlink="">
          <xdr:nvSpPr>
            <xdr:cNvPr id="6145" name="Check Box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Protection</a:t>
              </a:r>
            </a:p>
          </xdr:txBody>
        </xdr:sp>
        <xdr:clientData fLocksWithSheet="0"/>
      </xdr:twoCellAnchor>
    </mc:Choice>
    <mc:Fallback/>
  </mc:AlternateContent>
  <xdr:twoCellAnchor editAs="absolute">
    <xdr:from>
      <xdr:col>1</xdr:col>
      <xdr:colOff>923924</xdr:colOff>
      <xdr:row>0</xdr:row>
      <xdr:rowOff>102360</xdr:rowOff>
    </xdr:from>
    <xdr:to>
      <xdr:col>9</xdr:col>
      <xdr:colOff>161924</xdr:colOff>
      <xdr:row>1</xdr:row>
      <xdr:rowOff>229666</xdr:rowOff>
    </xdr:to>
    <xdr:sp macro="" textlink="">
      <xdr:nvSpPr>
        <xdr:cNvPr id="3" name="Rectangle à coins arrondis 2"/>
        <xdr:cNvSpPr/>
      </xdr:nvSpPr>
      <xdr:spPr>
        <a:xfrm>
          <a:off x="1685924" y="102360"/>
          <a:ext cx="6696075" cy="289231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\\\   Menu   ///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9525</xdr:rowOff>
        </xdr:from>
        <xdr:to>
          <xdr:col>2</xdr:col>
          <xdr:colOff>1600200</xdr:colOff>
          <xdr:row>1</xdr:row>
          <xdr:rowOff>0</xdr:rowOff>
        </xdr:to>
        <xdr:sp macro="" textlink="">
          <xdr:nvSpPr>
            <xdr:cNvPr id="1026" name="Check Box 2" descr="25 %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blipFill dpi="0" rotWithShape="0">
              <a:blip xmlns:r="http://schemas.openxmlformats.org/officeDocument/2006/relationships" r:embed="rId1"/>
              <a:srcRect/>
              <a:tile tx="0" ty="0" sx="100000" sy="100000" flip="none" algn="tl"/>
            </a:blipFill>
            <a:ln w="12700">
              <a:solidFill>
                <a:srgbClr val="FF0000" mc:Ignorable="a14" a14:legacySpreadsheetColorIndex="10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Pentecôte travaillé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1057275</xdr:colOff>
          <xdr:row>0</xdr:row>
          <xdr:rowOff>9525</xdr:rowOff>
        </xdr:from>
        <xdr:to>
          <xdr:col>1</xdr:col>
          <xdr:colOff>1285875</xdr:colOff>
          <xdr:row>0</xdr:row>
          <xdr:rowOff>314325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657226</xdr:colOff>
      <xdr:row>10</xdr:row>
      <xdr:rowOff>7055</xdr:rowOff>
    </xdr:from>
    <xdr:to>
      <xdr:col>3</xdr:col>
      <xdr:colOff>390526</xdr:colOff>
      <xdr:row>11</xdr:row>
      <xdr:rowOff>26105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3281893" y="1799166"/>
          <a:ext cx="1341966" cy="181328"/>
        </a:xfrm>
        <a:prstGeom prst="borderCallout1">
          <a:avLst>
            <a:gd name="adj1" fmla="val 63157"/>
            <a:gd name="adj2" fmla="val -5676"/>
            <a:gd name="adj3" fmla="val -84208"/>
            <a:gd name="adj4" fmla="val -48935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1587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 type="triangle" w="med" len="med"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Plage nommée 'Fériés'</a:t>
          </a:r>
          <a:endParaRPr lang="fr-FR"/>
        </a:p>
      </xdr:txBody>
    </xdr:sp>
    <xdr:clientData/>
  </xdr:twoCellAnchor>
  <xdr:twoCellAnchor>
    <xdr:from>
      <xdr:col>8</xdr:col>
      <xdr:colOff>657225</xdr:colOff>
      <xdr:row>8</xdr:row>
      <xdr:rowOff>0</xdr:rowOff>
    </xdr:from>
    <xdr:to>
      <xdr:col>11</xdr:col>
      <xdr:colOff>38100</xdr:colOff>
      <xdr:row>9</xdr:row>
      <xdr:rowOff>28575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8705850" y="1466850"/>
          <a:ext cx="1666875" cy="190500"/>
        </a:xfrm>
        <a:prstGeom prst="borderCallout1">
          <a:avLst>
            <a:gd name="adj1" fmla="val 60000"/>
            <a:gd name="adj2" fmla="val -4569"/>
            <a:gd name="adj3" fmla="val -80000"/>
            <a:gd name="adj4" fmla="val -39431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1587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 type="triangle" w="med" len="med"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Plage nommée 'Ouverture'</a:t>
          </a:r>
          <a:endParaRPr lang="fr-FR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638175</xdr:colOff>
          <xdr:row>6</xdr:row>
          <xdr:rowOff>19050</xdr:rowOff>
        </xdr:from>
        <xdr:to>
          <xdr:col>12</xdr:col>
          <xdr:colOff>9525</xdr:colOff>
          <xdr:row>8</xdr:row>
          <xdr:rowOff>9525</xdr:rowOff>
        </xdr:to>
        <xdr:sp macro="" textlink="">
          <xdr:nvSpPr>
            <xdr:cNvPr id="4098" name="Spinner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238125</xdr:colOff>
          <xdr:row>12</xdr:row>
          <xdr:rowOff>28575</xdr:rowOff>
        </xdr:from>
        <xdr:to>
          <xdr:col>7</xdr:col>
          <xdr:colOff>552450</xdr:colOff>
          <xdr:row>13</xdr:row>
          <xdr:rowOff>152400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0</xdr:row>
      <xdr:rowOff>114300</xdr:rowOff>
    </xdr:from>
    <xdr:to>
      <xdr:col>9</xdr:col>
      <xdr:colOff>104775</xdr:colOff>
      <xdr:row>8</xdr:row>
      <xdr:rowOff>152400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5695950" y="114300"/>
          <a:ext cx="4438650" cy="1333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1905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=</a:t>
          </a: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delai_H_Ouv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(A2;B2)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calcule le nombre d'heure en heures d'ouverture sur les jours non fériés.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Dans la feuille 'Fériés'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- choisir ou compléter le calendrier des Fériés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!!! Ne pas changer le format d'affichage des fériés !!!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- remplir les heures d'ouverture e G2:H8</a:t>
          </a:r>
          <a:endParaRPr lang="fr-FR"/>
        </a:p>
      </xdr:txBody>
    </xdr:sp>
    <xdr:clientData/>
  </xdr:twoCellAnchor>
  <xdr:twoCellAnchor>
    <xdr:from>
      <xdr:col>9</xdr:col>
      <xdr:colOff>476249</xdr:colOff>
      <xdr:row>0</xdr:row>
      <xdr:rowOff>104775</xdr:rowOff>
    </xdr:from>
    <xdr:to>
      <xdr:col>16</xdr:col>
      <xdr:colOff>695324</xdr:colOff>
      <xdr:row>24</xdr:row>
      <xdr:rowOff>0</xdr:rowOff>
    </xdr:to>
    <xdr:sp macro="" textlink="">
      <xdr:nvSpPr>
        <xdr:cNvPr id="3078" name="Text Box 2"/>
        <xdr:cNvSpPr txBox="1">
          <a:spLocks noChangeArrowheads="1"/>
        </xdr:cNvSpPr>
      </xdr:nvSpPr>
      <xdr:spPr bwMode="auto">
        <a:xfrm>
          <a:off x="10506074" y="104775"/>
          <a:ext cx="5553075" cy="3781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1905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Function</a:t>
          </a: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 delai_H_Ouv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(date1 As Date, date2 As Date) As Date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Dim date3 As Date, jour As Long, c As Range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Dim Hdeb As Date, Hfin As Date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Dim Houv As Variant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Houv = [Ouverture]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For date3 = Int(date1) To Int(date2)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    Set c = [Fériés].Find(Format(Int(date3), "ddd dd mmm yyyy"), LookIn:=xlValues)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    jour = Weekday(date3, vbMonday)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    If c Is Nothing Then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        If date3 = Int(date1) Then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            Hdeb = Application.Max(date1 - Int(date1), Houv(jour, 1))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            Hfin = Houv(jour, 2)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        ElseIf date3 = Int(date2) Then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            Hdeb = Houv(jour, 1)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            Hfin = Application.Min(date2 - Int(date2), Houv(jour, 2))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        Else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            Hdeb = Houv(jour, 1)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            Hfin = Houv(jour, 2)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        End If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        delai_H_Ouv = delai_H_Ouv + Hfin - Hdeb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    End If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Next date3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End Function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394159\Desktop\TEXFRH0101_Informations%20nouvel%20arrivan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2_Qualite\2-%20Qualit&#233;%20Interne\27_M&#233;thodes%20controle\Indicateur%20controle\Bt.H\2021\indicateur%20BT%20H%202021\Rel&#233;v&#233;%20hebdomadaire\H%20S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ez-moi"/>
      <sheetName val="Nouvel arrivant"/>
      <sheetName val="listes"/>
      <sheetName val="-18ans"/>
    </sheetNames>
    <sheetDataSet>
      <sheetData sheetId="0" refreshError="1"/>
      <sheetData sheetId="1" refreshError="1"/>
      <sheetData sheetId="2">
        <row r="3">
          <cell r="B3" t="str">
            <v>Embauche CDI</v>
          </cell>
        </row>
        <row r="4">
          <cell r="B4" t="str">
            <v>CDD</v>
          </cell>
        </row>
        <row r="5">
          <cell r="B5" t="str">
            <v>Intérimaire</v>
          </cell>
        </row>
        <row r="6">
          <cell r="B6" t="str">
            <v>Stagiaire</v>
          </cell>
        </row>
        <row r="7">
          <cell r="B7" t="str">
            <v>Prestataire</v>
          </cell>
        </row>
        <row r="8">
          <cell r="B8" t="str">
            <v>Autre…</v>
          </cell>
        </row>
        <row r="11">
          <cell r="B11" t="str">
            <v>ADECCO</v>
          </cell>
        </row>
        <row r="12">
          <cell r="B12" t="str">
            <v>CRIT</v>
          </cell>
        </row>
        <row r="13">
          <cell r="B13" t="str">
            <v>MANPOWER</v>
          </cell>
        </row>
        <row r="14">
          <cell r="B14" t="str">
            <v>RANDSTAD</v>
          </cell>
        </row>
        <row r="15">
          <cell r="B15" t="str">
            <v>STARTPEOPLE</v>
          </cell>
        </row>
        <row r="16">
          <cell r="B16" t="str">
            <v>SYNERGIE</v>
          </cell>
        </row>
        <row r="18">
          <cell r="B18" t="str">
            <v>OUI</v>
          </cell>
        </row>
        <row r="19">
          <cell r="B19" t="str">
            <v>NON</v>
          </cell>
        </row>
        <row r="31">
          <cell r="C31" t="str">
            <v>Départ depuis + de 6 mois</v>
          </cell>
        </row>
        <row r="32">
          <cell r="C32" t="str">
            <v>Départ depuis - de 6 mois</v>
          </cell>
        </row>
        <row r="34">
          <cell r="C34" t="str">
            <v>ACHARD Yohann</v>
          </cell>
        </row>
        <row r="35">
          <cell r="C35" t="str">
            <v>ARNAUD Françine</v>
          </cell>
        </row>
        <row r="36">
          <cell r="C36" t="str">
            <v>BESSON David</v>
          </cell>
        </row>
        <row r="37">
          <cell r="C37" t="str">
            <v>BOISSEAU Yann</v>
          </cell>
        </row>
        <row r="38">
          <cell r="C38" t="str">
            <v>BONNET Audrey</v>
          </cell>
        </row>
        <row r="39">
          <cell r="C39" t="str">
            <v>BOUGAREL Régis</v>
          </cell>
        </row>
        <row r="40">
          <cell r="C40" t="str">
            <v>BOURGES Clément</v>
          </cell>
        </row>
        <row r="41">
          <cell r="C41" t="str">
            <v>BRACHET Sébastien</v>
          </cell>
        </row>
        <row r="42">
          <cell r="C42" t="str">
            <v>BRISSET Serge</v>
          </cell>
        </row>
        <row r="43">
          <cell r="C43" t="str">
            <v>CARRE Michel</v>
          </cell>
        </row>
        <row r="44">
          <cell r="C44" t="str">
            <v>CHAPOT Nicolas</v>
          </cell>
        </row>
        <row r="45">
          <cell r="C45" t="str">
            <v>CHASTRUSSE Nicolas</v>
          </cell>
        </row>
        <row r="46">
          <cell r="C46" t="str">
            <v>CHEVAL Florence</v>
          </cell>
        </row>
        <row r="47">
          <cell r="C47" t="str">
            <v>CHEVALLIER Benoit</v>
          </cell>
        </row>
        <row r="48">
          <cell r="C48" t="str">
            <v>CHOPINET Johan</v>
          </cell>
        </row>
        <row r="49">
          <cell r="C49" t="str">
            <v>DE BARBUAT Charles-Antoine</v>
          </cell>
        </row>
        <row r="50">
          <cell r="C50" t="str">
            <v>DELANNOY Damien</v>
          </cell>
        </row>
        <row r="51">
          <cell r="C51" t="str">
            <v>DEVAUX Jean-Michel</v>
          </cell>
        </row>
        <row r="52">
          <cell r="C52" t="str">
            <v>DUPIC Thierry</v>
          </cell>
        </row>
        <row r="53">
          <cell r="C53" t="str">
            <v>DUSSARTRE Claude</v>
          </cell>
        </row>
        <row r="54">
          <cell r="C54" t="str">
            <v>GARNIER Laurent</v>
          </cell>
        </row>
        <row r="55">
          <cell r="C55" t="str">
            <v>GAUCHER Michael</v>
          </cell>
        </row>
        <row r="56">
          <cell r="C56" t="str">
            <v>GONZALEZ_Damien</v>
          </cell>
        </row>
        <row r="57">
          <cell r="C57" t="str">
            <v>JUPILLAT François</v>
          </cell>
        </row>
        <row r="58">
          <cell r="C58" t="str">
            <v>LAURENT Katia</v>
          </cell>
        </row>
        <row r="59">
          <cell r="C59" t="str">
            <v>LEBLOIS Bruno</v>
          </cell>
        </row>
        <row r="60">
          <cell r="C60" t="str">
            <v>MACHAT Bertrand</v>
          </cell>
        </row>
        <row r="61">
          <cell r="C61" t="str">
            <v>MONJAUZE Pascal</v>
          </cell>
        </row>
        <row r="62">
          <cell r="C62" t="str">
            <v>OGER Wilfried</v>
          </cell>
        </row>
        <row r="63">
          <cell r="C63" t="str">
            <v>PEGON Jean-Pierre</v>
          </cell>
        </row>
        <row r="64">
          <cell r="C64" t="str">
            <v>PENICAUD Patrick</v>
          </cell>
        </row>
        <row r="65">
          <cell r="C65" t="str">
            <v>POMMIER André</v>
          </cell>
        </row>
        <row r="66">
          <cell r="C66" t="str">
            <v>RENARD François</v>
          </cell>
        </row>
        <row r="67">
          <cell r="C67" t="str">
            <v>REYNIER KIFFER Sylvie</v>
          </cell>
        </row>
        <row r="68">
          <cell r="C68" t="str">
            <v>SABATIER Marc</v>
          </cell>
        </row>
        <row r="69">
          <cell r="C69" t="str">
            <v>SCHMUTZ Christian</v>
          </cell>
        </row>
        <row r="70">
          <cell r="C70" t="str">
            <v>TIXIER CUGNIERE Aude</v>
          </cell>
        </row>
        <row r="71">
          <cell r="C71" t="str">
            <v>TRUFIER Bruno</v>
          </cell>
        </row>
        <row r="72">
          <cell r="C72" t="str">
            <v>VANDEL Jean</v>
          </cell>
        </row>
        <row r="75">
          <cell r="C75" t="str">
            <v>1010_BUSINESS DEVELOPMENT</v>
          </cell>
        </row>
        <row r="76">
          <cell r="C76" t="str">
            <v>2010_CS</v>
          </cell>
        </row>
        <row r="77">
          <cell r="C77" t="str">
            <v>3120_SAV</v>
          </cell>
        </row>
        <row r="78">
          <cell r="C78" t="str">
            <v>4100_SUPPORT PRODUCTION</v>
          </cell>
        </row>
        <row r="79">
          <cell r="C79" t="str">
            <v>4105_QUALITE INTERNE</v>
          </cell>
        </row>
        <row r="80">
          <cell r="C80" t="str">
            <v>4110_GROS CU</v>
          </cell>
        </row>
        <row r="81">
          <cell r="C81" t="str">
            <v>4113_MOYENS CU BAT C</v>
          </cell>
        </row>
        <row r="82">
          <cell r="C82" t="str">
            <v>4116_MOYENS CU BAT H</v>
          </cell>
        </row>
        <row r="83">
          <cell r="C83" t="str">
            <v>4119_TOURS</v>
          </cell>
        </row>
        <row r="84">
          <cell r="C84" t="str">
            <v>4122_TS / TTH</v>
          </cell>
        </row>
        <row r="85">
          <cell r="C85" t="str">
            <v>4125_TAILLAGE</v>
          </cell>
        </row>
        <row r="86">
          <cell r="C86" t="str">
            <v>4128_RECTIF</v>
          </cell>
        </row>
        <row r="87">
          <cell r="C87" t="str">
            <v>4131_RECTIF DENTURE</v>
          </cell>
        </row>
        <row r="88">
          <cell r="C88" t="str">
            <v>4134_CONTRÔLE</v>
          </cell>
        </row>
        <row r="89">
          <cell r="C89" t="str">
            <v>4141_ASSEMBLAGE</v>
          </cell>
        </row>
        <row r="90">
          <cell r="C90" t="str">
            <v>4142_ASSEMBLAGE KERAX</v>
          </cell>
        </row>
        <row r="91">
          <cell r="C91" t="str">
            <v>4143_ASSEMBLAGE NEOVAL</v>
          </cell>
        </row>
        <row r="92">
          <cell r="C92" t="str">
            <v>4144_RENOVATION</v>
          </cell>
        </row>
        <row r="93">
          <cell r="C93" t="str">
            <v>4151_KITTING EMBALLAGE</v>
          </cell>
        </row>
        <row r="94">
          <cell r="C94" t="str">
            <v>4200_SUPPORT MACHINES</v>
          </cell>
        </row>
        <row r="95">
          <cell r="C95" t="str">
            <v>4251_MAINTENANCE (ORDRES)</v>
          </cell>
        </row>
        <row r="96">
          <cell r="C96" t="str">
            <v>4257_OUTILLAGE</v>
          </cell>
        </row>
        <row r="97">
          <cell r="C97" t="str">
            <v>4310_INDUSTRIALISATION</v>
          </cell>
        </row>
        <row r="98">
          <cell r="C98" t="str">
            <v>4312_INDUSTRIAL. OSS</v>
          </cell>
        </row>
        <row r="99">
          <cell r="C99" t="str">
            <v>4420_ACHATS ET SOURCING</v>
          </cell>
        </row>
        <row r="100">
          <cell r="C100" t="str">
            <v>4430_APPROS</v>
          </cell>
        </row>
        <row r="101">
          <cell r="C101" t="str">
            <v>4440_PLANIFICATION</v>
          </cell>
        </row>
        <row r="102">
          <cell r="C102" t="str">
            <v>4450_LOGISTIQUE GARE</v>
          </cell>
        </row>
        <row r="103">
          <cell r="C103" t="str">
            <v>4500_DIR INDUSTRIELLE</v>
          </cell>
        </row>
        <row r="104">
          <cell r="C104" t="str">
            <v>4505_SERVICES GENERAUX</v>
          </cell>
        </row>
        <row r="105">
          <cell r="C105" t="str">
            <v>5100_PROGRAMMES</v>
          </cell>
        </row>
        <row r="106">
          <cell r="C106" t="str">
            <v>5120_GESTION PROJETS COST</v>
          </cell>
        </row>
        <row r="107">
          <cell r="C107" t="str">
            <v>5150_INGENIERIE PRODUIT</v>
          </cell>
        </row>
        <row r="108">
          <cell r="C108" t="str">
            <v>5160_ING. PROD CONC EXPRT</v>
          </cell>
        </row>
        <row r="109">
          <cell r="C109" t="str">
            <v>5190_DIRECTION TECHNIQUE</v>
          </cell>
        </row>
        <row r="110">
          <cell r="C110" t="str">
            <v>5220_CENTRE D'ESSAIS HOM.</v>
          </cell>
        </row>
        <row r="111">
          <cell r="C111" t="str">
            <v>6010_DIRECTION</v>
          </cell>
        </row>
        <row r="112">
          <cell r="C112" t="str">
            <v>6030_OPEX</v>
          </cell>
        </row>
        <row r="113">
          <cell r="C113" t="str">
            <v>6110_SUPPORT OPE COMMER</v>
          </cell>
        </row>
        <row r="114">
          <cell r="C114" t="str">
            <v>6320_RH</v>
          </cell>
        </row>
        <row r="115">
          <cell r="C115" t="str">
            <v>6410_FINANCES FG1</v>
          </cell>
        </row>
        <row r="116">
          <cell r="C116" t="str">
            <v>6420_FINANCES FG2</v>
          </cell>
        </row>
        <row r="117">
          <cell r="C117" t="str">
            <v>6510_QUALITE FG1</v>
          </cell>
        </row>
        <row r="118">
          <cell r="C118" t="str">
            <v>6520_SECURITE ENVIRONNEM</v>
          </cell>
        </row>
        <row r="119">
          <cell r="C119" t="str">
            <v>6560_S.I.</v>
          </cell>
        </row>
        <row r="122">
          <cell r="C122" t="str">
            <v>JOURNEE</v>
          </cell>
        </row>
        <row r="123">
          <cell r="C123" t="str">
            <v>2 x 8</v>
          </cell>
        </row>
        <row r="124">
          <cell r="C124" t="str">
            <v>3 x 8</v>
          </cell>
        </row>
        <row r="125">
          <cell r="C125" t="str">
            <v>NUITS</v>
          </cell>
        </row>
        <row r="126">
          <cell r="C126" t="str">
            <v>ESFS</v>
          </cell>
        </row>
        <row r="127">
          <cell r="C127" t="str">
            <v>AUTRE</v>
          </cell>
        </row>
      </sheetData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06"/>
      <sheetName val="données base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id="2" name="Tableau2" displayName="Tableau2" ref="P26:V39" totalsRowShown="0" headerRowDxfId="43" dataDxfId="41" headerRowBorderDxfId="42" tableBorderDxfId="40">
  <autoFilter ref="P26:V39"/>
  <tableColumns count="7">
    <tableColumn id="1" name="bascule_cmm_vers_quartis" dataDxfId="39"/>
    <tableColumn id="2" name="Machine" dataDxfId="38"/>
    <tableColumn id="3" name="Technicien" dataDxfId="37"/>
    <tableColumn id="4" name="Statut" dataDxfId="36"/>
    <tableColumn id="5" name="Repassage" dataDxfId="35"/>
    <tableColumn id="6" name="Nature de l'écart" dataDxfId="34"/>
    <tableColumn id="7" name="provenance article" dataDxfId="3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D26:AD32" totalsRowShown="0" headerRowDxfId="32" dataDxfId="30" headerRowBorderDxfId="31" tableBorderDxfId="29" totalsRowBorderDxfId="28">
  <autoFilter ref="AD26:AD32"/>
  <tableColumns count="1">
    <tableColumn id="1" name="Proc type" dataDxfId="27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B11:G335" totalsRowShown="0" headerRowDxfId="26" dataDxfId="24" headerRowBorderDxfId="25" tableBorderDxfId="23">
  <autoFilter ref="B11:G335"/>
  <tableColumns count="6">
    <tableColumn id="1" name="Référence article" dataDxfId="22"/>
    <tableColumn id="2" name="désignation article" dataDxfId="21"/>
    <tableColumn id="3" name="Indice" dataDxfId="20"/>
    <tableColumn id="4" name="programme client" dataDxfId="19"/>
    <tableColumn id="5" name="gamme sous quartis créée" dataDxfId="18"/>
    <tableColumn id="6" name="opération de rattachement quartis" dataDxfId="17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B9:I22" totalsRowShown="0" headerRowDxfId="12" dataDxfId="10" headerRowBorderDxfId="11" tableBorderDxfId="9" totalsRowBorderDxfId="8">
  <autoFilter ref="B9:I22"/>
  <tableColumns count="8">
    <tableColumn id="1" name="Sub / Fonc / Userform" dataDxfId="7"/>
    <tableColumn id="2" name="Nom procédure" dataDxfId="6"/>
    <tableColumn id="3" name="Fonction" dataDxfId="5"/>
    <tableColumn id="4" name="Mod / Userf/ / Feuil" dataDxfId="4"/>
    <tableColumn id="5" name="Sous Prog1" dataDxfId="3"/>
    <tableColumn id="6" name="Sous Prog2" dataDxfId="2"/>
    <tableColumn id="7" name="Sous Prog3" dataDxfId="1"/>
    <tableColumn id="8" name="Sous Prog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youtube.com/watch?v=UWd_omefaIY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7" Type="http://schemas.openxmlformats.org/officeDocument/2006/relationships/ctrlProp" Target="../ctrlProps/ctrlProp5.xml"/><Relationship Id="rId2" Type="http://schemas.openxmlformats.org/officeDocument/2006/relationships/hyperlink" Target="https://www.youtube.com/watch?v=eHZ4kGry51c&amp;t=318s" TargetMode="External"/><Relationship Id="rId1" Type="http://schemas.openxmlformats.org/officeDocument/2006/relationships/hyperlink" Target="https://www.youtube.com/watch?v=qEKhj3KzxlE" TargetMode="External"/><Relationship Id="rId6" Type="http://schemas.openxmlformats.org/officeDocument/2006/relationships/ctrlProp" Target="../ctrlProps/ctrlProp4.xml"/><Relationship Id="rId5" Type="http://schemas.openxmlformats.org/officeDocument/2006/relationships/vmlDrawing" Target="../drawings/vmlDrawing3.vml"/><Relationship Id="rId4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L52"/>
  <sheetViews>
    <sheetView tabSelected="1" zoomScaleNormal="100" workbookViewId="0">
      <selection activeCell="D17" sqref="D17"/>
    </sheetView>
  </sheetViews>
  <sheetFormatPr baseColWidth="10" defaultRowHeight="12.75" x14ac:dyDescent="0.2"/>
  <cols>
    <col min="1" max="1" width="4" style="134" customWidth="1"/>
    <col min="2" max="2" width="5" style="134" customWidth="1"/>
    <col min="3" max="3" width="22.28515625" style="134" customWidth="1"/>
    <col min="4" max="4" width="7.7109375" style="134" customWidth="1"/>
    <col min="5" max="5" width="24.28515625" style="134" customWidth="1"/>
    <col min="6" max="6" width="9.28515625" style="134" customWidth="1"/>
    <col min="7" max="7" width="25" style="134" customWidth="1"/>
    <col min="8" max="8" width="3.85546875" style="134" customWidth="1"/>
    <col min="9" max="9" width="16.7109375" style="134" customWidth="1"/>
    <col min="10" max="10" width="5" style="134" customWidth="1"/>
    <col min="11" max="11" width="24.7109375" style="134" customWidth="1"/>
    <col min="12" max="12" width="6.42578125" style="134" customWidth="1"/>
    <col min="13" max="13" width="23.7109375" style="134" customWidth="1"/>
    <col min="14" max="14" width="6.85546875" style="134" customWidth="1"/>
    <col min="15" max="15" width="24.28515625" style="134" customWidth="1"/>
    <col min="16" max="16384" width="11.42578125" style="134"/>
  </cols>
  <sheetData>
    <row r="1" spans="1:17" s="140" customFormat="1" ht="45" customHeight="1" x14ac:dyDescent="0.2">
      <c r="F1" s="162" t="s">
        <v>549</v>
      </c>
    </row>
    <row r="2" spans="1:17" ht="4.5" hidden="1" customHeight="1" x14ac:dyDescent="0.2"/>
    <row r="3" spans="1:17" ht="4.5" hidden="1" customHeight="1" x14ac:dyDescent="0.2"/>
    <row r="4" spans="1:17" ht="28.5" customHeight="1" x14ac:dyDescent="0.2"/>
    <row r="5" spans="1:17" ht="18.75" customHeight="1" x14ac:dyDescent="0.2">
      <c r="C5" s="141" t="s">
        <v>519</v>
      </c>
      <c r="E5" s="141" t="s">
        <v>54</v>
      </c>
      <c r="G5" s="141" t="s">
        <v>520</v>
      </c>
      <c r="I5" s="141" t="s">
        <v>443</v>
      </c>
      <c r="K5" s="153" t="s">
        <v>552</v>
      </c>
    </row>
    <row r="6" spans="1:17" ht="19.5" customHeight="1" x14ac:dyDescent="0.2">
      <c r="C6" s="149">
        <v>5000119730</v>
      </c>
      <c r="E6" s="135" t="str">
        <f>IF(ISNA(VLOOKUP(C6,Tableau1[#All],3,FALSE)),"",VLOOKUP(C6,Tableau1[#All],3,FALSE))</f>
        <v>H</v>
      </c>
      <c r="G6" s="135">
        <v>1050</v>
      </c>
      <c r="I6" s="135" t="s">
        <v>447</v>
      </c>
      <c r="K6" s="135" t="s">
        <v>446</v>
      </c>
    </row>
    <row r="7" spans="1:17" ht="9" customHeight="1" x14ac:dyDescent="0.2"/>
    <row r="8" spans="1:17" ht="19.5" customHeight="1" x14ac:dyDescent="0.2">
      <c r="C8" s="175" t="s">
        <v>53</v>
      </c>
      <c r="D8" s="175"/>
      <c r="E8" s="166" t="str">
        <f>IF(ISNA(VLOOKUP(C6,Tableau1[#All],2,FALSE)),"",VLOOKUP(C6,Tableau1[#All],2,FALSE))</f>
        <v>CARTER ASSEMBLE</v>
      </c>
      <c r="F8" s="167"/>
      <c r="G8" s="168"/>
    </row>
    <row r="9" spans="1:17" ht="9.75" customHeight="1" x14ac:dyDescent="0.2"/>
    <row r="10" spans="1:17" ht="19.5" customHeight="1" x14ac:dyDescent="0.2">
      <c r="C10" s="141" t="s">
        <v>527</v>
      </c>
      <c r="E10" s="141" t="s">
        <v>528</v>
      </c>
      <c r="G10" s="141" t="s">
        <v>529</v>
      </c>
      <c r="I10" s="141" t="s">
        <v>548</v>
      </c>
      <c r="K10" s="153" t="s">
        <v>557</v>
      </c>
    </row>
    <row r="11" spans="1:17" ht="19.5" customHeight="1" x14ac:dyDescent="0.2">
      <c r="C11" s="135">
        <v>204588</v>
      </c>
      <c r="E11" s="135">
        <v>1</v>
      </c>
      <c r="G11" s="135" t="str">
        <f>IF(ISNA(VLOOKUP(C6,Tableau1[#All],4,FALSE)),"",VLOOKUP(C6,Tableau1[#All],4,FALSE))</f>
        <v>VAB</v>
      </c>
      <c r="I11" s="135" t="s">
        <v>452</v>
      </c>
      <c r="K11" s="135" t="str">
        <f>IF(ISNA(VLOOKUP(C6,Tableau1[#All],5,FALSE)),"",VLOOKUP(C6,Tableau1[#All],5,FALSE))</f>
        <v>OK QUARTIS OP 100</v>
      </c>
    </row>
    <row r="12" spans="1:17" ht="8.25" customHeight="1" x14ac:dyDescent="0.2">
      <c r="A12" s="150"/>
      <c r="B12" s="150"/>
      <c r="C12" s="150"/>
      <c r="D12" s="150"/>
      <c r="E12" s="150"/>
      <c r="F12" s="150"/>
      <c r="G12" s="150"/>
      <c r="H12" s="150"/>
      <c r="I12" s="150"/>
      <c r="J12" s="150"/>
      <c r="K12" s="150"/>
      <c r="L12" s="150"/>
      <c r="M12" s="150"/>
      <c r="N12" s="150"/>
      <c r="O12" s="150"/>
      <c r="P12" s="150"/>
      <c r="Q12" s="150"/>
    </row>
    <row r="13" spans="1:17" ht="19.5" customHeight="1" x14ac:dyDescent="0.2">
      <c r="F13" s="134">
        <f>G16+E16+C16</f>
        <v>1</v>
      </c>
    </row>
    <row r="15" spans="1:17" ht="35.25" customHeight="1" x14ac:dyDescent="0.2">
      <c r="C15" s="136" t="s">
        <v>522</v>
      </c>
      <c r="E15" s="136" t="s">
        <v>521</v>
      </c>
      <c r="G15" s="136" t="s">
        <v>524</v>
      </c>
      <c r="K15" s="133" t="s">
        <v>530</v>
      </c>
      <c r="M15" s="133" t="s">
        <v>531</v>
      </c>
      <c r="O15" s="133" t="s">
        <v>532</v>
      </c>
    </row>
    <row r="16" spans="1:17" ht="5.25" customHeight="1" x14ac:dyDescent="0.2">
      <c r="C16" s="134">
        <v>1</v>
      </c>
    </row>
    <row r="17" spans="1:15" ht="19.5" customHeight="1" x14ac:dyDescent="0.2">
      <c r="C17" s="213">
        <v>44328</v>
      </c>
      <c r="E17" s="211">
        <v>44333</v>
      </c>
      <c r="G17" s="211">
        <v>44333</v>
      </c>
      <c r="K17" s="151">
        <f>Feuil3!D7</f>
        <v>8.3333333330907977E-2</v>
      </c>
      <c r="M17" s="151">
        <f>Feuil3!D8</f>
        <v>4.1666666671517305E-2</v>
      </c>
      <c r="O17" s="151">
        <f>Feuil3!D9</f>
        <v>0.12500000000242528</v>
      </c>
    </row>
    <row r="18" spans="1:15" ht="21" customHeight="1" x14ac:dyDescent="0.2">
      <c r="C18" s="201">
        <f>C17+C21</f>
        <v>44328.875</v>
      </c>
      <c r="D18" s="142"/>
      <c r="E18" s="201">
        <f>E17+E21</f>
        <v>44333.291666666664</v>
      </c>
      <c r="F18" s="200"/>
      <c r="G18" s="201">
        <f>G17+G21</f>
        <v>44333.333333333336</v>
      </c>
    </row>
    <row r="19" spans="1:15" ht="39.75" customHeight="1" x14ac:dyDescent="0.2">
      <c r="C19" s="136" t="s">
        <v>523</v>
      </c>
      <c r="E19" s="136" t="s">
        <v>526</v>
      </c>
      <c r="G19" s="136" t="s">
        <v>525</v>
      </c>
    </row>
    <row r="20" spans="1:15" ht="8.25" customHeight="1" x14ac:dyDescent="0.2"/>
    <row r="21" spans="1:15" ht="22.5" customHeight="1" x14ac:dyDescent="0.2">
      <c r="C21" s="212">
        <v>0.875</v>
      </c>
      <c r="E21" s="212">
        <v>0.29166666666666669</v>
      </c>
      <c r="G21" s="212">
        <v>0.33333333333333331</v>
      </c>
      <c r="M21" s="146"/>
    </row>
    <row r="22" spans="1:15" x14ac:dyDescent="0.2">
      <c r="A22" s="150"/>
      <c r="B22" s="150"/>
      <c r="C22" s="150"/>
      <c r="D22" s="150"/>
      <c r="E22" s="150"/>
      <c r="F22" s="150"/>
      <c r="G22" s="150"/>
      <c r="H22" s="150"/>
      <c r="I22" s="150"/>
    </row>
    <row r="23" spans="1:15" ht="5.25" customHeight="1" x14ac:dyDescent="0.2"/>
    <row r="24" spans="1:15" ht="17.100000000000001" customHeight="1" x14ac:dyDescent="0.2">
      <c r="C24" s="141" t="s">
        <v>547</v>
      </c>
      <c r="E24" s="169" t="s">
        <v>553</v>
      </c>
      <c r="F24" s="176"/>
      <c r="G24" s="177"/>
    </row>
    <row r="25" spans="1:15" ht="17.100000000000001" customHeight="1" x14ac:dyDescent="0.2">
      <c r="C25" s="149" t="s">
        <v>466</v>
      </c>
      <c r="E25" s="166" t="s">
        <v>449</v>
      </c>
      <c r="F25" s="167"/>
      <c r="G25" s="168"/>
    </row>
    <row r="26" spans="1:15" ht="6.75" customHeight="1" x14ac:dyDescent="0.2"/>
    <row r="27" spans="1:15" ht="17.100000000000001" customHeight="1" x14ac:dyDescent="0.2">
      <c r="C27" s="141" t="s">
        <v>550</v>
      </c>
      <c r="E27" s="169" t="s">
        <v>554</v>
      </c>
      <c r="F27" s="176"/>
      <c r="G27" s="177"/>
      <c r="K27" s="164">
        <f>Z44</f>
        <v>5.5555555553938651E-2</v>
      </c>
      <c r="M27" s="164">
        <f>AF44</f>
        <v>0.25000000002910383</v>
      </c>
      <c r="O27" s="164">
        <f>AL44</f>
        <v>7.5000000001455167E-2</v>
      </c>
    </row>
    <row r="28" spans="1:15" ht="17.100000000000001" customHeight="1" x14ac:dyDescent="0.2">
      <c r="C28" s="135" t="s">
        <v>450</v>
      </c>
      <c r="E28" s="166" t="s">
        <v>451</v>
      </c>
      <c r="F28" s="167"/>
      <c r="G28" s="168"/>
      <c r="K28" s="165"/>
      <c r="M28" s="165"/>
      <c r="O28" s="165"/>
    </row>
    <row r="29" spans="1:15" ht="7.5" customHeight="1" x14ac:dyDescent="0.2"/>
    <row r="30" spans="1:15" ht="17.100000000000001" customHeight="1" x14ac:dyDescent="0.2">
      <c r="C30" s="169" t="s">
        <v>551</v>
      </c>
      <c r="D30" s="170"/>
      <c r="E30" s="170"/>
      <c r="F30" s="170"/>
      <c r="G30" s="171"/>
    </row>
    <row r="31" spans="1:15" ht="44.25" customHeight="1" x14ac:dyDescent="0.2">
      <c r="C31" s="172" t="s">
        <v>555</v>
      </c>
      <c r="D31" s="173"/>
      <c r="E31" s="173"/>
      <c r="F31" s="173"/>
      <c r="G31" s="174"/>
      <c r="K31" s="156" t="s">
        <v>561</v>
      </c>
    </row>
    <row r="43" spans="22:38" x14ac:dyDescent="0.2">
      <c r="V43" s="163" t="s">
        <v>533</v>
      </c>
      <c r="W43" s="163"/>
      <c r="X43" s="163"/>
      <c r="Y43" s="163" t="s">
        <v>563</v>
      </c>
      <c r="Z43" s="163"/>
      <c r="AB43" s="163" t="s">
        <v>437</v>
      </c>
      <c r="AC43" s="163"/>
      <c r="AD43" s="163"/>
      <c r="AE43" s="163" t="s">
        <v>563</v>
      </c>
      <c r="AF43" s="163"/>
      <c r="AH43" s="163" t="s">
        <v>437</v>
      </c>
      <c r="AI43" s="163"/>
      <c r="AJ43" s="163"/>
      <c r="AK43" s="163" t="s">
        <v>563</v>
      </c>
      <c r="AL43" s="163"/>
    </row>
    <row r="44" spans="22:38" x14ac:dyDescent="0.2">
      <c r="Y44" s="155"/>
      <c r="Z44" s="157">
        <f>W47/W46</f>
        <v>5.5555555553938651E-2</v>
      </c>
      <c r="AE44" s="155"/>
      <c r="AF44" s="157">
        <f>AC47/AC46</f>
        <v>0.25000000002910383</v>
      </c>
      <c r="AK44" s="155"/>
      <c r="AL44" s="157">
        <f>AI47/AI46</f>
        <v>7.5000000001455167E-2</v>
      </c>
    </row>
    <row r="45" spans="22:38" x14ac:dyDescent="0.2">
      <c r="V45" s="154" t="s">
        <v>558</v>
      </c>
      <c r="W45" s="151">
        <f>User_Prog!C27</f>
        <v>0.45045045045045046</v>
      </c>
      <c r="X45" s="158">
        <f>W45</f>
        <v>0.45045045045045046</v>
      </c>
      <c r="Y45" s="159">
        <v>33.33</v>
      </c>
      <c r="Z45" s="160">
        <f>IF(W47/W46&gt;1,1,W47/W46)</f>
        <v>5.5555555553938651E-2</v>
      </c>
      <c r="AB45" s="154" t="s">
        <v>558</v>
      </c>
      <c r="AC45" s="151">
        <f>User_Prog!C28</f>
        <v>5.0050050050050046E-2</v>
      </c>
      <c r="AD45" s="158">
        <f>AC45</f>
        <v>5.0050050050050046E-2</v>
      </c>
      <c r="AE45" s="159">
        <v>33.33</v>
      </c>
      <c r="AF45" s="160">
        <f>IF(AC47/AC46&gt;1,1,AC47/AC46)</f>
        <v>0.25000000002910383</v>
      </c>
      <c r="AH45" s="154" t="s">
        <v>558</v>
      </c>
      <c r="AI45" s="151">
        <f>User_Prog!C29</f>
        <v>0.50050050050050054</v>
      </c>
      <c r="AJ45" s="158">
        <f>AI45</f>
        <v>0.50050050050050054</v>
      </c>
      <c r="AK45" s="159">
        <v>33.33</v>
      </c>
      <c r="AL45" s="160">
        <f>IF(AI47/AI46&gt;1,1,AI47/AI46)</f>
        <v>7.5000000001455167E-2</v>
      </c>
    </row>
    <row r="46" spans="22:38" x14ac:dyDescent="0.2">
      <c r="V46" s="154" t="s">
        <v>559</v>
      </c>
      <c r="W46" s="151">
        <f>User_Prog!E27</f>
        <v>1.5</v>
      </c>
      <c r="X46" s="158">
        <f>W46</f>
        <v>1.5</v>
      </c>
      <c r="Y46" s="159">
        <v>33.33</v>
      </c>
      <c r="Z46" s="160">
        <v>0.02</v>
      </c>
      <c r="AB46" s="154" t="s">
        <v>559</v>
      </c>
      <c r="AC46" s="151">
        <f>User_Prog!E28</f>
        <v>0.16666666666666666</v>
      </c>
      <c r="AD46" s="158">
        <f>AC46</f>
        <v>0.16666666666666666</v>
      </c>
      <c r="AE46" s="159">
        <v>33.33</v>
      </c>
      <c r="AF46" s="160">
        <v>0.02</v>
      </c>
      <c r="AH46" s="154" t="s">
        <v>559</v>
      </c>
      <c r="AI46" s="151">
        <f>User_Prog!E29</f>
        <v>1.6666666666666667</v>
      </c>
      <c r="AJ46" s="158">
        <f>AI46</f>
        <v>1.6666666666666667</v>
      </c>
      <c r="AK46" s="159">
        <v>33.33</v>
      </c>
      <c r="AL46" s="160">
        <v>0.02</v>
      </c>
    </row>
    <row r="47" spans="22:38" x14ac:dyDescent="0.2">
      <c r="V47" s="154" t="s">
        <v>560</v>
      </c>
      <c r="W47" s="151">
        <f>K17</f>
        <v>8.3333333330907977E-2</v>
      </c>
      <c r="X47" s="158">
        <f>W47</f>
        <v>8.3333333330907977E-2</v>
      </c>
      <c r="Y47" s="159">
        <v>33.299999999999997</v>
      </c>
      <c r="Z47" s="161">
        <f>2-Z45</f>
        <v>1.9444444444460613</v>
      </c>
      <c r="AB47" s="154" t="s">
        <v>560</v>
      </c>
      <c r="AC47" s="151">
        <f>M17</f>
        <v>4.1666666671517305E-2</v>
      </c>
      <c r="AD47" s="158">
        <f>AC47</f>
        <v>4.1666666671517305E-2</v>
      </c>
      <c r="AE47" s="159">
        <v>33.299999999999997</v>
      </c>
      <c r="AF47" s="161">
        <f>2-AF45</f>
        <v>1.7499999999708962</v>
      </c>
      <c r="AH47" s="154" t="s">
        <v>560</v>
      </c>
      <c r="AI47" s="151">
        <f>O17</f>
        <v>0.12500000000242528</v>
      </c>
      <c r="AJ47" s="158">
        <f>AI47</f>
        <v>0.12500000000242528</v>
      </c>
      <c r="AK47" s="159">
        <v>33.299999999999997</v>
      </c>
      <c r="AL47" s="161">
        <f>2-AL45</f>
        <v>1.9249999999985448</v>
      </c>
    </row>
    <row r="48" spans="22:38" x14ac:dyDescent="0.2">
      <c r="Y48" s="159">
        <v>100</v>
      </c>
      <c r="Z48" s="135"/>
      <c r="AE48" s="159">
        <v>100</v>
      </c>
      <c r="AF48" s="135"/>
      <c r="AK48" s="159">
        <v>100</v>
      </c>
      <c r="AL48" s="135"/>
    </row>
    <row r="49" spans="25:38" x14ac:dyDescent="0.2">
      <c r="Y49" s="135"/>
      <c r="Z49" s="135"/>
      <c r="AE49" s="135"/>
      <c r="AF49" s="135"/>
      <c r="AK49" s="135"/>
      <c r="AL49" s="135"/>
    </row>
    <row r="50" spans="25:38" x14ac:dyDescent="0.2">
      <c r="Y50" s="135">
        <f>Z45*100</f>
        <v>5.5555555553938651</v>
      </c>
      <c r="Z50" s="135"/>
      <c r="AE50" s="135">
        <f>AF45*100</f>
        <v>25.000000002910383</v>
      </c>
      <c r="AF50" s="135"/>
      <c r="AK50" s="135">
        <f>AL45*100</f>
        <v>7.5000000001455165</v>
      </c>
      <c r="AL50" s="135"/>
    </row>
    <row r="51" spans="25:38" x14ac:dyDescent="0.2">
      <c r="Y51" s="135">
        <f>Z46*100</f>
        <v>2</v>
      </c>
      <c r="Z51" s="135"/>
      <c r="AE51" s="135">
        <f>AF46*100</f>
        <v>2</v>
      </c>
      <c r="AF51" s="135"/>
      <c r="AK51" s="135">
        <f>AL46*100</f>
        <v>2</v>
      </c>
      <c r="AL51" s="135"/>
    </row>
    <row r="52" spans="25:38" x14ac:dyDescent="0.2">
      <c r="Y52" s="135">
        <f>Z47*100</f>
        <v>194.44444444460615</v>
      </c>
      <c r="Z52" s="135"/>
      <c r="AE52" s="135">
        <f>AF47*100</f>
        <v>174.99999999708962</v>
      </c>
      <c r="AF52" s="135"/>
      <c r="AK52" s="135">
        <f>AL47*100</f>
        <v>192.49999999985448</v>
      </c>
      <c r="AL52" s="135"/>
    </row>
  </sheetData>
  <dataConsolidate/>
  <mergeCells count="17">
    <mergeCell ref="E28:G28"/>
    <mergeCell ref="C30:G30"/>
    <mergeCell ref="C31:G31"/>
    <mergeCell ref="C8:D8"/>
    <mergeCell ref="E8:G8"/>
    <mergeCell ref="E24:G24"/>
    <mergeCell ref="E25:G25"/>
    <mergeCell ref="E27:G27"/>
    <mergeCell ref="AK43:AL43"/>
    <mergeCell ref="K27:K28"/>
    <mergeCell ref="M27:M28"/>
    <mergeCell ref="O27:O28"/>
    <mergeCell ref="Y43:Z43"/>
    <mergeCell ref="V43:X43"/>
    <mergeCell ref="AB43:AD43"/>
    <mergeCell ref="AE43:AF43"/>
    <mergeCell ref="AH43:AJ43"/>
  </mergeCells>
  <conditionalFormatting sqref="K27:K28">
    <cfRule type="cellIs" dxfId="51" priority="5" operator="between">
      <formula>0</formula>
      <formula>0.5</formula>
    </cfRule>
  </conditionalFormatting>
  <conditionalFormatting sqref="M27:M28">
    <cfRule type="cellIs" dxfId="50" priority="4" operator="between">
      <formula>0</formula>
      <formula>0.5</formula>
    </cfRule>
  </conditionalFormatting>
  <conditionalFormatting sqref="O27:O28">
    <cfRule type="cellIs" dxfId="49" priority="3" operator="between">
      <formula>0</formula>
      <formula>0.5</formula>
    </cfRule>
  </conditionalFormatting>
  <conditionalFormatting sqref="K27:O28">
    <cfRule type="cellIs" dxfId="48" priority="2" operator="between">
      <formula>0.5</formula>
      <formula>1</formula>
    </cfRule>
    <cfRule type="cellIs" dxfId="47" priority="1" operator="greaterThan">
      <formula>1</formula>
    </cfRule>
  </conditionalFormatting>
  <hyperlinks>
    <hyperlink ref="K31" r:id="rId1"/>
  </hyperlinks>
  <pageMargins left="0.7" right="0.7" top="0.75" bottom="0.75" header="0.3" footer="0.3"/>
  <pageSetup paperSize="9" orientation="portrait" horizontalDpi="4294967293" verticalDpi="0" r:id="rId2"/>
  <drawing r:id="rId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User_Prog!$Q$27:$Q$39</xm:f>
          </x14:formula1>
          <xm:sqref>I6</xm:sqref>
        </x14:dataValidation>
        <x14:dataValidation type="list" allowBlank="1" showInputMessage="1" showErrorMessage="1">
          <x14:formula1>
            <xm:f>User_Prog!$R$27:$R$31</xm:f>
          </x14:formula1>
          <xm:sqref>C25</xm:sqref>
        </x14:dataValidation>
        <x14:dataValidation type="list" allowBlank="1" showInputMessage="1" showErrorMessage="1">
          <x14:formula1>
            <xm:f>User_Prog!$V$27:$V$38</xm:f>
          </x14:formula1>
          <xm:sqref>I11</xm:sqref>
        </x14:dataValidation>
        <x14:dataValidation type="list" allowBlank="1" showInputMessage="1" showErrorMessage="1">
          <x14:formula1>
            <xm:f>User_Prog!$S$27:$S$28</xm:f>
          </x14:formula1>
          <xm:sqref>E25:G25</xm:sqref>
        </x14:dataValidation>
        <x14:dataValidation type="list" allowBlank="1" showInputMessage="1" showErrorMessage="1">
          <x14:formula1>
            <xm:f>User_Prog!$U$27:$U$29</xm:f>
          </x14:formula1>
          <xm:sqref>E28:G28</xm:sqref>
        </x14:dataValidation>
        <x14:dataValidation type="list" allowBlank="1" showInputMessage="1" showErrorMessage="1">
          <x14:formula1>
            <xm:f>User_Prog!$T$27:$T$28</xm:f>
          </x14:formula1>
          <xm:sqref>C28</xm:sqref>
        </x14:dataValidation>
        <x14:dataValidation type="list" allowBlank="1" showInputMessage="1" showErrorMessage="1" promptTitle="Instruction" prompt="(UNIQUEMENT SI PASSAGE VERS QUARTIS)">
          <x14:formula1>
            <xm:f>User_Prog!$P$27:$P$28</xm:f>
          </x14:formula1>
          <xm:sqref>K6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XFC40"/>
  <sheetViews>
    <sheetView workbookViewId="0">
      <selection activeCell="E9" sqref="E9"/>
    </sheetView>
  </sheetViews>
  <sheetFormatPr baseColWidth="10" defaultRowHeight="18.95" customHeight="1" x14ac:dyDescent="0.2"/>
  <cols>
    <col min="1" max="1" width="11.42578125" style="29" customWidth="1"/>
    <col min="2" max="2" width="20.28515625" style="29" customWidth="1"/>
    <col min="3" max="3" width="16.28515625" style="29" customWidth="1"/>
    <col min="4" max="4" width="15.28515625" style="29" customWidth="1"/>
    <col min="5" max="5" width="14.28515625" style="29" customWidth="1"/>
    <col min="6" max="14" width="11.42578125" style="29" customWidth="1"/>
    <col min="15" max="15" width="11.42578125" style="29"/>
    <col min="16" max="16" width="34.42578125" style="29" customWidth="1"/>
    <col min="17" max="18" width="18.85546875" style="29" customWidth="1"/>
    <col min="19" max="19" width="18.5703125" style="29" customWidth="1"/>
    <col min="20" max="20" width="13.7109375" style="29" customWidth="1"/>
    <col min="21" max="21" width="28.140625" style="29" customWidth="1"/>
    <col min="22" max="22" width="18.42578125" style="29" customWidth="1"/>
    <col min="23" max="26" width="11.42578125" style="29"/>
    <col min="27" max="27" width="17.28515625" style="29" customWidth="1"/>
    <col min="28" max="29" width="11.42578125" style="29"/>
    <col min="30" max="30" width="18.42578125" style="29" customWidth="1"/>
    <col min="31" max="16384" width="11.42578125" style="29"/>
  </cols>
  <sheetData>
    <row r="1" spans="1:57 16383:16383" s="85" customFormat="1" ht="12.75" x14ac:dyDescent="0.2">
      <c r="A1" s="103" t="s">
        <v>433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5"/>
      <c r="AD1" s="86"/>
      <c r="AE1" s="86"/>
      <c r="AF1" s="86"/>
      <c r="AZ1" s="86"/>
      <c r="BA1" s="86"/>
      <c r="XFC1" s="85">
        <v>1</v>
      </c>
    </row>
    <row r="2" spans="1:57 16383:16383" s="85" customFormat="1" ht="21.75" customHeight="1" x14ac:dyDescent="0.2">
      <c r="A2" s="106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8"/>
      <c r="AD2" s="86"/>
      <c r="AE2" s="86"/>
      <c r="AF2" s="86"/>
      <c r="AZ2" s="86"/>
      <c r="BA2" s="86"/>
    </row>
    <row r="3" spans="1:57 16383:16383" ht="18.95" customHeight="1" x14ac:dyDescent="0.2">
      <c r="A3" s="109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7"/>
      <c r="AZ3" s="87"/>
      <c r="BA3" s="87" t="str">
        <f>IF(ISNA(VLOOKUP(AZ3,AZ5:BA112,2,FALSE)),"",VLOOKUP(AZ3,AZ5:BA112,2,FALSE))</f>
        <v/>
      </c>
    </row>
    <row r="4" spans="1:57 16383:16383" ht="18.95" customHeight="1" x14ac:dyDescent="0.25">
      <c r="A4" s="109"/>
      <c r="B4" s="88" t="s">
        <v>434</v>
      </c>
      <c r="C4" s="110" t="s">
        <v>435</v>
      </c>
      <c r="D4" s="56"/>
      <c r="E4" s="56"/>
      <c r="F4" s="56"/>
      <c r="G4" s="56" t="s">
        <v>436</v>
      </c>
      <c r="H4" s="56"/>
      <c r="I4" s="56"/>
      <c r="J4" s="56"/>
      <c r="K4" s="56"/>
      <c r="L4" s="56"/>
      <c r="M4" s="56"/>
      <c r="N4" s="57"/>
      <c r="AZ4" s="89"/>
      <c r="BA4" s="89"/>
    </row>
    <row r="5" spans="1:57 16383:16383" ht="18.95" customHeight="1" x14ac:dyDescent="0.2">
      <c r="A5" s="109"/>
      <c r="B5" s="56"/>
      <c r="C5" s="56"/>
      <c r="D5" s="97" t="s">
        <v>427</v>
      </c>
      <c r="E5" s="102" t="s">
        <v>433</v>
      </c>
      <c r="F5" s="97"/>
      <c r="G5" s="97"/>
      <c r="H5" s="97"/>
      <c r="I5" s="97"/>
      <c r="J5" s="97"/>
      <c r="K5" s="97"/>
      <c r="L5" s="97"/>
      <c r="M5" s="97"/>
      <c r="N5" s="57"/>
      <c r="AZ5" s="89">
        <v>1</v>
      </c>
      <c r="BA5" s="89" t="s">
        <v>103</v>
      </c>
      <c r="BC5" s="29" t="str">
        <f>CONCATENATE(BD5,BE5)</f>
        <v>CA</v>
      </c>
      <c r="BD5" s="29" t="s">
        <v>71</v>
      </c>
      <c r="BE5" s="29" t="s">
        <v>103</v>
      </c>
    </row>
    <row r="6" spans="1:57 16383:16383" ht="18.95" customHeight="1" x14ac:dyDescent="0.25">
      <c r="A6" s="109"/>
      <c r="B6" s="98" t="s">
        <v>433</v>
      </c>
      <c r="C6" s="90"/>
      <c r="D6" s="99" t="s">
        <v>438</v>
      </c>
      <c r="E6" s="100" t="s">
        <v>439</v>
      </c>
      <c r="F6" s="100" t="s">
        <v>439</v>
      </c>
      <c r="G6" s="100" t="s">
        <v>439</v>
      </c>
      <c r="H6" s="100" t="s">
        <v>439</v>
      </c>
      <c r="I6" s="100" t="s">
        <v>439</v>
      </c>
      <c r="J6" s="100" t="s">
        <v>439</v>
      </c>
      <c r="K6" s="100" t="s">
        <v>439</v>
      </c>
      <c r="L6" s="100" t="s">
        <v>439</v>
      </c>
      <c r="M6" s="100" t="s">
        <v>439</v>
      </c>
      <c r="N6" s="57"/>
      <c r="AZ6" s="89">
        <v>2</v>
      </c>
      <c r="BA6" s="89" t="s">
        <v>110</v>
      </c>
      <c r="BC6" s="29" t="str">
        <f t="shared" ref="BC6:BC12" si="0">CONCATENATE(BD6,BE6)</f>
        <v>CB</v>
      </c>
      <c r="BD6" s="29" t="str">
        <f>BD5</f>
        <v>C</v>
      </c>
      <c r="BE6" s="29" t="s">
        <v>110</v>
      </c>
    </row>
    <row r="7" spans="1:57 16383:16383" ht="18.95" customHeight="1" x14ac:dyDescent="0.2">
      <c r="A7" s="109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7"/>
      <c r="AZ7" s="89">
        <v>3</v>
      </c>
      <c r="BA7" s="89" t="s">
        <v>71</v>
      </c>
      <c r="BC7" s="29" t="str">
        <f t="shared" si="0"/>
        <v>CC</v>
      </c>
      <c r="BD7" s="29" t="str">
        <f t="shared" ref="BD7:BD12" si="1">BD6</f>
        <v>C</v>
      </c>
      <c r="BE7" s="29" t="s">
        <v>71</v>
      </c>
    </row>
    <row r="8" spans="1:57 16383:16383" ht="18.95" customHeight="1" x14ac:dyDescent="0.25">
      <c r="A8" s="109"/>
      <c r="B8" s="98" t="s">
        <v>440</v>
      </c>
      <c r="C8" s="56"/>
      <c r="D8" s="93" t="s">
        <v>441</v>
      </c>
      <c r="E8" s="93" t="str">
        <f>D8</f>
        <v>1a</v>
      </c>
      <c r="F8" s="91">
        <f>IF(D8=E8,1,0)</f>
        <v>1</v>
      </c>
      <c r="G8" s="56"/>
      <c r="H8" s="56"/>
      <c r="I8" s="56"/>
      <c r="J8" s="56"/>
      <c r="K8" s="56"/>
      <c r="L8" s="56"/>
      <c r="M8" s="56"/>
      <c r="N8" s="57"/>
      <c r="AZ8" s="89">
        <v>4</v>
      </c>
      <c r="BA8" s="89" t="s">
        <v>89</v>
      </c>
      <c r="BC8" s="29" t="str">
        <f t="shared" si="0"/>
        <v>CD</v>
      </c>
      <c r="BD8" s="29" t="str">
        <f t="shared" si="1"/>
        <v>C</v>
      </c>
      <c r="BE8" s="29" t="s">
        <v>89</v>
      </c>
    </row>
    <row r="9" spans="1:57 16383:16383" ht="18.95" customHeight="1" x14ac:dyDescent="0.25">
      <c r="A9" s="109"/>
      <c r="B9" s="94">
        <v>1234</v>
      </c>
      <c r="C9" s="56"/>
      <c r="D9" s="95"/>
      <c r="E9" s="95"/>
      <c r="F9" s="91">
        <f>IF(D9=E9,1,0)</f>
        <v>1</v>
      </c>
      <c r="G9" s="56"/>
      <c r="H9" s="56"/>
      <c r="I9" s="56"/>
      <c r="J9" s="56"/>
      <c r="K9" s="56"/>
      <c r="L9" s="56"/>
      <c r="M9" s="56"/>
      <c r="N9" s="57"/>
      <c r="AZ9" s="89">
        <v>5</v>
      </c>
      <c r="BA9" s="89" t="s">
        <v>64</v>
      </c>
      <c r="BC9" s="29" t="str">
        <f t="shared" si="0"/>
        <v>CE</v>
      </c>
      <c r="BD9" s="29" t="str">
        <f t="shared" si="1"/>
        <v>C</v>
      </c>
      <c r="BE9" s="29" t="s">
        <v>64</v>
      </c>
    </row>
    <row r="10" spans="1:57 16383:16383" ht="18.95" customHeight="1" x14ac:dyDescent="0.25">
      <c r="A10" s="109"/>
      <c r="B10" s="56"/>
      <c r="C10" s="56"/>
      <c r="D10" s="56"/>
      <c r="E10" s="56"/>
      <c r="F10" s="96">
        <f>F9+F8</f>
        <v>2</v>
      </c>
      <c r="G10" s="56"/>
      <c r="H10" s="56"/>
      <c r="I10" s="56"/>
      <c r="J10" s="56"/>
      <c r="K10" s="56"/>
      <c r="L10" s="56"/>
      <c r="M10" s="56"/>
      <c r="N10" s="57"/>
      <c r="AZ10" s="89">
        <v>6</v>
      </c>
      <c r="BA10" s="89" t="s">
        <v>78</v>
      </c>
      <c r="BC10" s="29" t="str">
        <f t="shared" si="0"/>
        <v>CF</v>
      </c>
      <c r="BD10" s="29" t="str">
        <f t="shared" si="1"/>
        <v>C</v>
      </c>
      <c r="BE10" s="29" t="s">
        <v>78</v>
      </c>
    </row>
    <row r="11" spans="1:57 16383:16383" ht="18.95" customHeight="1" x14ac:dyDescent="0.2">
      <c r="A11" s="109"/>
      <c r="B11" s="101"/>
      <c r="C11" s="101" t="b">
        <v>1</v>
      </c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7"/>
      <c r="AZ11" s="89">
        <v>7</v>
      </c>
      <c r="BA11" s="89" t="s">
        <v>73</v>
      </c>
      <c r="BC11" s="29" t="str">
        <f t="shared" si="0"/>
        <v>CG</v>
      </c>
      <c r="BD11" s="29" t="str">
        <f t="shared" si="1"/>
        <v>C</v>
      </c>
      <c r="BE11" s="29" t="s">
        <v>73</v>
      </c>
    </row>
    <row r="12" spans="1:57 16383:16383" ht="18.95" customHeight="1" x14ac:dyDescent="0.2">
      <c r="A12" s="109"/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7"/>
      <c r="AZ12" s="89">
        <v>8</v>
      </c>
      <c r="BA12" s="89" t="s">
        <v>66</v>
      </c>
      <c r="BC12" s="29" t="str">
        <f t="shared" si="0"/>
        <v>CH</v>
      </c>
      <c r="BD12" s="29" t="str">
        <f t="shared" si="1"/>
        <v>C</v>
      </c>
      <c r="BE12" s="29" t="s">
        <v>66</v>
      </c>
    </row>
    <row r="13" spans="1:57 16383:16383" ht="18.95" customHeight="1" x14ac:dyDescent="0.2">
      <c r="A13" s="109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7"/>
    </row>
    <row r="14" spans="1:57 16383:16383" ht="18.95" customHeight="1" x14ac:dyDescent="0.2">
      <c r="A14" s="109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7"/>
    </row>
    <row r="15" spans="1:57 16383:16383" ht="18.95" customHeight="1" thickBot="1" x14ac:dyDescent="0.25">
      <c r="A15" s="178" t="s">
        <v>442</v>
      </c>
      <c r="B15" s="179"/>
      <c r="C15" s="179"/>
      <c r="D15" s="179"/>
      <c r="E15" s="179"/>
      <c r="F15" s="179"/>
      <c r="G15" s="179"/>
      <c r="H15" s="179"/>
      <c r="I15" s="179"/>
      <c r="J15" s="179"/>
      <c r="K15" s="179"/>
      <c r="L15" s="179"/>
      <c r="M15" s="179"/>
      <c r="N15" s="180"/>
    </row>
    <row r="20" spans="2:30" ht="18.95" customHeight="1" x14ac:dyDescent="0.2">
      <c r="P20" s="30"/>
    </row>
    <row r="21" spans="2:30" ht="18.95" customHeight="1" x14ac:dyDescent="0.2">
      <c r="P21" s="65" t="str">
        <f>CONCATENATE("$",P24,"$",P23)</f>
        <v>$P$28</v>
      </c>
      <c r="Q21" s="65" t="str">
        <f>CONCATENATE("$",Q24,"$",Q23)</f>
        <v>$Q$39</v>
      </c>
      <c r="R21" s="65" t="str">
        <f t="shared" ref="R21:V21" si="2">CONCATENATE("$",R24,"$",R23)</f>
        <v>$R$31</v>
      </c>
      <c r="S21" s="65" t="str">
        <f t="shared" si="2"/>
        <v>$S$28</v>
      </c>
      <c r="T21" s="65" t="str">
        <f t="shared" si="2"/>
        <v>$T$28</v>
      </c>
      <c r="U21" s="65" t="str">
        <f t="shared" si="2"/>
        <v>$U$29</v>
      </c>
      <c r="V21" s="65" t="str">
        <f t="shared" si="2"/>
        <v>$V$38</v>
      </c>
    </row>
    <row r="22" spans="2:30" ht="18.95" customHeight="1" x14ac:dyDescent="0.2">
      <c r="P22" s="84">
        <f>COUNTA(Tableau2[bascule_cmm_vers_quartis])</f>
        <v>2</v>
      </c>
      <c r="Q22" s="84">
        <f>COUNTA(Tableau2[Machine])</f>
        <v>13</v>
      </c>
      <c r="R22" s="84">
        <f>COUNTA(Tableau2[Technicien])</f>
        <v>5</v>
      </c>
      <c r="S22" s="84">
        <f>COUNTA(Tableau2[Statut])</f>
        <v>2</v>
      </c>
      <c r="T22" s="84">
        <f>COUNTA(Tableau2[Repassage])</f>
        <v>2</v>
      </c>
      <c r="U22" s="84">
        <f>COUNTA(Tableau2[Nature de l''écart])</f>
        <v>3</v>
      </c>
      <c r="V22" s="84">
        <f>COUNTA(Tableau2[provenance article])</f>
        <v>12</v>
      </c>
    </row>
    <row r="23" spans="2:30" ht="18.95" customHeight="1" x14ac:dyDescent="0.2">
      <c r="P23" s="84">
        <f>P22+26</f>
        <v>28</v>
      </c>
      <c r="Q23" s="84">
        <f t="shared" ref="Q23:V23" si="3">Q22+26</f>
        <v>39</v>
      </c>
      <c r="R23" s="84">
        <f t="shared" si="3"/>
        <v>31</v>
      </c>
      <c r="S23" s="84">
        <f t="shared" si="3"/>
        <v>28</v>
      </c>
      <c r="T23" s="84">
        <f t="shared" si="3"/>
        <v>28</v>
      </c>
      <c r="U23" s="84">
        <f t="shared" si="3"/>
        <v>29</v>
      </c>
      <c r="V23" s="84">
        <f t="shared" si="3"/>
        <v>38</v>
      </c>
    </row>
    <row r="24" spans="2:30" ht="18.95" customHeight="1" x14ac:dyDescent="0.2">
      <c r="P24" s="84" t="s">
        <v>483</v>
      </c>
      <c r="Q24" s="84" t="s">
        <v>484</v>
      </c>
      <c r="R24" s="84" t="s">
        <v>485</v>
      </c>
      <c r="S24" s="84" t="s">
        <v>87</v>
      </c>
      <c r="T24" s="84" t="s">
        <v>486</v>
      </c>
      <c r="U24" s="84" t="s">
        <v>487</v>
      </c>
      <c r="V24" s="84" t="s">
        <v>119</v>
      </c>
    </row>
    <row r="25" spans="2:30" ht="18.95" customHeight="1" x14ac:dyDescent="0.2">
      <c r="B25" s="182" t="s">
        <v>556</v>
      </c>
      <c r="C25" s="182"/>
      <c r="D25" s="182"/>
      <c r="P25" s="181" t="s">
        <v>488</v>
      </c>
      <c r="Q25" s="181"/>
      <c r="R25" s="181"/>
      <c r="S25" s="181"/>
      <c r="T25" s="181"/>
      <c r="U25" s="181"/>
      <c r="V25" s="181"/>
    </row>
    <row r="26" spans="2:30" ht="18.95" customHeight="1" x14ac:dyDescent="0.25">
      <c r="B26" s="152"/>
      <c r="C26" s="152" t="s">
        <v>558</v>
      </c>
      <c r="D26" s="152" t="s">
        <v>562</v>
      </c>
      <c r="E26" s="152" t="s">
        <v>559</v>
      </c>
      <c r="P26" s="111" t="s">
        <v>489</v>
      </c>
      <c r="Q26" s="112" t="s">
        <v>443</v>
      </c>
      <c r="R26" s="113" t="s">
        <v>444</v>
      </c>
      <c r="S26" s="113" t="s">
        <v>492</v>
      </c>
      <c r="T26" s="113" t="s">
        <v>491</v>
      </c>
      <c r="U26" s="113" t="s">
        <v>490</v>
      </c>
      <c r="V26" s="114" t="s">
        <v>445</v>
      </c>
      <c r="AD26" s="130" t="s">
        <v>496</v>
      </c>
    </row>
    <row r="27" spans="2:30" ht="18.95" customHeight="1" x14ac:dyDescent="0.2">
      <c r="B27" s="152" t="s">
        <v>533</v>
      </c>
      <c r="C27" s="151">
        <f>E27/3.33</f>
        <v>0.45045045045045046</v>
      </c>
      <c r="D27" s="151">
        <f>(E27/3.33)*2</f>
        <v>0.90090090090090091</v>
      </c>
      <c r="E27" s="151">
        <v>1.5</v>
      </c>
      <c r="P27" s="115" t="s">
        <v>446</v>
      </c>
      <c r="Q27" s="67" t="s">
        <v>447</v>
      </c>
      <c r="R27" s="67" t="s">
        <v>448</v>
      </c>
      <c r="S27" s="67" t="s">
        <v>449</v>
      </c>
      <c r="T27" s="67" t="s">
        <v>450</v>
      </c>
      <c r="U27" s="67" t="s">
        <v>451</v>
      </c>
      <c r="V27" s="116" t="s">
        <v>452</v>
      </c>
      <c r="AD27" s="131" t="s">
        <v>427</v>
      </c>
    </row>
    <row r="28" spans="2:30" ht="18.95" customHeight="1" x14ac:dyDescent="0.2">
      <c r="B28" s="152" t="s">
        <v>437</v>
      </c>
      <c r="C28" s="151">
        <f>E28/3.33</f>
        <v>5.0050050050050046E-2</v>
      </c>
      <c r="D28" s="151">
        <f>(E28/3.33)*2</f>
        <v>0.10010010010010009</v>
      </c>
      <c r="E28" s="151">
        <v>0.16666666666666666</v>
      </c>
      <c r="P28" s="117" t="s">
        <v>162</v>
      </c>
      <c r="Q28" s="67" t="s">
        <v>453</v>
      </c>
      <c r="R28" s="67" t="s">
        <v>454</v>
      </c>
      <c r="S28" s="67" t="s">
        <v>455</v>
      </c>
      <c r="T28" s="67" t="s">
        <v>446</v>
      </c>
      <c r="U28" s="67" t="s">
        <v>456</v>
      </c>
      <c r="V28" s="116" t="s">
        <v>457</v>
      </c>
      <c r="AD28" s="131" t="s">
        <v>504</v>
      </c>
    </row>
    <row r="29" spans="2:30" ht="18.95" customHeight="1" x14ac:dyDescent="0.2">
      <c r="B29" s="152" t="s">
        <v>535</v>
      </c>
      <c r="C29" s="151">
        <f>C27+C28</f>
        <v>0.50050050050050054</v>
      </c>
      <c r="D29" s="151">
        <f>D27+D28</f>
        <v>1.0010010010010011</v>
      </c>
      <c r="E29" s="151">
        <f>E27+E28</f>
        <v>1.6666666666666667</v>
      </c>
      <c r="P29" s="115"/>
      <c r="Q29" s="67" t="s">
        <v>458</v>
      </c>
      <c r="R29" s="67" t="s">
        <v>459</v>
      </c>
      <c r="S29" s="67"/>
      <c r="T29" s="67"/>
      <c r="U29" s="67" t="s">
        <v>460</v>
      </c>
      <c r="V29" s="116" t="s">
        <v>461</v>
      </c>
      <c r="AD29" s="131" t="s">
        <v>31</v>
      </c>
    </row>
    <row r="30" spans="2:30" ht="18.95" customHeight="1" x14ac:dyDescent="0.2">
      <c r="P30" s="115"/>
      <c r="Q30" s="67" t="s">
        <v>462</v>
      </c>
      <c r="R30" s="67" t="s">
        <v>463</v>
      </c>
      <c r="S30" s="67"/>
      <c r="T30" s="67"/>
      <c r="U30" s="67"/>
      <c r="V30" s="116" t="s">
        <v>464</v>
      </c>
      <c r="AD30" s="131" t="s">
        <v>497</v>
      </c>
    </row>
    <row r="31" spans="2:30" ht="18.95" customHeight="1" x14ac:dyDescent="0.2">
      <c r="P31" s="115"/>
      <c r="Q31" s="67" t="s">
        <v>465</v>
      </c>
      <c r="R31" s="67" t="s">
        <v>466</v>
      </c>
      <c r="S31" s="67"/>
      <c r="T31" s="67"/>
      <c r="U31" s="67"/>
      <c r="V31" s="116" t="s">
        <v>467</v>
      </c>
      <c r="AD31" s="131" t="s">
        <v>498</v>
      </c>
    </row>
    <row r="32" spans="2:30" ht="18.95" customHeight="1" x14ac:dyDescent="0.2">
      <c r="P32" s="115"/>
      <c r="Q32" s="67" t="s">
        <v>468</v>
      </c>
      <c r="R32" s="67"/>
      <c r="S32" s="67"/>
      <c r="T32" s="67"/>
      <c r="U32" s="67"/>
      <c r="V32" s="116" t="s">
        <v>469</v>
      </c>
      <c r="AD32" s="132" t="s">
        <v>505</v>
      </c>
    </row>
    <row r="33" spans="16:22" ht="18.95" customHeight="1" x14ac:dyDescent="0.2">
      <c r="P33" s="115"/>
      <c r="Q33" s="67" t="s">
        <v>470</v>
      </c>
      <c r="R33" s="67"/>
      <c r="S33" s="67"/>
      <c r="T33" s="67"/>
      <c r="U33" s="67"/>
      <c r="V33" s="116" t="s">
        <v>471</v>
      </c>
    </row>
    <row r="34" spans="16:22" ht="18.95" customHeight="1" x14ac:dyDescent="0.2">
      <c r="P34" s="115"/>
      <c r="Q34" s="67" t="s">
        <v>472</v>
      </c>
      <c r="R34" s="67"/>
      <c r="S34" s="67"/>
      <c r="T34" s="67"/>
      <c r="U34" s="67"/>
      <c r="V34" s="116" t="s">
        <v>473</v>
      </c>
    </row>
    <row r="35" spans="16:22" ht="18.95" customHeight="1" x14ac:dyDescent="0.2">
      <c r="P35" s="115"/>
      <c r="Q35" s="67" t="s">
        <v>474</v>
      </c>
      <c r="R35" s="67"/>
      <c r="S35" s="67"/>
      <c r="T35" s="67"/>
      <c r="U35" s="67"/>
      <c r="V35" s="116" t="s">
        <v>475</v>
      </c>
    </row>
    <row r="36" spans="16:22" ht="18.95" customHeight="1" x14ac:dyDescent="0.2">
      <c r="P36" s="115"/>
      <c r="Q36" s="67" t="s">
        <v>476</v>
      </c>
      <c r="R36" s="67"/>
      <c r="S36" s="67"/>
      <c r="T36" s="67"/>
      <c r="U36" s="67"/>
      <c r="V36" s="116" t="s">
        <v>477</v>
      </c>
    </row>
    <row r="37" spans="16:22" ht="18.95" customHeight="1" x14ac:dyDescent="0.2">
      <c r="P37" s="115"/>
      <c r="Q37" s="67" t="s">
        <v>478</v>
      </c>
      <c r="R37" s="67"/>
      <c r="S37" s="67"/>
      <c r="T37" s="67"/>
      <c r="U37" s="67"/>
      <c r="V37" s="116" t="s">
        <v>479</v>
      </c>
    </row>
    <row r="38" spans="16:22" ht="18.95" customHeight="1" x14ac:dyDescent="0.2">
      <c r="P38" s="115"/>
      <c r="Q38" s="67" t="s">
        <v>480</v>
      </c>
      <c r="R38" s="67"/>
      <c r="S38" s="67"/>
      <c r="T38" s="67"/>
      <c r="U38" s="67"/>
      <c r="V38" s="116" t="s">
        <v>481</v>
      </c>
    </row>
    <row r="39" spans="16:22" ht="18.95" customHeight="1" x14ac:dyDescent="0.2">
      <c r="P39" s="118"/>
      <c r="Q39" s="119" t="s">
        <v>482</v>
      </c>
      <c r="R39" s="119"/>
      <c r="S39" s="119"/>
      <c r="T39" s="119"/>
      <c r="U39" s="119"/>
      <c r="V39" s="120"/>
    </row>
    <row r="40" spans="16:22" ht="18.95" customHeight="1" x14ac:dyDescent="0.2">
      <c r="Q40" s="30"/>
    </row>
  </sheetData>
  <mergeCells count="3">
    <mergeCell ref="A15:N15"/>
    <mergeCell ref="P25:V25"/>
    <mergeCell ref="B25:D25"/>
  </mergeCells>
  <conditionalFormatting sqref="F8:F9">
    <cfRule type="cellIs" dxfId="46" priority="3" operator="equal">
      <formula>1</formula>
    </cfRule>
  </conditionalFormatting>
  <conditionalFormatting sqref="F10">
    <cfRule type="cellIs" dxfId="45" priority="1" operator="equal">
      <formula>2</formula>
    </cfRule>
    <cfRule type="cellIs" dxfId="44" priority="2" operator="notEqual">
      <formula>2</formula>
    </cfRule>
  </conditionalFormatting>
  <dataValidations count="2">
    <dataValidation type="list" allowBlank="1" showInputMessage="1" showErrorMessage="1" sqref="T20">
      <formula1>$Q$27:$Q$39</formula1>
    </dataValidation>
    <dataValidation type="list" allowBlank="1" showInputMessage="1" showErrorMessage="1" sqref="AJ1">
      <formula1>OFFSET($AK$6,,,MAX($J:$J))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Check Box 1">
              <controlPr locked="0" defaultSize="0" autoFill="0" autoLine="0" autoPict="0">
                <anchor moveWithCells="1" sizeWithCells="1">
                  <from>
                    <xdr:col>1</xdr:col>
                    <xdr:colOff>152400</xdr:colOff>
                    <xdr:row>9</xdr:row>
                    <xdr:rowOff>209550</xdr:rowOff>
                  </from>
                  <to>
                    <xdr:col>1</xdr:col>
                    <xdr:colOff>1343025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9:G335"/>
  <sheetViews>
    <sheetView topLeftCell="A4" workbookViewId="0">
      <selection activeCell="C278" sqref="C278"/>
    </sheetView>
  </sheetViews>
  <sheetFormatPr baseColWidth="10" defaultRowHeight="14.25" x14ac:dyDescent="0.2"/>
  <cols>
    <col min="1" max="1" width="11.42578125" style="68" customWidth="1"/>
    <col min="2" max="2" width="25.5703125" style="68" customWidth="1"/>
    <col min="3" max="3" width="48" style="68" customWidth="1"/>
    <col min="4" max="4" width="11.42578125" style="68" customWidth="1"/>
    <col min="5" max="5" width="28.7109375" style="68" customWidth="1"/>
    <col min="6" max="6" width="30.140625" style="68" customWidth="1"/>
    <col min="7" max="7" width="39.5703125" style="68" customWidth="1"/>
    <col min="8" max="16384" width="11.42578125" style="68"/>
  </cols>
  <sheetData>
    <row r="9" spans="2:7" x14ac:dyDescent="0.2">
      <c r="B9" s="75">
        <f>Saisie!C6</f>
        <v>5000119730</v>
      </c>
      <c r="C9" s="74" t="str">
        <f>VLOOKUP($B$9,Tableau1[],2,FALSE)</f>
        <v>CARTER ASSEMBLE</v>
      </c>
      <c r="D9" s="74" t="str">
        <f>VLOOKUP($B$9,Tableau1[],3,FALSE)</f>
        <v>H</v>
      </c>
      <c r="E9" s="74" t="str">
        <f>VLOOKUP($B$9,Tableau1[],4,FALSE)</f>
        <v>VAB</v>
      </c>
      <c r="F9" s="74" t="str">
        <f>VLOOKUP($B$9,Tableau1[],5,FALSE)</f>
        <v>OK QUARTIS OP 100</v>
      </c>
      <c r="G9" s="74" t="str">
        <f>VLOOKUP($B$9,Tableau1[],6,FALSE)</f>
        <v>Bla</v>
      </c>
    </row>
    <row r="11" spans="2:7" ht="24" customHeight="1" x14ac:dyDescent="0.25">
      <c r="B11" s="77" t="s">
        <v>52</v>
      </c>
      <c r="C11" s="78" t="s">
        <v>53</v>
      </c>
      <c r="D11" s="78" t="s">
        <v>54</v>
      </c>
      <c r="E11" s="78" t="s">
        <v>55</v>
      </c>
      <c r="F11" s="78" t="s">
        <v>56</v>
      </c>
      <c r="G11" s="79" t="s">
        <v>57</v>
      </c>
    </row>
    <row r="12" spans="2:7" x14ac:dyDescent="0.2">
      <c r="B12" s="137">
        <v>192766</v>
      </c>
      <c r="C12" s="69" t="s">
        <v>58</v>
      </c>
      <c r="D12" s="69">
        <v>2</v>
      </c>
      <c r="E12" s="69" t="s">
        <v>59</v>
      </c>
      <c r="F12" s="70"/>
      <c r="G12" s="76"/>
    </row>
    <row r="13" spans="2:7" x14ac:dyDescent="0.2">
      <c r="B13" s="137">
        <v>5000112319</v>
      </c>
      <c r="C13" s="69" t="s">
        <v>60</v>
      </c>
      <c r="D13" s="69" t="s">
        <v>61</v>
      </c>
      <c r="E13" s="69" t="s">
        <v>62</v>
      </c>
      <c r="F13" s="70"/>
      <c r="G13" s="76"/>
    </row>
    <row r="14" spans="2:7" x14ac:dyDescent="0.2">
      <c r="B14" s="137">
        <v>5000112527</v>
      </c>
      <c r="C14" s="69" t="s">
        <v>63</v>
      </c>
      <c r="D14" s="69" t="s">
        <v>64</v>
      </c>
      <c r="E14" s="69" t="s">
        <v>62</v>
      </c>
      <c r="F14" s="70"/>
      <c r="G14" s="76"/>
    </row>
    <row r="15" spans="2:7" x14ac:dyDescent="0.2">
      <c r="B15" s="137">
        <v>5000119730</v>
      </c>
      <c r="C15" s="69" t="s">
        <v>65</v>
      </c>
      <c r="D15" s="69" t="s">
        <v>66</v>
      </c>
      <c r="E15" s="69" t="s">
        <v>62</v>
      </c>
      <c r="F15" s="70" t="s">
        <v>67</v>
      </c>
      <c r="G15" s="76" t="s">
        <v>425</v>
      </c>
    </row>
    <row r="16" spans="2:7" x14ac:dyDescent="0.2">
      <c r="B16" s="137">
        <v>5000119954</v>
      </c>
      <c r="C16" s="69" t="s">
        <v>68</v>
      </c>
      <c r="D16" s="69">
        <v>3</v>
      </c>
      <c r="E16" s="69" t="s">
        <v>62</v>
      </c>
      <c r="F16" s="70"/>
      <c r="G16" s="76"/>
    </row>
    <row r="17" spans="2:7" x14ac:dyDescent="0.2">
      <c r="B17" s="137">
        <v>5000138244</v>
      </c>
      <c r="C17" s="69" t="s">
        <v>69</v>
      </c>
      <c r="D17" s="69">
        <v>1</v>
      </c>
      <c r="E17" s="69" t="s">
        <v>62</v>
      </c>
      <c r="F17" s="70"/>
      <c r="G17" s="76"/>
    </row>
    <row r="18" spans="2:7" x14ac:dyDescent="0.2">
      <c r="B18" s="137">
        <v>5000203465</v>
      </c>
      <c r="C18" s="69" t="s">
        <v>70</v>
      </c>
      <c r="D18" s="69" t="s">
        <v>71</v>
      </c>
      <c r="E18" s="69" t="s">
        <v>62</v>
      </c>
      <c r="F18" s="70"/>
      <c r="G18" s="76"/>
    </row>
    <row r="19" spans="2:7" x14ac:dyDescent="0.2">
      <c r="B19" s="137">
        <v>5000494470</v>
      </c>
      <c r="C19" s="69" t="s">
        <v>72</v>
      </c>
      <c r="D19" s="69" t="s">
        <v>73</v>
      </c>
      <c r="E19" s="69" t="s">
        <v>62</v>
      </c>
      <c r="F19" s="70" t="s">
        <v>74</v>
      </c>
      <c r="G19" s="76"/>
    </row>
    <row r="20" spans="2:7" x14ac:dyDescent="0.2">
      <c r="B20" s="137">
        <v>5000494473</v>
      </c>
      <c r="C20" s="69" t="s">
        <v>75</v>
      </c>
      <c r="D20" s="69" t="s">
        <v>76</v>
      </c>
      <c r="E20" s="69" t="s">
        <v>62</v>
      </c>
      <c r="F20" s="70"/>
      <c r="G20" s="76"/>
    </row>
    <row r="21" spans="2:7" x14ac:dyDescent="0.2">
      <c r="B21" s="137">
        <v>5000494474</v>
      </c>
      <c r="C21" s="69" t="s">
        <v>77</v>
      </c>
      <c r="D21" s="69" t="s">
        <v>78</v>
      </c>
      <c r="E21" s="69" t="s">
        <v>62</v>
      </c>
      <c r="F21" s="70"/>
      <c r="G21" s="76"/>
    </row>
    <row r="22" spans="2:7" x14ac:dyDescent="0.2">
      <c r="B22" s="137">
        <v>5000494483</v>
      </c>
      <c r="C22" s="69" t="s">
        <v>79</v>
      </c>
      <c r="D22" s="69" t="s">
        <v>78</v>
      </c>
      <c r="E22" s="69" t="s">
        <v>62</v>
      </c>
      <c r="F22" s="70"/>
      <c r="G22" s="76"/>
    </row>
    <row r="23" spans="2:7" x14ac:dyDescent="0.2">
      <c r="B23" s="137">
        <v>5000494486</v>
      </c>
      <c r="C23" s="69" t="s">
        <v>80</v>
      </c>
      <c r="D23" s="69" t="s">
        <v>81</v>
      </c>
      <c r="E23" s="69" t="s">
        <v>62</v>
      </c>
      <c r="F23" s="70"/>
      <c r="G23" s="76"/>
    </row>
    <row r="24" spans="2:7" x14ac:dyDescent="0.2">
      <c r="B24" s="137">
        <v>5000494612</v>
      </c>
      <c r="C24" s="69" t="s">
        <v>82</v>
      </c>
      <c r="D24" s="69">
        <v>1</v>
      </c>
      <c r="E24" s="69" t="s">
        <v>62</v>
      </c>
      <c r="F24" s="70"/>
      <c r="G24" s="76"/>
    </row>
    <row r="25" spans="2:7" x14ac:dyDescent="0.2">
      <c r="B25" s="137">
        <v>5000494627</v>
      </c>
      <c r="C25" s="69" t="s">
        <v>83</v>
      </c>
      <c r="D25" s="69">
        <v>1</v>
      </c>
      <c r="E25" s="69" t="s">
        <v>62</v>
      </c>
      <c r="F25" s="70"/>
      <c r="G25" s="76"/>
    </row>
    <row r="26" spans="2:7" x14ac:dyDescent="0.2">
      <c r="B26" s="137">
        <v>5000494655</v>
      </c>
      <c r="C26" s="69" t="s">
        <v>84</v>
      </c>
      <c r="D26" s="69">
        <v>1</v>
      </c>
      <c r="E26" s="69" t="s">
        <v>62</v>
      </c>
      <c r="F26" s="70"/>
      <c r="G26" s="76"/>
    </row>
    <row r="27" spans="2:7" x14ac:dyDescent="0.2">
      <c r="B27" s="137">
        <v>5000494872</v>
      </c>
      <c r="C27" s="69" t="s">
        <v>85</v>
      </c>
      <c r="D27" s="69" t="s">
        <v>73</v>
      </c>
      <c r="E27" s="69" t="s">
        <v>62</v>
      </c>
      <c r="F27" s="70"/>
      <c r="G27" s="76"/>
    </row>
    <row r="28" spans="2:7" x14ac:dyDescent="0.2">
      <c r="B28" s="137">
        <v>5000494950</v>
      </c>
      <c r="C28" s="69" t="s">
        <v>86</v>
      </c>
      <c r="D28" s="69" t="s">
        <v>87</v>
      </c>
      <c r="E28" s="69" t="s">
        <v>62</v>
      </c>
      <c r="F28" s="70"/>
      <c r="G28" s="76"/>
    </row>
    <row r="29" spans="2:7" x14ac:dyDescent="0.2">
      <c r="B29" s="137">
        <v>5000494985</v>
      </c>
      <c r="C29" s="69" t="s">
        <v>88</v>
      </c>
      <c r="D29" s="69" t="s">
        <v>89</v>
      </c>
      <c r="E29" s="69" t="s">
        <v>62</v>
      </c>
      <c r="F29" s="70"/>
      <c r="G29" s="76"/>
    </row>
    <row r="30" spans="2:7" x14ac:dyDescent="0.2">
      <c r="B30" s="137">
        <v>5000495114</v>
      </c>
      <c r="C30" s="69" t="s">
        <v>90</v>
      </c>
      <c r="D30" s="69" t="s">
        <v>71</v>
      </c>
      <c r="E30" s="69" t="s">
        <v>62</v>
      </c>
      <c r="F30" s="70"/>
      <c r="G30" s="76"/>
    </row>
    <row r="31" spans="2:7" x14ac:dyDescent="0.2">
      <c r="B31" s="137">
        <v>5000495244</v>
      </c>
      <c r="C31" s="69" t="s">
        <v>91</v>
      </c>
      <c r="D31" s="69" t="s">
        <v>73</v>
      </c>
      <c r="E31" s="69" t="s">
        <v>62</v>
      </c>
      <c r="F31" s="70"/>
      <c r="G31" s="76"/>
    </row>
    <row r="32" spans="2:7" x14ac:dyDescent="0.2">
      <c r="B32" s="137">
        <v>5000495394</v>
      </c>
      <c r="C32" s="69" t="s">
        <v>92</v>
      </c>
      <c r="D32" s="69" t="s">
        <v>89</v>
      </c>
      <c r="E32" s="69" t="s">
        <v>62</v>
      </c>
      <c r="F32" s="70"/>
      <c r="G32" s="76"/>
    </row>
    <row r="33" spans="2:7" x14ac:dyDescent="0.2">
      <c r="B33" s="137">
        <v>5000495639</v>
      </c>
      <c r="C33" s="69" t="s">
        <v>93</v>
      </c>
      <c r="D33" s="69">
        <v>3</v>
      </c>
      <c r="E33" s="69" t="s">
        <v>62</v>
      </c>
      <c r="F33" s="70"/>
      <c r="G33" s="76"/>
    </row>
    <row r="34" spans="2:7" x14ac:dyDescent="0.2">
      <c r="B34" s="137">
        <v>5000495837</v>
      </c>
      <c r="C34" s="69" t="s">
        <v>94</v>
      </c>
      <c r="D34" s="69" t="s">
        <v>66</v>
      </c>
      <c r="E34" s="69" t="s">
        <v>62</v>
      </c>
      <c r="F34" s="70"/>
      <c r="G34" s="76"/>
    </row>
    <row r="35" spans="2:7" x14ac:dyDescent="0.2">
      <c r="B35" s="137">
        <v>5000607118</v>
      </c>
      <c r="C35" s="69" t="s">
        <v>95</v>
      </c>
      <c r="D35" s="69" t="s">
        <v>71</v>
      </c>
      <c r="E35" s="69" t="s">
        <v>62</v>
      </c>
      <c r="F35" s="70"/>
      <c r="G35" s="76"/>
    </row>
    <row r="36" spans="2:7" x14ac:dyDescent="0.2">
      <c r="B36" s="137">
        <v>5000664030</v>
      </c>
      <c r="C36" s="69" t="s">
        <v>96</v>
      </c>
      <c r="D36" s="69" t="s">
        <v>73</v>
      </c>
      <c r="E36" s="69" t="s">
        <v>59</v>
      </c>
      <c r="F36" s="70"/>
      <c r="G36" s="76"/>
    </row>
    <row r="37" spans="2:7" x14ac:dyDescent="0.2">
      <c r="B37" s="137">
        <v>5000664044</v>
      </c>
      <c r="C37" s="69" t="s">
        <v>97</v>
      </c>
      <c r="D37" s="69">
        <v>2</v>
      </c>
      <c r="E37" s="69" t="s">
        <v>59</v>
      </c>
      <c r="F37" s="70"/>
      <c r="G37" s="76"/>
    </row>
    <row r="38" spans="2:7" x14ac:dyDescent="0.2">
      <c r="B38" s="137">
        <v>5000670158</v>
      </c>
      <c r="C38" s="69" t="s">
        <v>98</v>
      </c>
      <c r="D38" s="69" t="s">
        <v>78</v>
      </c>
      <c r="E38" s="69" t="s">
        <v>99</v>
      </c>
      <c r="F38" s="70"/>
      <c r="G38" s="76"/>
    </row>
    <row r="39" spans="2:7" x14ac:dyDescent="0.2">
      <c r="B39" s="137">
        <v>5000675499</v>
      </c>
      <c r="C39" s="69" t="s">
        <v>100</v>
      </c>
      <c r="D39" s="69">
        <v>2</v>
      </c>
      <c r="E39" s="69" t="s">
        <v>101</v>
      </c>
      <c r="F39" s="70"/>
      <c r="G39" s="76"/>
    </row>
    <row r="40" spans="2:7" x14ac:dyDescent="0.2">
      <c r="B40" s="137">
        <v>5000675887</v>
      </c>
      <c r="C40" s="69" t="s">
        <v>102</v>
      </c>
      <c r="D40" s="69" t="s">
        <v>103</v>
      </c>
      <c r="E40" s="69" t="s">
        <v>59</v>
      </c>
      <c r="F40" s="70"/>
      <c r="G40" s="76"/>
    </row>
    <row r="41" spans="2:7" x14ac:dyDescent="0.2">
      <c r="B41" s="137">
        <v>5000682773</v>
      </c>
      <c r="C41" s="69" t="s">
        <v>104</v>
      </c>
      <c r="D41" s="69" t="s">
        <v>71</v>
      </c>
      <c r="E41" s="69" t="s">
        <v>59</v>
      </c>
      <c r="F41" s="70"/>
      <c r="G41" s="76"/>
    </row>
    <row r="42" spans="2:7" x14ac:dyDescent="0.2">
      <c r="B42" s="137">
        <v>5000685106</v>
      </c>
      <c r="C42" s="69" t="s">
        <v>105</v>
      </c>
      <c r="D42" s="69">
        <v>1</v>
      </c>
      <c r="E42" s="69" t="s">
        <v>59</v>
      </c>
      <c r="F42" s="70"/>
      <c r="G42" s="76"/>
    </row>
    <row r="43" spans="2:7" x14ac:dyDescent="0.2">
      <c r="B43" s="137">
        <v>5000685164</v>
      </c>
      <c r="C43" s="69" t="s">
        <v>106</v>
      </c>
      <c r="D43" s="69" t="s">
        <v>89</v>
      </c>
      <c r="E43" s="71" t="s">
        <v>59</v>
      </c>
      <c r="F43" s="70"/>
      <c r="G43" s="76"/>
    </row>
    <row r="44" spans="2:7" x14ac:dyDescent="0.2">
      <c r="B44" s="137">
        <v>5000685374</v>
      </c>
      <c r="C44" s="69" t="s">
        <v>107</v>
      </c>
      <c r="D44" s="69" t="s">
        <v>71</v>
      </c>
      <c r="E44" s="69" t="s">
        <v>108</v>
      </c>
      <c r="F44" s="70"/>
      <c r="G44" s="76"/>
    </row>
    <row r="45" spans="2:7" x14ac:dyDescent="0.2">
      <c r="B45" s="137">
        <v>5000685745</v>
      </c>
      <c r="C45" s="69" t="s">
        <v>109</v>
      </c>
      <c r="D45" s="69" t="s">
        <v>110</v>
      </c>
      <c r="E45" s="71" t="s">
        <v>59</v>
      </c>
      <c r="F45" s="70"/>
      <c r="G45" s="76"/>
    </row>
    <row r="46" spans="2:7" x14ac:dyDescent="0.2">
      <c r="B46" s="137">
        <v>5000694110</v>
      </c>
      <c r="C46" s="69" t="s">
        <v>111</v>
      </c>
      <c r="D46" s="69" t="s">
        <v>110</v>
      </c>
      <c r="E46" s="69" t="s">
        <v>62</v>
      </c>
      <c r="F46" s="70" t="s">
        <v>112</v>
      </c>
      <c r="G46" s="76"/>
    </row>
    <row r="47" spans="2:7" x14ac:dyDescent="0.2">
      <c r="B47" s="137">
        <v>5000744972</v>
      </c>
      <c r="C47" s="69" t="s">
        <v>113</v>
      </c>
      <c r="D47" s="69" t="s">
        <v>103</v>
      </c>
      <c r="E47" s="69" t="s">
        <v>99</v>
      </c>
      <c r="F47" s="70"/>
      <c r="G47" s="76"/>
    </row>
    <row r="48" spans="2:7" x14ac:dyDescent="0.2">
      <c r="B48" s="137">
        <v>5000921196</v>
      </c>
      <c r="C48" s="69" t="s">
        <v>114</v>
      </c>
      <c r="D48" s="69">
        <v>1</v>
      </c>
      <c r="E48" s="69" t="s">
        <v>62</v>
      </c>
      <c r="F48" s="70"/>
      <c r="G48" s="76"/>
    </row>
    <row r="49" spans="2:7" x14ac:dyDescent="0.2">
      <c r="B49" s="137">
        <v>5000921197</v>
      </c>
      <c r="C49" s="69" t="s">
        <v>115</v>
      </c>
      <c r="D49" s="69" t="s">
        <v>110</v>
      </c>
      <c r="E49" s="71" t="s">
        <v>62</v>
      </c>
      <c r="F49" s="70"/>
      <c r="G49" s="76"/>
    </row>
    <row r="50" spans="2:7" x14ac:dyDescent="0.2">
      <c r="B50" s="137">
        <v>5000991192</v>
      </c>
      <c r="C50" s="69" t="s">
        <v>116</v>
      </c>
      <c r="D50" s="69" t="s">
        <v>89</v>
      </c>
      <c r="E50" s="69" t="s">
        <v>62</v>
      </c>
      <c r="F50" s="70"/>
      <c r="G50" s="76"/>
    </row>
    <row r="51" spans="2:7" x14ac:dyDescent="0.2">
      <c r="B51" s="137">
        <v>5000994815</v>
      </c>
      <c r="C51" s="69" t="s">
        <v>117</v>
      </c>
      <c r="D51" s="69" t="s">
        <v>89</v>
      </c>
      <c r="E51" s="69" t="s">
        <v>62</v>
      </c>
      <c r="F51" s="70"/>
      <c r="G51" s="76"/>
    </row>
    <row r="52" spans="2:7" x14ac:dyDescent="0.2">
      <c r="B52" s="137">
        <v>5010042657</v>
      </c>
      <c r="C52" s="69" t="s">
        <v>118</v>
      </c>
      <c r="D52" s="69" t="s">
        <v>119</v>
      </c>
      <c r="E52" s="69" t="s">
        <v>62</v>
      </c>
      <c r="F52" s="70"/>
      <c r="G52" s="76"/>
    </row>
    <row r="53" spans="2:7" x14ac:dyDescent="0.2">
      <c r="B53" s="137">
        <v>5010045111</v>
      </c>
      <c r="C53" s="69" t="s">
        <v>120</v>
      </c>
      <c r="D53" s="69" t="s">
        <v>110</v>
      </c>
      <c r="E53" s="69" t="s">
        <v>62</v>
      </c>
      <c r="F53" s="70" t="s">
        <v>121</v>
      </c>
      <c r="G53" s="76"/>
    </row>
    <row r="54" spans="2:7" x14ac:dyDescent="0.2">
      <c r="B54" s="137">
        <v>5010045113</v>
      </c>
      <c r="C54" s="69" t="s">
        <v>122</v>
      </c>
      <c r="D54" s="69">
        <v>1</v>
      </c>
      <c r="E54" s="69" t="s">
        <v>62</v>
      </c>
      <c r="F54" s="70"/>
      <c r="G54" s="76"/>
    </row>
    <row r="55" spans="2:7" x14ac:dyDescent="0.2">
      <c r="B55" s="137">
        <v>5010045116</v>
      </c>
      <c r="C55" s="69" t="s">
        <v>123</v>
      </c>
      <c r="D55" s="69" t="s">
        <v>110</v>
      </c>
      <c r="E55" s="71" t="s">
        <v>62</v>
      </c>
      <c r="F55" s="70"/>
      <c r="G55" s="76"/>
    </row>
    <row r="56" spans="2:7" x14ac:dyDescent="0.2">
      <c r="B56" s="137">
        <v>5010045119</v>
      </c>
      <c r="C56" s="69" t="s">
        <v>124</v>
      </c>
      <c r="D56" s="69" t="s">
        <v>103</v>
      </c>
      <c r="E56" s="69" t="s">
        <v>62</v>
      </c>
      <c r="F56" s="70"/>
      <c r="G56" s="76"/>
    </row>
    <row r="57" spans="2:7" x14ac:dyDescent="0.2">
      <c r="B57" s="137">
        <v>5010045122</v>
      </c>
      <c r="C57" s="69" t="s">
        <v>125</v>
      </c>
      <c r="D57" s="69" t="s">
        <v>103</v>
      </c>
      <c r="E57" s="69" t="s">
        <v>62</v>
      </c>
      <c r="F57" s="70"/>
      <c r="G57" s="76"/>
    </row>
    <row r="58" spans="2:7" x14ac:dyDescent="0.2">
      <c r="B58" s="137">
        <v>5010045146</v>
      </c>
      <c r="C58" s="69" t="s">
        <v>126</v>
      </c>
      <c r="D58" s="69" t="s">
        <v>110</v>
      </c>
      <c r="E58" s="71" t="s">
        <v>62</v>
      </c>
      <c r="F58" s="70"/>
      <c r="G58" s="76"/>
    </row>
    <row r="59" spans="2:7" x14ac:dyDescent="0.2">
      <c r="B59" s="137">
        <v>5010045147</v>
      </c>
      <c r="C59" s="69" t="s">
        <v>127</v>
      </c>
      <c r="D59" s="69" t="s">
        <v>71</v>
      </c>
      <c r="E59" s="69" t="s">
        <v>62</v>
      </c>
      <c r="F59" s="70"/>
      <c r="G59" s="76"/>
    </row>
    <row r="60" spans="2:7" x14ac:dyDescent="0.2">
      <c r="B60" s="137">
        <v>5010045148</v>
      </c>
      <c r="C60" s="69" t="s">
        <v>128</v>
      </c>
      <c r="D60" s="69" t="s">
        <v>71</v>
      </c>
      <c r="E60" s="69" t="s">
        <v>62</v>
      </c>
      <c r="F60" s="70"/>
      <c r="G60" s="76"/>
    </row>
    <row r="61" spans="2:7" x14ac:dyDescent="0.2">
      <c r="B61" s="137">
        <v>5010045152</v>
      </c>
      <c r="C61" s="69" t="s">
        <v>129</v>
      </c>
      <c r="D61" s="69" t="s">
        <v>110</v>
      </c>
      <c r="E61" s="69" t="s">
        <v>62</v>
      </c>
      <c r="F61" s="70"/>
      <c r="G61" s="76"/>
    </row>
    <row r="62" spans="2:7" x14ac:dyDescent="0.2">
      <c r="B62" s="137">
        <v>5010045154</v>
      </c>
      <c r="C62" s="69" t="s">
        <v>130</v>
      </c>
      <c r="D62" s="69" t="s">
        <v>89</v>
      </c>
      <c r="E62" s="69" t="s">
        <v>62</v>
      </c>
      <c r="F62" s="70"/>
      <c r="G62" s="76"/>
    </row>
    <row r="63" spans="2:7" x14ac:dyDescent="0.2">
      <c r="B63" s="137">
        <v>5010045159</v>
      </c>
      <c r="C63" s="69" t="s">
        <v>131</v>
      </c>
      <c r="D63" s="69" t="s">
        <v>64</v>
      </c>
      <c r="E63" s="69" t="s">
        <v>62</v>
      </c>
      <c r="F63" s="70" t="s">
        <v>132</v>
      </c>
      <c r="G63" s="76"/>
    </row>
    <row r="64" spans="2:7" x14ac:dyDescent="0.2">
      <c r="B64" s="137">
        <v>5010045238</v>
      </c>
      <c r="C64" s="69" t="s">
        <v>133</v>
      </c>
      <c r="D64" s="69" t="s">
        <v>78</v>
      </c>
      <c r="E64" s="69" t="s">
        <v>62</v>
      </c>
      <c r="F64" s="70"/>
      <c r="G64" s="76"/>
    </row>
    <row r="65" spans="2:7" x14ac:dyDescent="0.2">
      <c r="B65" s="137">
        <v>5010045247</v>
      </c>
      <c r="C65" s="69" t="s">
        <v>72</v>
      </c>
      <c r="D65" s="69" t="s">
        <v>87</v>
      </c>
      <c r="E65" s="69" t="s">
        <v>62</v>
      </c>
      <c r="F65" s="70" t="s">
        <v>134</v>
      </c>
      <c r="G65" s="76"/>
    </row>
    <row r="66" spans="2:7" x14ac:dyDescent="0.2">
      <c r="B66" s="137">
        <v>5010045253</v>
      </c>
      <c r="C66" s="69" t="s">
        <v>135</v>
      </c>
      <c r="D66" s="69">
        <v>1</v>
      </c>
      <c r="E66" s="69" t="s">
        <v>62</v>
      </c>
      <c r="F66" s="70"/>
      <c r="G66" s="76"/>
    </row>
    <row r="67" spans="2:7" x14ac:dyDescent="0.2">
      <c r="B67" s="137">
        <v>5010045265</v>
      </c>
      <c r="C67" s="69" t="s">
        <v>80</v>
      </c>
      <c r="D67" s="69" t="s">
        <v>81</v>
      </c>
      <c r="E67" s="71" t="s">
        <v>62</v>
      </c>
      <c r="F67" s="70"/>
      <c r="G67" s="76"/>
    </row>
    <row r="68" spans="2:7" x14ac:dyDescent="0.2">
      <c r="B68" s="137">
        <v>5010045269</v>
      </c>
      <c r="C68" s="69" t="s">
        <v>115</v>
      </c>
      <c r="D68" s="69" t="s">
        <v>136</v>
      </c>
      <c r="E68" s="69" t="s">
        <v>62</v>
      </c>
      <c r="F68" s="70" t="s">
        <v>137</v>
      </c>
      <c r="G68" s="76"/>
    </row>
    <row r="69" spans="2:7" x14ac:dyDescent="0.2">
      <c r="B69" s="137">
        <v>5010045463</v>
      </c>
      <c r="C69" s="69" t="s">
        <v>129</v>
      </c>
      <c r="D69" s="69" t="s">
        <v>71</v>
      </c>
      <c r="E69" s="69" t="s">
        <v>138</v>
      </c>
      <c r="F69" s="70"/>
      <c r="G69" s="76"/>
    </row>
    <row r="70" spans="2:7" x14ac:dyDescent="0.2">
      <c r="B70" s="137">
        <v>5010064837</v>
      </c>
      <c r="C70" s="69" t="s">
        <v>139</v>
      </c>
      <c r="D70" s="69" t="s">
        <v>64</v>
      </c>
      <c r="E70" s="69" t="s">
        <v>99</v>
      </c>
      <c r="F70" s="70"/>
      <c r="G70" s="76"/>
    </row>
    <row r="71" spans="2:7" x14ac:dyDescent="0.2">
      <c r="B71" s="137">
        <v>5010116175</v>
      </c>
      <c r="C71" s="69" t="s">
        <v>140</v>
      </c>
      <c r="D71" s="69" t="s">
        <v>89</v>
      </c>
      <c r="E71" s="69" t="s">
        <v>138</v>
      </c>
      <c r="F71" s="70"/>
      <c r="G71" s="76"/>
    </row>
    <row r="72" spans="2:7" x14ac:dyDescent="0.2">
      <c r="B72" s="137">
        <v>5010241082</v>
      </c>
      <c r="C72" s="69" t="s">
        <v>141</v>
      </c>
      <c r="D72" s="69">
        <v>1</v>
      </c>
      <c r="E72" s="69" t="s">
        <v>59</v>
      </c>
      <c r="F72" s="70"/>
      <c r="G72" s="76"/>
    </row>
    <row r="73" spans="2:7" x14ac:dyDescent="0.2">
      <c r="B73" s="137">
        <v>5010304235</v>
      </c>
      <c r="C73" s="69" t="s">
        <v>142</v>
      </c>
      <c r="D73" s="69" t="s">
        <v>110</v>
      </c>
      <c r="E73" s="69" t="s">
        <v>99</v>
      </c>
      <c r="F73" s="70"/>
      <c r="G73" s="76"/>
    </row>
    <row r="74" spans="2:7" x14ac:dyDescent="0.2">
      <c r="B74" s="137">
        <v>5010304236</v>
      </c>
      <c r="C74" s="69" t="s">
        <v>142</v>
      </c>
      <c r="D74" s="69" t="s">
        <v>110</v>
      </c>
      <c r="E74" s="69" t="s">
        <v>143</v>
      </c>
      <c r="F74" s="70"/>
      <c r="G74" s="76"/>
    </row>
    <row r="75" spans="2:7" x14ac:dyDescent="0.2">
      <c r="B75" s="137">
        <v>5010319690</v>
      </c>
      <c r="C75" s="69" t="s">
        <v>144</v>
      </c>
      <c r="D75" s="69" t="s">
        <v>64</v>
      </c>
      <c r="E75" s="69" t="s">
        <v>145</v>
      </c>
      <c r="F75" s="70"/>
      <c r="G75" s="76"/>
    </row>
    <row r="76" spans="2:7" x14ac:dyDescent="0.2">
      <c r="B76" s="137">
        <v>5010319836</v>
      </c>
      <c r="C76" s="69" t="s">
        <v>146</v>
      </c>
      <c r="D76" s="69" t="s">
        <v>64</v>
      </c>
      <c r="E76" s="69" t="s">
        <v>145</v>
      </c>
      <c r="F76" s="70" t="s">
        <v>121</v>
      </c>
      <c r="G76" s="76"/>
    </row>
    <row r="77" spans="2:7" x14ac:dyDescent="0.2">
      <c r="B77" s="137">
        <v>5010319837</v>
      </c>
      <c r="C77" s="69" t="s">
        <v>147</v>
      </c>
      <c r="D77" s="69" t="s">
        <v>66</v>
      </c>
      <c r="E77" s="69" t="s">
        <v>148</v>
      </c>
      <c r="F77" s="70"/>
      <c r="G77" s="76"/>
    </row>
    <row r="78" spans="2:7" x14ac:dyDescent="0.2">
      <c r="B78" s="137">
        <v>5010341394</v>
      </c>
      <c r="C78" s="69" t="s">
        <v>149</v>
      </c>
      <c r="D78" s="69" t="s">
        <v>71</v>
      </c>
      <c r="E78" s="69" t="s">
        <v>62</v>
      </c>
      <c r="F78" s="70"/>
      <c r="G78" s="76"/>
    </row>
    <row r="79" spans="2:7" x14ac:dyDescent="0.2">
      <c r="B79" s="137">
        <v>5010347404</v>
      </c>
      <c r="C79" s="69" t="s">
        <v>150</v>
      </c>
      <c r="D79" s="69" t="s">
        <v>103</v>
      </c>
      <c r="E79" s="69" t="s">
        <v>143</v>
      </c>
      <c r="F79" s="70"/>
      <c r="G79" s="76"/>
    </row>
    <row r="80" spans="2:7" x14ac:dyDescent="0.2">
      <c r="B80" s="137">
        <v>5010347408</v>
      </c>
      <c r="C80" s="69" t="s">
        <v>151</v>
      </c>
      <c r="D80" s="69" t="s">
        <v>103</v>
      </c>
      <c r="E80" s="71" t="s">
        <v>143</v>
      </c>
      <c r="F80" s="70"/>
      <c r="G80" s="76"/>
    </row>
    <row r="81" spans="2:7" x14ac:dyDescent="0.2">
      <c r="B81" s="137">
        <v>5010376382</v>
      </c>
      <c r="C81" s="69" t="s">
        <v>152</v>
      </c>
      <c r="D81" s="69" t="s">
        <v>89</v>
      </c>
      <c r="E81" s="71" t="s">
        <v>62</v>
      </c>
      <c r="F81" s="70"/>
      <c r="G81" s="76"/>
    </row>
    <row r="82" spans="2:7" x14ac:dyDescent="0.2">
      <c r="B82" s="137">
        <v>5010436000</v>
      </c>
      <c r="C82" s="69" t="s">
        <v>153</v>
      </c>
      <c r="D82" s="69" t="s">
        <v>110</v>
      </c>
      <c r="E82" s="69" t="s">
        <v>143</v>
      </c>
      <c r="F82" s="70"/>
      <c r="G82" s="76"/>
    </row>
    <row r="83" spans="2:7" x14ac:dyDescent="0.2">
      <c r="B83" s="137">
        <v>5010438532</v>
      </c>
      <c r="C83" s="69" t="s">
        <v>154</v>
      </c>
      <c r="D83" s="69" t="s">
        <v>103</v>
      </c>
      <c r="E83" s="71" t="s">
        <v>62</v>
      </c>
      <c r="F83" s="70"/>
      <c r="G83" s="76"/>
    </row>
    <row r="84" spans="2:7" x14ac:dyDescent="0.2">
      <c r="B84" s="137">
        <v>5010439072</v>
      </c>
      <c r="C84" s="69" t="s">
        <v>155</v>
      </c>
      <c r="D84" s="69">
        <v>2</v>
      </c>
      <c r="E84" s="71" t="s">
        <v>101</v>
      </c>
      <c r="F84" s="70" t="s">
        <v>156</v>
      </c>
      <c r="G84" s="76"/>
    </row>
    <row r="85" spans="2:7" x14ac:dyDescent="0.2">
      <c r="B85" s="137">
        <v>5010439075</v>
      </c>
      <c r="C85" s="69" t="s">
        <v>157</v>
      </c>
      <c r="D85" s="69">
        <v>2</v>
      </c>
      <c r="E85" s="69" t="s">
        <v>101</v>
      </c>
      <c r="F85" s="70"/>
      <c r="G85" s="76"/>
    </row>
    <row r="86" spans="2:7" x14ac:dyDescent="0.2">
      <c r="B86" s="137">
        <v>5010439075</v>
      </c>
      <c r="C86" s="69" t="s">
        <v>157</v>
      </c>
      <c r="D86" s="69">
        <v>2</v>
      </c>
      <c r="E86" s="69" t="s">
        <v>101</v>
      </c>
      <c r="F86" s="70"/>
      <c r="G86" s="76"/>
    </row>
    <row r="87" spans="2:7" x14ac:dyDescent="0.2">
      <c r="B87" s="137">
        <v>5010439076</v>
      </c>
      <c r="C87" s="69" t="s">
        <v>158</v>
      </c>
      <c r="D87" s="69">
        <v>2</v>
      </c>
      <c r="E87" s="71" t="s">
        <v>101</v>
      </c>
      <c r="F87" s="70"/>
      <c r="G87" s="76"/>
    </row>
    <row r="88" spans="2:7" x14ac:dyDescent="0.2">
      <c r="B88" s="137">
        <v>5010439268</v>
      </c>
      <c r="C88" s="69" t="s">
        <v>159</v>
      </c>
      <c r="D88" s="69">
        <v>2</v>
      </c>
      <c r="E88" s="69" t="s">
        <v>101</v>
      </c>
      <c r="F88" s="70"/>
      <c r="G88" s="76"/>
    </row>
    <row r="89" spans="2:7" x14ac:dyDescent="0.2">
      <c r="B89" s="137">
        <v>5010439269</v>
      </c>
      <c r="C89" s="69" t="s">
        <v>160</v>
      </c>
      <c r="D89" s="69">
        <v>2</v>
      </c>
      <c r="E89" s="69" t="s">
        <v>101</v>
      </c>
      <c r="F89" s="70" t="s">
        <v>156</v>
      </c>
      <c r="G89" s="76"/>
    </row>
    <row r="90" spans="2:7" x14ac:dyDescent="0.2">
      <c r="B90" s="137">
        <v>5010439944</v>
      </c>
      <c r="C90" s="69" t="s">
        <v>161</v>
      </c>
      <c r="D90" s="69">
        <v>2</v>
      </c>
      <c r="E90" s="71" t="s">
        <v>101</v>
      </c>
      <c r="F90" s="72" t="s">
        <v>162</v>
      </c>
      <c r="G90" s="76"/>
    </row>
    <row r="91" spans="2:7" x14ac:dyDescent="0.2">
      <c r="B91" s="137">
        <v>5010443656</v>
      </c>
      <c r="C91" s="69" t="s">
        <v>163</v>
      </c>
      <c r="D91" s="69">
        <v>2</v>
      </c>
      <c r="E91" s="71" t="s">
        <v>164</v>
      </c>
      <c r="F91" s="70"/>
      <c r="G91" s="76"/>
    </row>
    <row r="92" spans="2:7" x14ac:dyDescent="0.2">
      <c r="B92" s="137">
        <v>5010443707</v>
      </c>
      <c r="C92" s="69" t="s">
        <v>165</v>
      </c>
      <c r="D92" s="69" t="s">
        <v>66</v>
      </c>
      <c r="E92" s="71" t="s">
        <v>164</v>
      </c>
      <c r="F92" s="70"/>
      <c r="G92" s="76"/>
    </row>
    <row r="93" spans="2:7" x14ac:dyDescent="0.2">
      <c r="B93" s="137">
        <v>5010443748</v>
      </c>
      <c r="C93" s="69" t="s">
        <v>166</v>
      </c>
      <c r="D93" s="69" t="s">
        <v>89</v>
      </c>
      <c r="E93" s="71" t="s">
        <v>164</v>
      </c>
      <c r="F93" s="70"/>
      <c r="G93" s="76"/>
    </row>
    <row r="94" spans="2:7" x14ac:dyDescent="0.2">
      <c r="B94" s="137">
        <v>5010443749</v>
      </c>
      <c r="C94" s="69" t="s">
        <v>167</v>
      </c>
      <c r="D94" s="69" t="s">
        <v>78</v>
      </c>
      <c r="E94" s="71" t="s">
        <v>164</v>
      </c>
      <c r="F94" s="70"/>
      <c r="G94" s="76"/>
    </row>
    <row r="95" spans="2:7" x14ac:dyDescent="0.2">
      <c r="B95" s="137">
        <v>5010443750</v>
      </c>
      <c r="C95" s="69" t="s">
        <v>167</v>
      </c>
      <c r="D95" s="69" t="s">
        <v>78</v>
      </c>
      <c r="E95" s="71" t="s">
        <v>164</v>
      </c>
      <c r="F95" s="70"/>
      <c r="G95" s="76"/>
    </row>
    <row r="96" spans="2:7" x14ac:dyDescent="0.2">
      <c r="B96" s="137">
        <v>5010443754</v>
      </c>
      <c r="C96" s="69" t="s">
        <v>168</v>
      </c>
      <c r="D96" s="69" t="s">
        <v>66</v>
      </c>
      <c r="E96" s="69" t="s">
        <v>99</v>
      </c>
      <c r="F96" s="70"/>
      <c r="G96" s="76"/>
    </row>
    <row r="97" spans="2:7" x14ac:dyDescent="0.2">
      <c r="B97" s="137">
        <v>5010443762</v>
      </c>
      <c r="C97" s="69" t="s">
        <v>169</v>
      </c>
      <c r="D97" s="69" t="s">
        <v>78</v>
      </c>
      <c r="E97" s="71" t="s">
        <v>164</v>
      </c>
      <c r="F97" s="70"/>
      <c r="G97" s="76"/>
    </row>
    <row r="98" spans="2:7" x14ac:dyDescent="0.2">
      <c r="B98" s="137">
        <v>5010443763</v>
      </c>
      <c r="C98" s="69" t="s">
        <v>170</v>
      </c>
      <c r="D98" s="69" t="s">
        <v>64</v>
      </c>
      <c r="E98" s="71" t="s">
        <v>164</v>
      </c>
      <c r="F98" s="70"/>
      <c r="G98" s="76"/>
    </row>
    <row r="99" spans="2:7" x14ac:dyDescent="0.2">
      <c r="B99" s="137">
        <v>5010443802</v>
      </c>
      <c r="C99" s="69" t="s">
        <v>171</v>
      </c>
      <c r="D99" s="69" t="s">
        <v>76</v>
      </c>
      <c r="E99" s="69" t="s">
        <v>164</v>
      </c>
      <c r="F99" s="70" t="s">
        <v>156</v>
      </c>
      <c r="G99" s="76"/>
    </row>
    <row r="100" spans="2:7" x14ac:dyDescent="0.2">
      <c r="B100" s="137">
        <v>5010443815</v>
      </c>
      <c r="C100" s="69" t="s">
        <v>172</v>
      </c>
      <c r="D100" s="69" t="s">
        <v>89</v>
      </c>
      <c r="E100" s="69" t="s">
        <v>164</v>
      </c>
      <c r="F100" s="70"/>
      <c r="G100" s="76"/>
    </row>
    <row r="101" spans="2:7" x14ac:dyDescent="0.2">
      <c r="B101" s="137">
        <v>5010443913</v>
      </c>
      <c r="C101" s="69" t="s">
        <v>173</v>
      </c>
      <c r="D101" s="69" t="s">
        <v>78</v>
      </c>
      <c r="E101" s="69" t="s">
        <v>174</v>
      </c>
      <c r="F101" s="70" t="s">
        <v>121</v>
      </c>
      <c r="G101" s="76"/>
    </row>
    <row r="102" spans="2:7" x14ac:dyDescent="0.2">
      <c r="B102" s="137">
        <v>5010443923</v>
      </c>
      <c r="C102" s="69" t="s">
        <v>175</v>
      </c>
      <c r="D102" s="69" t="s">
        <v>89</v>
      </c>
      <c r="E102" s="69" t="s">
        <v>174</v>
      </c>
      <c r="F102" s="70"/>
      <c r="G102" s="76"/>
    </row>
    <row r="103" spans="2:7" x14ac:dyDescent="0.2">
      <c r="B103" s="137">
        <v>5010443931</v>
      </c>
      <c r="C103" s="69" t="s">
        <v>176</v>
      </c>
      <c r="D103" s="69" t="s">
        <v>89</v>
      </c>
      <c r="E103" s="69" t="s">
        <v>174</v>
      </c>
      <c r="F103" s="70"/>
      <c r="G103" s="76"/>
    </row>
    <row r="104" spans="2:7" x14ac:dyDescent="0.2">
      <c r="B104" s="137">
        <v>5010443971</v>
      </c>
      <c r="C104" s="69" t="s">
        <v>177</v>
      </c>
      <c r="D104" s="69" t="s">
        <v>71</v>
      </c>
      <c r="E104" s="69" t="s">
        <v>164</v>
      </c>
      <c r="F104" s="70"/>
      <c r="G104" s="76"/>
    </row>
    <row r="105" spans="2:7" x14ac:dyDescent="0.2">
      <c r="B105" s="137">
        <v>5010443971</v>
      </c>
      <c r="C105" s="69" t="s">
        <v>177</v>
      </c>
      <c r="D105" s="69" t="s">
        <v>71</v>
      </c>
      <c r="E105" s="69" t="s">
        <v>164</v>
      </c>
      <c r="F105" s="70"/>
      <c r="G105" s="76"/>
    </row>
    <row r="106" spans="2:7" x14ac:dyDescent="0.2">
      <c r="B106" s="137">
        <v>5010465580</v>
      </c>
      <c r="C106" s="69" t="s">
        <v>178</v>
      </c>
      <c r="D106" s="69" t="s">
        <v>110</v>
      </c>
      <c r="E106" s="71" t="s">
        <v>62</v>
      </c>
      <c r="F106" s="70"/>
      <c r="G106" s="76"/>
    </row>
    <row r="107" spans="2:7" x14ac:dyDescent="0.2">
      <c r="B107" s="137">
        <v>5010465581</v>
      </c>
      <c r="C107" s="69" t="s">
        <v>179</v>
      </c>
      <c r="D107" s="69" t="s">
        <v>110</v>
      </c>
      <c r="E107" s="71" t="s">
        <v>62</v>
      </c>
      <c r="F107" s="70"/>
      <c r="G107" s="76"/>
    </row>
    <row r="108" spans="2:7" x14ac:dyDescent="0.2">
      <c r="B108" s="137">
        <v>5010488004</v>
      </c>
      <c r="C108" s="69" t="s">
        <v>180</v>
      </c>
      <c r="D108" s="69" t="s">
        <v>103</v>
      </c>
      <c r="E108" s="69" t="s">
        <v>99</v>
      </c>
      <c r="F108" s="70"/>
      <c r="G108" s="76"/>
    </row>
    <row r="109" spans="2:7" x14ac:dyDescent="0.2">
      <c r="B109" s="137">
        <v>5010492933</v>
      </c>
      <c r="C109" s="69" t="s">
        <v>181</v>
      </c>
      <c r="D109" s="69" t="s">
        <v>89</v>
      </c>
      <c r="E109" s="69" t="s">
        <v>62</v>
      </c>
      <c r="F109" s="70"/>
      <c r="G109" s="76"/>
    </row>
    <row r="110" spans="2:7" x14ac:dyDescent="0.2">
      <c r="B110" s="137">
        <v>5010492934</v>
      </c>
      <c r="C110" s="69" t="s">
        <v>181</v>
      </c>
      <c r="D110" s="69" t="s">
        <v>89</v>
      </c>
      <c r="E110" s="69" t="s">
        <v>62</v>
      </c>
      <c r="F110" s="70"/>
      <c r="G110" s="76"/>
    </row>
    <row r="111" spans="2:7" x14ac:dyDescent="0.2">
      <c r="B111" s="137">
        <v>5010527659</v>
      </c>
      <c r="C111" s="69" t="s">
        <v>182</v>
      </c>
      <c r="D111" s="69" t="s">
        <v>71</v>
      </c>
      <c r="E111" s="69" t="s">
        <v>99</v>
      </c>
      <c r="F111" s="70"/>
      <c r="G111" s="76"/>
    </row>
    <row r="112" spans="2:7" x14ac:dyDescent="0.2">
      <c r="B112" s="137">
        <v>5010527857</v>
      </c>
      <c r="C112" s="69" t="s">
        <v>183</v>
      </c>
      <c r="D112" s="69">
        <v>1</v>
      </c>
      <c r="E112" s="69" t="s">
        <v>62</v>
      </c>
      <c r="F112" s="70"/>
      <c r="G112" s="76"/>
    </row>
    <row r="113" spans="2:7" x14ac:dyDescent="0.2">
      <c r="B113" s="137">
        <v>5010527859</v>
      </c>
      <c r="C113" s="69" t="s">
        <v>184</v>
      </c>
      <c r="D113" s="69">
        <v>1</v>
      </c>
      <c r="E113" s="69" t="s">
        <v>62</v>
      </c>
      <c r="F113" s="70"/>
      <c r="G113" s="76"/>
    </row>
    <row r="114" spans="2:7" x14ac:dyDescent="0.2">
      <c r="B114" s="137">
        <v>5010534271</v>
      </c>
      <c r="C114" s="69" t="s">
        <v>185</v>
      </c>
      <c r="D114" s="69" t="s">
        <v>103</v>
      </c>
      <c r="E114" s="69" t="s">
        <v>145</v>
      </c>
      <c r="F114" s="70"/>
      <c r="G114" s="76"/>
    </row>
    <row r="115" spans="2:7" x14ac:dyDescent="0.2">
      <c r="B115" s="137">
        <v>5010534299</v>
      </c>
      <c r="C115" s="69" t="s">
        <v>186</v>
      </c>
      <c r="D115" s="69" t="s">
        <v>110</v>
      </c>
      <c r="E115" s="69" t="s">
        <v>164</v>
      </c>
      <c r="F115" s="70"/>
      <c r="G115" s="76"/>
    </row>
    <row r="116" spans="2:7" x14ac:dyDescent="0.2">
      <c r="B116" s="137">
        <v>5010534497</v>
      </c>
      <c r="C116" s="69" t="s">
        <v>187</v>
      </c>
      <c r="D116" s="69" t="s">
        <v>110</v>
      </c>
      <c r="E116" s="69" t="s">
        <v>188</v>
      </c>
      <c r="F116" s="70"/>
      <c r="G116" s="76"/>
    </row>
    <row r="117" spans="2:7" x14ac:dyDescent="0.2">
      <c r="B117" s="137">
        <v>5010534587</v>
      </c>
      <c r="C117" s="69" t="s">
        <v>189</v>
      </c>
      <c r="D117" s="69" t="s">
        <v>71</v>
      </c>
      <c r="E117" s="71" t="s">
        <v>190</v>
      </c>
      <c r="F117" s="72" t="s">
        <v>162</v>
      </c>
      <c r="G117" s="76"/>
    </row>
    <row r="118" spans="2:7" x14ac:dyDescent="0.2">
      <c r="B118" s="137">
        <v>5010534661</v>
      </c>
      <c r="C118" s="69" t="s">
        <v>191</v>
      </c>
      <c r="D118" s="69">
        <v>3</v>
      </c>
      <c r="E118" s="71" t="s">
        <v>164</v>
      </c>
      <c r="F118" s="70"/>
      <c r="G118" s="76"/>
    </row>
    <row r="119" spans="2:7" x14ac:dyDescent="0.2">
      <c r="B119" s="137">
        <v>5010534662</v>
      </c>
      <c r="C119" s="69" t="s">
        <v>192</v>
      </c>
      <c r="D119" s="69">
        <v>3</v>
      </c>
      <c r="E119" s="71" t="s">
        <v>164</v>
      </c>
      <c r="F119" s="70"/>
      <c r="G119" s="76"/>
    </row>
    <row r="120" spans="2:7" x14ac:dyDescent="0.2">
      <c r="B120" s="137">
        <v>5010534760</v>
      </c>
      <c r="C120" s="69" t="s">
        <v>193</v>
      </c>
      <c r="D120" s="69">
        <v>3</v>
      </c>
      <c r="E120" s="71" t="s">
        <v>59</v>
      </c>
      <c r="F120" s="70"/>
      <c r="G120" s="76"/>
    </row>
    <row r="121" spans="2:7" x14ac:dyDescent="0.2">
      <c r="B121" s="137">
        <v>5010534811</v>
      </c>
      <c r="C121" s="69" t="s">
        <v>194</v>
      </c>
      <c r="D121" s="69">
        <v>2</v>
      </c>
      <c r="E121" s="71" t="s">
        <v>101</v>
      </c>
      <c r="F121" s="70" t="s">
        <v>156</v>
      </c>
      <c r="G121" s="76"/>
    </row>
    <row r="122" spans="2:7" x14ac:dyDescent="0.2">
      <c r="B122" s="137">
        <v>5010534812</v>
      </c>
      <c r="C122" s="69" t="s">
        <v>195</v>
      </c>
      <c r="D122" s="69">
        <v>2</v>
      </c>
      <c r="E122" s="71" t="s">
        <v>101</v>
      </c>
      <c r="F122" s="70"/>
      <c r="G122" s="76"/>
    </row>
    <row r="123" spans="2:7" x14ac:dyDescent="0.2">
      <c r="B123" s="137">
        <v>5010559584</v>
      </c>
      <c r="C123" s="69" t="s">
        <v>72</v>
      </c>
      <c r="D123" s="69" t="s">
        <v>110</v>
      </c>
      <c r="E123" s="71" t="s">
        <v>138</v>
      </c>
      <c r="F123" s="70" t="s">
        <v>74</v>
      </c>
      <c r="G123" s="76"/>
    </row>
    <row r="124" spans="2:7" x14ac:dyDescent="0.2">
      <c r="B124" s="137">
        <v>5010559774</v>
      </c>
      <c r="C124" s="69" t="s">
        <v>196</v>
      </c>
      <c r="D124" s="69" t="s">
        <v>71</v>
      </c>
      <c r="E124" s="69" t="s">
        <v>62</v>
      </c>
      <c r="F124" s="70"/>
      <c r="G124" s="76"/>
    </row>
    <row r="125" spans="2:7" x14ac:dyDescent="0.2">
      <c r="B125" s="137">
        <v>5010566029</v>
      </c>
      <c r="C125" s="69" t="s">
        <v>197</v>
      </c>
      <c r="D125" s="69">
        <v>2</v>
      </c>
      <c r="E125" s="69" t="s">
        <v>101</v>
      </c>
      <c r="F125" s="70"/>
      <c r="G125" s="76"/>
    </row>
    <row r="126" spans="2:7" x14ac:dyDescent="0.2">
      <c r="B126" s="137">
        <v>5010566039</v>
      </c>
      <c r="C126" s="69" t="s">
        <v>198</v>
      </c>
      <c r="D126" s="69">
        <v>2</v>
      </c>
      <c r="E126" s="69" t="s">
        <v>101</v>
      </c>
      <c r="F126" s="70"/>
      <c r="G126" s="76"/>
    </row>
    <row r="127" spans="2:7" x14ac:dyDescent="0.2">
      <c r="B127" s="137">
        <v>5010575733</v>
      </c>
      <c r="C127" s="69" t="s">
        <v>199</v>
      </c>
      <c r="D127" s="69" t="s">
        <v>71</v>
      </c>
      <c r="E127" s="69" t="s">
        <v>138</v>
      </c>
      <c r="F127" s="70"/>
      <c r="G127" s="76"/>
    </row>
    <row r="128" spans="2:7" x14ac:dyDescent="0.2">
      <c r="B128" s="137">
        <v>5010575760</v>
      </c>
      <c r="C128" s="69" t="s">
        <v>200</v>
      </c>
      <c r="D128" s="69" t="s">
        <v>78</v>
      </c>
      <c r="E128" s="69" t="s">
        <v>138</v>
      </c>
      <c r="F128" s="70"/>
      <c r="G128" s="76"/>
    </row>
    <row r="129" spans="2:7" x14ac:dyDescent="0.2">
      <c r="B129" s="137">
        <v>5010575761</v>
      </c>
      <c r="C129" s="69" t="s">
        <v>201</v>
      </c>
      <c r="D129" s="69" t="s">
        <v>73</v>
      </c>
      <c r="E129" s="69" t="s">
        <v>138</v>
      </c>
      <c r="F129" s="70"/>
      <c r="G129" s="76"/>
    </row>
    <row r="130" spans="2:7" x14ac:dyDescent="0.2">
      <c r="B130" s="137">
        <v>5010575762</v>
      </c>
      <c r="C130" s="69" t="s">
        <v>202</v>
      </c>
      <c r="D130" s="69" t="s">
        <v>78</v>
      </c>
      <c r="E130" s="69" t="s">
        <v>138</v>
      </c>
      <c r="F130" s="70"/>
      <c r="G130" s="76"/>
    </row>
    <row r="131" spans="2:7" x14ac:dyDescent="0.2">
      <c r="B131" s="137">
        <v>5010575801</v>
      </c>
      <c r="C131" s="69" t="s">
        <v>203</v>
      </c>
      <c r="D131" s="69" t="s">
        <v>64</v>
      </c>
      <c r="E131" s="69" t="s">
        <v>138</v>
      </c>
      <c r="F131" s="70"/>
      <c r="G131" s="76"/>
    </row>
    <row r="132" spans="2:7" x14ac:dyDescent="0.2">
      <c r="B132" s="137">
        <v>5010575802</v>
      </c>
      <c r="C132" s="69" t="s">
        <v>204</v>
      </c>
      <c r="D132" s="69" t="s">
        <v>71</v>
      </c>
      <c r="E132" s="69" t="s">
        <v>138</v>
      </c>
      <c r="F132" s="70"/>
      <c r="G132" s="76"/>
    </row>
    <row r="133" spans="2:7" x14ac:dyDescent="0.2">
      <c r="B133" s="137">
        <v>5010575803</v>
      </c>
      <c r="C133" s="69" t="s">
        <v>205</v>
      </c>
      <c r="D133" s="69" t="s">
        <v>89</v>
      </c>
      <c r="E133" s="69" t="s">
        <v>138</v>
      </c>
      <c r="F133" s="70"/>
      <c r="G133" s="76"/>
    </row>
    <row r="134" spans="2:7" x14ac:dyDescent="0.2">
      <c r="B134" s="137">
        <v>5010579621</v>
      </c>
      <c r="C134" s="69" t="s">
        <v>206</v>
      </c>
      <c r="D134" s="69">
        <v>2</v>
      </c>
      <c r="E134" s="69" t="s">
        <v>138</v>
      </c>
      <c r="F134" s="70" t="s">
        <v>207</v>
      </c>
      <c r="G134" s="76"/>
    </row>
    <row r="135" spans="2:7" x14ac:dyDescent="0.2">
      <c r="B135" s="137">
        <v>5010579629</v>
      </c>
      <c r="C135" s="69" t="s">
        <v>208</v>
      </c>
      <c r="D135" s="69" t="s">
        <v>71</v>
      </c>
      <c r="E135" s="71" t="s">
        <v>138</v>
      </c>
      <c r="F135" s="70"/>
      <c r="G135" s="76"/>
    </row>
    <row r="136" spans="2:7" x14ac:dyDescent="0.2">
      <c r="B136" s="137">
        <v>5010579631</v>
      </c>
      <c r="C136" s="69" t="s">
        <v>209</v>
      </c>
      <c r="D136" s="69" t="s">
        <v>73</v>
      </c>
      <c r="E136" s="71" t="s">
        <v>138</v>
      </c>
      <c r="F136" s="70"/>
      <c r="G136" s="76"/>
    </row>
    <row r="137" spans="2:7" x14ac:dyDescent="0.2">
      <c r="B137" s="137">
        <v>5010579632</v>
      </c>
      <c r="C137" s="69" t="s">
        <v>210</v>
      </c>
      <c r="D137" s="69" t="s">
        <v>73</v>
      </c>
      <c r="E137" s="71" t="s">
        <v>138</v>
      </c>
      <c r="F137" s="70"/>
      <c r="G137" s="76"/>
    </row>
    <row r="138" spans="2:7" x14ac:dyDescent="0.2">
      <c r="B138" s="137">
        <v>5010579633</v>
      </c>
      <c r="C138" s="69" t="s">
        <v>211</v>
      </c>
      <c r="D138" s="69" t="s">
        <v>64</v>
      </c>
      <c r="E138" s="69" t="s">
        <v>138</v>
      </c>
      <c r="F138" s="70"/>
      <c r="G138" s="76"/>
    </row>
    <row r="139" spans="2:7" x14ac:dyDescent="0.2">
      <c r="B139" s="137">
        <v>5010579635</v>
      </c>
      <c r="C139" s="69" t="s">
        <v>212</v>
      </c>
      <c r="D139" s="69" t="s">
        <v>78</v>
      </c>
      <c r="E139" s="69" t="s">
        <v>138</v>
      </c>
      <c r="F139" s="70"/>
      <c r="G139" s="76"/>
    </row>
    <row r="140" spans="2:7" x14ac:dyDescent="0.2">
      <c r="B140" s="137">
        <v>5010579636</v>
      </c>
      <c r="C140" s="69" t="s">
        <v>128</v>
      </c>
      <c r="D140" s="69" t="s">
        <v>78</v>
      </c>
      <c r="E140" s="71" t="s">
        <v>138</v>
      </c>
      <c r="F140" s="70"/>
      <c r="G140" s="76"/>
    </row>
    <row r="141" spans="2:7" x14ac:dyDescent="0.2">
      <c r="B141" s="137">
        <v>5010579637</v>
      </c>
      <c r="C141" s="69" t="s">
        <v>213</v>
      </c>
      <c r="D141" s="69" t="s">
        <v>64</v>
      </c>
      <c r="E141" s="69" t="s">
        <v>138</v>
      </c>
      <c r="F141" s="70"/>
      <c r="G141" s="76"/>
    </row>
    <row r="142" spans="2:7" x14ac:dyDescent="0.2">
      <c r="B142" s="137">
        <v>5010579638</v>
      </c>
      <c r="C142" s="69" t="s">
        <v>214</v>
      </c>
      <c r="D142" s="69" t="s">
        <v>89</v>
      </c>
      <c r="E142" s="69" t="s">
        <v>138</v>
      </c>
      <c r="F142" s="70"/>
      <c r="G142" s="76"/>
    </row>
    <row r="143" spans="2:7" x14ac:dyDescent="0.2">
      <c r="B143" s="137">
        <v>5010579639</v>
      </c>
      <c r="C143" s="69" t="s">
        <v>215</v>
      </c>
      <c r="D143" s="69">
        <v>3</v>
      </c>
      <c r="E143" s="69" t="s">
        <v>138</v>
      </c>
      <c r="F143" s="70"/>
      <c r="G143" s="76"/>
    </row>
    <row r="144" spans="2:7" x14ac:dyDescent="0.2">
      <c r="B144" s="137">
        <v>5010579640</v>
      </c>
      <c r="C144" s="69" t="s">
        <v>216</v>
      </c>
      <c r="D144" s="69">
        <v>1</v>
      </c>
      <c r="E144" s="69" t="s">
        <v>138</v>
      </c>
      <c r="F144" s="70"/>
      <c r="G144" s="76"/>
    </row>
    <row r="145" spans="2:7" x14ac:dyDescent="0.2">
      <c r="B145" s="137">
        <v>5010579697</v>
      </c>
      <c r="C145" s="69" t="s">
        <v>217</v>
      </c>
      <c r="D145" s="69" t="s">
        <v>71</v>
      </c>
      <c r="E145" s="69" t="s">
        <v>138</v>
      </c>
      <c r="F145" s="70"/>
      <c r="G145" s="76"/>
    </row>
    <row r="146" spans="2:7" x14ac:dyDescent="0.2">
      <c r="B146" s="137">
        <v>5010579711</v>
      </c>
      <c r="C146" s="69" t="s">
        <v>218</v>
      </c>
      <c r="D146" s="69" t="s">
        <v>89</v>
      </c>
      <c r="E146" s="69" t="s">
        <v>138</v>
      </c>
      <c r="F146" s="70"/>
      <c r="G146" s="76"/>
    </row>
    <row r="147" spans="2:7" x14ac:dyDescent="0.2">
      <c r="B147" s="137">
        <v>5010598584</v>
      </c>
      <c r="C147" s="69" t="s">
        <v>219</v>
      </c>
      <c r="D147" s="69">
        <v>1</v>
      </c>
      <c r="E147" s="69" t="s">
        <v>101</v>
      </c>
      <c r="F147" s="70"/>
      <c r="G147" s="76"/>
    </row>
    <row r="148" spans="2:7" x14ac:dyDescent="0.2">
      <c r="B148" s="137">
        <v>5010607335</v>
      </c>
      <c r="C148" s="69" t="s">
        <v>220</v>
      </c>
      <c r="D148" s="69" t="s">
        <v>103</v>
      </c>
      <c r="E148" s="71" t="s">
        <v>101</v>
      </c>
      <c r="F148" s="70"/>
      <c r="G148" s="76"/>
    </row>
    <row r="149" spans="2:7" x14ac:dyDescent="0.2">
      <c r="B149" s="137">
        <v>5010607336</v>
      </c>
      <c r="C149" s="69" t="s">
        <v>220</v>
      </c>
      <c r="D149" s="69" t="s">
        <v>103</v>
      </c>
      <c r="E149" s="71" t="s">
        <v>101</v>
      </c>
      <c r="F149" s="70"/>
      <c r="G149" s="76"/>
    </row>
    <row r="150" spans="2:7" x14ac:dyDescent="0.2">
      <c r="B150" s="137">
        <v>5010607450</v>
      </c>
      <c r="C150" s="69" t="s">
        <v>221</v>
      </c>
      <c r="D150" s="69">
        <v>1</v>
      </c>
      <c r="E150" s="71" t="s">
        <v>101</v>
      </c>
      <c r="F150" s="70"/>
      <c r="G150" s="76"/>
    </row>
    <row r="151" spans="2:7" x14ac:dyDescent="0.2">
      <c r="B151" s="137">
        <v>5010607451</v>
      </c>
      <c r="C151" s="69" t="s">
        <v>222</v>
      </c>
      <c r="D151" s="69">
        <v>1</v>
      </c>
      <c r="E151" s="69" t="s">
        <v>101</v>
      </c>
      <c r="F151" s="70"/>
      <c r="G151" s="76"/>
    </row>
    <row r="152" spans="2:7" x14ac:dyDescent="0.2">
      <c r="B152" s="137">
        <v>5010611196</v>
      </c>
      <c r="C152" s="69" t="s">
        <v>223</v>
      </c>
      <c r="D152" s="69">
        <v>2</v>
      </c>
      <c r="E152" s="69" t="s">
        <v>101</v>
      </c>
      <c r="F152" s="70"/>
      <c r="G152" s="76"/>
    </row>
    <row r="153" spans="2:7" x14ac:dyDescent="0.2">
      <c r="B153" s="137">
        <v>5010611197</v>
      </c>
      <c r="C153" s="69" t="s">
        <v>224</v>
      </c>
      <c r="D153" s="69">
        <v>2</v>
      </c>
      <c r="E153" s="69" t="s">
        <v>101</v>
      </c>
      <c r="F153" s="70"/>
      <c r="G153" s="76"/>
    </row>
    <row r="154" spans="2:7" x14ac:dyDescent="0.2">
      <c r="B154" s="137">
        <v>5010616600</v>
      </c>
      <c r="C154" s="73" t="s">
        <v>225</v>
      </c>
      <c r="D154" s="69">
        <v>2</v>
      </c>
      <c r="E154" s="69" t="s">
        <v>62</v>
      </c>
      <c r="F154" s="70"/>
      <c r="G154" s="76"/>
    </row>
    <row r="155" spans="2:7" x14ac:dyDescent="0.2">
      <c r="B155" s="137">
        <v>5010630859</v>
      </c>
      <c r="C155" s="69" t="s">
        <v>226</v>
      </c>
      <c r="D155" s="69" t="s">
        <v>110</v>
      </c>
      <c r="E155" s="71" t="s">
        <v>99</v>
      </c>
      <c r="F155" s="70"/>
      <c r="G155" s="76"/>
    </row>
    <row r="156" spans="2:7" x14ac:dyDescent="0.2">
      <c r="B156" s="137">
        <v>5010636217</v>
      </c>
      <c r="C156" s="69" t="s">
        <v>227</v>
      </c>
      <c r="D156" s="69" t="s">
        <v>71</v>
      </c>
      <c r="E156" s="71" t="s">
        <v>62</v>
      </c>
      <c r="F156" s="70"/>
      <c r="G156" s="76"/>
    </row>
    <row r="157" spans="2:7" x14ac:dyDescent="0.2">
      <c r="B157" s="137">
        <v>5600637016</v>
      </c>
      <c r="C157" s="69" t="s">
        <v>228</v>
      </c>
      <c r="D157" s="69" t="s">
        <v>110</v>
      </c>
      <c r="E157" s="71" t="s">
        <v>59</v>
      </c>
      <c r="F157" s="70"/>
      <c r="G157" s="76"/>
    </row>
    <row r="158" spans="2:7" x14ac:dyDescent="0.2">
      <c r="B158" s="137">
        <v>5829000070</v>
      </c>
      <c r="C158" s="69" t="s">
        <v>229</v>
      </c>
      <c r="D158" s="69" t="s">
        <v>71</v>
      </c>
      <c r="E158" s="69" t="s">
        <v>188</v>
      </c>
      <c r="F158" s="70"/>
      <c r="G158" s="76"/>
    </row>
    <row r="159" spans="2:7" x14ac:dyDescent="0.2">
      <c r="B159" s="137">
        <v>5829000106</v>
      </c>
      <c r="C159" s="69" t="s">
        <v>230</v>
      </c>
      <c r="D159" s="69" t="s">
        <v>89</v>
      </c>
      <c r="E159" s="69" t="s">
        <v>188</v>
      </c>
      <c r="F159" s="70"/>
      <c r="G159" s="76"/>
    </row>
    <row r="160" spans="2:7" x14ac:dyDescent="0.2">
      <c r="B160" s="137">
        <v>5829001012</v>
      </c>
      <c r="C160" s="73" t="s">
        <v>231</v>
      </c>
      <c r="D160" s="69" t="s">
        <v>71</v>
      </c>
      <c r="E160" s="69" t="s">
        <v>232</v>
      </c>
      <c r="F160" s="70"/>
      <c r="G160" s="76"/>
    </row>
    <row r="161" spans="2:7" x14ac:dyDescent="0.2">
      <c r="B161" s="137">
        <v>5829001050</v>
      </c>
      <c r="C161" s="69" t="s">
        <v>233</v>
      </c>
      <c r="D161" s="69" t="s">
        <v>234</v>
      </c>
      <c r="E161" s="69" t="s">
        <v>235</v>
      </c>
      <c r="F161" s="70"/>
      <c r="G161" s="76"/>
    </row>
    <row r="162" spans="2:7" x14ac:dyDescent="0.2">
      <c r="B162" s="137">
        <v>5829001209</v>
      </c>
      <c r="C162" s="69" t="s">
        <v>236</v>
      </c>
      <c r="D162" s="69" t="s">
        <v>76</v>
      </c>
      <c r="E162" s="69" t="s">
        <v>232</v>
      </c>
      <c r="F162" s="70"/>
      <c r="G162" s="76"/>
    </row>
    <row r="163" spans="2:7" x14ac:dyDescent="0.2">
      <c r="B163" s="137">
        <v>5829001212</v>
      </c>
      <c r="C163" s="69" t="s">
        <v>237</v>
      </c>
      <c r="D163" s="69" t="s">
        <v>238</v>
      </c>
      <c r="E163" s="69" t="s">
        <v>232</v>
      </c>
      <c r="F163" s="70"/>
      <c r="G163" s="76"/>
    </row>
    <row r="164" spans="2:7" x14ac:dyDescent="0.2">
      <c r="B164" s="137">
        <v>5829001215</v>
      </c>
      <c r="C164" s="69" t="s">
        <v>239</v>
      </c>
      <c r="D164" s="69" t="s">
        <v>73</v>
      </c>
      <c r="E164" s="69" t="s">
        <v>232</v>
      </c>
      <c r="F164" s="70" t="s">
        <v>240</v>
      </c>
      <c r="G164" s="76"/>
    </row>
    <row r="165" spans="2:7" x14ac:dyDescent="0.2">
      <c r="B165" s="137">
        <v>5829001222</v>
      </c>
      <c r="C165" s="69" t="s">
        <v>241</v>
      </c>
      <c r="D165" s="69" t="s">
        <v>64</v>
      </c>
      <c r="E165" s="69" t="s">
        <v>232</v>
      </c>
      <c r="F165" s="70"/>
      <c r="G165" s="76"/>
    </row>
    <row r="166" spans="2:7" x14ac:dyDescent="0.2">
      <c r="B166" s="137">
        <v>5829001235</v>
      </c>
      <c r="C166" s="69" t="s">
        <v>242</v>
      </c>
      <c r="D166" s="69" t="s">
        <v>64</v>
      </c>
      <c r="E166" s="69" t="s">
        <v>232</v>
      </c>
      <c r="F166" s="70"/>
      <c r="G166" s="76"/>
    </row>
    <row r="167" spans="2:7" x14ac:dyDescent="0.2">
      <c r="B167" s="137">
        <v>5829001270</v>
      </c>
      <c r="C167" s="69" t="s">
        <v>243</v>
      </c>
      <c r="D167" s="69" t="s">
        <v>110</v>
      </c>
      <c r="E167" s="69" t="s">
        <v>59</v>
      </c>
      <c r="F167" s="70" t="s">
        <v>244</v>
      </c>
      <c r="G167" s="76"/>
    </row>
    <row r="168" spans="2:7" x14ac:dyDescent="0.2">
      <c r="B168" s="137">
        <v>5829001272</v>
      </c>
      <c r="C168" s="69" t="s">
        <v>245</v>
      </c>
      <c r="D168" s="69" t="s">
        <v>78</v>
      </c>
      <c r="E168" s="71" t="s">
        <v>232</v>
      </c>
      <c r="F168" s="70"/>
      <c r="G168" s="76"/>
    </row>
    <row r="169" spans="2:7" x14ac:dyDescent="0.2">
      <c r="B169" s="137">
        <v>5829001310</v>
      </c>
      <c r="C169" s="69" t="s">
        <v>246</v>
      </c>
      <c r="D169" s="69" t="s">
        <v>64</v>
      </c>
      <c r="E169" s="69" t="s">
        <v>188</v>
      </c>
      <c r="F169" s="70"/>
      <c r="G169" s="76"/>
    </row>
    <row r="170" spans="2:7" x14ac:dyDescent="0.2">
      <c r="B170" s="137">
        <v>5829001405</v>
      </c>
      <c r="C170" s="69" t="s">
        <v>247</v>
      </c>
      <c r="D170" s="69" t="s">
        <v>89</v>
      </c>
      <c r="E170" s="69" t="s">
        <v>248</v>
      </c>
      <c r="F170" s="70"/>
      <c r="G170" s="76"/>
    </row>
    <row r="171" spans="2:7" x14ac:dyDescent="0.2">
      <c r="B171" s="137">
        <v>5829001406</v>
      </c>
      <c r="C171" s="69" t="s">
        <v>249</v>
      </c>
      <c r="D171" s="69" t="s">
        <v>89</v>
      </c>
      <c r="E171" s="69" t="s">
        <v>248</v>
      </c>
      <c r="F171" s="70"/>
      <c r="G171" s="76"/>
    </row>
    <row r="172" spans="2:7" x14ac:dyDescent="0.2">
      <c r="B172" s="137">
        <v>5829001490</v>
      </c>
      <c r="C172" s="73" t="s">
        <v>250</v>
      </c>
      <c r="D172" s="69" t="s">
        <v>64</v>
      </c>
      <c r="E172" s="71" t="s">
        <v>188</v>
      </c>
      <c r="F172" s="70"/>
      <c r="G172" s="76"/>
    </row>
    <row r="173" spans="2:7" x14ac:dyDescent="0.2">
      <c r="B173" s="137">
        <v>5829001502</v>
      </c>
      <c r="C173" s="69" t="s">
        <v>251</v>
      </c>
      <c r="D173" s="69" t="s">
        <v>89</v>
      </c>
      <c r="E173" s="69" t="s">
        <v>145</v>
      </c>
      <c r="F173" s="70"/>
      <c r="G173" s="76"/>
    </row>
    <row r="174" spans="2:7" x14ac:dyDescent="0.2">
      <c r="B174" s="137">
        <v>5829001523</v>
      </c>
      <c r="C174" s="69" t="s">
        <v>252</v>
      </c>
      <c r="D174" s="69" t="s">
        <v>89</v>
      </c>
      <c r="E174" s="71" t="s">
        <v>145</v>
      </c>
      <c r="F174" s="70"/>
      <c r="G174" s="76"/>
    </row>
    <row r="175" spans="2:7" x14ac:dyDescent="0.2">
      <c r="B175" s="137">
        <v>5829001548</v>
      </c>
      <c r="C175" s="69" t="s">
        <v>253</v>
      </c>
      <c r="D175" s="69" t="s">
        <v>64</v>
      </c>
      <c r="E175" s="69" t="s">
        <v>188</v>
      </c>
      <c r="F175" s="70"/>
      <c r="G175" s="76"/>
    </row>
    <row r="176" spans="2:7" x14ac:dyDescent="0.2">
      <c r="B176" s="137">
        <v>5829001572</v>
      </c>
      <c r="C176" s="69" t="s">
        <v>254</v>
      </c>
      <c r="D176" s="69" t="s">
        <v>103</v>
      </c>
      <c r="E176" s="69" t="s">
        <v>188</v>
      </c>
      <c r="F176" s="70"/>
      <c r="G176" s="76"/>
    </row>
    <row r="177" spans="2:7" x14ac:dyDescent="0.2">
      <c r="B177" s="137">
        <v>5829001586</v>
      </c>
      <c r="C177" s="69" t="s">
        <v>255</v>
      </c>
      <c r="D177" s="69" t="s">
        <v>89</v>
      </c>
      <c r="E177" s="69" t="s">
        <v>188</v>
      </c>
      <c r="F177" s="70"/>
      <c r="G177" s="76"/>
    </row>
    <row r="178" spans="2:7" x14ac:dyDescent="0.2">
      <c r="B178" s="137">
        <v>5829001633</v>
      </c>
      <c r="C178" s="69" t="s">
        <v>256</v>
      </c>
      <c r="D178" s="69" t="s">
        <v>64</v>
      </c>
      <c r="E178" s="71" t="s">
        <v>145</v>
      </c>
      <c r="F178" s="70" t="s">
        <v>244</v>
      </c>
      <c r="G178" s="76"/>
    </row>
    <row r="179" spans="2:7" x14ac:dyDescent="0.2">
      <c r="B179" s="137">
        <v>5829001711</v>
      </c>
      <c r="C179" s="69" t="s">
        <v>257</v>
      </c>
      <c r="D179" s="69" t="s">
        <v>89</v>
      </c>
      <c r="E179" s="69" t="s">
        <v>190</v>
      </c>
      <c r="F179" s="70"/>
      <c r="G179" s="76"/>
    </row>
    <row r="180" spans="2:7" x14ac:dyDescent="0.2">
      <c r="B180" s="137">
        <v>5829001839</v>
      </c>
      <c r="C180" s="69" t="s">
        <v>258</v>
      </c>
      <c r="D180" s="69" t="s">
        <v>71</v>
      </c>
      <c r="E180" s="71" t="s">
        <v>259</v>
      </c>
      <c r="F180" s="70" t="s">
        <v>244</v>
      </c>
      <c r="G180" s="76"/>
    </row>
    <row r="181" spans="2:7" x14ac:dyDescent="0.2">
      <c r="B181" s="137">
        <v>5829001849</v>
      </c>
      <c r="C181" s="69" t="s">
        <v>260</v>
      </c>
      <c r="D181" s="69" t="s">
        <v>110</v>
      </c>
      <c r="E181" s="71" t="s">
        <v>259</v>
      </c>
      <c r="F181" s="70" t="s">
        <v>261</v>
      </c>
      <c r="G181" s="76"/>
    </row>
    <row r="182" spans="2:7" x14ac:dyDescent="0.2">
      <c r="B182" s="137">
        <v>5829001855</v>
      </c>
      <c r="C182" s="69" t="s">
        <v>262</v>
      </c>
      <c r="D182" s="69" t="s">
        <v>64</v>
      </c>
      <c r="E182" s="71" t="s">
        <v>259</v>
      </c>
      <c r="F182" s="70"/>
      <c r="G182" s="76"/>
    </row>
    <row r="183" spans="2:7" x14ac:dyDescent="0.2">
      <c r="B183" s="137">
        <v>5829001868</v>
      </c>
      <c r="C183" s="69" t="s">
        <v>263</v>
      </c>
      <c r="D183" s="69" t="s">
        <v>71</v>
      </c>
      <c r="E183" s="69" t="s">
        <v>264</v>
      </c>
      <c r="F183" s="70"/>
      <c r="G183" s="76"/>
    </row>
    <row r="184" spans="2:7" x14ac:dyDescent="0.2">
      <c r="B184" s="137">
        <v>5829001869</v>
      </c>
      <c r="C184" s="69" t="s">
        <v>265</v>
      </c>
      <c r="D184" s="69" t="s">
        <v>71</v>
      </c>
      <c r="E184" s="69" t="s">
        <v>59</v>
      </c>
      <c r="F184" s="70"/>
      <c r="G184" s="76"/>
    </row>
    <row r="185" spans="2:7" x14ac:dyDescent="0.2">
      <c r="B185" s="137">
        <v>5829001887</v>
      </c>
      <c r="C185" s="69" t="s">
        <v>266</v>
      </c>
      <c r="D185" s="69" t="s">
        <v>89</v>
      </c>
      <c r="E185" s="71" t="s">
        <v>259</v>
      </c>
      <c r="F185" s="70" t="s">
        <v>121</v>
      </c>
      <c r="G185" s="76"/>
    </row>
    <row r="186" spans="2:7" x14ac:dyDescent="0.2">
      <c r="B186" s="137">
        <v>5829001891</v>
      </c>
      <c r="C186" s="69" t="s">
        <v>267</v>
      </c>
      <c r="D186" s="69" t="s">
        <v>64</v>
      </c>
      <c r="E186" s="71" t="s">
        <v>264</v>
      </c>
      <c r="F186" s="70" t="s">
        <v>261</v>
      </c>
      <c r="G186" s="76"/>
    </row>
    <row r="187" spans="2:7" x14ac:dyDescent="0.2">
      <c r="B187" s="137">
        <v>5829001907</v>
      </c>
      <c r="C187" s="69" t="s">
        <v>268</v>
      </c>
      <c r="D187" s="69" t="s">
        <v>110</v>
      </c>
      <c r="E187" s="71" t="s">
        <v>145</v>
      </c>
      <c r="F187" s="70"/>
      <c r="G187" s="76"/>
    </row>
    <row r="188" spans="2:7" x14ac:dyDescent="0.2">
      <c r="B188" s="137">
        <v>5829001982</v>
      </c>
      <c r="C188" s="69" t="s">
        <v>107</v>
      </c>
      <c r="D188" s="69" t="s">
        <v>64</v>
      </c>
      <c r="E188" s="69" t="s">
        <v>264</v>
      </c>
      <c r="F188" s="70"/>
      <c r="G188" s="76"/>
    </row>
    <row r="189" spans="2:7" x14ac:dyDescent="0.2">
      <c r="B189" s="137">
        <v>5829001990</v>
      </c>
      <c r="C189" s="69" t="s">
        <v>269</v>
      </c>
      <c r="D189" s="69" t="s">
        <v>110</v>
      </c>
      <c r="E189" s="71" t="s">
        <v>59</v>
      </c>
      <c r="F189" s="70"/>
      <c r="G189" s="76"/>
    </row>
    <row r="190" spans="2:7" x14ac:dyDescent="0.2">
      <c r="B190" s="137">
        <v>5829001991</v>
      </c>
      <c r="C190" s="69" t="s">
        <v>270</v>
      </c>
      <c r="D190" s="69" t="s">
        <v>64</v>
      </c>
      <c r="E190" s="71" t="s">
        <v>264</v>
      </c>
      <c r="F190" s="70"/>
      <c r="G190" s="76"/>
    </row>
    <row r="191" spans="2:7" x14ac:dyDescent="0.2">
      <c r="B191" s="137">
        <v>5829001998</v>
      </c>
      <c r="C191" s="69" t="s">
        <v>271</v>
      </c>
      <c r="D191" s="69" t="s">
        <v>76</v>
      </c>
      <c r="E191" s="69" t="s">
        <v>259</v>
      </c>
      <c r="F191" s="70"/>
      <c r="G191" s="76"/>
    </row>
    <row r="192" spans="2:7" x14ac:dyDescent="0.2">
      <c r="B192" s="137">
        <v>5829002056</v>
      </c>
      <c r="C192" s="69" t="s">
        <v>272</v>
      </c>
      <c r="D192" s="69" t="s">
        <v>71</v>
      </c>
      <c r="E192" s="69" t="s">
        <v>59</v>
      </c>
      <c r="F192" s="70"/>
      <c r="G192" s="76"/>
    </row>
    <row r="193" spans="2:7" x14ac:dyDescent="0.2">
      <c r="B193" s="137">
        <v>5829002065</v>
      </c>
      <c r="C193" s="69" t="s">
        <v>273</v>
      </c>
      <c r="D193" s="69" t="s">
        <v>71</v>
      </c>
      <c r="E193" s="69" t="s">
        <v>59</v>
      </c>
      <c r="F193" s="70"/>
      <c r="G193" s="76"/>
    </row>
    <row r="194" spans="2:7" x14ac:dyDescent="0.2">
      <c r="B194" s="137">
        <v>5829002264</v>
      </c>
      <c r="C194" s="69" t="s">
        <v>274</v>
      </c>
      <c r="D194" s="69" t="s">
        <v>71</v>
      </c>
      <c r="E194" s="71" t="s">
        <v>59</v>
      </c>
      <c r="F194" s="70"/>
      <c r="G194" s="76"/>
    </row>
    <row r="195" spans="2:7" x14ac:dyDescent="0.2">
      <c r="B195" s="137">
        <v>5829002295</v>
      </c>
      <c r="C195" s="69" t="s">
        <v>275</v>
      </c>
      <c r="D195" s="69" t="s">
        <v>110</v>
      </c>
      <c r="E195" s="69" t="s">
        <v>59</v>
      </c>
      <c r="F195" s="70"/>
      <c r="G195" s="76"/>
    </row>
    <row r="196" spans="2:7" x14ac:dyDescent="0.2">
      <c r="B196" s="137">
        <v>5829002305</v>
      </c>
      <c r="C196" s="69" t="s">
        <v>276</v>
      </c>
      <c r="D196" s="69" t="s">
        <v>73</v>
      </c>
      <c r="E196" s="69" t="s">
        <v>277</v>
      </c>
      <c r="F196" s="70"/>
      <c r="G196" s="76"/>
    </row>
    <row r="197" spans="2:7" x14ac:dyDescent="0.2">
      <c r="B197" s="137">
        <v>5829002349</v>
      </c>
      <c r="C197" s="69" t="s">
        <v>278</v>
      </c>
      <c r="D197" s="69" t="s">
        <v>78</v>
      </c>
      <c r="E197" s="69" t="s">
        <v>232</v>
      </c>
      <c r="F197" s="70"/>
      <c r="G197" s="76"/>
    </row>
    <row r="198" spans="2:7" x14ac:dyDescent="0.2">
      <c r="B198" s="137">
        <v>5829002354</v>
      </c>
      <c r="C198" s="69" t="s">
        <v>279</v>
      </c>
      <c r="D198" s="69" t="s">
        <v>73</v>
      </c>
      <c r="E198" s="69" t="s">
        <v>277</v>
      </c>
      <c r="F198" s="70"/>
      <c r="G198" s="76"/>
    </row>
    <row r="199" spans="2:7" x14ac:dyDescent="0.2">
      <c r="B199" s="137">
        <v>5829002520</v>
      </c>
      <c r="C199" s="69" t="s">
        <v>280</v>
      </c>
      <c r="D199" s="69" t="s">
        <v>110</v>
      </c>
      <c r="E199" s="69" t="s">
        <v>281</v>
      </c>
      <c r="F199" s="70"/>
      <c r="G199" s="76"/>
    </row>
    <row r="200" spans="2:7" x14ac:dyDescent="0.2">
      <c r="B200" s="137">
        <v>5829002521</v>
      </c>
      <c r="C200" s="69" t="s">
        <v>282</v>
      </c>
      <c r="D200" s="69" t="s">
        <v>110</v>
      </c>
      <c r="E200" s="69" t="s">
        <v>281</v>
      </c>
      <c r="F200" s="70"/>
      <c r="G200" s="76"/>
    </row>
    <row r="201" spans="2:7" x14ac:dyDescent="0.2">
      <c r="B201" s="137">
        <v>5829002644</v>
      </c>
      <c r="C201" s="69" t="s">
        <v>283</v>
      </c>
      <c r="D201" s="69" t="s">
        <v>71</v>
      </c>
      <c r="E201" s="71" t="s">
        <v>59</v>
      </c>
      <c r="F201" s="70"/>
      <c r="G201" s="76"/>
    </row>
    <row r="202" spans="2:7" x14ac:dyDescent="0.2">
      <c r="B202" s="137">
        <v>5829002867</v>
      </c>
      <c r="C202" s="69" t="s">
        <v>284</v>
      </c>
      <c r="D202" s="69" t="s">
        <v>71</v>
      </c>
      <c r="E202" s="71" t="s">
        <v>59</v>
      </c>
      <c r="F202" s="70"/>
      <c r="G202" s="76"/>
    </row>
    <row r="203" spans="2:7" x14ac:dyDescent="0.2">
      <c r="B203" s="137">
        <v>5829003041</v>
      </c>
      <c r="C203" s="69" t="s">
        <v>285</v>
      </c>
      <c r="D203" s="69" t="s">
        <v>89</v>
      </c>
      <c r="E203" s="69" t="s">
        <v>286</v>
      </c>
      <c r="F203" s="70" t="s">
        <v>287</v>
      </c>
      <c r="G203" s="76"/>
    </row>
    <row r="204" spans="2:7" x14ac:dyDescent="0.2">
      <c r="B204" s="137">
        <v>5829003045</v>
      </c>
      <c r="C204" s="69" t="s">
        <v>288</v>
      </c>
      <c r="D204" s="69" t="s">
        <v>64</v>
      </c>
      <c r="E204" s="69" t="s">
        <v>277</v>
      </c>
      <c r="F204" s="70"/>
      <c r="G204" s="76"/>
    </row>
    <row r="205" spans="2:7" x14ac:dyDescent="0.2">
      <c r="B205" s="137">
        <v>5829003047</v>
      </c>
      <c r="C205" s="69" t="s">
        <v>289</v>
      </c>
      <c r="D205" s="69" t="s">
        <v>110</v>
      </c>
      <c r="E205" s="69" t="s">
        <v>286</v>
      </c>
      <c r="F205" s="70"/>
      <c r="G205" s="76"/>
    </row>
    <row r="206" spans="2:7" x14ac:dyDescent="0.2">
      <c r="B206" s="137">
        <v>5829003052</v>
      </c>
      <c r="C206" s="69" t="s">
        <v>290</v>
      </c>
      <c r="D206" s="69" t="s">
        <v>71</v>
      </c>
      <c r="E206" s="69" t="s">
        <v>286</v>
      </c>
      <c r="F206" s="70"/>
      <c r="G206" s="76"/>
    </row>
    <row r="207" spans="2:7" x14ac:dyDescent="0.2">
      <c r="B207" s="137">
        <v>5829003055</v>
      </c>
      <c r="C207" s="69" t="s">
        <v>291</v>
      </c>
      <c r="D207" s="69" t="s">
        <v>103</v>
      </c>
      <c r="E207" s="69" t="s">
        <v>286</v>
      </c>
      <c r="F207" s="70"/>
      <c r="G207" s="76"/>
    </row>
    <row r="208" spans="2:7" x14ac:dyDescent="0.2">
      <c r="B208" s="137">
        <v>5829003060</v>
      </c>
      <c r="C208" s="69" t="s">
        <v>292</v>
      </c>
      <c r="D208" s="69" t="s">
        <v>103</v>
      </c>
      <c r="E208" s="69" t="s">
        <v>286</v>
      </c>
      <c r="F208" s="70"/>
      <c r="G208" s="76"/>
    </row>
    <row r="209" spans="2:7" x14ac:dyDescent="0.2">
      <c r="B209" s="137">
        <v>6001000684</v>
      </c>
      <c r="C209" s="69" t="s">
        <v>293</v>
      </c>
      <c r="D209" s="69" t="s">
        <v>64</v>
      </c>
      <c r="E209" s="69" t="s">
        <v>294</v>
      </c>
      <c r="F209" s="70"/>
      <c r="G209" s="76"/>
    </row>
    <row r="210" spans="2:7" x14ac:dyDescent="0.2">
      <c r="B210" s="137">
        <v>6003000065</v>
      </c>
      <c r="C210" s="69" t="s">
        <v>295</v>
      </c>
      <c r="D210" s="69" t="s">
        <v>110</v>
      </c>
      <c r="E210" s="71" t="s">
        <v>145</v>
      </c>
      <c r="F210" s="70"/>
      <c r="G210" s="76"/>
    </row>
    <row r="211" spans="2:7" x14ac:dyDescent="0.2">
      <c r="B211" s="137">
        <v>6003000081</v>
      </c>
      <c r="C211" s="69" t="s">
        <v>267</v>
      </c>
      <c r="D211" s="69" t="s">
        <v>110</v>
      </c>
      <c r="E211" s="69" t="s">
        <v>59</v>
      </c>
      <c r="F211" s="70"/>
      <c r="G211" s="76"/>
    </row>
    <row r="212" spans="2:7" x14ac:dyDescent="0.2">
      <c r="B212" s="137">
        <v>6003000084</v>
      </c>
      <c r="C212" s="69" t="s">
        <v>260</v>
      </c>
      <c r="D212" s="69" t="s">
        <v>103</v>
      </c>
      <c r="E212" s="71" t="s">
        <v>296</v>
      </c>
      <c r="F212" s="70"/>
      <c r="G212" s="76"/>
    </row>
    <row r="213" spans="2:7" x14ac:dyDescent="0.2">
      <c r="B213" s="137">
        <v>6003000092</v>
      </c>
      <c r="C213" s="69" t="s">
        <v>297</v>
      </c>
      <c r="D213" s="69">
        <v>1</v>
      </c>
      <c r="E213" s="71" t="s">
        <v>298</v>
      </c>
      <c r="F213" s="70"/>
      <c r="G213" s="76"/>
    </row>
    <row r="214" spans="2:7" x14ac:dyDescent="0.2">
      <c r="B214" s="137">
        <v>6003000094</v>
      </c>
      <c r="C214" s="69" t="s">
        <v>299</v>
      </c>
      <c r="D214" s="69" t="s">
        <v>103</v>
      </c>
      <c r="E214" s="71" t="s">
        <v>59</v>
      </c>
      <c r="F214" s="70"/>
      <c r="G214" s="76"/>
    </row>
    <row r="215" spans="2:7" x14ac:dyDescent="0.2">
      <c r="B215" s="137">
        <v>6003000100</v>
      </c>
      <c r="C215" s="69" t="s">
        <v>267</v>
      </c>
      <c r="D215" s="69" t="s">
        <v>103</v>
      </c>
      <c r="E215" s="69" t="s">
        <v>59</v>
      </c>
      <c r="F215" s="70"/>
      <c r="G215" s="76"/>
    </row>
    <row r="216" spans="2:7" x14ac:dyDescent="0.2">
      <c r="B216" s="137">
        <v>6004000010</v>
      </c>
      <c r="C216" s="69" t="s">
        <v>300</v>
      </c>
      <c r="D216" s="69" t="s">
        <v>71</v>
      </c>
      <c r="E216" s="69" t="s">
        <v>286</v>
      </c>
      <c r="F216" s="70"/>
      <c r="G216" s="76"/>
    </row>
    <row r="217" spans="2:7" x14ac:dyDescent="0.2">
      <c r="B217" s="137">
        <v>6004000051</v>
      </c>
      <c r="C217" s="69" t="s">
        <v>301</v>
      </c>
      <c r="D217" s="69" t="s">
        <v>71</v>
      </c>
      <c r="E217" s="69" t="s">
        <v>232</v>
      </c>
      <c r="F217" s="70"/>
      <c r="G217" s="76"/>
    </row>
    <row r="218" spans="2:7" x14ac:dyDescent="0.2">
      <c r="B218" s="137">
        <v>6004000081</v>
      </c>
      <c r="C218" s="69" t="s">
        <v>302</v>
      </c>
      <c r="D218" s="69" t="s">
        <v>110</v>
      </c>
      <c r="E218" s="69" t="s">
        <v>277</v>
      </c>
      <c r="F218" s="70"/>
      <c r="G218" s="76"/>
    </row>
    <row r="219" spans="2:7" x14ac:dyDescent="0.2">
      <c r="B219" s="137">
        <v>6004000169</v>
      </c>
      <c r="C219" s="69" t="s">
        <v>303</v>
      </c>
      <c r="D219" s="69" t="s">
        <v>110</v>
      </c>
      <c r="E219" s="71" t="s">
        <v>235</v>
      </c>
      <c r="F219" s="70"/>
      <c r="G219" s="76"/>
    </row>
    <row r="220" spans="2:7" x14ac:dyDescent="0.2">
      <c r="B220" s="137">
        <v>6004000348</v>
      </c>
      <c r="C220" s="69" t="s">
        <v>304</v>
      </c>
      <c r="D220" s="69" t="s">
        <v>64</v>
      </c>
      <c r="E220" s="71" t="s">
        <v>232</v>
      </c>
      <c r="F220" s="70"/>
      <c r="G220" s="76"/>
    </row>
    <row r="221" spans="2:7" x14ac:dyDescent="0.2">
      <c r="B221" s="137">
        <v>6004000349</v>
      </c>
      <c r="C221" s="69" t="s">
        <v>135</v>
      </c>
      <c r="D221" s="69" t="s">
        <v>64</v>
      </c>
      <c r="E221" s="71" t="s">
        <v>232</v>
      </c>
      <c r="F221" s="70"/>
      <c r="G221" s="76"/>
    </row>
    <row r="222" spans="2:7" x14ac:dyDescent="0.2">
      <c r="B222" s="137">
        <v>6004000478</v>
      </c>
      <c r="C222" s="69" t="s">
        <v>305</v>
      </c>
      <c r="D222" s="69" t="s">
        <v>110</v>
      </c>
      <c r="E222" s="71" t="s">
        <v>277</v>
      </c>
      <c r="F222" s="70" t="s">
        <v>306</v>
      </c>
      <c r="G222" s="76"/>
    </row>
    <row r="223" spans="2:7" x14ac:dyDescent="0.2">
      <c r="B223" s="137">
        <v>6004000595</v>
      </c>
      <c r="C223" s="69" t="s">
        <v>307</v>
      </c>
      <c r="D223" s="69" t="s">
        <v>64</v>
      </c>
      <c r="E223" s="69" t="s">
        <v>308</v>
      </c>
      <c r="F223" s="70"/>
      <c r="G223" s="76"/>
    </row>
    <row r="224" spans="2:7" x14ac:dyDescent="0.2">
      <c r="B224" s="137">
        <v>6004000633</v>
      </c>
      <c r="C224" s="69" t="s">
        <v>309</v>
      </c>
      <c r="D224" s="69" t="s">
        <v>64</v>
      </c>
      <c r="E224" s="69" t="s">
        <v>232</v>
      </c>
      <c r="F224" s="70"/>
      <c r="G224" s="76"/>
    </row>
    <row r="225" spans="2:7" x14ac:dyDescent="0.2">
      <c r="B225" s="137">
        <v>6004000669</v>
      </c>
      <c r="C225" s="69" t="s">
        <v>310</v>
      </c>
      <c r="D225" s="69" t="s">
        <v>64</v>
      </c>
      <c r="E225" s="69" t="s">
        <v>235</v>
      </c>
      <c r="F225" s="70"/>
      <c r="G225" s="76"/>
    </row>
    <row r="226" spans="2:7" x14ac:dyDescent="0.2">
      <c r="B226" s="137">
        <v>6004000670</v>
      </c>
      <c r="C226" s="69" t="s">
        <v>311</v>
      </c>
      <c r="D226" s="69" t="s">
        <v>64</v>
      </c>
      <c r="E226" s="71" t="s">
        <v>235</v>
      </c>
      <c r="F226" s="70"/>
      <c r="G226" s="76"/>
    </row>
    <row r="227" spans="2:7" x14ac:dyDescent="0.2">
      <c r="B227" s="137">
        <v>6004000696</v>
      </c>
      <c r="C227" s="69" t="s">
        <v>311</v>
      </c>
      <c r="D227" s="69" t="s">
        <v>89</v>
      </c>
      <c r="E227" s="71" t="s">
        <v>235</v>
      </c>
      <c r="F227" s="70"/>
      <c r="G227" s="76"/>
    </row>
    <row r="228" spans="2:7" x14ac:dyDescent="0.2">
      <c r="B228" s="137">
        <v>6004000697</v>
      </c>
      <c r="C228" s="69" t="s">
        <v>312</v>
      </c>
      <c r="D228" s="69" t="s">
        <v>71</v>
      </c>
      <c r="E228" s="71" t="s">
        <v>235</v>
      </c>
      <c r="F228" s="70"/>
      <c r="G228" s="76"/>
    </row>
    <row r="229" spans="2:7" x14ac:dyDescent="0.2">
      <c r="B229" s="137">
        <v>6004000824</v>
      </c>
      <c r="C229" s="69" t="s">
        <v>313</v>
      </c>
      <c r="D229" s="69" t="s">
        <v>103</v>
      </c>
      <c r="E229" s="69" t="s">
        <v>314</v>
      </c>
      <c r="F229" s="70"/>
      <c r="G229" s="76"/>
    </row>
    <row r="230" spans="2:7" x14ac:dyDescent="0.2">
      <c r="B230" s="137">
        <v>6004000883</v>
      </c>
      <c r="C230" s="69" t="s">
        <v>315</v>
      </c>
      <c r="D230" s="69" t="s">
        <v>103</v>
      </c>
      <c r="E230" s="69" t="s">
        <v>190</v>
      </c>
      <c r="F230" s="70"/>
      <c r="G230" s="76"/>
    </row>
    <row r="231" spans="2:7" x14ac:dyDescent="0.2">
      <c r="B231" s="137">
        <v>6004000913</v>
      </c>
      <c r="C231" s="69" t="s">
        <v>316</v>
      </c>
      <c r="D231" s="69" t="s">
        <v>71</v>
      </c>
      <c r="E231" s="69" t="s">
        <v>235</v>
      </c>
      <c r="F231" s="70"/>
      <c r="G231" s="76"/>
    </row>
    <row r="232" spans="2:7" x14ac:dyDescent="0.2">
      <c r="B232" s="137">
        <v>6004000950</v>
      </c>
      <c r="C232" s="69" t="s">
        <v>317</v>
      </c>
      <c r="D232" s="69" t="s">
        <v>71</v>
      </c>
      <c r="E232" s="69" t="s">
        <v>264</v>
      </c>
      <c r="F232" s="70"/>
      <c r="G232" s="76"/>
    </row>
    <row r="233" spans="2:7" x14ac:dyDescent="0.2">
      <c r="B233" s="137">
        <v>6004000987</v>
      </c>
      <c r="C233" s="69" t="s">
        <v>318</v>
      </c>
      <c r="D233" s="69" t="s">
        <v>110</v>
      </c>
      <c r="E233" s="69" t="s">
        <v>190</v>
      </c>
      <c r="F233" s="70"/>
      <c r="G233" s="76"/>
    </row>
    <row r="234" spans="2:7" x14ac:dyDescent="0.2">
      <c r="B234" s="137">
        <v>6004001082</v>
      </c>
      <c r="C234" s="69" t="s">
        <v>319</v>
      </c>
      <c r="D234" s="69" t="s">
        <v>110</v>
      </c>
      <c r="E234" s="69" t="s">
        <v>190</v>
      </c>
      <c r="F234" s="70"/>
      <c r="G234" s="76"/>
    </row>
    <row r="235" spans="2:7" x14ac:dyDescent="0.2">
      <c r="B235" s="137">
        <v>6004001283</v>
      </c>
      <c r="C235" s="69" t="s">
        <v>320</v>
      </c>
      <c r="D235" s="69" t="s">
        <v>110</v>
      </c>
      <c r="E235" s="69" t="s">
        <v>59</v>
      </c>
      <c r="F235" s="70"/>
      <c r="G235" s="76"/>
    </row>
    <row r="236" spans="2:7" x14ac:dyDescent="0.2">
      <c r="B236" s="137">
        <v>6004001284</v>
      </c>
      <c r="C236" s="69" t="s">
        <v>269</v>
      </c>
      <c r="D236" s="69" t="s">
        <v>110</v>
      </c>
      <c r="E236" s="69" t="s">
        <v>59</v>
      </c>
      <c r="F236" s="70"/>
      <c r="G236" s="76"/>
    </row>
    <row r="237" spans="2:7" x14ac:dyDescent="0.2">
      <c r="B237" s="137">
        <v>6004001302</v>
      </c>
      <c r="C237" s="69" t="s">
        <v>321</v>
      </c>
      <c r="D237" s="69" t="s">
        <v>103</v>
      </c>
      <c r="E237" s="69" t="s">
        <v>296</v>
      </c>
      <c r="F237" s="70"/>
      <c r="G237" s="76"/>
    </row>
    <row r="238" spans="2:7" x14ac:dyDescent="0.2">
      <c r="B238" s="137">
        <v>6004001320</v>
      </c>
      <c r="C238" s="73" t="s">
        <v>322</v>
      </c>
      <c r="D238" s="69" t="s">
        <v>110</v>
      </c>
      <c r="E238" s="69" t="s">
        <v>298</v>
      </c>
      <c r="F238" s="70"/>
      <c r="G238" s="76"/>
    </row>
    <row r="239" spans="2:7" x14ac:dyDescent="0.2">
      <c r="B239" s="137">
        <v>6004001324</v>
      </c>
      <c r="C239" s="69" t="s">
        <v>323</v>
      </c>
      <c r="D239" s="69" t="s">
        <v>103</v>
      </c>
      <c r="E239" s="69" t="s">
        <v>281</v>
      </c>
      <c r="F239" s="70"/>
      <c r="G239" s="76"/>
    </row>
    <row r="240" spans="2:7" x14ac:dyDescent="0.2">
      <c r="B240" s="137">
        <v>6004001329</v>
      </c>
      <c r="C240" s="69" t="s">
        <v>316</v>
      </c>
      <c r="D240" s="69" t="s">
        <v>103</v>
      </c>
      <c r="E240" s="69" t="s">
        <v>235</v>
      </c>
      <c r="F240" s="70"/>
      <c r="G240" s="76"/>
    </row>
    <row r="241" spans="2:7" x14ac:dyDescent="0.2">
      <c r="B241" s="137">
        <v>6004001343</v>
      </c>
      <c r="C241" s="69" t="s">
        <v>324</v>
      </c>
      <c r="D241" s="69" t="s">
        <v>78</v>
      </c>
      <c r="E241" s="69" t="s">
        <v>325</v>
      </c>
      <c r="F241" s="70"/>
      <c r="G241" s="76"/>
    </row>
    <row r="242" spans="2:7" x14ac:dyDescent="0.2">
      <c r="B242" s="137">
        <v>6004001399</v>
      </c>
      <c r="C242" s="69" t="s">
        <v>326</v>
      </c>
      <c r="D242" s="71" t="s">
        <v>103</v>
      </c>
      <c r="E242" s="71" t="s">
        <v>327</v>
      </c>
      <c r="F242" s="70"/>
      <c r="G242" s="76"/>
    </row>
    <row r="243" spans="2:7" x14ac:dyDescent="0.2">
      <c r="B243" s="137">
        <v>6004001400</v>
      </c>
      <c r="C243" s="69" t="s">
        <v>328</v>
      </c>
      <c r="D243" s="69" t="s">
        <v>103</v>
      </c>
      <c r="E243" s="69" t="s">
        <v>327</v>
      </c>
      <c r="F243" s="70"/>
      <c r="G243" s="76"/>
    </row>
    <row r="244" spans="2:7" x14ac:dyDescent="0.2">
      <c r="B244" s="137">
        <v>6004001401</v>
      </c>
      <c r="C244" s="69" t="s">
        <v>329</v>
      </c>
      <c r="D244" s="69" t="s">
        <v>103</v>
      </c>
      <c r="E244" s="69" t="s">
        <v>327</v>
      </c>
      <c r="F244" s="70"/>
      <c r="G244" s="76"/>
    </row>
    <row r="245" spans="2:7" x14ac:dyDescent="0.2">
      <c r="B245" s="137">
        <v>6004001796</v>
      </c>
      <c r="C245" s="69" t="s">
        <v>330</v>
      </c>
      <c r="D245" s="69" t="s">
        <v>103</v>
      </c>
      <c r="E245" s="69" t="s">
        <v>294</v>
      </c>
      <c r="F245" s="70"/>
      <c r="G245" s="76"/>
    </row>
    <row r="246" spans="2:7" x14ac:dyDescent="0.2">
      <c r="B246" s="137">
        <v>6004001876</v>
      </c>
      <c r="C246" s="69" t="s">
        <v>331</v>
      </c>
      <c r="D246" s="69">
        <v>6</v>
      </c>
      <c r="E246" s="71" t="s">
        <v>294</v>
      </c>
      <c r="F246" s="70"/>
      <c r="G246" s="76"/>
    </row>
    <row r="247" spans="2:7" x14ac:dyDescent="0.2">
      <c r="B247" s="137">
        <v>6004001912</v>
      </c>
      <c r="C247" s="69" t="s">
        <v>332</v>
      </c>
      <c r="D247" s="69" t="s">
        <v>78</v>
      </c>
      <c r="E247" s="69" t="s">
        <v>325</v>
      </c>
      <c r="F247" s="70"/>
      <c r="G247" s="76"/>
    </row>
    <row r="248" spans="2:7" x14ac:dyDescent="0.2">
      <c r="B248" s="137">
        <v>6004001913</v>
      </c>
      <c r="C248" s="69" t="s">
        <v>333</v>
      </c>
      <c r="D248" s="69" t="s">
        <v>78</v>
      </c>
      <c r="E248" s="69" t="s">
        <v>325</v>
      </c>
      <c r="F248" s="70"/>
      <c r="G248" s="76"/>
    </row>
    <row r="249" spans="2:7" x14ac:dyDescent="0.2">
      <c r="B249" s="137">
        <v>6004002026</v>
      </c>
      <c r="C249" s="69" t="s">
        <v>334</v>
      </c>
      <c r="D249" s="69" t="s">
        <v>89</v>
      </c>
      <c r="E249" s="69" t="s">
        <v>235</v>
      </c>
      <c r="F249" s="70"/>
      <c r="G249" s="76"/>
    </row>
    <row r="250" spans="2:7" x14ac:dyDescent="0.2">
      <c r="B250" s="137">
        <v>6004002033</v>
      </c>
      <c r="C250" s="69" t="s">
        <v>335</v>
      </c>
      <c r="D250" s="69" t="s">
        <v>71</v>
      </c>
      <c r="E250" s="71" t="s">
        <v>235</v>
      </c>
      <c r="F250" s="70"/>
      <c r="G250" s="76"/>
    </row>
    <row r="251" spans="2:7" x14ac:dyDescent="0.2">
      <c r="B251" s="137">
        <v>6004002072</v>
      </c>
      <c r="C251" s="69" t="s">
        <v>336</v>
      </c>
      <c r="D251" s="69" t="s">
        <v>64</v>
      </c>
      <c r="E251" s="69" t="s">
        <v>325</v>
      </c>
      <c r="F251" s="72" t="s">
        <v>162</v>
      </c>
      <c r="G251" s="76"/>
    </row>
    <row r="252" spans="2:7" x14ac:dyDescent="0.2">
      <c r="B252" s="137">
        <v>6004002178</v>
      </c>
      <c r="C252" s="69" t="s">
        <v>337</v>
      </c>
      <c r="D252" s="69" t="s">
        <v>89</v>
      </c>
      <c r="E252" s="71" t="s">
        <v>294</v>
      </c>
      <c r="F252" s="70"/>
      <c r="G252" s="76"/>
    </row>
    <row r="253" spans="2:7" x14ac:dyDescent="0.2">
      <c r="B253" s="137">
        <v>6004002673</v>
      </c>
      <c r="C253" s="69" t="s">
        <v>338</v>
      </c>
      <c r="D253" s="69" t="s">
        <v>64</v>
      </c>
      <c r="E253" s="69" t="s">
        <v>294</v>
      </c>
      <c r="F253" s="72" t="s">
        <v>162</v>
      </c>
      <c r="G253" s="76"/>
    </row>
    <row r="254" spans="2:7" x14ac:dyDescent="0.2">
      <c r="B254" s="137">
        <v>6004002883</v>
      </c>
      <c r="C254" s="69" t="s">
        <v>339</v>
      </c>
      <c r="D254" s="69" t="s">
        <v>78</v>
      </c>
      <c r="E254" s="69" t="s">
        <v>325</v>
      </c>
      <c r="F254" s="70"/>
      <c r="G254" s="76"/>
    </row>
    <row r="255" spans="2:7" x14ac:dyDescent="0.2">
      <c r="B255" s="137">
        <v>6004002903</v>
      </c>
      <c r="C255" s="69" t="s">
        <v>340</v>
      </c>
      <c r="D255" s="69" t="s">
        <v>66</v>
      </c>
      <c r="E255" s="69" t="s">
        <v>325</v>
      </c>
      <c r="F255" s="70"/>
      <c r="G255" s="76"/>
    </row>
    <row r="256" spans="2:7" x14ac:dyDescent="0.2">
      <c r="B256" s="137">
        <v>6004003123</v>
      </c>
      <c r="C256" s="69" t="s">
        <v>341</v>
      </c>
      <c r="D256" s="69" t="s">
        <v>103</v>
      </c>
      <c r="E256" s="69" t="s">
        <v>342</v>
      </c>
      <c r="F256" s="70"/>
      <c r="G256" s="76"/>
    </row>
    <row r="257" spans="2:7" x14ac:dyDescent="0.2">
      <c r="B257" s="137">
        <v>6004003525</v>
      </c>
      <c r="C257" s="69" t="s">
        <v>237</v>
      </c>
      <c r="D257" s="69" t="s">
        <v>103</v>
      </c>
      <c r="E257" s="69" t="s">
        <v>232</v>
      </c>
      <c r="F257" s="70"/>
      <c r="G257" s="76"/>
    </row>
    <row r="258" spans="2:7" x14ac:dyDescent="0.2">
      <c r="B258" s="137">
        <v>6004003526</v>
      </c>
      <c r="C258" s="69" t="s">
        <v>135</v>
      </c>
      <c r="D258" s="69" t="s">
        <v>103</v>
      </c>
      <c r="E258" s="69" t="s">
        <v>232</v>
      </c>
      <c r="F258" s="70"/>
      <c r="G258" s="76"/>
    </row>
    <row r="259" spans="2:7" x14ac:dyDescent="0.2">
      <c r="B259" s="137">
        <v>6004003527</v>
      </c>
      <c r="C259" s="69" t="s">
        <v>343</v>
      </c>
      <c r="D259" s="69" t="s">
        <v>110</v>
      </c>
      <c r="E259" s="69" t="s">
        <v>232</v>
      </c>
      <c r="F259" s="70"/>
      <c r="G259" s="76"/>
    </row>
    <row r="260" spans="2:7" x14ac:dyDescent="0.2">
      <c r="B260" s="137">
        <v>6004003530</v>
      </c>
      <c r="C260" s="69" t="s">
        <v>304</v>
      </c>
      <c r="D260" s="69" t="s">
        <v>103</v>
      </c>
      <c r="E260" s="69" t="s">
        <v>232</v>
      </c>
      <c r="F260" s="70"/>
      <c r="G260" s="76"/>
    </row>
    <row r="261" spans="2:7" x14ac:dyDescent="0.2">
      <c r="B261" s="137">
        <v>6004003531</v>
      </c>
      <c r="C261" s="69" t="s">
        <v>344</v>
      </c>
      <c r="D261" s="69" t="s">
        <v>110</v>
      </c>
      <c r="E261" s="69" t="s">
        <v>232</v>
      </c>
      <c r="F261" s="70"/>
      <c r="G261" s="76"/>
    </row>
    <row r="262" spans="2:7" x14ac:dyDescent="0.2">
      <c r="B262" s="137">
        <v>6004003532</v>
      </c>
      <c r="C262" s="69" t="s">
        <v>236</v>
      </c>
      <c r="D262" s="69" t="s">
        <v>103</v>
      </c>
      <c r="E262" s="69" t="s">
        <v>232</v>
      </c>
      <c r="F262" s="70"/>
      <c r="G262" s="76"/>
    </row>
    <row r="263" spans="2:7" x14ac:dyDescent="0.2">
      <c r="B263" s="137">
        <v>6004003537</v>
      </c>
      <c r="C263" s="69" t="s">
        <v>309</v>
      </c>
      <c r="D263" s="69" t="s">
        <v>103</v>
      </c>
      <c r="E263" s="69" t="s">
        <v>232</v>
      </c>
      <c r="F263" s="70"/>
      <c r="G263" s="76"/>
    </row>
    <row r="264" spans="2:7" x14ac:dyDescent="0.2">
      <c r="B264" s="137">
        <v>6004003656</v>
      </c>
      <c r="C264" s="69" t="s">
        <v>345</v>
      </c>
      <c r="D264" s="69" t="s">
        <v>71</v>
      </c>
      <c r="E264" s="69" t="s">
        <v>346</v>
      </c>
      <c r="F264" s="70"/>
      <c r="G264" s="76"/>
    </row>
    <row r="265" spans="2:7" x14ac:dyDescent="0.2">
      <c r="B265" s="137">
        <v>6007000112</v>
      </c>
      <c r="C265" s="69" t="s">
        <v>347</v>
      </c>
      <c r="D265" s="69" t="s">
        <v>89</v>
      </c>
      <c r="E265" s="69" t="s">
        <v>62</v>
      </c>
      <c r="F265" s="70"/>
      <c r="G265" s="76"/>
    </row>
    <row r="266" spans="2:7" x14ac:dyDescent="0.2">
      <c r="B266" s="137">
        <v>6009000368</v>
      </c>
      <c r="C266" s="69" t="s">
        <v>348</v>
      </c>
      <c r="D266" s="69">
        <v>4</v>
      </c>
      <c r="E266" s="71" t="s">
        <v>349</v>
      </c>
      <c r="F266" s="70"/>
      <c r="G266" s="76"/>
    </row>
    <row r="267" spans="2:7" x14ac:dyDescent="0.2">
      <c r="B267" s="137">
        <v>6009000668</v>
      </c>
      <c r="C267" s="73" t="s">
        <v>350</v>
      </c>
      <c r="D267" s="69" t="s">
        <v>103</v>
      </c>
      <c r="E267" s="71" t="s">
        <v>349</v>
      </c>
      <c r="F267" s="70"/>
      <c r="G267" s="76"/>
    </row>
    <row r="268" spans="2:7" x14ac:dyDescent="0.2">
      <c r="B268" s="137">
        <v>6009000696</v>
      </c>
      <c r="C268" s="69" t="s">
        <v>351</v>
      </c>
      <c r="D268" s="69" t="s">
        <v>103</v>
      </c>
      <c r="E268" s="71" t="s">
        <v>349</v>
      </c>
      <c r="F268" s="70"/>
      <c r="G268" s="76"/>
    </row>
    <row r="269" spans="2:7" x14ac:dyDescent="0.2">
      <c r="B269" s="137">
        <v>6009000714</v>
      </c>
      <c r="C269" s="69" t="s">
        <v>352</v>
      </c>
      <c r="D269" s="69">
        <v>7</v>
      </c>
      <c r="E269" s="71" t="s">
        <v>349</v>
      </c>
      <c r="F269" s="70"/>
      <c r="G269" s="76"/>
    </row>
    <row r="270" spans="2:7" x14ac:dyDescent="0.2">
      <c r="B270" s="137">
        <v>6009000717</v>
      </c>
      <c r="C270" s="69" t="s">
        <v>353</v>
      </c>
      <c r="D270" s="69" t="s">
        <v>354</v>
      </c>
      <c r="E270" s="69" t="s">
        <v>349</v>
      </c>
      <c r="F270" s="70"/>
      <c r="G270" s="76"/>
    </row>
    <row r="271" spans="2:7" x14ac:dyDescent="0.2">
      <c r="B271" s="137">
        <v>6009000759</v>
      </c>
      <c r="C271" s="69" t="s">
        <v>355</v>
      </c>
      <c r="D271" s="69">
        <v>6</v>
      </c>
      <c r="E271" s="69" t="s">
        <v>349</v>
      </c>
      <c r="F271" s="70"/>
      <c r="G271" s="76"/>
    </row>
    <row r="272" spans="2:7" x14ac:dyDescent="0.2">
      <c r="B272" s="137">
        <v>6009000760</v>
      </c>
      <c r="C272" s="69" t="s">
        <v>356</v>
      </c>
      <c r="D272" s="69">
        <v>6</v>
      </c>
      <c r="E272" s="69" t="s">
        <v>349</v>
      </c>
      <c r="F272" s="70"/>
      <c r="G272" s="76"/>
    </row>
    <row r="273" spans="2:7" x14ac:dyDescent="0.2">
      <c r="B273" s="137">
        <v>6009000835</v>
      </c>
      <c r="C273" s="69" t="s">
        <v>357</v>
      </c>
      <c r="D273" s="69" t="s">
        <v>358</v>
      </c>
      <c r="E273" s="71" t="s">
        <v>232</v>
      </c>
      <c r="F273" s="70"/>
      <c r="G273" s="76"/>
    </row>
    <row r="274" spans="2:7" x14ac:dyDescent="0.2">
      <c r="B274" s="137">
        <v>6009000842</v>
      </c>
      <c r="C274" s="69" t="s">
        <v>359</v>
      </c>
      <c r="D274" s="69" t="s">
        <v>78</v>
      </c>
      <c r="E274" s="69" t="s">
        <v>294</v>
      </c>
      <c r="F274" s="70"/>
      <c r="G274" s="76"/>
    </row>
    <row r="275" spans="2:7" x14ac:dyDescent="0.2">
      <c r="B275" s="137">
        <v>6009000845</v>
      </c>
      <c r="C275" s="69" t="s">
        <v>360</v>
      </c>
      <c r="D275" s="69" t="s">
        <v>110</v>
      </c>
      <c r="E275" s="71" t="s">
        <v>294</v>
      </c>
      <c r="F275" s="70"/>
      <c r="G275" s="76"/>
    </row>
    <row r="276" spans="2:7" x14ac:dyDescent="0.2">
      <c r="B276" s="137">
        <v>6009000862</v>
      </c>
      <c r="C276" s="69" t="s">
        <v>361</v>
      </c>
      <c r="D276" s="69">
        <v>7</v>
      </c>
      <c r="E276" s="71" t="s">
        <v>232</v>
      </c>
      <c r="F276" s="70"/>
      <c r="G276" s="76"/>
    </row>
    <row r="277" spans="2:7" x14ac:dyDescent="0.2">
      <c r="B277" s="137">
        <v>6009000914</v>
      </c>
      <c r="C277" s="69" t="s">
        <v>362</v>
      </c>
      <c r="D277" s="69">
        <v>5</v>
      </c>
      <c r="E277" s="71" t="s">
        <v>232</v>
      </c>
      <c r="F277" s="70"/>
      <c r="G277" s="76"/>
    </row>
    <row r="278" spans="2:7" x14ac:dyDescent="0.2">
      <c r="B278" s="137">
        <v>6009001081</v>
      </c>
      <c r="C278" s="69" t="s">
        <v>363</v>
      </c>
      <c r="D278" s="69">
        <v>9</v>
      </c>
      <c r="E278" s="69" t="s">
        <v>349</v>
      </c>
      <c r="F278" s="70"/>
      <c r="G278" s="76"/>
    </row>
    <row r="279" spans="2:7" x14ac:dyDescent="0.2">
      <c r="B279" s="137">
        <v>6009001082</v>
      </c>
      <c r="C279" s="69" t="s">
        <v>364</v>
      </c>
      <c r="D279" s="69">
        <v>9</v>
      </c>
      <c r="E279" s="69" t="s">
        <v>349</v>
      </c>
      <c r="F279" s="70"/>
      <c r="G279" s="76"/>
    </row>
    <row r="280" spans="2:7" x14ac:dyDescent="0.2">
      <c r="B280" s="137">
        <v>6009001965</v>
      </c>
      <c r="C280" s="69" t="s">
        <v>365</v>
      </c>
      <c r="D280" s="69">
        <v>3</v>
      </c>
      <c r="E280" s="69" t="s">
        <v>349</v>
      </c>
      <c r="F280" s="70"/>
      <c r="G280" s="76"/>
    </row>
    <row r="281" spans="2:7" x14ac:dyDescent="0.2">
      <c r="B281" s="137">
        <v>6009001966</v>
      </c>
      <c r="C281" s="69" t="s">
        <v>366</v>
      </c>
      <c r="D281" s="69">
        <v>3</v>
      </c>
      <c r="E281" s="71" t="s">
        <v>349</v>
      </c>
      <c r="F281" s="70"/>
      <c r="G281" s="76"/>
    </row>
    <row r="282" spans="2:7" x14ac:dyDescent="0.2">
      <c r="B282" s="137">
        <v>6009001967</v>
      </c>
      <c r="C282" s="69" t="s">
        <v>367</v>
      </c>
      <c r="D282" s="69">
        <v>3</v>
      </c>
      <c r="E282" s="71" t="s">
        <v>349</v>
      </c>
      <c r="F282" s="70"/>
      <c r="G282" s="76"/>
    </row>
    <row r="283" spans="2:7" x14ac:dyDescent="0.2">
      <c r="B283" s="137">
        <v>6009001969</v>
      </c>
      <c r="C283" s="69" t="s">
        <v>368</v>
      </c>
      <c r="D283" s="69">
        <v>6</v>
      </c>
      <c r="E283" s="71" t="s">
        <v>349</v>
      </c>
      <c r="F283" s="70"/>
      <c r="G283" s="76"/>
    </row>
    <row r="284" spans="2:7" x14ac:dyDescent="0.2">
      <c r="B284" s="137">
        <v>6009001970</v>
      </c>
      <c r="C284" s="69" t="s">
        <v>369</v>
      </c>
      <c r="D284" s="69" t="s">
        <v>370</v>
      </c>
      <c r="E284" s="71" t="s">
        <v>349</v>
      </c>
      <c r="F284" s="70"/>
      <c r="G284" s="76"/>
    </row>
    <row r="285" spans="2:7" x14ac:dyDescent="0.2">
      <c r="B285" s="137">
        <v>6009001998</v>
      </c>
      <c r="C285" s="69" t="s">
        <v>371</v>
      </c>
      <c r="D285" s="69" t="s">
        <v>372</v>
      </c>
      <c r="E285" s="71" t="s">
        <v>349</v>
      </c>
      <c r="F285" s="72" t="s">
        <v>162</v>
      </c>
      <c r="G285" s="76"/>
    </row>
    <row r="286" spans="2:7" x14ac:dyDescent="0.2">
      <c r="B286" s="137">
        <v>6009002069</v>
      </c>
      <c r="C286" s="69" t="s">
        <v>373</v>
      </c>
      <c r="D286" s="69" t="s">
        <v>103</v>
      </c>
      <c r="E286" s="71" t="s">
        <v>232</v>
      </c>
      <c r="F286" s="70"/>
      <c r="G286" s="76"/>
    </row>
    <row r="287" spans="2:7" x14ac:dyDescent="0.2">
      <c r="B287" s="137">
        <v>6009002146</v>
      </c>
      <c r="C287" s="69" t="s">
        <v>270</v>
      </c>
      <c r="D287" s="69" t="s">
        <v>66</v>
      </c>
      <c r="E287" s="71" t="s">
        <v>294</v>
      </c>
      <c r="F287" s="70"/>
      <c r="G287" s="76"/>
    </row>
    <row r="288" spans="2:7" x14ac:dyDescent="0.2">
      <c r="B288" s="137">
        <v>6009002462</v>
      </c>
      <c r="C288" s="69" t="s">
        <v>374</v>
      </c>
      <c r="D288" s="69">
        <v>1</v>
      </c>
      <c r="E288" s="71" t="s">
        <v>349</v>
      </c>
      <c r="F288" s="70"/>
      <c r="G288" s="76"/>
    </row>
    <row r="289" spans="2:7" x14ac:dyDescent="0.2">
      <c r="B289" s="137">
        <v>6009002463</v>
      </c>
      <c r="C289" s="73" t="s">
        <v>375</v>
      </c>
      <c r="D289" s="69">
        <v>1</v>
      </c>
      <c r="E289" s="71" t="s">
        <v>349</v>
      </c>
      <c r="F289" s="70"/>
      <c r="G289" s="76"/>
    </row>
    <row r="290" spans="2:7" x14ac:dyDescent="0.2">
      <c r="B290" s="137">
        <v>6009002525</v>
      </c>
      <c r="C290" s="69" t="s">
        <v>376</v>
      </c>
      <c r="D290" s="69" t="s">
        <v>354</v>
      </c>
      <c r="E290" s="71" t="s">
        <v>349</v>
      </c>
      <c r="F290" s="72" t="s">
        <v>162</v>
      </c>
      <c r="G290" s="76"/>
    </row>
    <row r="291" spans="2:7" x14ac:dyDescent="0.2">
      <c r="B291" s="137">
        <v>6009002526</v>
      </c>
      <c r="C291" s="69" t="s">
        <v>377</v>
      </c>
      <c r="D291" s="69" t="s">
        <v>354</v>
      </c>
      <c r="E291" s="71" t="s">
        <v>349</v>
      </c>
      <c r="F291" s="70"/>
      <c r="G291" s="76"/>
    </row>
    <row r="292" spans="2:7" x14ac:dyDescent="0.2">
      <c r="B292" s="137">
        <v>6009002527</v>
      </c>
      <c r="C292" s="69" t="s">
        <v>378</v>
      </c>
      <c r="D292" s="69" t="s">
        <v>354</v>
      </c>
      <c r="E292" s="71" t="s">
        <v>349</v>
      </c>
      <c r="F292" s="70"/>
      <c r="G292" s="76"/>
    </row>
    <row r="293" spans="2:7" x14ac:dyDescent="0.2">
      <c r="B293" s="137">
        <v>6009002528</v>
      </c>
      <c r="C293" s="69" t="s">
        <v>379</v>
      </c>
      <c r="D293" s="69" t="s">
        <v>354</v>
      </c>
      <c r="E293" s="71" t="s">
        <v>349</v>
      </c>
      <c r="F293" s="70"/>
      <c r="G293" s="76"/>
    </row>
    <row r="294" spans="2:7" x14ac:dyDescent="0.2">
      <c r="B294" s="137">
        <v>6009003068</v>
      </c>
      <c r="C294" s="69" t="s">
        <v>380</v>
      </c>
      <c r="D294" s="69">
        <v>0</v>
      </c>
      <c r="E294" s="69" t="s">
        <v>232</v>
      </c>
      <c r="F294" s="70"/>
      <c r="G294" s="76"/>
    </row>
    <row r="295" spans="2:7" x14ac:dyDescent="0.2">
      <c r="B295" s="137">
        <v>6009003122</v>
      </c>
      <c r="C295" s="69" t="s">
        <v>381</v>
      </c>
      <c r="D295" s="69">
        <v>0</v>
      </c>
      <c r="E295" s="69" t="s">
        <v>232</v>
      </c>
      <c r="F295" s="70"/>
      <c r="G295" s="76"/>
    </row>
    <row r="296" spans="2:7" x14ac:dyDescent="0.2">
      <c r="B296" s="137">
        <v>6009003123</v>
      </c>
      <c r="C296" s="69" t="s">
        <v>382</v>
      </c>
      <c r="D296" s="69">
        <v>0</v>
      </c>
      <c r="E296" s="69" t="s">
        <v>232</v>
      </c>
      <c r="F296" s="70"/>
      <c r="G296" s="76"/>
    </row>
    <row r="297" spans="2:7" x14ac:dyDescent="0.2">
      <c r="B297" s="137">
        <v>6009003124</v>
      </c>
      <c r="C297" s="69" t="s">
        <v>373</v>
      </c>
      <c r="D297" s="69" t="s">
        <v>103</v>
      </c>
      <c r="E297" s="69" t="s">
        <v>232</v>
      </c>
      <c r="F297" s="70"/>
      <c r="G297" s="76"/>
    </row>
    <row r="298" spans="2:7" x14ac:dyDescent="0.2">
      <c r="B298" s="137">
        <v>7420579203</v>
      </c>
      <c r="C298" s="69" t="s">
        <v>383</v>
      </c>
      <c r="D298" s="69">
        <v>4</v>
      </c>
      <c r="E298" s="69" t="s">
        <v>138</v>
      </c>
      <c r="F298" s="70"/>
      <c r="G298" s="76"/>
    </row>
    <row r="299" spans="2:7" x14ac:dyDescent="0.2">
      <c r="B299" s="137">
        <v>7420716005</v>
      </c>
      <c r="C299" s="69" t="s">
        <v>384</v>
      </c>
      <c r="D299" s="69">
        <v>3</v>
      </c>
      <c r="E299" s="71" t="s">
        <v>385</v>
      </c>
      <c r="F299" s="70"/>
      <c r="G299" s="76"/>
    </row>
    <row r="300" spans="2:7" x14ac:dyDescent="0.2">
      <c r="B300" s="137">
        <v>7420887152</v>
      </c>
      <c r="C300" s="69" t="s">
        <v>386</v>
      </c>
      <c r="D300" s="69">
        <v>1</v>
      </c>
      <c r="E300" s="69" t="s">
        <v>138</v>
      </c>
      <c r="F300" s="70"/>
      <c r="G300" s="76"/>
    </row>
    <row r="301" spans="2:7" x14ac:dyDescent="0.2">
      <c r="B301" s="137">
        <v>7420887156</v>
      </c>
      <c r="C301" s="69" t="s">
        <v>387</v>
      </c>
      <c r="D301" s="69">
        <v>1</v>
      </c>
      <c r="E301" s="69" t="s">
        <v>138</v>
      </c>
      <c r="F301" s="70"/>
      <c r="G301" s="76"/>
    </row>
    <row r="302" spans="2:7" x14ac:dyDescent="0.2">
      <c r="B302" s="137">
        <v>7420889634</v>
      </c>
      <c r="C302" s="69" t="s">
        <v>388</v>
      </c>
      <c r="D302" s="69">
        <v>4</v>
      </c>
      <c r="E302" s="69" t="s">
        <v>101</v>
      </c>
      <c r="F302" s="70"/>
      <c r="G302" s="76"/>
    </row>
    <row r="303" spans="2:7" x14ac:dyDescent="0.2">
      <c r="B303" s="137">
        <v>7420953163</v>
      </c>
      <c r="C303" s="69" t="s">
        <v>389</v>
      </c>
      <c r="D303" s="69">
        <v>4</v>
      </c>
      <c r="E303" s="71" t="s">
        <v>390</v>
      </c>
      <c r="F303" s="70"/>
      <c r="G303" s="76"/>
    </row>
    <row r="304" spans="2:7" x14ac:dyDescent="0.2">
      <c r="B304" s="137">
        <v>7421061454</v>
      </c>
      <c r="C304" s="69" t="s">
        <v>391</v>
      </c>
      <c r="D304" s="69">
        <v>8</v>
      </c>
      <c r="E304" s="71" t="s">
        <v>385</v>
      </c>
      <c r="F304" s="70"/>
      <c r="G304" s="76"/>
    </row>
    <row r="305" spans="2:7" x14ac:dyDescent="0.2">
      <c r="B305" s="137">
        <v>7421065694</v>
      </c>
      <c r="C305" s="69" t="s">
        <v>392</v>
      </c>
      <c r="D305" s="69">
        <v>4</v>
      </c>
      <c r="E305" s="69" t="s">
        <v>138</v>
      </c>
      <c r="F305" s="70"/>
      <c r="G305" s="76"/>
    </row>
    <row r="306" spans="2:7" x14ac:dyDescent="0.2">
      <c r="B306" s="137">
        <v>7421435705</v>
      </c>
      <c r="C306" s="69" t="s">
        <v>393</v>
      </c>
      <c r="D306" s="69">
        <v>2</v>
      </c>
      <c r="E306" s="69" t="s">
        <v>138</v>
      </c>
      <c r="F306" s="70"/>
      <c r="G306" s="76"/>
    </row>
    <row r="307" spans="2:7" x14ac:dyDescent="0.2">
      <c r="B307" s="137">
        <v>7421734809</v>
      </c>
      <c r="C307" s="69" t="s">
        <v>135</v>
      </c>
      <c r="D307" s="69">
        <v>2</v>
      </c>
      <c r="E307" s="71" t="s">
        <v>62</v>
      </c>
      <c r="F307" s="70" t="s">
        <v>394</v>
      </c>
      <c r="G307" s="76"/>
    </row>
    <row r="308" spans="2:7" x14ac:dyDescent="0.2">
      <c r="B308" s="137">
        <v>7421734810</v>
      </c>
      <c r="C308" s="69" t="s">
        <v>304</v>
      </c>
      <c r="D308" s="69">
        <v>2</v>
      </c>
      <c r="E308" s="71" t="s">
        <v>62</v>
      </c>
      <c r="F308" s="70"/>
      <c r="G308" s="76"/>
    </row>
    <row r="309" spans="2:7" x14ac:dyDescent="0.2">
      <c r="B309" s="137">
        <v>7421819541</v>
      </c>
      <c r="C309" s="69" t="s">
        <v>395</v>
      </c>
      <c r="D309" s="69">
        <v>3</v>
      </c>
      <c r="E309" s="71" t="s">
        <v>62</v>
      </c>
      <c r="F309" s="70"/>
      <c r="G309" s="76"/>
    </row>
    <row r="310" spans="2:7" x14ac:dyDescent="0.2">
      <c r="B310" s="137">
        <v>7421822846</v>
      </c>
      <c r="C310" s="69" t="s">
        <v>396</v>
      </c>
      <c r="D310" s="69">
        <v>3</v>
      </c>
      <c r="E310" s="71" t="s">
        <v>62</v>
      </c>
      <c r="F310" s="70"/>
      <c r="G310" s="76"/>
    </row>
    <row r="311" spans="2:7" x14ac:dyDescent="0.2">
      <c r="B311" s="137">
        <v>7421860476</v>
      </c>
      <c r="C311" s="69" t="s">
        <v>397</v>
      </c>
      <c r="D311" s="69">
        <v>2</v>
      </c>
      <c r="E311" s="69" t="s">
        <v>138</v>
      </c>
      <c r="F311" s="70"/>
      <c r="G311" s="76"/>
    </row>
    <row r="312" spans="2:7" x14ac:dyDescent="0.2">
      <c r="B312" s="137">
        <v>7421860489</v>
      </c>
      <c r="C312" s="69" t="s">
        <v>398</v>
      </c>
      <c r="D312" s="69">
        <v>3</v>
      </c>
      <c r="E312" s="69" t="s">
        <v>138</v>
      </c>
      <c r="F312" s="70"/>
      <c r="G312" s="76"/>
    </row>
    <row r="313" spans="2:7" x14ac:dyDescent="0.2">
      <c r="B313" s="137">
        <v>7421890664</v>
      </c>
      <c r="C313" s="69" t="s">
        <v>399</v>
      </c>
      <c r="D313" s="69">
        <v>1</v>
      </c>
      <c r="E313" s="71" t="s">
        <v>62</v>
      </c>
      <c r="F313" s="70"/>
      <c r="G313" s="76"/>
    </row>
    <row r="314" spans="2:7" x14ac:dyDescent="0.2">
      <c r="B314" s="137">
        <v>7421890706</v>
      </c>
      <c r="C314" s="69" t="s">
        <v>400</v>
      </c>
      <c r="D314" s="69">
        <v>2</v>
      </c>
      <c r="E314" s="71" t="s">
        <v>138</v>
      </c>
      <c r="F314" s="70" t="s">
        <v>401</v>
      </c>
      <c r="G314" s="76"/>
    </row>
    <row r="315" spans="2:7" x14ac:dyDescent="0.2">
      <c r="B315" s="137">
        <v>7421927377</v>
      </c>
      <c r="C315" s="69" t="s">
        <v>402</v>
      </c>
      <c r="D315" s="69" t="s">
        <v>403</v>
      </c>
      <c r="E315" s="71" t="s">
        <v>138</v>
      </c>
      <c r="F315" s="70"/>
      <c r="G315" s="76"/>
    </row>
    <row r="316" spans="2:7" x14ac:dyDescent="0.2">
      <c r="B316" s="137">
        <v>7422167672</v>
      </c>
      <c r="C316" s="69" t="s">
        <v>135</v>
      </c>
      <c r="D316" s="69">
        <v>2</v>
      </c>
      <c r="E316" s="71" t="s">
        <v>138</v>
      </c>
      <c r="F316" s="70"/>
      <c r="G316" s="76"/>
    </row>
    <row r="317" spans="2:7" x14ac:dyDescent="0.2">
      <c r="B317" s="137">
        <v>7422167673</v>
      </c>
      <c r="C317" s="69" t="s">
        <v>304</v>
      </c>
      <c r="D317" s="69">
        <v>2</v>
      </c>
      <c r="E317" s="71" t="s">
        <v>138</v>
      </c>
      <c r="F317" s="70"/>
      <c r="G317" s="76"/>
    </row>
    <row r="318" spans="2:7" x14ac:dyDescent="0.2">
      <c r="B318" s="137">
        <v>7422167821</v>
      </c>
      <c r="C318" s="69" t="s">
        <v>398</v>
      </c>
      <c r="D318" s="69">
        <v>2</v>
      </c>
      <c r="E318" s="71" t="s">
        <v>62</v>
      </c>
      <c r="F318" s="70"/>
      <c r="G318" s="76"/>
    </row>
    <row r="319" spans="2:7" x14ac:dyDescent="0.2">
      <c r="B319" s="137">
        <v>7422197924</v>
      </c>
      <c r="C319" s="69" t="s">
        <v>404</v>
      </c>
      <c r="D319" s="69">
        <v>1</v>
      </c>
      <c r="E319" s="71" t="s">
        <v>138</v>
      </c>
      <c r="F319" s="70"/>
      <c r="G319" s="76"/>
    </row>
    <row r="320" spans="2:7" x14ac:dyDescent="0.2">
      <c r="B320" s="137">
        <v>7422449637</v>
      </c>
      <c r="C320" s="69" t="s">
        <v>405</v>
      </c>
      <c r="D320" s="71">
        <v>3</v>
      </c>
      <c r="E320" s="71" t="s">
        <v>101</v>
      </c>
      <c r="F320" s="70" t="s">
        <v>162</v>
      </c>
      <c r="G320" s="76"/>
    </row>
    <row r="321" spans="2:7" x14ac:dyDescent="0.2">
      <c r="B321" s="137">
        <v>7422818523</v>
      </c>
      <c r="C321" s="69" t="s">
        <v>320</v>
      </c>
      <c r="D321" s="69">
        <v>1</v>
      </c>
      <c r="E321" s="71" t="s">
        <v>62</v>
      </c>
      <c r="F321" s="70"/>
      <c r="G321" s="76"/>
    </row>
    <row r="322" spans="2:7" x14ac:dyDescent="0.2">
      <c r="B322" s="137">
        <v>7422819588</v>
      </c>
      <c r="C322" s="69" t="s">
        <v>128</v>
      </c>
      <c r="D322" s="69">
        <v>1</v>
      </c>
      <c r="E322" s="69" t="s">
        <v>406</v>
      </c>
      <c r="F322" s="70"/>
      <c r="G322" s="76"/>
    </row>
    <row r="323" spans="2:7" x14ac:dyDescent="0.2">
      <c r="B323" s="137">
        <v>7422906796</v>
      </c>
      <c r="C323" s="69" t="s">
        <v>407</v>
      </c>
      <c r="D323" s="69">
        <v>1</v>
      </c>
      <c r="E323" s="71" t="s">
        <v>62</v>
      </c>
      <c r="F323" s="70"/>
      <c r="G323" s="76"/>
    </row>
    <row r="324" spans="2:7" x14ac:dyDescent="0.2">
      <c r="B324" s="137">
        <v>7423000211</v>
      </c>
      <c r="C324" s="69" t="s">
        <v>408</v>
      </c>
      <c r="D324" s="69">
        <v>2</v>
      </c>
      <c r="E324" s="71" t="s">
        <v>390</v>
      </c>
      <c r="F324" s="70"/>
      <c r="G324" s="76"/>
    </row>
    <row r="325" spans="2:7" x14ac:dyDescent="0.2">
      <c r="B325" s="137">
        <v>7423000213</v>
      </c>
      <c r="C325" s="69" t="s">
        <v>237</v>
      </c>
      <c r="D325" s="69">
        <v>1</v>
      </c>
      <c r="E325" s="71" t="s">
        <v>390</v>
      </c>
      <c r="F325" s="70"/>
      <c r="G325" s="76"/>
    </row>
    <row r="326" spans="2:7" x14ac:dyDescent="0.2">
      <c r="B326" s="137">
        <v>7423814894</v>
      </c>
      <c r="C326" s="69" t="s">
        <v>409</v>
      </c>
      <c r="D326" s="69">
        <v>1</v>
      </c>
      <c r="E326" s="69" t="s">
        <v>62</v>
      </c>
      <c r="F326" s="70"/>
      <c r="G326" s="76"/>
    </row>
    <row r="327" spans="2:7" x14ac:dyDescent="0.2">
      <c r="B327" s="137" t="s">
        <v>410</v>
      </c>
      <c r="C327" s="69" t="s">
        <v>128</v>
      </c>
      <c r="D327" s="69">
        <v>1</v>
      </c>
      <c r="E327" s="71" t="s">
        <v>62</v>
      </c>
      <c r="F327" s="70"/>
      <c r="G327" s="76"/>
    </row>
    <row r="328" spans="2:7" x14ac:dyDescent="0.2">
      <c r="B328" s="137" t="s">
        <v>411</v>
      </c>
      <c r="C328" s="69" t="s">
        <v>332</v>
      </c>
      <c r="D328" s="69" t="s">
        <v>78</v>
      </c>
      <c r="E328" s="69" t="s">
        <v>325</v>
      </c>
      <c r="F328" s="70"/>
      <c r="G328" s="76"/>
    </row>
    <row r="329" spans="2:7" x14ac:dyDescent="0.2">
      <c r="B329" s="137" t="s">
        <v>412</v>
      </c>
      <c r="C329" s="69" t="s">
        <v>413</v>
      </c>
      <c r="D329" s="69" t="s">
        <v>103</v>
      </c>
      <c r="E329" s="69" t="s">
        <v>325</v>
      </c>
      <c r="F329" s="70"/>
      <c r="G329" s="76"/>
    </row>
    <row r="330" spans="2:7" x14ac:dyDescent="0.2">
      <c r="B330" s="137" t="s">
        <v>414</v>
      </c>
      <c r="C330" s="69" t="s">
        <v>340</v>
      </c>
      <c r="D330" s="69" t="s">
        <v>66</v>
      </c>
      <c r="E330" s="69" t="s">
        <v>342</v>
      </c>
      <c r="F330" s="70"/>
      <c r="G330" s="76"/>
    </row>
    <row r="331" spans="2:7" x14ac:dyDescent="0.2">
      <c r="B331" s="137" t="s">
        <v>415</v>
      </c>
      <c r="C331" s="69" t="s">
        <v>416</v>
      </c>
      <c r="D331" s="69" t="s">
        <v>103</v>
      </c>
      <c r="E331" s="69" t="s">
        <v>325</v>
      </c>
      <c r="F331" s="70"/>
      <c r="G331" s="76"/>
    </row>
    <row r="332" spans="2:7" x14ac:dyDescent="0.2">
      <c r="B332" s="137" t="s">
        <v>417</v>
      </c>
      <c r="C332" s="69" t="s">
        <v>418</v>
      </c>
      <c r="D332" s="71" t="s">
        <v>103</v>
      </c>
      <c r="E332" s="69" t="s">
        <v>325</v>
      </c>
      <c r="F332" s="70"/>
      <c r="G332" s="76"/>
    </row>
    <row r="333" spans="2:7" x14ac:dyDescent="0.2">
      <c r="B333" s="137" t="s">
        <v>419</v>
      </c>
      <c r="C333" s="69" t="s">
        <v>404</v>
      </c>
      <c r="D333" s="69">
        <v>1</v>
      </c>
      <c r="E333" s="69" t="s">
        <v>138</v>
      </c>
      <c r="F333" s="70"/>
      <c r="G333" s="76"/>
    </row>
    <row r="334" spans="2:7" x14ac:dyDescent="0.2">
      <c r="B334" s="138" t="s">
        <v>420</v>
      </c>
      <c r="C334" s="71" t="s">
        <v>421</v>
      </c>
      <c r="D334" s="69" t="s">
        <v>422</v>
      </c>
      <c r="E334" s="69"/>
      <c r="F334" s="70"/>
      <c r="G334" s="76"/>
    </row>
    <row r="335" spans="2:7" x14ac:dyDescent="0.2">
      <c r="B335" s="139" t="s">
        <v>423</v>
      </c>
      <c r="C335" s="80" t="s">
        <v>424</v>
      </c>
      <c r="D335" s="81" t="s">
        <v>422</v>
      </c>
      <c r="E335" s="81"/>
      <c r="F335" s="82"/>
      <c r="G335" s="83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'[2]données base'!#REF!</xm:f>
          </x14:formula1>
          <xm:sqref>F90 F253 F117 F251 F290 F285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53"/>
  <sheetViews>
    <sheetView zoomScale="135" zoomScaleNormal="135" workbookViewId="0">
      <selection activeCell="C15" sqref="C15"/>
    </sheetView>
  </sheetViews>
  <sheetFormatPr baseColWidth="10" defaultRowHeight="12.75" x14ac:dyDescent="0.2"/>
  <cols>
    <col min="1" max="1" width="18.140625" bestFit="1" customWidth="1"/>
    <col min="2" max="2" width="21.28515625" style="1" customWidth="1"/>
    <col min="3" max="3" width="24.140625" customWidth="1"/>
    <col min="13" max="31" width="11.42578125" style="29"/>
  </cols>
  <sheetData>
    <row r="1" spans="1:12" ht="25.5" customHeight="1" thickBot="1" x14ac:dyDescent="0.25">
      <c r="A1" s="66" t="s">
        <v>10</v>
      </c>
      <c r="B1" s="7">
        <v>2021</v>
      </c>
      <c r="C1" t="b">
        <v>1</v>
      </c>
      <c r="D1" s="29"/>
      <c r="E1" s="29"/>
      <c r="F1" s="19" t="s">
        <v>15</v>
      </c>
      <c r="G1" s="20" t="s">
        <v>16</v>
      </c>
      <c r="H1" s="20" t="s">
        <v>17</v>
      </c>
      <c r="I1" s="29"/>
      <c r="J1" s="29"/>
      <c r="K1" s="29"/>
      <c r="L1" s="29"/>
    </row>
    <row r="2" spans="1:12" x14ac:dyDescent="0.2">
      <c r="A2" s="8" t="str">
        <f>"Noël "&amp;B1-1</f>
        <v>Noël 2020</v>
      </c>
      <c r="B2" s="22">
        <f>DATE($B$1-1,12,25)</f>
        <v>44190</v>
      </c>
      <c r="C2" s="29"/>
      <c r="D2" s="64" t="s">
        <v>14</v>
      </c>
      <c r="E2" s="29"/>
      <c r="F2" s="21" t="s">
        <v>18</v>
      </c>
      <c r="G2" s="11">
        <v>0.25</v>
      </c>
      <c r="H2" s="12">
        <v>0.91666666666666663</v>
      </c>
      <c r="I2" s="29"/>
      <c r="J2" s="29"/>
      <c r="K2" s="29"/>
      <c r="L2" s="29"/>
    </row>
    <row r="3" spans="1:12" x14ac:dyDescent="0.2">
      <c r="A3" s="3" t="s">
        <v>0</v>
      </c>
      <c r="B3" s="23">
        <f>DATE($B$1,1,1)</f>
        <v>44197</v>
      </c>
      <c r="C3" s="29"/>
      <c r="D3" s="29"/>
      <c r="E3" s="29"/>
      <c r="F3" s="21" t="s">
        <v>19</v>
      </c>
      <c r="G3" s="13">
        <v>0.25</v>
      </c>
      <c r="H3" s="14">
        <v>0.91666666666666663</v>
      </c>
      <c r="I3" s="29"/>
      <c r="J3" s="29"/>
      <c r="K3" s="29"/>
      <c r="L3" s="29"/>
    </row>
    <row r="4" spans="1:12" x14ac:dyDescent="0.2">
      <c r="A4" s="3" t="s">
        <v>1</v>
      </c>
      <c r="B4" s="23">
        <f>DATE($B$1,3,29.56+0.979*MOD(204-11*MOD($B$1,19),30)- WEEKDAY(DATE($B$1,3,28.56+0.979*MOD(204-11*MOD($B$1,19),30))))+1</f>
        <v>44291</v>
      </c>
      <c r="C4" s="9" t="str">
        <f>"Fériés en "&amp;$B$1</f>
        <v>Fériés en 2021</v>
      </c>
      <c r="D4" s="2">
        <f>COUNT(Fériés)-2-C1</f>
        <v>11</v>
      </c>
      <c r="E4" s="29"/>
      <c r="F4" s="21" t="s">
        <v>20</v>
      </c>
      <c r="G4" s="13">
        <v>0.25</v>
      </c>
      <c r="H4" s="14">
        <v>0.91666666666666663</v>
      </c>
      <c r="I4" s="29"/>
      <c r="J4" s="29"/>
      <c r="K4" s="29"/>
      <c r="L4" s="29"/>
    </row>
    <row r="5" spans="1:12" x14ac:dyDescent="0.2">
      <c r="A5" s="3" t="s">
        <v>2</v>
      </c>
      <c r="B5" s="23">
        <f>DATE($B$1,5,1)</f>
        <v>44317</v>
      </c>
      <c r="C5" s="9" t="str">
        <f>"Fériés jours ouvrés en "&amp;B1</f>
        <v>Fériés jours ouvrés en 2021</v>
      </c>
      <c r="D5" s="2">
        <f>SUMPRODUCT((WEEKDAY((B3:B13),2)&lt;6)*1)+SUMPRODUCT((WEEKDAY((B15:B35),2)&lt;6)*1)</f>
        <v>7</v>
      </c>
      <c r="E5" s="29"/>
      <c r="F5" s="21" t="s">
        <v>21</v>
      </c>
      <c r="G5" s="13">
        <v>0.25</v>
      </c>
      <c r="H5" s="14">
        <v>0.91666666666666663</v>
      </c>
      <c r="I5" s="29"/>
      <c r="J5" s="29"/>
      <c r="K5" s="29"/>
      <c r="L5" s="29"/>
    </row>
    <row r="6" spans="1:12" x14ac:dyDescent="0.2">
      <c r="A6" s="3" t="s">
        <v>7</v>
      </c>
      <c r="B6" s="23">
        <f>DATE($B$1,5,8)</f>
        <v>44324</v>
      </c>
      <c r="C6" s="29"/>
      <c r="D6" s="29"/>
      <c r="E6" s="29"/>
      <c r="F6" s="21" t="s">
        <v>22</v>
      </c>
      <c r="G6" s="13">
        <v>0.25</v>
      </c>
      <c r="H6" s="14">
        <v>0.91666666666666663</v>
      </c>
      <c r="I6" s="29"/>
      <c r="J6" s="29"/>
      <c r="K6" s="29"/>
      <c r="L6" s="29"/>
    </row>
    <row r="7" spans="1:12" x14ac:dyDescent="0.2">
      <c r="A7" s="3" t="s">
        <v>3</v>
      </c>
      <c r="B7" s="23">
        <f>$B$4+38</f>
        <v>44329</v>
      </c>
      <c r="C7" s="29"/>
      <c r="D7" s="29"/>
      <c r="E7" s="29"/>
      <c r="F7" s="21" t="s">
        <v>23</v>
      </c>
      <c r="G7" s="15"/>
      <c r="H7" s="16"/>
      <c r="I7" s="29"/>
      <c r="J7" s="29"/>
      <c r="K7" s="29"/>
      <c r="L7" s="29"/>
    </row>
    <row r="8" spans="1:12" ht="13.5" thickBot="1" x14ac:dyDescent="0.25">
      <c r="A8" s="4" t="s">
        <v>11</v>
      </c>
      <c r="B8" s="24">
        <f>IF($C$1,,$B$4+49)</f>
        <v>0</v>
      </c>
      <c r="C8" s="29"/>
      <c r="D8" s="29"/>
      <c r="E8" s="29"/>
      <c r="F8" s="21" t="s">
        <v>24</v>
      </c>
      <c r="G8" s="17"/>
      <c r="H8" s="18"/>
      <c r="I8" s="29"/>
      <c r="J8" s="29"/>
      <c r="K8" s="29"/>
      <c r="L8" s="29"/>
    </row>
    <row r="9" spans="1:12" x14ac:dyDescent="0.2">
      <c r="A9" s="5" t="s">
        <v>4</v>
      </c>
      <c r="B9" s="23">
        <f>DATE($B$1,7,14)</f>
        <v>44391</v>
      </c>
      <c r="C9" s="29"/>
      <c r="D9" s="29"/>
      <c r="E9" s="29"/>
      <c r="F9" s="29"/>
      <c r="G9" s="29"/>
      <c r="H9" s="29"/>
      <c r="I9" s="29"/>
      <c r="J9" s="29"/>
      <c r="K9" s="29"/>
      <c r="L9" s="29"/>
    </row>
    <row r="10" spans="1:12" x14ac:dyDescent="0.2">
      <c r="A10" s="3" t="s">
        <v>5</v>
      </c>
      <c r="B10" s="23">
        <f>DATE($B$1,8,15)</f>
        <v>44423</v>
      </c>
      <c r="C10" s="29"/>
      <c r="D10" s="29"/>
      <c r="E10" s="29"/>
      <c r="F10" s="29"/>
      <c r="G10" s="29"/>
      <c r="H10" s="29"/>
      <c r="I10" s="29"/>
      <c r="J10" s="29"/>
      <c r="K10" s="29"/>
      <c r="L10" s="29"/>
    </row>
    <row r="11" spans="1:12" x14ac:dyDescent="0.2">
      <c r="A11" s="3" t="s">
        <v>6</v>
      </c>
      <c r="B11" s="23">
        <f>DATE($B$1,11,1)</f>
        <v>44501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</row>
    <row r="12" spans="1:12" x14ac:dyDescent="0.2">
      <c r="A12" s="3" t="s">
        <v>8</v>
      </c>
      <c r="B12" s="23">
        <f>DATE($B$1,11,11)</f>
        <v>44511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</row>
    <row r="13" spans="1:12" x14ac:dyDescent="0.2">
      <c r="A13" s="3" t="s">
        <v>9</v>
      </c>
      <c r="B13" s="23">
        <f>DATE($B$1,12,25)</f>
        <v>44555</v>
      </c>
      <c r="C13" s="29"/>
      <c r="D13" s="29"/>
      <c r="E13" s="29"/>
      <c r="F13" s="29"/>
      <c r="G13" s="29"/>
      <c r="H13" s="29"/>
      <c r="I13" s="29"/>
      <c r="J13" s="29"/>
      <c r="K13" s="29"/>
      <c r="L13" s="29"/>
    </row>
    <row r="14" spans="1:12" x14ac:dyDescent="0.2">
      <c r="A14" s="8" t="str">
        <f>"Jour de l'an " &amp; B1+1</f>
        <v>Jour de l'an 2022</v>
      </c>
      <c r="B14" s="22">
        <f>DATE($B$1+1,1,1)</f>
        <v>44562</v>
      </c>
      <c r="C14" s="29"/>
      <c r="D14" s="29"/>
      <c r="E14" s="29"/>
      <c r="F14" s="29"/>
      <c r="G14" s="29"/>
      <c r="H14" s="29"/>
      <c r="I14" s="29"/>
      <c r="J14" s="29"/>
      <c r="K14" s="29"/>
      <c r="L14" s="29"/>
    </row>
    <row r="15" spans="1:12" x14ac:dyDescent="0.2">
      <c r="A15" s="6" t="s">
        <v>12</v>
      </c>
      <c r="B15" s="25">
        <f>DATE($B$1,5,14)</f>
        <v>44330</v>
      </c>
      <c r="C15" s="29"/>
      <c r="D15" s="29"/>
      <c r="E15" s="29"/>
      <c r="F15" s="29"/>
      <c r="G15" s="29"/>
      <c r="H15" s="29"/>
      <c r="I15" s="29"/>
      <c r="J15" s="29"/>
      <c r="K15" s="29"/>
      <c r="L15" s="29"/>
    </row>
    <row r="16" spans="1:12" x14ac:dyDescent="0.2">
      <c r="A16" s="6" t="s">
        <v>13</v>
      </c>
      <c r="B16" s="25"/>
      <c r="C16" s="29"/>
      <c r="D16" s="29"/>
      <c r="E16" s="29"/>
      <c r="F16" s="29"/>
      <c r="G16" s="29"/>
      <c r="H16" s="29"/>
      <c r="I16" s="29"/>
      <c r="J16" s="29"/>
      <c r="K16" s="29"/>
      <c r="L16" s="29"/>
    </row>
    <row r="17" spans="1:12" x14ac:dyDescent="0.2">
      <c r="A17" s="6"/>
      <c r="B17" s="25"/>
      <c r="C17" s="29"/>
      <c r="D17" s="29"/>
      <c r="E17" s="29"/>
      <c r="F17" s="29"/>
      <c r="G17" s="29"/>
      <c r="H17" s="29"/>
      <c r="I17" s="29"/>
      <c r="J17" s="29"/>
      <c r="K17" s="29"/>
      <c r="L17" s="29"/>
    </row>
    <row r="18" spans="1:12" x14ac:dyDescent="0.2">
      <c r="A18" s="6"/>
      <c r="B18" s="25"/>
      <c r="C18" s="29"/>
      <c r="D18" s="29"/>
      <c r="E18" s="29"/>
      <c r="F18" s="29"/>
      <c r="G18" s="29"/>
      <c r="H18" s="29"/>
      <c r="I18" s="29"/>
      <c r="J18" s="29"/>
      <c r="K18" s="29"/>
      <c r="L18" s="29"/>
    </row>
    <row r="19" spans="1:12" x14ac:dyDescent="0.2">
      <c r="A19" s="6"/>
      <c r="B19" s="25"/>
      <c r="C19" s="29"/>
      <c r="D19" s="29"/>
      <c r="E19" s="29"/>
      <c r="F19" s="29"/>
      <c r="G19" s="29"/>
      <c r="H19" s="29"/>
      <c r="I19" s="29"/>
      <c r="J19" s="29"/>
      <c r="K19" s="29"/>
      <c r="L19" s="29"/>
    </row>
    <row r="20" spans="1:12" x14ac:dyDescent="0.2">
      <c r="A20" s="6"/>
      <c r="B20" s="25"/>
      <c r="C20" s="29"/>
      <c r="D20" s="29"/>
      <c r="E20" s="29"/>
      <c r="F20" s="29"/>
      <c r="G20" s="29"/>
      <c r="H20" s="29"/>
      <c r="I20" s="29"/>
      <c r="J20" s="29"/>
      <c r="K20" s="29"/>
      <c r="L20" s="29"/>
    </row>
    <row r="21" spans="1:12" x14ac:dyDescent="0.2">
      <c r="A21" s="6"/>
      <c r="B21" s="25"/>
      <c r="C21" s="29"/>
      <c r="D21" s="29"/>
      <c r="E21" s="29"/>
      <c r="F21" s="29"/>
      <c r="G21" s="29"/>
      <c r="H21" s="29"/>
      <c r="I21" s="29"/>
      <c r="J21" s="29"/>
      <c r="K21" s="29"/>
      <c r="L21" s="29"/>
    </row>
    <row r="22" spans="1:12" x14ac:dyDescent="0.2">
      <c r="A22" s="6"/>
      <c r="B22" s="25"/>
      <c r="C22" s="29"/>
      <c r="D22" s="29"/>
      <c r="E22" s="29"/>
      <c r="F22" s="29"/>
      <c r="G22" s="29"/>
      <c r="H22" s="29"/>
      <c r="I22" s="29"/>
      <c r="J22" s="29"/>
      <c r="K22" s="29"/>
      <c r="L22" s="29"/>
    </row>
    <row r="23" spans="1:12" x14ac:dyDescent="0.2">
      <c r="A23" s="6"/>
      <c r="B23" s="25"/>
      <c r="C23" s="29"/>
      <c r="D23" s="29"/>
      <c r="E23" s="29"/>
      <c r="F23" s="29"/>
      <c r="G23" s="29"/>
      <c r="H23" s="29"/>
      <c r="I23" s="29"/>
      <c r="J23" s="29"/>
      <c r="K23" s="29"/>
      <c r="L23" s="29"/>
    </row>
    <row r="24" spans="1:12" x14ac:dyDescent="0.2">
      <c r="A24" s="6"/>
      <c r="B24" s="25"/>
      <c r="C24" s="29"/>
      <c r="D24" s="29"/>
      <c r="E24" s="29"/>
      <c r="F24" s="29"/>
      <c r="G24" s="29"/>
      <c r="H24" s="29"/>
      <c r="I24" s="29"/>
      <c r="J24" s="29"/>
      <c r="K24" s="29"/>
      <c r="L24" s="29"/>
    </row>
    <row r="25" spans="1:12" x14ac:dyDescent="0.2">
      <c r="A25" s="6"/>
      <c r="B25" s="25"/>
      <c r="C25" s="29"/>
      <c r="D25" s="29"/>
      <c r="E25" s="29"/>
      <c r="F25" s="29"/>
      <c r="G25" s="29"/>
      <c r="H25" s="29"/>
      <c r="I25" s="29"/>
      <c r="J25" s="29"/>
      <c r="K25" s="29"/>
      <c r="L25" s="29"/>
    </row>
    <row r="26" spans="1:12" x14ac:dyDescent="0.2">
      <c r="A26" s="6"/>
      <c r="B26" s="25"/>
      <c r="C26" s="29"/>
      <c r="D26" s="29"/>
      <c r="E26" s="29"/>
      <c r="F26" s="29"/>
      <c r="G26" s="29"/>
      <c r="H26" s="29"/>
      <c r="I26" s="29"/>
      <c r="J26" s="29"/>
      <c r="K26" s="29"/>
      <c r="L26" s="29"/>
    </row>
    <row r="27" spans="1:12" x14ac:dyDescent="0.2">
      <c r="A27" s="6"/>
      <c r="B27" s="25"/>
      <c r="C27" s="29"/>
      <c r="D27" s="29"/>
      <c r="E27" s="29"/>
      <c r="F27" s="29"/>
      <c r="G27" s="29"/>
      <c r="H27" s="29"/>
      <c r="I27" s="29"/>
      <c r="J27" s="29"/>
      <c r="K27" s="29"/>
      <c r="L27" s="29"/>
    </row>
    <row r="28" spans="1:12" x14ac:dyDescent="0.2">
      <c r="A28" s="6"/>
      <c r="B28" s="25"/>
      <c r="C28" s="29"/>
      <c r="D28" s="29"/>
      <c r="E28" s="29"/>
      <c r="F28" s="29"/>
      <c r="G28" s="29"/>
      <c r="H28" s="29"/>
      <c r="I28" s="29"/>
      <c r="J28" s="29"/>
      <c r="K28" s="29"/>
      <c r="L28" s="29"/>
    </row>
    <row r="29" spans="1:12" x14ac:dyDescent="0.2">
      <c r="A29" s="6"/>
      <c r="B29" s="25"/>
      <c r="C29" s="29"/>
      <c r="D29" s="29"/>
      <c r="E29" s="29"/>
      <c r="F29" s="29"/>
      <c r="G29" s="29"/>
      <c r="H29" s="29"/>
      <c r="I29" s="29"/>
      <c r="J29" s="29"/>
      <c r="K29" s="29"/>
      <c r="L29" s="29"/>
    </row>
    <row r="30" spans="1:12" x14ac:dyDescent="0.2">
      <c r="A30" s="6"/>
      <c r="B30" s="25"/>
      <c r="C30" s="29"/>
      <c r="D30" s="29"/>
      <c r="E30" s="29"/>
      <c r="F30" s="29"/>
      <c r="G30" s="29"/>
      <c r="H30" s="29"/>
      <c r="I30" s="29"/>
      <c r="J30" s="29"/>
      <c r="K30" s="29"/>
      <c r="L30" s="29"/>
    </row>
    <row r="31" spans="1:12" x14ac:dyDescent="0.2">
      <c r="A31" s="6"/>
      <c r="B31" s="25"/>
      <c r="C31" s="29"/>
      <c r="D31" s="29"/>
      <c r="E31" s="29"/>
      <c r="F31" s="29"/>
      <c r="G31" s="29"/>
      <c r="H31" s="29"/>
      <c r="I31" s="29"/>
      <c r="J31" s="29"/>
      <c r="K31" s="29"/>
      <c r="L31" s="29"/>
    </row>
    <row r="32" spans="1:12" x14ac:dyDescent="0.2">
      <c r="A32" s="6"/>
      <c r="B32" s="25"/>
      <c r="C32" s="29"/>
      <c r="D32" s="29"/>
      <c r="E32" s="29"/>
      <c r="F32" s="29"/>
      <c r="G32" s="29"/>
      <c r="H32" s="29"/>
      <c r="I32" s="29"/>
      <c r="J32" s="29"/>
      <c r="K32" s="29"/>
      <c r="L32" s="29"/>
    </row>
    <row r="33" spans="1:12" x14ac:dyDescent="0.2">
      <c r="A33" s="6"/>
      <c r="B33" s="25"/>
      <c r="C33" s="29"/>
      <c r="D33" s="29"/>
      <c r="E33" s="29"/>
      <c r="F33" s="29"/>
      <c r="G33" s="29"/>
      <c r="H33" s="29"/>
      <c r="I33" s="29"/>
      <c r="J33" s="29"/>
      <c r="K33" s="29"/>
      <c r="L33" s="29"/>
    </row>
    <row r="34" spans="1:12" x14ac:dyDescent="0.2">
      <c r="A34" s="6"/>
      <c r="B34" s="25"/>
      <c r="C34" s="29"/>
      <c r="D34" s="29"/>
      <c r="E34" s="29"/>
      <c r="F34" s="29"/>
      <c r="G34" s="29"/>
      <c r="H34" s="29"/>
      <c r="I34" s="29"/>
      <c r="J34" s="29"/>
      <c r="K34" s="29"/>
      <c r="L34" s="29"/>
    </row>
    <row r="35" spans="1:12" ht="13.5" thickBot="1" x14ac:dyDescent="0.25">
      <c r="A35" s="6"/>
      <c r="B35" s="26"/>
      <c r="C35" s="29"/>
      <c r="D35" s="29"/>
      <c r="E35" s="29"/>
      <c r="F35" s="29"/>
      <c r="G35" s="29"/>
      <c r="H35" s="29"/>
      <c r="I35" s="29"/>
      <c r="J35" s="29"/>
      <c r="K35" s="29"/>
      <c r="L35" s="29"/>
    </row>
    <row r="36" spans="1:12" s="29" customFormat="1" x14ac:dyDescent="0.2">
      <c r="B36" s="65"/>
    </row>
    <row r="37" spans="1:12" s="29" customFormat="1" x14ac:dyDescent="0.2">
      <c r="B37" s="65"/>
    </row>
    <row r="38" spans="1:12" s="29" customFormat="1" x14ac:dyDescent="0.2">
      <c r="B38" s="65"/>
    </row>
    <row r="39" spans="1:12" s="29" customFormat="1" x14ac:dyDescent="0.2">
      <c r="B39" s="65"/>
    </row>
    <row r="40" spans="1:12" s="29" customFormat="1" x14ac:dyDescent="0.2">
      <c r="B40" s="65"/>
    </row>
    <row r="41" spans="1:12" s="29" customFormat="1" x14ac:dyDescent="0.2">
      <c r="B41" s="65"/>
    </row>
    <row r="42" spans="1:12" s="29" customFormat="1" x14ac:dyDescent="0.2">
      <c r="B42" s="65"/>
    </row>
    <row r="43" spans="1:12" s="29" customFormat="1" x14ac:dyDescent="0.2">
      <c r="B43" s="65"/>
    </row>
    <row r="44" spans="1:12" s="29" customFormat="1" x14ac:dyDescent="0.2">
      <c r="B44" s="65"/>
    </row>
    <row r="45" spans="1:12" s="29" customFormat="1" x14ac:dyDescent="0.2">
      <c r="B45" s="65"/>
    </row>
    <row r="46" spans="1:12" s="29" customFormat="1" x14ac:dyDescent="0.2">
      <c r="B46" s="65"/>
    </row>
    <row r="47" spans="1:12" s="29" customFormat="1" x14ac:dyDescent="0.2">
      <c r="B47" s="65"/>
    </row>
    <row r="48" spans="1:12" s="29" customFormat="1" x14ac:dyDescent="0.2">
      <c r="B48" s="65"/>
    </row>
    <row r="49" spans="2:2" s="29" customFormat="1" x14ac:dyDescent="0.2">
      <c r="B49" s="65"/>
    </row>
    <row r="50" spans="2:2" s="29" customFormat="1" x14ac:dyDescent="0.2">
      <c r="B50" s="65"/>
    </row>
    <row r="51" spans="2:2" s="29" customFormat="1" x14ac:dyDescent="0.2">
      <c r="B51" s="65"/>
    </row>
    <row r="52" spans="2:2" s="29" customFormat="1" x14ac:dyDescent="0.2">
      <c r="B52" s="65"/>
    </row>
    <row r="53" spans="2:2" s="29" customFormat="1" x14ac:dyDescent="0.2">
      <c r="B53" s="65"/>
    </row>
  </sheetData>
  <phoneticPr fontId="5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2</xdr:col>
                    <xdr:colOff>0</xdr:colOff>
                    <xdr:row>0</xdr:row>
                    <xdr:rowOff>9525</xdr:rowOff>
                  </from>
                  <to>
                    <xdr:col>2</xdr:col>
                    <xdr:colOff>1600200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Spinner 3">
              <controlPr defaultSize="0" autoPict="0">
                <anchor moveWithCells="1" sizeWithCells="1">
                  <from>
                    <xdr:col>1</xdr:col>
                    <xdr:colOff>1057275</xdr:colOff>
                    <xdr:row>0</xdr:row>
                    <xdr:rowOff>9525</xdr:rowOff>
                  </from>
                  <to>
                    <xdr:col>1</xdr:col>
                    <xdr:colOff>1285875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Z106"/>
  <sheetViews>
    <sheetView zoomScale="120" zoomScaleNormal="120" workbookViewId="0">
      <selection activeCell="O19" sqref="O19"/>
    </sheetView>
  </sheetViews>
  <sheetFormatPr baseColWidth="10" defaultRowHeight="12.75" x14ac:dyDescent="0.2"/>
  <cols>
    <col min="1" max="2" width="11.42578125" style="29" customWidth="1"/>
    <col min="3" max="3" width="1.7109375" style="29" customWidth="1"/>
    <col min="4" max="10" width="8.42578125" style="29" customWidth="1"/>
    <col min="11" max="11" width="2.140625" style="29" customWidth="1"/>
    <col min="12" max="13" width="11.42578125" style="29"/>
    <col min="14" max="14" width="3.85546875" style="29" customWidth="1"/>
    <col min="15" max="15" width="20.7109375" customWidth="1"/>
    <col min="16" max="16" width="3.5703125" customWidth="1"/>
  </cols>
  <sheetData>
    <row r="1" spans="1:52" x14ac:dyDescent="0.2"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</row>
    <row r="2" spans="1:52" s="29" customFormat="1" x14ac:dyDescent="0.2">
      <c r="B2" s="198" t="s">
        <v>32</v>
      </c>
      <c r="D2" s="38"/>
      <c r="E2" s="39"/>
      <c r="F2" s="39"/>
      <c r="G2" s="39"/>
      <c r="H2" s="39"/>
      <c r="I2" s="39"/>
      <c r="J2" s="40"/>
      <c r="M2" s="44"/>
      <c r="O2" s="189" t="s">
        <v>45</v>
      </c>
      <c r="R2" s="189" t="s">
        <v>536</v>
      </c>
      <c r="T2" s="189" t="s">
        <v>536</v>
      </c>
      <c r="V2" s="192" t="s">
        <v>537</v>
      </c>
    </row>
    <row r="3" spans="1:52" s="29" customFormat="1" ht="20.25" customHeight="1" x14ac:dyDescent="0.25">
      <c r="B3" s="199"/>
      <c r="D3" s="195">
        <f>DATE(M11,M8,1)</f>
        <v>44317</v>
      </c>
      <c r="E3" s="196"/>
      <c r="F3" s="196"/>
      <c r="G3" s="196"/>
      <c r="H3" s="196"/>
      <c r="I3" s="196"/>
      <c r="J3" s="197"/>
      <c r="M3" s="45" t="s">
        <v>29</v>
      </c>
      <c r="O3" s="190"/>
      <c r="R3" s="190"/>
      <c r="T3" s="190"/>
      <c r="V3" s="193"/>
    </row>
    <row r="4" spans="1:52" s="29" customFormat="1" ht="6.75" customHeight="1" x14ac:dyDescent="0.2">
      <c r="B4" s="37"/>
      <c r="D4" s="41"/>
      <c r="E4" s="42"/>
      <c r="F4" s="42"/>
      <c r="G4" s="42"/>
      <c r="H4" s="42"/>
      <c r="I4" s="42"/>
      <c r="J4" s="43"/>
      <c r="M4" s="46"/>
      <c r="O4" s="191"/>
      <c r="R4" s="191"/>
      <c r="T4" s="191"/>
      <c r="V4" s="194"/>
    </row>
    <row r="5" spans="1:52" s="29" customFormat="1" x14ac:dyDescent="0.2">
      <c r="A5" s="29">
        <v>1</v>
      </c>
      <c r="B5" s="36" t="s">
        <v>33</v>
      </c>
      <c r="D5" s="32" t="str">
        <f t="shared" ref="D5:J5" si="0">UPPER(TEXT(D7,"jjj"))</f>
        <v>LUN</v>
      </c>
      <c r="E5" s="32" t="str">
        <f t="shared" si="0"/>
        <v>MAR</v>
      </c>
      <c r="F5" s="32" t="str">
        <f t="shared" si="0"/>
        <v>MER</v>
      </c>
      <c r="G5" s="32" t="str">
        <f t="shared" si="0"/>
        <v>JEU</v>
      </c>
      <c r="H5" s="32" t="str">
        <f t="shared" si="0"/>
        <v>VEN</v>
      </c>
      <c r="I5" s="32" t="str">
        <f t="shared" si="0"/>
        <v>SAM</v>
      </c>
      <c r="J5" s="32" t="str">
        <f t="shared" si="0"/>
        <v>DIM</v>
      </c>
      <c r="M5" s="47">
        <f ca="1">TODAY()</f>
        <v>44329</v>
      </c>
      <c r="O5" s="34">
        <f ca="1">YEAR(M5)</f>
        <v>2021</v>
      </c>
      <c r="R5" s="144">
        <v>0</v>
      </c>
      <c r="T5" s="144">
        <v>0</v>
      </c>
      <c r="V5" s="147">
        <v>21</v>
      </c>
    </row>
    <row r="6" spans="1:52" s="29" customFormat="1" x14ac:dyDescent="0.2">
      <c r="A6" s="29">
        <v>2</v>
      </c>
      <c r="B6" s="36" t="s">
        <v>34</v>
      </c>
      <c r="D6" s="33" t="str">
        <f>IF(WEEKDAY(D3)=2,D3,"")</f>
        <v/>
      </c>
      <c r="E6" s="33" t="str">
        <f>IF(D6&lt;&gt;"",D6+1,IF(WEEKDAY(D3)=3,D3,""))</f>
        <v/>
      </c>
      <c r="F6" s="33" t="str">
        <f>IF(E6&lt;&gt;"",E6+1,IF(WEEKDAY($D$3)=4,$D$3,""))</f>
        <v/>
      </c>
      <c r="G6" s="33" t="str">
        <f>IF(F6&lt;&gt;"",F6+1,IF(WEEKDAY($D$3)=5,$D$3,""))</f>
        <v/>
      </c>
      <c r="H6" s="33" t="str">
        <f>IF(G6&lt;&gt;"",G6+1,IF(WEEKDAY($D$3)=6,$D$3,""))</f>
        <v/>
      </c>
      <c r="I6" s="33">
        <f>IF(H6&lt;&gt;"",H6+1,IF(WEEKDAY($D$3)=7,$D$3,""))</f>
        <v>44317</v>
      </c>
      <c r="J6" s="33">
        <f>IF(I6&lt;&gt;"",I6+1,IF(WEEKDAY($D$3)=1,$D$3,""))</f>
        <v>44318</v>
      </c>
      <c r="R6" s="144">
        <v>1</v>
      </c>
      <c r="T6" s="144">
        <v>10</v>
      </c>
      <c r="V6" s="147">
        <v>0</v>
      </c>
    </row>
    <row r="7" spans="1:52" s="29" customFormat="1" x14ac:dyDescent="0.2">
      <c r="A7" s="29">
        <v>3</v>
      </c>
      <c r="B7" s="36" t="s">
        <v>35</v>
      </c>
      <c r="D7" s="33">
        <f>J6+1</f>
        <v>44319</v>
      </c>
      <c r="E7" s="33">
        <f>D7+1</f>
        <v>44320</v>
      </c>
      <c r="F7" s="33">
        <f t="shared" ref="F7:J7" si="1">E7+1</f>
        <v>44321</v>
      </c>
      <c r="G7" s="33">
        <f t="shared" si="1"/>
        <v>44322</v>
      </c>
      <c r="H7" s="33">
        <f t="shared" si="1"/>
        <v>44323</v>
      </c>
      <c r="I7" s="33">
        <f t="shared" si="1"/>
        <v>44324</v>
      </c>
      <c r="J7" s="33">
        <f t="shared" si="1"/>
        <v>44325</v>
      </c>
      <c r="M7" s="48" t="s">
        <v>26</v>
      </c>
      <c r="O7" s="50" t="s">
        <v>46</v>
      </c>
      <c r="R7" s="144">
        <v>2</v>
      </c>
      <c r="T7" s="144">
        <v>20</v>
      </c>
    </row>
    <row r="8" spans="1:52" s="29" customFormat="1" x14ac:dyDescent="0.2">
      <c r="A8" s="29">
        <v>4</v>
      </c>
      <c r="B8" s="36" t="s">
        <v>36</v>
      </c>
      <c r="D8" s="33">
        <f t="shared" ref="D8:D9" si="2">J7+1</f>
        <v>44326</v>
      </c>
      <c r="E8" s="33">
        <f t="shared" ref="E8:J8" si="3">D8+1</f>
        <v>44327</v>
      </c>
      <c r="F8" s="33">
        <f t="shared" si="3"/>
        <v>44328</v>
      </c>
      <c r="G8" s="33">
        <f t="shared" si="3"/>
        <v>44329</v>
      </c>
      <c r="H8" s="33">
        <f t="shared" si="3"/>
        <v>44330</v>
      </c>
      <c r="I8" s="33">
        <f t="shared" si="3"/>
        <v>44331</v>
      </c>
      <c r="J8" s="33">
        <f t="shared" si="3"/>
        <v>44332</v>
      </c>
      <c r="M8" s="49">
        <v>5</v>
      </c>
      <c r="O8" s="49">
        <f ca="1">MONTH(M5)</f>
        <v>5</v>
      </c>
      <c r="P8" s="30"/>
      <c r="Q8" s="30"/>
      <c r="R8" s="144">
        <v>3</v>
      </c>
      <c r="S8" s="30"/>
      <c r="T8" s="144">
        <v>30</v>
      </c>
      <c r="U8" s="30"/>
      <c r="V8" s="30"/>
      <c r="W8" s="30"/>
      <c r="X8" s="30"/>
      <c r="Y8" s="30"/>
      <c r="Z8" s="30"/>
      <c r="AA8" s="30"/>
    </row>
    <row r="9" spans="1:52" s="29" customFormat="1" x14ac:dyDescent="0.2">
      <c r="A9" s="29">
        <v>5</v>
      </c>
      <c r="B9" s="36" t="s">
        <v>37</v>
      </c>
      <c r="D9" s="33">
        <f t="shared" si="2"/>
        <v>44333</v>
      </c>
      <c r="E9" s="33">
        <f t="shared" ref="E9:J9" si="4">D9+1</f>
        <v>44334</v>
      </c>
      <c r="F9" s="33">
        <f t="shared" si="4"/>
        <v>44335</v>
      </c>
      <c r="G9" s="33">
        <f t="shared" si="4"/>
        <v>44336</v>
      </c>
      <c r="H9" s="33">
        <f t="shared" si="4"/>
        <v>44337</v>
      </c>
      <c r="I9" s="33">
        <f t="shared" si="4"/>
        <v>44338</v>
      </c>
      <c r="J9" s="33">
        <f t="shared" si="4"/>
        <v>44339</v>
      </c>
      <c r="O9" s="50" t="s">
        <v>49</v>
      </c>
      <c r="R9" s="144">
        <v>4</v>
      </c>
      <c r="T9" s="144">
        <v>40</v>
      </c>
    </row>
    <row r="10" spans="1:52" s="29" customFormat="1" x14ac:dyDescent="0.2">
      <c r="A10" s="29">
        <v>6</v>
      </c>
      <c r="B10" s="36" t="s">
        <v>38</v>
      </c>
      <c r="D10" s="33">
        <f>IF(J9&lt;EOMONTH(D3,0),J9+1,"")</f>
        <v>44340</v>
      </c>
      <c r="E10" s="33">
        <f>IF(D10&lt;EOMONTH(D3,0),D10+1,"")</f>
        <v>44341</v>
      </c>
      <c r="F10" s="33">
        <f>IF(E10&lt;EOMONTH($D$3,0),E10+1,"")</f>
        <v>44342</v>
      </c>
      <c r="G10" s="33">
        <f>IF(F10&lt;EOMONTH($D$3,0),F10+1,"")</f>
        <v>44343</v>
      </c>
      <c r="H10" s="33">
        <f>IF(G10&lt;EOMONTH($D$3,0),G10+1,"")</f>
        <v>44344</v>
      </c>
      <c r="I10" s="33">
        <f>IF(H10&lt;EOMONTH($D$3,0),H10+1,"")</f>
        <v>44345</v>
      </c>
      <c r="J10" s="33">
        <f>IF(I10&lt;EOMONTH($D$3,0),I10+1,"")</f>
        <v>44346</v>
      </c>
      <c r="M10" s="48" t="s">
        <v>10</v>
      </c>
      <c r="O10" s="49">
        <f ca="1">+DAY(M5)</f>
        <v>13</v>
      </c>
      <c r="R10" s="144">
        <v>5</v>
      </c>
      <c r="T10" s="144">
        <v>50</v>
      </c>
    </row>
    <row r="11" spans="1:52" s="29" customFormat="1" x14ac:dyDescent="0.2">
      <c r="A11" s="29">
        <v>7</v>
      </c>
      <c r="B11" s="36" t="s">
        <v>39</v>
      </c>
      <c r="D11" s="33">
        <f>IF(J10&lt;EOMONTH(D3,0),J10+1,"")</f>
        <v>44347</v>
      </c>
      <c r="E11" s="33" t="str">
        <f>IF(D11&lt;EOMONTH($D$3,0),D11+1,"")</f>
        <v/>
      </c>
      <c r="F11" s="33" t="str">
        <f t="shared" ref="F11:J11" si="5">IF(E11&lt;EOMONTH($D$3,0),E11+1,"")</f>
        <v/>
      </c>
      <c r="G11" s="33" t="str">
        <f t="shared" si="5"/>
        <v/>
      </c>
      <c r="H11" s="33" t="str">
        <f t="shared" si="5"/>
        <v/>
      </c>
      <c r="I11" s="33" t="str">
        <f t="shared" si="5"/>
        <v/>
      </c>
      <c r="J11" s="33" t="str">
        <f t="shared" si="5"/>
        <v/>
      </c>
      <c r="M11" s="49">
        <v>2021</v>
      </c>
      <c r="R11" s="144">
        <v>6</v>
      </c>
      <c r="T11" s="143"/>
    </row>
    <row r="12" spans="1:52" s="29" customFormat="1" ht="12.75" customHeight="1" x14ac:dyDescent="0.2">
      <c r="A12" s="29">
        <v>8</v>
      </c>
      <c r="B12" s="36" t="s">
        <v>40</v>
      </c>
      <c r="M12" s="50" t="s">
        <v>26</v>
      </c>
      <c r="O12" s="50" t="s">
        <v>47</v>
      </c>
      <c r="R12" s="144">
        <v>7</v>
      </c>
      <c r="T12" s="143"/>
    </row>
    <row r="13" spans="1:52" s="29" customFormat="1" x14ac:dyDescent="0.2">
      <c r="A13" s="29">
        <v>9</v>
      </c>
      <c r="B13" s="36" t="s">
        <v>41</v>
      </c>
      <c r="M13" s="51" t="str">
        <f>VLOOKUP(M8,A5:B16,2,FALSE)</f>
        <v>Mai</v>
      </c>
      <c r="O13" s="52" t="str">
        <f>CONCATENATE(M13," ",M11)</f>
        <v>Mai 2021</v>
      </c>
      <c r="R13" s="144">
        <v>8</v>
      </c>
    </row>
    <row r="14" spans="1:52" s="29" customFormat="1" x14ac:dyDescent="0.2">
      <c r="A14" s="29">
        <v>10</v>
      </c>
      <c r="B14" s="36" t="s">
        <v>42</v>
      </c>
      <c r="R14" s="144">
        <v>9</v>
      </c>
    </row>
    <row r="15" spans="1:52" s="29" customFormat="1" x14ac:dyDescent="0.2">
      <c r="A15" s="29">
        <v>11</v>
      </c>
      <c r="B15" s="36" t="s">
        <v>43</v>
      </c>
      <c r="M15" s="50" t="s">
        <v>15</v>
      </c>
      <c r="O15" s="50" t="s">
        <v>48</v>
      </c>
      <c r="R15" s="144">
        <v>10</v>
      </c>
      <c r="T15" s="143"/>
    </row>
    <row r="16" spans="1:52" s="29" customFormat="1" x14ac:dyDescent="0.2">
      <c r="A16" s="29">
        <v>12</v>
      </c>
      <c r="B16" s="36" t="s">
        <v>44</v>
      </c>
      <c r="E16" s="30" t="s">
        <v>27</v>
      </c>
      <c r="F16" s="31" t="s">
        <v>28</v>
      </c>
      <c r="M16" s="33">
        <v>44328</v>
      </c>
      <c r="O16" s="145">
        <f>M16</f>
        <v>44328</v>
      </c>
      <c r="R16" s="144">
        <v>11</v>
      </c>
      <c r="T16" s="143"/>
    </row>
    <row r="17" spans="4:20" s="29" customFormat="1" x14ac:dyDescent="0.2">
      <c r="R17" s="144">
        <v>12</v>
      </c>
      <c r="T17" s="143"/>
    </row>
    <row r="18" spans="4:20" s="29" customFormat="1" x14ac:dyDescent="0.2">
      <c r="E18" s="30" t="s">
        <v>31</v>
      </c>
      <c r="F18" s="31" t="s">
        <v>30</v>
      </c>
      <c r="O18" s="50" t="s">
        <v>538</v>
      </c>
      <c r="R18" s="144">
        <v>13</v>
      </c>
      <c r="T18" s="143"/>
    </row>
    <row r="19" spans="4:20" s="29" customFormat="1" x14ac:dyDescent="0.2">
      <c r="O19" s="148" t="str">
        <f>CONCATENATE(V5,":",V6)</f>
        <v>21:0</v>
      </c>
      <c r="R19" s="144">
        <v>14</v>
      </c>
      <c r="T19" s="143"/>
    </row>
    <row r="20" spans="4:20" s="29" customFormat="1" ht="13.5" thickBot="1" x14ac:dyDescent="0.25">
      <c r="R20" s="144">
        <v>15</v>
      </c>
      <c r="T20" s="143"/>
    </row>
    <row r="21" spans="4:20" s="29" customFormat="1" x14ac:dyDescent="0.2">
      <c r="D21" s="183" t="s">
        <v>50</v>
      </c>
      <c r="E21" s="184"/>
      <c r="F21" s="184"/>
      <c r="G21" s="184"/>
      <c r="H21" s="184"/>
      <c r="I21" s="184"/>
      <c r="J21" s="184"/>
      <c r="K21" s="184"/>
      <c r="L21" s="185"/>
      <c r="O21" s="54"/>
      <c r="R21" s="144">
        <v>16</v>
      </c>
      <c r="T21" s="143"/>
    </row>
    <row r="22" spans="4:20" s="29" customFormat="1" x14ac:dyDescent="0.2">
      <c r="D22" s="55">
        <f ca="1">IF(ISNA(MATCH($M$5,D6:D11,0)),0,MATCH($M$5,D6:D11,0))</f>
        <v>0</v>
      </c>
      <c r="E22" s="49">
        <f t="shared" ref="E22:J22" ca="1" si="6">IF(ISNA(MATCH($M$5,E6:E11,0)),0,MATCH($M$5,E6:E11,0))</f>
        <v>0</v>
      </c>
      <c r="F22" s="49">
        <f t="shared" ca="1" si="6"/>
        <v>0</v>
      </c>
      <c r="G22" s="49">
        <f t="shared" ca="1" si="6"/>
        <v>3</v>
      </c>
      <c r="H22" s="49">
        <f t="shared" ca="1" si="6"/>
        <v>0</v>
      </c>
      <c r="I22" s="49">
        <f t="shared" ca="1" si="6"/>
        <v>0</v>
      </c>
      <c r="J22" s="49">
        <f t="shared" ca="1" si="6"/>
        <v>0</v>
      </c>
      <c r="K22" s="56"/>
      <c r="L22" s="57"/>
      <c r="R22" s="144">
        <v>17</v>
      </c>
      <c r="T22" s="143"/>
    </row>
    <row r="23" spans="4:20" s="29" customFormat="1" x14ac:dyDescent="0.2">
      <c r="D23" s="55">
        <f t="shared" ref="D23:I23" ca="1" si="7">D22+26</f>
        <v>26</v>
      </c>
      <c r="E23" s="49">
        <f t="shared" ca="1" si="7"/>
        <v>26</v>
      </c>
      <c r="F23" s="49">
        <f t="shared" ca="1" si="7"/>
        <v>26</v>
      </c>
      <c r="G23" s="49">
        <f t="shared" ca="1" si="7"/>
        <v>29</v>
      </c>
      <c r="H23" s="49">
        <f t="shared" ca="1" si="7"/>
        <v>26</v>
      </c>
      <c r="I23" s="49">
        <f t="shared" ca="1" si="7"/>
        <v>26</v>
      </c>
      <c r="J23" s="49">
        <f ca="1">J22+26</f>
        <v>26</v>
      </c>
      <c r="K23" s="56"/>
      <c r="L23" s="57"/>
      <c r="R23" s="144">
        <v>18</v>
      </c>
      <c r="T23" s="143"/>
    </row>
    <row r="24" spans="4:20" s="29" customFormat="1" x14ac:dyDescent="0.2">
      <c r="D24" s="55" t="str">
        <f ca="1">IF(D22=0,"","D")</f>
        <v/>
      </c>
      <c r="E24" s="49" t="str">
        <f ca="1">IF(E22=0,"","E")</f>
        <v/>
      </c>
      <c r="F24" s="49" t="str">
        <f ca="1">IF(F22=0,"","F")</f>
        <v/>
      </c>
      <c r="G24" s="49" t="str">
        <f ca="1">IF(G22=0,"","G")</f>
        <v>G</v>
      </c>
      <c r="H24" s="49" t="str">
        <f ca="1">IF(H22=0,"","H")</f>
        <v/>
      </c>
      <c r="I24" s="49" t="str">
        <f ca="1">IF(I22=0,"","I")</f>
        <v/>
      </c>
      <c r="J24" s="49" t="str">
        <f ca="1">IF(J22=0,"","J")</f>
        <v/>
      </c>
      <c r="K24" s="56" t="str">
        <f t="shared" ref="K24" si="8">IF(K22=0,"","D")</f>
        <v/>
      </c>
      <c r="L24" s="57"/>
      <c r="R24" s="144">
        <v>19</v>
      </c>
      <c r="T24" s="143"/>
    </row>
    <row r="25" spans="4:20" s="29" customFormat="1" x14ac:dyDescent="0.2">
      <c r="D25" s="55" t="str">
        <f t="shared" ref="D25:I25" ca="1" si="9">IF(D22=0,"",D24&amp;D23)</f>
        <v/>
      </c>
      <c r="E25" s="49" t="str">
        <f t="shared" ca="1" si="9"/>
        <v/>
      </c>
      <c r="F25" s="49" t="str">
        <f t="shared" ca="1" si="9"/>
        <v/>
      </c>
      <c r="G25" s="49" t="str">
        <f t="shared" ca="1" si="9"/>
        <v>G29</v>
      </c>
      <c r="H25" s="49" t="str">
        <f t="shared" ca="1" si="9"/>
        <v/>
      </c>
      <c r="I25" s="49" t="str">
        <f t="shared" ca="1" si="9"/>
        <v/>
      </c>
      <c r="J25" s="49" t="str">
        <f ca="1">IF(J22=0,"",J24&amp;J23)</f>
        <v/>
      </c>
      <c r="K25" s="56"/>
      <c r="L25" s="58" t="str">
        <f ca="1">CONCATENATE(D25,E25,F25,G25,H25,I25,J25)</f>
        <v>G29</v>
      </c>
      <c r="R25" s="144">
        <v>20</v>
      </c>
      <c r="T25" s="143"/>
    </row>
    <row r="26" spans="4:20" s="29" customFormat="1" x14ac:dyDescent="0.2">
      <c r="D26" s="186" t="s">
        <v>51</v>
      </c>
      <c r="E26" s="187"/>
      <c r="F26" s="187"/>
      <c r="G26" s="187"/>
      <c r="H26" s="187"/>
      <c r="I26" s="187"/>
      <c r="J26" s="187"/>
      <c r="K26" s="187"/>
      <c r="L26" s="188"/>
      <c r="R26" s="144">
        <v>21</v>
      </c>
      <c r="T26" s="143"/>
    </row>
    <row r="27" spans="4:20" s="29" customFormat="1" x14ac:dyDescent="0.2">
      <c r="D27" s="55">
        <v>1</v>
      </c>
      <c r="E27" s="49">
        <v>2</v>
      </c>
      <c r="F27" s="49">
        <v>3</v>
      </c>
      <c r="G27" s="49">
        <v>4</v>
      </c>
      <c r="H27" s="49">
        <v>5</v>
      </c>
      <c r="I27" s="49">
        <v>6</v>
      </c>
      <c r="J27" s="49">
        <v>7</v>
      </c>
      <c r="K27" s="56"/>
      <c r="L27" s="59"/>
      <c r="R27" s="144">
        <v>22</v>
      </c>
      <c r="T27" s="143"/>
    </row>
    <row r="28" spans="4:20" s="29" customFormat="1" x14ac:dyDescent="0.2">
      <c r="D28" s="55">
        <v>8</v>
      </c>
      <c r="E28" s="49">
        <v>9</v>
      </c>
      <c r="F28" s="49">
        <v>10</v>
      </c>
      <c r="G28" s="49">
        <v>11</v>
      </c>
      <c r="H28" s="49">
        <v>12</v>
      </c>
      <c r="I28" s="49">
        <v>13</v>
      </c>
      <c r="J28" s="49">
        <v>14</v>
      </c>
      <c r="K28" s="56"/>
      <c r="L28" s="59"/>
      <c r="O28" s="29">
        <v>21</v>
      </c>
      <c r="Q28" s="29">
        <v>40</v>
      </c>
      <c r="R28" s="144">
        <v>23</v>
      </c>
      <c r="T28" s="143"/>
    </row>
    <row r="29" spans="4:20" s="29" customFormat="1" x14ac:dyDescent="0.2">
      <c r="D29" s="55">
        <v>15</v>
      </c>
      <c r="E29" s="49">
        <v>16</v>
      </c>
      <c r="F29" s="49">
        <v>17</v>
      </c>
      <c r="G29" s="49">
        <v>18</v>
      </c>
      <c r="H29" s="49">
        <v>19</v>
      </c>
      <c r="I29" s="49">
        <v>20</v>
      </c>
      <c r="J29" s="49">
        <v>21</v>
      </c>
      <c r="K29" s="56"/>
      <c r="L29" s="58">
        <v>14</v>
      </c>
      <c r="O29" s="29" t="str">
        <f>CONCATENATE(O28,":",Q28)</f>
        <v>21:40</v>
      </c>
      <c r="T29" s="143"/>
    </row>
    <row r="30" spans="4:20" s="29" customFormat="1" x14ac:dyDescent="0.2">
      <c r="D30" s="55">
        <v>22</v>
      </c>
      <c r="E30" s="49">
        <v>23</v>
      </c>
      <c r="F30" s="49">
        <v>24</v>
      </c>
      <c r="G30" s="49">
        <v>25</v>
      </c>
      <c r="H30" s="49">
        <v>26</v>
      </c>
      <c r="I30" s="49">
        <v>27</v>
      </c>
      <c r="J30" s="49">
        <v>28</v>
      </c>
      <c r="K30" s="56"/>
      <c r="L30" s="58" t="str">
        <f>CONCATENATE("J",L29)</f>
        <v>J14</v>
      </c>
      <c r="O30" s="28">
        <f>O16+O29</f>
        <v>44328.902777777781</v>
      </c>
      <c r="T30" s="143"/>
    </row>
    <row r="31" spans="4:20" s="29" customFormat="1" x14ac:dyDescent="0.2">
      <c r="D31" s="55">
        <v>29</v>
      </c>
      <c r="E31" s="49">
        <v>30</v>
      </c>
      <c r="F31" s="49">
        <v>31</v>
      </c>
      <c r="G31" s="49">
        <v>32</v>
      </c>
      <c r="H31" s="49">
        <v>33</v>
      </c>
      <c r="I31" s="49">
        <v>34</v>
      </c>
      <c r="J31" s="49">
        <v>35</v>
      </c>
      <c r="K31" s="56"/>
      <c r="L31" s="57"/>
      <c r="T31" s="143"/>
    </row>
    <row r="32" spans="4:20" s="29" customFormat="1" ht="13.5" thickBot="1" x14ac:dyDescent="0.25">
      <c r="D32" s="60">
        <v>36</v>
      </c>
      <c r="E32" s="61">
        <v>37</v>
      </c>
      <c r="F32" s="61">
        <v>38</v>
      </c>
      <c r="G32" s="61">
        <v>39</v>
      </c>
      <c r="H32" s="61">
        <v>40</v>
      </c>
      <c r="I32" s="61">
        <v>41</v>
      </c>
      <c r="J32" s="61">
        <v>42</v>
      </c>
      <c r="K32" s="62"/>
      <c r="L32" s="63"/>
      <c r="T32" s="143"/>
    </row>
    <row r="33" spans="20:20" s="29" customFormat="1" x14ac:dyDescent="0.2">
      <c r="T33" s="143"/>
    </row>
    <row r="34" spans="20:20" s="29" customFormat="1" x14ac:dyDescent="0.2">
      <c r="T34" s="143"/>
    </row>
    <row r="35" spans="20:20" s="29" customFormat="1" x14ac:dyDescent="0.2">
      <c r="T35" s="143"/>
    </row>
    <row r="36" spans="20:20" s="29" customFormat="1" x14ac:dyDescent="0.2">
      <c r="T36" s="143"/>
    </row>
    <row r="37" spans="20:20" s="29" customFormat="1" x14ac:dyDescent="0.2">
      <c r="T37" s="143"/>
    </row>
    <row r="38" spans="20:20" s="29" customFormat="1" x14ac:dyDescent="0.2">
      <c r="T38" s="143"/>
    </row>
    <row r="39" spans="20:20" s="29" customFormat="1" x14ac:dyDescent="0.2">
      <c r="T39" s="143"/>
    </row>
    <row r="40" spans="20:20" s="29" customFormat="1" x14ac:dyDescent="0.2">
      <c r="T40" s="143"/>
    </row>
    <row r="41" spans="20:20" s="29" customFormat="1" x14ac:dyDescent="0.2">
      <c r="T41" s="143"/>
    </row>
    <row r="42" spans="20:20" s="29" customFormat="1" x14ac:dyDescent="0.2">
      <c r="T42" s="143"/>
    </row>
    <row r="43" spans="20:20" s="29" customFormat="1" x14ac:dyDescent="0.2">
      <c r="T43" s="143"/>
    </row>
    <row r="44" spans="20:20" s="29" customFormat="1" x14ac:dyDescent="0.2">
      <c r="T44" s="143"/>
    </row>
    <row r="45" spans="20:20" s="29" customFormat="1" x14ac:dyDescent="0.2">
      <c r="T45" s="143"/>
    </row>
    <row r="46" spans="20:20" s="29" customFormat="1" x14ac:dyDescent="0.2">
      <c r="T46" s="143"/>
    </row>
    <row r="47" spans="20:20" s="29" customFormat="1" x14ac:dyDescent="0.2">
      <c r="T47" s="143"/>
    </row>
    <row r="48" spans="20:20" s="29" customFormat="1" x14ac:dyDescent="0.2">
      <c r="T48" s="143"/>
    </row>
    <row r="49" spans="20:20" s="29" customFormat="1" x14ac:dyDescent="0.2">
      <c r="T49" s="143"/>
    </row>
    <row r="50" spans="20:20" s="29" customFormat="1" x14ac:dyDescent="0.2">
      <c r="T50" s="143"/>
    </row>
    <row r="51" spans="20:20" s="29" customFormat="1" x14ac:dyDescent="0.2">
      <c r="T51" s="143"/>
    </row>
    <row r="52" spans="20:20" s="29" customFormat="1" x14ac:dyDescent="0.2">
      <c r="T52" s="143"/>
    </row>
    <row r="53" spans="20:20" s="29" customFormat="1" x14ac:dyDescent="0.2">
      <c r="T53" s="143"/>
    </row>
    <row r="54" spans="20:20" s="29" customFormat="1" x14ac:dyDescent="0.2">
      <c r="T54" s="143"/>
    </row>
    <row r="55" spans="20:20" s="29" customFormat="1" x14ac:dyDescent="0.2">
      <c r="T55" s="143"/>
    </row>
    <row r="56" spans="20:20" s="29" customFormat="1" x14ac:dyDescent="0.2">
      <c r="T56" s="143"/>
    </row>
    <row r="57" spans="20:20" s="29" customFormat="1" x14ac:dyDescent="0.2">
      <c r="T57" s="143"/>
    </row>
    <row r="58" spans="20:20" s="29" customFormat="1" x14ac:dyDescent="0.2">
      <c r="T58" s="143"/>
    </row>
    <row r="59" spans="20:20" s="29" customFormat="1" x14ac:dyDescent="0.2">
      <c r="T59" s="143"/>
    </row>
    <row r="60" spans="20:20" s="29" customFormat="1" x14ac:dyDescent="0.2">
      <c r="T60" s="143"/>
    </row>
    <row r="61" spans="20:20" s="29" customFormat="1" x14ac:dyDescent="0.2">
      <c r="T61" s="143"/>
    </row>
    <row r="62" spans="20:20" s="29" customFormat="1" x14ac:dyDescent="0.2">
      <c r="T62" s="143"/>
    </row>
    <row r="63" spans="20:20" s="29" customFormat="1" x14ac:dyDescent="0.2">
      <c r="T63" s="143"/>
    </row>
    <row r="64" spans="20:20" s="29" customFormat="1" x14ac:dyDescent="0.2">
      <c r="T64" s="143"/>
    </row>
    <row r="65" spans="20:20" s="29" customFormat="1" x14ac:dyDescent="0.2">
      <c r="T65" s="143"/>
    </row>
    <row r="66" spans="20:20" s="29" customFormat="1" x14ac:dyDescent="0.2">
      <c r="T66" s="143"/>
    </row>
    <row r="67" spans="20:20" s="29" customFormat="1" x14ac:dyDescent="0.2">
      <c r="T67" s="143"/>
    </row>
    <row r="68" spans="20:20" s="29" customFormat="1" x14ac:dyDescent="0.2">
      <c r="T68" s="143"/>
    </row>
    <row r="69" spans="20:20" s="29" customFormat="1" x14ac:dyDescent="0.2">
      <c r="T69" s="143"/>
    </row>
    <row r="70" spans="20:20" s="29" customFormat="1" x14ac:dyDescent="0.2">
      <c r="T70" s="143"/>
    </row>
    <row r="71" spans="20:20" s="29" customFormat="1" x14ac:dyDescent="0.2">
      <c r="T71" s="143"/>
    </row>
    <row r="72" spans="20:20" s="29" customFormat="1" x14ac:dyDescent="0.2">
      <c r="T72" s="143"/>
    </row>
    <row r="73" spans="20:20" s="29" customFormat="1" x14ac:dyDescent="0.2">
      <c r="T73" s="143"/>
    </row>
    <row r="74" spans="20:20" s="29" customFormat="1" x14ac:dyDescent="0.2">
      <c r="T74" s="143"/>
    </row>
    <row r="75" spans="20:20" s="29" customFormat="1" x14ac:dyDescent="0.2"/>
    <row r="76" spans="20:20" s="29" customFormat="1" x14ac:dyDescent="0.2"/>
    <row r="77" spans="20:20" s="29" customFormat="1" x14ac:dyDescent="0.2"/>
    <row r="78" spans="20:20" s="29" customFormat="1" x14ac:dyDescent="0.2"/>
    <row r="79" spans="20:20" s="29" customFormat="1" x14ac:dyDescent="0.2"/>
    <row r="80" spans="20:20" s="29" customFormat="1" x14ac:dyDescent="0.2"/>
    <row r="81" s="29" customFormat="1" x14ac:dyDescent="0.2"/>
    <row r="82" s="29" customFormat="1" x14ac:dyDescent="0.2"/>
    <row r="83" s="29" customFormat="1" x14ac:dyDescent="0.2"/>
    <row r="84" s="29" customFormat="1" x14ac:dyDescent="0.2"/>
    <row r="85" s="29" customFormat="1" x14ac:dyDescent="0.2"/>
    <row r="86" s="29" customFormat="1" x14ac:dyDescent="0.2"/>
    <row r="87" s="29" customFormat="1" x14ac:dyDescent="0.2"/>
    <row r="88" s="29" customFormat="1" x14ac:dyDescent="0.2"/>
    <row r="89" s="29" customFormat="1" x14ac:dyDescent="0.2"/>
    <row r="90" s="29" customFormat="1" x14ac:dyDescent="0.2"/>
    <row r="91" s="29" customFormat="1" x14ac:dyDescent="0.2"/>
    <row r="92" s="29" customFormat="1" x14ac:dyDescent="0.2"/>
    <row r="93" s="29" customFormat="1" x14ac:dyDescent="0.2"/>
    <row r="94" s="29" customFormat="1" x14ac:dyDescent="0.2"/>
    <row r="95" s="29" customFormat="1" x14ac:dyDescent="0.2"/>
    <row r="96" s="29" customFormat="1" x14ac:dyDescent="0.2"/>
    <row r="97" s="29" customFormat="1" x14ac:dyDescent="0.2"/>
    <row r="98" s="29" customFormat="1" x14ac:dyDescent="0.2"/>
    <row r="99" s="29" customFormat="1" x14ac:dyDescent="0.2"/>
    <row r="100" s="29" customFormat="1" x14ac:dyDescent="0.2"/>
    <row r="101" s="29" customFormat="1" x14ac:dyDescent="0.2"/>
    <row r="102" s="29" customFormat="1" x14ac:dyDescent="0.2"/>
    <row r="103" s="29" customFormat="1" x14ac:dyDescent="0.2"/>
    <row r="104" s="29" customFormat="1" x14ac:dyDescent="0.2"/>
    <row r="105" s="29" customFormat="1" x14ac:dyDescent="0.2"/>
    <row r="106" s="29" customFormat="1" x14ac:dyDescent="0.2"/>
  </sheetData>
  <mergeCells count="8">
    <mergeCell ref="B2:B3"/>
    <mergeCell ref="O2:O4"/>
    <mergeCell ref="D21:L21"/>
    <mergeCell ref="D26:L26"/>
    <mergeCell ref="R2:R4"/>
    <mergeCell ref="T2:T4"/>
    <mergeCell ref="V2:V4"/>
    <mergeCell ref="D3:J3"/>
  </mergeCells>
  <conditionalFormatting sqref="D6:J11">
    <cfRule type="cellIs" dxfId="16" priority="3" stopIfTrue="1" operator="equal">
      <formula>""</formula>
    </cfRule>
    <cfRule type="timePeriod" dxfId="15" priority="4" stopIfTrue="1" timePeriod="today">
      <formula>FLOOR(D6,1)=TODAY()</formula>
    </cfRule>
  </conditionalFormatting>
  <conditionalFormatting sqref="M16">
    <cfRule type="cellIs" dxfId="14" priority="1" stopIfTrue="1" operator="equal">
      <formula>""</formula>
    </cfRule>
    <cfRule type="timePeriod" dxfId="13" priority="2" stopIfTrue="1" timePeriod="today">
      <formula>FLOOR(M16,1)=TODAY()</formula>
    </cfRule>
  </conditionalFormatting>
  <hyperlinks>
    <hyperlink ref="F16" r:id="rId1"/>
    <hyperlink ref="F18" r:id="rId2"/>
  </hyperlinks>
  <pageMargins left="0.7" right="0.7" top="0.75" bottom="0.75" header="0.3" footer="0.3"/>
  <pageSetup paperSize="9" orientation="portrait" horizontalDpi="4294967293" verticalDpi="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6" name="Spinner 2">
              <controlPr defaultSize="0" autoPict="0">
                <anchor moveWithCells="1" sizeWithCells="1">
                  <from>
                    <xdr:col>11</xdr:col>
                    <xdr:colOff>638175</xdr:colOff>
                    <xdr:row>6</xdr:row>
                    <xdr:rowOff>19050</xdr:rowOff>
                  </from>
                  <to>
                    <xdr:col>12</xdr:col>
                    <xdr:colOff>9525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7" name="Button 3">
              <controlPr defaultSize="0" print="0" autoFill="0" autoPict="0" macro="[0]!Date_Picker">
                <anchor moveWithCells="1" sizeWithCells="1">
                  <from>
                    <xdr:col>6</xdr:col>
                    <xdr:colOff>238125</xdr:colOff>
                    <xdr:row>12</xdr:row>
                    <xdr:rowOff>28575</xdr:rowOff>
                  </from>
                  <to>
                    <xdr:col>7</xdr:col>
                    <xdr:colOff>552450</xdr:colOff>
                    <xdr:row>13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35"/>
  <sheetViews>
    <sheetView zoomScaleNormal="100" workbookViewId="0">
      <selection activeCell="D11" sqref="D11"/>
    </sheetView>
  </sheetViews>
  <sheetFormatPr baseColWidth="10" defaultRowHeight="12.75" x14ac:dyDescent="0.2"/>
  <cols>
    <col min="2" max="2" width="19.140625" bestFit="1" customWidth="1"/>
    <col min="3" max="3" width="19.5703125" bestFit="1" customWidth="1"/>
    <col min="4" max="4" width="22.42578125" style="1" customWidth="1"/>
    <col min="7" max="7" width="22" customWidth="1"/>
    <col min="8" max="8" width="21.5703125" customWidth="1"/>
  </cols>
  <sheetData>
    <row r="1" spans="1:14" x14ac:dyDescent="0.2">
      <c r="B1" t="s">
        <v>16</v>
      </c>
      <c r="C1" t="s">
        <v>17</v>
      </c>
      <c r="D1" s="1" t="s">
        <v>25</v>
      </c>
      <c r="L1" s="10"/>
      <c r="M1" s="10"/>
    </row>
    <row r="2" spans="1:14" x14ac:dyDescent="0.2">
      <c r="A2" s="53" t="s">
        <v>533</v>
      </c>
      <c r="B2" s="28">
        <v>44295.875</v>
      </c>
      <c r="C2" s="28">
        <v>44298.291666666664</v>
      </c>
      <c r="D2" s="27">
        <f t="shared" ref="D2:D6" si="0">delai_H_Ouv(B2,C2)</f>
        <v>8.3333333330907977E-2</v>
      </c>
      <c r="L2" s="10"/>
      <c r="M2" s="10"/>
    </row>
    <row r="3" spans="1:14" x14ac:dyDescent="0.2">
      <c r="B3" s="28">
        <v>41263.416666666664</v>
      </c>
      <c r="C3" s="28">
        <v>41269.666666666664</v>
      </c>
      <c r="D3" s="27">
        <f t="shared" si="0"/>
        <v>2.9166666666666665</v>
      </c>
      <c r="L3" s="10"/>
      <c r="M3" s="10"/>
      <c r="N3" s="10"/>
    </row>
    <row r="4" spans="1:14" x14ac:dyDescent="0.2">
      <c r="B4" s="28">
        <v>41263.416666666664</v>
      </c>
      <c r="C4" s="28">
        <v>41263.625</v>
      </c>
      <c r="D4" s="27">
        <f t="shared" si="0"/>
        <v>0.20833333333575865</v>
      </c>
    </row>
    <row r="5" spans="1:14" x14ac:dyDescent="0.2">
      <c r="B5" s="28">
        <v>44323.875</v>
      </c>
      <c r="C5" s="28">
        <v>44327.291666666664</v>
      </c>
      <c r="D5" s="27">
        <f t="shared" si="0"/>
        <v>0.74999999999757461</v>
      </c>
      <c r="K5" s="10"/>
      <c r="L5" s="10"/>
      <c r="M5" s="10"/>
      <c r="N5" s="10"/>
    </row>
    <row r="6" spans="1:14" ht="13.5" thickBot="1" x14ac:dyDescent="0.25">
      <c r="B6" s="28"/>
      <c r="C6" s="28"/>
      <c r="D6" s="27">
        <f t="shared" si="0"/>
        <v>0</v>
      </c>
      <c r="K6" s="10"/>
      <c r="L6" s="10"/>
      <c r="M6" s="10"/>
      <c r="N6" s="10"/>
    </row>
    <row r="7" spans="1:14" x14ac:dyDescent="0.2">
      <c r="A7" s="202" t="s">
        <v>533</v>
      </c>
      <c r="B7" s="203">
        <f>Saisie!C18</f>
        <v>44328.875</v>
      </c>
      <c r="C7" s="203">
        <f>Saisie!E18</f>
        <v>44333.291666666664</v>
      </c>
      <c r="D7" s="204">
        <f>delai_H_Ouv(B7,C7)</f>
        <v>8.3333333330907977E-2</v>
      </c>
    </row>
    <row r="8" spans="1:14" x14ac:dyDescent="0.2">
      <c r="A8" s="205" t="s">
        <v>534</v>
      </c>
      <c r="B8" s="206">
        <f>Saisie!E18</f>
        <v>44333.291666666664</v>
      </c>
      <c r="C8" s="206">
        <f>Saisie!G18</f>
        <v>44333.333333333336</v>
      </c>
      <c r="D8" s="207">
        <f>delai_H_Ouv(B8,C8)</f>
        <v>4.1666666671517305E-2</v>
      </c>
    </row>
    <row r="9" spans="1:14" ht="13.5" thickBot="1" x14ac:dyDescent="0.25">
      <c r="A9" s="208" t="s">
        <v>535</v>
      </c>
      <c r="B9" s="209">
        <f>Saisie!C18</f>
        <v>44328.875</v>
      </c>
      <c r="C9" s="209">
        <f>Saisie!G18</f>
        <v>44333.333333333336</v>
      </c>
      <c r="D9" s="210">
        <f>delai_H_Ouv(B9,C9)</f>
        <v>0.12500000000242528</v>
      </c>
    </row>
    <row r="30" spans="14:16" x14ac:dyDescent="0.2">
      <c r="N30" s="35"/>
      <c r="O30" s="35"/>
      <c r="P30" s="27"/>
    </row>
    <row r="35" spans="7:9" x14ac:dyDescent="0.2">
      <c r="G35" s="28"/>
      <c r="H35" s="28"/>
      <c r="I35" s="27"/>
    </row>
  </sheetData>
  <phoneticPr fontId="5" type="noConversion"/>
  <pageMargins left="0.78740157499999996" right="0.78740157499999996" top="0.984251969" bottom="0.984251969" header="0.4921259845" footer="0.4921259845"/>
  <pageSetup paperSize="9" orientation="portrait" copies="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8:I22"/>
  <sheetViews>
    <sheetView workbookViewId="0">
      <selection activeCell="K16" sqref="K16"/>
    </sheetView>
  </sheetViews>
  <sheetFormatPr baseColWidth="10" defaultRowHeight="12.75" x14ac:dyDescent="0.2"/>
  <cols>
    <col min="1" max="1" width="11.42578125" style="29"/>
    <col min="2" max="2" width="21.42578125" style="29" customWidth="1"/>
    <col min="3" max="3" width="23.140625" style="65" customWidth="1"/>
    <col min="4" max="4" width="37.7109375" style="65" customWidth="1"/>
    <col min="5" max="5" width="22.140625" style="65" customWidth="1"/>
    <col min="6" max="6" width="16.42578125" style="65" customWidth="1"/>
    <col min="7" max="7" width="19.7109375" style="65" customWidth="1"/>
    <col min="8" max="8" width="17.28515625" style="65" customWidth="1"/>
    <col min="9" max="9" width="17.140625" style="65" customWidth="1"/>
    <col min="10" max="16384" width="11.42578125" style="29"/>
  </cols>
  <sheetData>
    <row r="8" spans="2:9" x14ac:dyDescent="0.2">
      <c r="C8" s="29"/>
      <c r="D8" s="29"/>
      <c r="E8" s="29"/>
    </row>
    <row r="9" spans="2:9" ht="23.25" customHeight="1" x14ac:dyDescent="0.2">
      <c r="B9" s="121" t="s">
        <v>432</v>
      </c>
      <c r="C9" s="122" t="s">
        <v>426</v>
      </c>
      <c r="D9" s="122" t="s">
        <v>427</v>
      </c>
      <c r="E9" s="122" t="s">
        <v>503</v>
      </c>
      <c r="F9" s="123" t="s">
        <v>428</v>
      </c>
      <c r="G9" s="123" t="s">
        <v>429</v>
      </c>
      <c r="H9" s="123" t="s">
        <v>430</v>
      </c>
      <c r="I9" s="124" t="s">
        <v>431</v>
      </c>
    </row>
    <row r="10" spans="2:9" x14ac:dyDescent="0.2">
      <c r="B10" s="125" t="s">
        <v>493</v>
      </c>
      <c r="C10" s="126" t="s">
        <v>494</v>
      </c>
      <c r="D10" s="126" t="s">
        <v>495</v>
      </c>
      <c r="E10" s="127">
        <v>1</v>
      </c>
      <c r="F10" s="127"/>
      <c r="G10" s="127"/>
      <c r="H10" s="127"/>
      <c r="I10" s="120"/>
    </row>
    <row r="11" spans="2:9" x14ac:dyDescent="0.2">
      <c r="B11" s="125" t="s">
        <v>504</v>
      </c>
      <c r="C11" s="126" t="s">
        <v>499</v>
      </c>
      <c r="D11" s="126" t="s">
        <v>500</v>
      </c>
      <c r="E11" s="127">
        <v>2</v>
      </c>
      <c r="F11" s="127"/>
      <c r="G11" s="127"/>
      <c r="H11" s="127"/>
      <c r="I11" s="120"/>
    </row>
    <row r="12" spans="2:9" x14ac:dyDescent="0.2">
      <c r="B12" s="125" t="s">
        <v>504</v>
      </c>
      <c r="C12" s="126" t="s">
        <v>501</v>
      </c>
      <c r="D12" s="126" t="s">
        <v>502</v>
      </c>
      <c r="E12" s="127">
        <v>3</v>
      </c>
      <c r="F12" s="127"/>
      <c r="G12" s="127"/>
      <c r="H12" s="127"/>
      <c r="I12" s="120"/>
    </row>
    <row r="13" spans="2:9" x14ac:dyDescent="0.2">
      <c r="B13" s="128" t="s">
        <v>504</v>
      </c>
      <c r="C13" s="129" t="s">
        <v>545</v>
      </c>
      <c r="D13" s="129" t="s">
        <v>546</v>
      </c>
      <c r="E13" s="92">
        <v>4</v>
      </c>
      <c r="F13" s="92"/>
      <c r="G13" s="92"/>
      <c r="H13" s="92"/>
      <c r="I13" s="116"/>
    </row>
    <row r="14" spans="2:9" x14ac:dyDescent="0.2">
      <c r="B14" s="128" t="s">
        <v>504</v>
      </c>
      <c r="C14" s="129" t="s">
        <v>543</v>
      </c>
      <c r="D14" s="129" t="s">
        <v>544</v>
      </c>
      <c r="E14" s="92">
        <v>4</v>
      </c>
      <c r="F14" s="92"/>
      <c r="G14" s="92"/>
      <c r="H14" s="92"/>
      <c r="I14" s="116"/>
    </row>
    <row r="15" spans="2:9" x14ac:dyDescent="0.2">
      <c r="B15" s="128" t="s">
        <v>504</v>
      </c>
      <c r="C15" s="129" t="s">
        <v>541</v>
      </c>
      <c r="D15" s="129" t="s">
        <v>542</v>
      </c>
      <c r="E15" s="92">
        <v>4</v>
      </c>
      <c r="F15" s="92"/>
      <c r="G15" s="92"/>
      <c r="H15" s="92"/>
      <c r="I15" s="116"/>
    </row>
    <row r="16" spans="2:9" x14ac:dyDescent="0.2">
      <c r="B16" s="128" t="s">
        <v>504</v>
      </c>
      <c r="C16" s="129" t="s">
        <v>539</v>
      </c>
      <c r="D16" s="129" t="s">
        <v>540</v>
      </c>
      <c r="E16" s="92">
        <v>4</v>
      </c>
      <c r="F16" s="92"/>
      <c r="G16" s="92"/>
      <c r="H16" s="92"/>
      <c r="I16" s="116"/>
    </row>
    <row r="17" spans="2:9" x14ac:dyDescent="0.2">
      <c r="B17" s="125" t="s">
        <v>505</v>
      </c>
      <c r="C17" s="126" t="s">
        <v>506</v>
      </c>
      <c r="D17" s="126" t="s">
        <v>507</v>
      </c>
      <c r="E17" s="127">
        <v>1</v>
      </c>
      <c r="F17" s="126" t="s">
        <v>508</v>
      </c>
      <c r="G17" s="127"/>
      <c r="H17" s="127"/>
      <c r="I17" s="120"/>
    </row>
    <row r="18" spans="2:9" x14ac:dyDescent="0.2">
      <c r="B18" s="125" t="s">
        <v>505</v>
      </c>
      <c r="C18" s="126" t="s">
        <v>508</v>
      </c>
      <c r="D18" s="126" t="s">
        <v>509</v>
      </c>
      <c r="E18" s="127">
        <v>1</v>
      </c>
      <c r="F18" s="126" t="s">
        <v>510</v>
      </c>
      <c r="G18" s="127"/>
      <c r="H18" s="127"/>
      <c r="I18" s="120"/>
    </row>
    <row r="19" spans="2:9" x14ac:dyDescent="0.2">
      <c r="B19" s="125" t="s">
        <v>505</v>
      </c>
      <c r="C19" s="126" t="s">
        <v>510</v>
      </c>
      <c r="D19" s="126" t="s">
        <v>511</v>
      </c>
      <c r="E19" s="127">
        <v>1</v>
      </c>
      <c r="F19" s="127"/>
      <c r="G19" s="127"/>
      <c r="H19" s="127"/>
      <c r="I19" s="120"/>
    </row>
    <row r="20" spans="2:9" x14ac:dyDescent="0.2">
      <c r="B20" s="125" t="s">
        <v>505</v>
      </c>
      <c r="C20" s="126" t="s">
        <v>512</v>
      </c>
      <c r="D20" s="126" t="s">
        <v>513</v>
      </c>
      <c r="E20" s="127">
        <v>1</v>
      </c>
      <c r="F20" s="126" t="s">
        <v>514</v>
      </c>
      <c r="G20" s="127"/>
      <c r="H20" s="127"/>
      <c r="I20" s="120"/>
    </row>
    <row r="21" spans="2:9" x14ac:dyDescent="0.2">
      <c r="B21" s="125" t="s">
        <v>505</v>
      </c>
      <c r="C21" s="126" t="s">
        <v>515</v>
      </c>
      <c r="D21" s="126" t="s">
        <v>516</v>
      </c>
      <c r="E21" s="127">
        <v>1</v>
      </c>
      <c r="F21" s="126" t="s">
        <v>499</v>
      </c>
      <c r="G21" s="127"/>
      <c r="H21" s="127"/>
      <c r="I21" s="120"/>
    </row>
    <row r="22" spans="2:9" x14ac:dyDescent="0.2">
      <c r="B22" s="125" t="s">
        <v>505</v>
      </c>
      <c r="C22" s="126" t="s">
        <v>518</v>
      </c>
      <c r="D22" s="126" t="s">
        <v>517</v>
      </c>
      <c r="E22" s="127">
        <v>1</v>
      </c>
      <c r="F22" s="126" t="s">
        <v>510</v>
      </c>
      <c r="G22" s="127"/>
      <c r="H22" s="127"/>
      <c r="I22" s="120"/>
    </row>
  </sheetData>
  <pageMargins left="0.7" right="0.7" top="0.75" bottom="0.75" header="0.3" footer="0.3"/>
  <ignoredErrors>
    <ignoredError sqref="B10:B12 B23:B1048576" listDataValidation="1"/>
  </ignoredErrors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User_Prog!$AD$27:$AD$33</xm:f>
          </x14:formula1>
          <xm:sqref>B10:B1048576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Saisie</vt:lpstr>
      <vt:lpstr>User_Prog</vt:lpstr>
      <vt:lpstr>Source</vt:lpstr>
      <vt:lpstr>Fériés</vt:lpstr>
      <vt:lpstr>Calendrier</vt:lpstr>
      <vt:lpstr>Feuil3</vt:lpstr>
      <vt:lpstr>Proc</vt:lpstr>
      <vt:lpstr>Fériés</vt:lpstr>
      <vt:lpstr>Ouverture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Leveque</cp:lastModifiedBy>
  <dcterms:created xsi:type="dcterms:W3CDTF">2012-10-26T09:13:57Z</dcterms:created>
  <dcterms:modified xsi:type="dcterms:W3CDTF">2021-05-13T13:59:48Z</dcterms:modified>
</cp:coreProperties>
</file>