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778FD783-FB47-4D2A-A3F2-2757DF59DB92/Library/Application Support/Drafts/"/>
    </mc:Choice>
  </mc:AlternateContent>
  <xr:revisionPtr revIDLastSave="0" documentId="8_{FC0C6B2C-2AE1-C64D-8FD4-2A1CCF5BA00A}" xr6:coauthVersionLast="46" xr6:coauthVersionMax="46" xr10:uidLastSave="{00000000-0000-0000-0000-000000000000}"/>
  <bookViews>
    <workbookView xWindow="0" yWindow="0" windowWidth="0" windowHeight="0" activeTab="5" xr2:uid="{00000000-000D-0000-FFFF-FFFF00000000}"/>
  </bookViews>
  <sheets>
    <sheet name="Matériaux" sheetId="1" r:id="rId1"/>
    <sheet name="Atelier linge" sheetId="8" r:id="rId2"/>
    <sheet name="Atelier cuisine " sheetId="9" r:id="rId3"/>
    <sheet name="Atelier surface" sheetId="12" r:id="rId4"/>
    <sheet name="Atelier Abeille" sheetId="14" r:id="rId5"/>
    <sheet name="Atelier WC" sheetId="3" r:id="rId6"/>
    <sheet name="Tawashi" sheetId="11" r:id="rId7"/>
    <sheet name="Savon ménager" sheetId="15" r:id="rId8"/>
    <sheet name="Calcul des marges" sheetId="13" r:id="rId9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1" l="1"/>
  <c r="I18" i="1"/>
  <c r="L18" i="1"/>
  <c r="M18" i="1"/>
  <c r="G18" i="1"/>
  <c r="N18" i="1"/>
  <c r="E21" i="8"/>
  <c r="F21" i="8"/>
  <c r="I19" i="1"/>
  <c r="L19" i="1"/>
  <c r="M19" i="1"/>
  <c r="G19" i="1"/>
  <c r="N19" i="1"/>
  <c r="E22" i="8"/>
  <c r="F22" i="8"/>
  <c r="I20" i="1"/>
  <c r="L20" i="1"/>
  <c r="M20" i="1"/>
  <c r="G20" i="1"/>
  <c r="N20" i="1"/>
  <c r="E23" i="8"/>
  <c r="F23" i="8"/>
  <c r="I22" i="1"/>
  <c r="L22" i="1"/>
  <c r="M22" i="1"/>
  <c r="G22" i="1"/>
  <c r="N22" i="1"/>
  <c r="E25" i="8"/>
  <c r="F25" i="8"/>
  <c r="I23" i="1"/>
  <c r="L23" i="1"/>
  <c r="M23" i="1"/>
  <c r="G23" i="1"/>
  <c r="N23" i="1"/>
  <c r="E26" i="8"/>
  <c r="F26" i="8"/>
  <c r="L24" i="1"/>
  <c r="M24" i="1"/>
  <c r="G24" i="1"/>
  <c r="N24" i="1"/>
  <c r="E27" i="8"/>
  <c r="F27" i="8"/>
  <c r="L25" i="1"/>
  <c r="M25" i="1"/>
  <c r="G25" i="1"/>
  <c r="N25" i="1"/>
  <c r="E28" i="8"/>
  <c r="F28" i="8"/>
  <c r="L30" i="1"/>
  <c r="M30" i="1"/>
  <c r="G30" i="1"/>
  <c r="N30" i="1"/>
  <c r="E33" i="8"/>
  <c r="F33" i="8"/>
  <c r="L31" i="1"/>
  <c r="M31" i="1"/>
  <c r="G31" i="1"/>
  <c r="N31" i="1"/>
  <c r="E34" i="8"/>
  <c r="F34" i="8"/>
  <c r="L32" i="1"/>
  <c r="M32" i="1"/>
  <c r="G32" i="1"/>
  <c r="N32" i="1"/>
  <c r="E35" i="8"/>
  <c r="F35" i="8"/>
  <c r="L33" i="1"/>
  <c r="M33" i="1"/>
  <c r="G33" i="1"/>
  <c r="N33" i="1"/>
  <c r="E36" i="8"/>
  <c r="F36" i="8"/>
  <c r="L34" i="1"/>
  <c r="M34" i="1"/>
  <c r="G34" i="1"/>
  <c r="N34" i="1"/>
  <c r="E37" i="8"/>
  <c r="F37" i="8"/>
  <c r="L35" i="1"/>
  <c r="M35" i="1"/>
  <c r="G35" i="1"/>
  <c r="N35" i="1"/>
  <c r="E38" i="8"/>
  <c r="F38" i="8"/>
  <c r="L36" i="1"/>
  <c r="M36" i="1"/>
  <c r="G36" i="1"/>
  <c r="N36" i="1"/>
  <c r="E39" i="8"/>
  <c r="F39" i="8"/>
  <c r="L37" i="1"/>
  <c r="M37" i="1"/>
  <c r="G37" i="1"/>
  <c r="N37" i="1"/>
  <c r="E40" i="8"/>
  <c r="F40" i="8"/>
  <c r="L38" i="1"/>
  <c r="M38" i="1"/>
  <c r="G38" i="1"/>
  <c r="N38" i="1"/>
  <c r="E41" i="8"/>
  <c r="F41" i="8"/>
  <c r="L39" i="1"/>
  <c r="M39" i="1"/>
  <c r="G39" i="1"/>
  <c r="N39" i="1"/>
  <c r="E42" i="8"/>
  <c r="F42" i="8"/>
  <c r="L40" i="1"/>
  <c r="M40" i="1"/>
  <c r="G40" i="1"/>
  <c r="N40" i="1"/>
  <c r="E43" i="8"/>
  <c r="F43" i="8"/>
  <c r="L41" i="1"/>
  <c r="M41" i="1"/>
  <c r="G41" i="1"/>
  <c r="N41" i="1"/>
  <c r="E44" i="8"/>
  <c r="F44" i="8"/>
  <c r="L42" i="1"/>
  <c r="M42" i="1"/>
  <c r="G42" i="1"/>
  <c r="N42" i="1"/>
  <c r="E45" i="8"/>
  <c r="F45" i="8"/>
  <c r="L43" i="1"/>
  <c r="M43" i="1"/>
  <c r="G43" i="1"/>
  <c r="N43" i="1"/>
  <c r="E46" i="8"/>
  <c r="F46" i="8"/>
  <c r="L45" i="1"/>
  <c r="M45" i="1"/>
  <c r="G45" i="1"/>
  <c r="N45" i="1"/>
  <c r="E48" i="8"/>
  <c r="F48" i="8"/>
  <c r="L46" i="1"/>
  <c r="M46" i="1"/>
  <c r="N46" i="1"/>
  <c r="E49" i="8"/>
  <c r="F49" i="8"/>
  <c r="L47" i="1"/>
  <c r="M47" i="1"/>
  <c r="G47" i="1"/>
  <c r="N47" i="1"/>
  <c r="E50" i="8"/>
  <c r="F50" i="8"/>
  <c r="L48" i="1"/>
  <c r="M48" i="1"/>
  <c r="G48" i="1"/>
  <c r="N48" i="1"/>
  <c r="E51" i="8"/>
  <c r="F51" i="8"/>
  <c r="L50" i="1"/>
  <c r="M50" i="1"/>
  <c r="G50" i="1"/>
  <c r="N50" i="1"/>
  <c r="E53" i="8"/>
  <c r="F53" i="8"/>
  <c r="L51" i="1"/>
  <c r="M51" i="1"/>
  <c r="G51" i="1"/>
  <c r="N51" i="1"/>
  <c r="E54" i="8"/>
  <c r="F54" i="8"/>
  <c r="L52" i="1"/>
  <c r="M52" i="1"/>
  <c r="G52" i="1"/>
  <c r="N52" i="1"/>
  <c r="E55" i="8"/>
  <c r="F55" i="8"/>
  <c r="L53" i="1"/>
  <c r="M53" i="1"/>
  <c r="G53" i="1"/>
  <c r="N53" i="1"/>
  <c r="E56" i="8"/>
  <c r="F56" i="8"/>
  <c r="L54" i="1"/>
  <c r="M54" i="1"/>
  <c r="G54" i="1"/>
  <c r="N54" i="1"/>
  <c r="E57" i="8"/>
  <c r="F57" i="8"/>
  <c r="L55" i="1"/>
  <c r="M55" i="1"/>
  <c r="G55" i="1"/>
  <c r="N55" i="1"/>
  <c r="E58" i="8"/>
  <c r="F58" i="8"/>
  <c r="L56" i="1"/>
  <c r="M56" i="1"/>
  <c r="G56" i="1"/>
  <c r="N56" i="1"/>
  <c r="E59" i="8"/>
  <c r="F59" i="8"/>
  <c r="L57" i="1"/>
  <c r="M57" i="1"/>
  <c r="G57" i="1"/>
  <c r="N57" i="1"/>
  <c r="E60" i="8"/>
  <c r="F60" i="8"/>
  <c r="L58" i="1"/>
  <c r="M58" i="1"/>
  <c r="G58" i="1"/>
  <c r="N58" i="1"/>
  <c r="E61" i="8"/>
  <c r="F61" i="8"/>
  <c r="L59" i="1"/>
  <c r="M59" i="1"/>
  <c r="G59" i="1"/>
  <c r="N59" i="1"/>
  <c r="E62" i="8"/>
  <c r="F62" i="8"/>
  <c r="L61" i="1"/>
  <c r="M61" i="1"/>
  <c r="G61" i="1"/>
  <c r="N61" i="1"/>
  <c r="E64" i="8"/>
  <c r="F64" i="8"/>
  <c r="L62" i="1"/>
  <c r="M62" i="1"/>
  <c r="G62" i="1"/>
  <c r="N62" i="1"/>
  <c r="E65" i="8"/>
  <c r="F65" i="8"/>
  <c r="L63" i="1"/>
  <c r="M63" i="1"/>
  <c r="G63" i="1"/>
  <c r="N63" i="1"/>
  <c r="E66" i="8"/>
  <c r="F66" i="8"/>
  <c r="L66" i="1"/>
  <c r="M66" i="1"/>
  <c r="G66" i="1"/>
  <c r="N66" i="1"/>
  <c r="E69" i="8"/>
  <c r="F69" i="8"/>
  <c r="L70" i="1"/>
  <c r="M70" i="1"/>
  <c r="G70" i="1"/>
  <c r="N70" i="1"/>
  <c r="E73" i="8"/>
  <c r="F73" i="8"/>
  <c r="E75" i="8"/>
  <c r="F75" i="8"/>
  <c r="I21" i="1"/>
  <c r="L21" i="1"/>
  <c r="M21" i="1"/>
  <c r="N21" i="1"/>
  <c r="L27" i="1"/>
  <c r="M27" i="1"/>
  <c r="N27" i="1"/>
  <c r="G29" i="1"/>
  <c r="N29" i="1"/>
  <c r="L44" i="1"/>
  <c r="M44" i="1"/>
  <c r="N44" i="1"/>
  <c r="L49" i="1"/>
  <c r="M49" i="1"/>
  <c r="N49" i="1"/>
  <c r="L60" i="1"/>
  <c r="M60" i="1"/>
  <c r="N60" i="1"/>
  <c r="L64" i="1"/>
  <c r="M64" i="1"/>
  <c r="N64" i="1"/>
  <c r="L65" i="1"/>
  <c r="M65" i="1"/>
  <c r="N65" i="1"/>
  <c r="L68" i="1"/>
  <c r="M68" i="1"/>
  <c r="N68" i="1"/>
  <c r="L69" i="1"/>
  <c r="M69" i="1"/>
  <c r="N69" i="1"/>
  <c r="L71" i="1"/>
  <c r="M71" i="1"/>
  <c r="N71" i="1"/>
  <c r="D59" i="15"/>
  <c r="D55" i="15"/>
  <c r="D8" i="15"/>
  <c r="D7" i="15"/>
  <c r="E54" i="15"/>
  <c r="J60" i="1"/>
  <c r="O7" i="15"/>
  <c r="O8" i="15"/>
  <c r="O9" i="15"/>
  <c r="O11" i="15"/>
  <c r="O12" i="15"/>
  <c r="O13" i="15"/>
  <c r="O14" i="15"/>
  <c r="O19" i="15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4" i="15"/>
  <c r="O35" i="15"/>
  <c r="O36" i="15"/>
  <c r="O37" i="15"/>
  <c r="O39" i="15"/>
  <c r="O40" i="15"/>
  <c r="O41" i="15"/>
  <c r="O42" i="15"/>
  <c r="O43" i="15"/>
  <c r="O44" i="15"/>
  <c r="O45" i="15"/>
  <c r="O46" i="15"/>
  <c r="O47" i="15"/>
  <c r="O48" i="15"/>
  <c r="O49" i="15"/>
  <c r="O50" i="15"/>
  <c r="O51" i="15"/>
  <c r="O54" i="15"/>
  <c r="O58" i="15"/>
  <c r="O60" i="15"/>
  <c r="D11" i="15"/>
  <c r="E11" i="15"/>
  <c r="D37" i="15"/>
  <c r="E37" i="15"/>
  <c r="E61" i="15"/>
  <c r="J7" i="15"/>
  <c r="K7" i="15"/>
  <c r="H4" i="15" a="1"/>
  <c r="H4" i="15"/>
  <c r="E62" i="15"/>
  <c r="E7" i="15"/>
  <c r="E8" i="15"/>
  <c r="D9" i="15"/>
  <c r="E9" i="15"/>
  <c r="E10" i="15"/>
  <c r="D12" i="15"/>
  <c r="E12" i="15"/>
  <c r="D13" i="15"/>
  <c r="E13" i="15"/>
  <c r="D14" i="15"/>
  <c r="E14" i="15"/>
  <c r="E16" i="15"/>
  <c r="E18" i="15"/>
  <c r="D19" i="15"/>
  <c r="E19" i="15"/>
  <c r="D20" i="15"/>
  <c r="E20" i="15"/>
  <c r="D21" i="15"/>
  <c r="E21" i="15"/>
  <c r="D22" i="15"/>
  <c r="E22" i="15"/>
  <c r="D23" i="15"/>
  <c r="E23" i="15"/>
  <c r="D24" i="15"/>
  <c r="E24" i="15"/>
  <c r="D25" i="15"/>
  <c r="E25" i="15"/>
  <c r="D26" i="15"/>
  <c r="E26" i="15"/>
  <c r="D27" i="15"/>
  <c r="E27" i="15"/>
  <c r="D28" i="15"/>
  <c r="E28" i="15"/>
  <c r="D29" i="15"/>
  <c r="E29" i="15"/>
  <c r="D30" i="15"/>
  <c r="E30" i="15"/>
  <c r="D31" i="15"/>
  <c r="E31" i="15"/>
  <c r="D32" i="15"/>
  <c r="E32" i="15"/>
  <c r="E33" i="15"/>
  <c r="D34" i="15"/>
  <c r="E34" i="15"/>
  <c r="D35" i="15"/>
  <c r="E35" i="15"/>
  <c r="D36" i="15"/>
  <c r="E36" i="15"/>
  <c r="E38" i="15"/>
  <c r="D39" i="15"/>
  <c r="E39" i="15"/>
  <c r="D40" i="15"/>
  <c r="E40" i="15"/>
  <c r="D41" i="15"/>
  <c r="E41" i="15"/>
  <c r="D42" i="15"/>
  <c r="E42" i="15"/>
  <c r="D43" i="15"/>
  <c r="E43" i="15"/>
  <c r="D44" i="15"/>
  <c r="E44" i="15"/>
  <c r="D45" i="15"/>
  <c r="E45" i="15"/>
  <c r="D46" i="15"/>
  <c r="E46" i="15"/>
  <c r="D47" i="15"/>
  <c r="E47" i="15"/>
  <c r="D48" i="15"/>
  <c r="E48" i="15"/>
  <c r="D49" i="15"/>
  <c r="E49" i="15"/>
  <c r="D50" i="15"/>
  <c r="E50" i="15"/>
  <c r="D51" i="15"/>
  <c r="E51" i="15"/>
  <c r="E52" i="15"/>
  <c r="E53" i="15"/>
  <c r="D58" i="15"/>
  <c r="E58" i="15"/>
  <c r="E59" i="15"/>
  <c r="D60" i="15"/>
  <c r="E60" i="15"/>
  <c r="K62" i="1"/>
  <c r="K61" i="1"/>
  <c r="K59" i="1"/>
  <c r="J59" i="1"/>
  <c r="K58" i="1"/>
  <c r="K57" i="1"/>
  <c r="K56" i="1"/>
  <c r="J58" i="1"/>
  <c r="K41" i="1"/>
  <c r="J41" i="1"/>
  <c r="K38" i="1"/>
  <c r="J38" i="1"/>
  <c r="K40" i="1"/>
  <c r="K42" i="1"/>
  <c r="J40" i="1"/>
  <c r="K39" i="1"/>
  <c r="J39" i="1"/>
  <c r="K37" i="1"/>
  <c r="J37" i="1"/>
  <c r="J57" i="1"/>
  <c r="J56" i="1"/>
  <c r="K55" i="1"/>
  <c r="K54" i="1"/>
  <c r="J55" i="1"/>
  <c r="K52" i="1"/>
  <c r="J52" i="1"/>
  <c r="K65" i="1"/>
  <c r="K64" i="1"/>
  <c r="J65" i="1"/>
  <c r="J64" i="1"/>
  <c r="J42" i="1"/>
  <c r="K63" i="1"/>
  <c r="J63" i="1"/>
  <c r="J62" i="1"/>
  <c r="K53" i="1"/>
  <c r="J53" i="1"/>
  <c r="K51" i="1"/>
  <c r="J51" i="1"/>
  <c r="K50" i="1"/>
  <c r="K48" i="1"/>
  <c r="J48" i="1"/>
  <c r="E109" i="1"/>
  <c r="E108" i="1"/>
  <c r="E107" i="1"/>
  <c r="K47" i="1"/>
  <c r="J47" i="1"/>
  <c r="J61" i="1"/>
  <c r="K35" i="1"/>
  <c r="K34" i="1"/>
  <c r="K33" i="1"/>
  <c r="J35" i="1"/>
  <c r="D23" i="1"/>
  <c r="D20" i="1"/>
  <c r="D19" i="1"/>
  <c r="K32" i="1"/>
  <c r="K22" i="1"/>
  <c r="K71" i="1"/>
  <c r="K49" i="1"/>
  <c r="K46" i="1"/>
  <c r="K21" i="1"/>
  <c r="K70" i="1"/>
  <c r="K69" i="1"/>
  <c r="K68" i="1"/>
  <c r="K27" i="1"/>
  <c r="K66" i="1"/>
  <c r="K31" i="1"/>
  <c r="K30" i="1"/>
  <c r="K36" i="1"/>
  <c r="K43" i="1"/>
  <c r="K44" i="1"/>
  <c r="K45" i="1"/>
  <c r="K25" i="1"/>
  <c r="K24" i="1"/>
  <c r="K23" i="1"/>
  <c r="K20" i="1"/>
  <c r="K19" i="1"/>
  <c r="D18" i="1"/>
  <c r="K18" i="1"/>
  <c r="J34" i="1"/>
  <c r="J33" i="1"/>
  <c r="J32" i="1"/>
  <c r="J22" i="1"/>
  <c r="J71" i="1"/>
  <c r="J49" i="1"/>
  <c r="J46" i="1"/>
  <c r="J21" i="1"/>
  <c r="J70" i="1"/>
  <c r="J69" i="1"/>
  <c r="J68" i="1"/>
  <c r="J27" i="1"/>
  <c r="J66" i="1"/>
  <c r="J31" i="1"/>
  <c r="J30" i="1"/>
  <c r="J43" i="1"/>
  <c r="J44" i="1"/>
  <c r="J45" i="1"/>
  <c r="J25" i="1"/>
  <c r="J24" i="1"/>
  <c r="J23" i="1"/>
  <c r="J20" i="1"/>
  <c r="J19" i="1"/>
  <c r="J18" i="1"/>
  <c r="I88" i="1"/>
  <c r="D21" i="12"/>
  <c r="E21" i="12"/>
  <c r="D22" i="12"/>
  <c r="E22" i="12"/>
  <c r="D23" i="12"/>
  <c r="E23" i="12"/>
  <c r="D24" i="12"/>
  <c r="E24" i="12"/>
  <c r="D25" i="12"/>
  <c r="E25" i="12"/>
  <c r="D26" i="12"/>
  <c r="E26" i="12"/>
  <c r="D27" i="12"/>
  <c r="E27" i="12"/>
  <c r="D29" i="12"/>
  <c r="E29" i="12"/>
  <c r="D32" i="12"/>
  <c r="E32" i="12"/>
  <c r="D38" i="12"/>
  <c r="E38" i="12"/>
  <c r="D40" i="12"/>
  <c r="E40" i="12"/>
  <c r="I21" i="12"/>
  <c r="J21" i="12"/>
  <c r="I22" i="12"/>
  <c r="J22" i="12"/>
  <c r="I23" i="12"/>
  <c r="J23" i="12"/>
  <c r="I24" i="12"/>
  <c r="J24" i="12"/>
  <c r="I25" i="12"/>
  <c r="J25" i="12"/>
  <c r="I26" i="12"/>
  <c r="J26" i="12"/>
  <c r="I27" i="12"/>
  <c r="J27" i="12"/>
  <c r="I29" i="12"/>
  <c r="J29" i="12"/>
  <c r="I32" i="12"/>
  <c r="J32" i="12"/>
  <c r="I38" i="12"/>
  <c r="J38" i="12"/>
  <c r="I40" i="12"/>
  <c r="J40" i="12"/>
  <c r="Q21" i="12"/>
  <c r="Q22" i="12"/>
  <c r="Q23" i="12"/>
  <c r="Q24" i="12"/>
  <c r="Q25" i="12"/>
  <c r="Q26" i="12"/>
  <c r="Q27" i="12"/>
  <c r="Q29" i="12"/>
  <c r="Q32" i="12"/>
  <c r="Q38" i="12"/>
  <c r="Q40" i="12"/>
  <c r="Q41" i="12"/>
  <c r="Q42" i="12"/>
  <c r="Q43" i="12"/>
  <c r="Q44" i="12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10" i="1"/>
  <c r="B10" i="1"/>
  <c r="C10" i="1"/>
  <c r="C11" i="1" a="1"/>
  <c r="C11" i="1"/>
  <c r="P21" i="12"/>
  <c r="P22" i="12"/>
  <c r="P23" i="12"/>
  <c r="P24" i="12"/>
  <c r="P25" i="12"/>
  <c r="P26" i="12"/>
  <c r="P27" i="12"/>
  <c r="P28" i="12"/>
  <c r="P29" i="12"/>
  <c r="P30" i="12"/>
  <c r="P31" i="12"/>
  <c r="P32" i="12"/>
  <c r="P33" i="12"/>
  <c r="P34" i="12"/>
  <c r="P35" i="12"/>
  <c r="P36" i="12"/>
  <c r="P37" i="12"/>
  <c r="P38" i="12"/>
  <c r="P39" i="12"/>
  <c r="P40" i="12"/>
  <c r="P41" i="12"/>
  <c r="P42" i="12"/>
  <c r="P43" i="12"/>
  <c r="P44" i="12"/>
  <c r="E59" i="12"/>
  <c r="E52" i="12"/>
  <c r="E47" i="12"/>
  <c r="D5" i="12"/>
  <c r="E5" i="12"/>
  <c r="P21" i="9"/>
  <c r="P22" i="9"/>
  <c r="P23" i="9"/>
  <c r="P24" i="9"/>
  <c r="P25" i="9"/>
  <c r="P26" i="9"/>
  <c r="P27" i="9"/>
  <c r="P29" i="9"/>
  <c r="P32" i="9"/>
  <c r="P38" i="9"/>
  <c r="P40" i="9"/>
  <c r="P41" i="9"/>
  <c r="P42" i="9"/>
  <c r="P43" i="9"/>
  <c r="P44" i="9"/>
  <c r="O42" i="9"/>
  <c r="O43" i="9"/>
  <c r="O44" i="9"/>
  <c r="O41" i="9"/>
  <c r="I42" i="9"/>
  <c r="I43" i="9"/>
  <c r="I44" i="9"/>
  <c r="J42" i="9"/>
  <c r="J43" i="9"/>
  <c r="J44" i="9"/>
  <c r="I41" i="9"/>
  <c r="J41" i="9"/>
  <c r="D42" i="9"/>
  <c r="D43" i="9"/>
  <c r="D44" i="9"/>
  <c r="E42" i="9"/>
  <c r="E43" i="9"/>
  <c r="E44" i="9"/>
  <c r="D41" i="9"/>
  <c r="E41" i="9"/>
  <c r="E64" i="9"/>
  <c r="E57" i="9"/>
  <c r="E52" i="9"/>
  <c r="O21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I21" i="9"/>
  <c r="J21" i="9"/>
  <c r="I22" i="9"/>
  <c r="J22" i="9"/>
  <c r="I23" i="9"/>
  <c r="J23" i="9"/>
  <c r="I24" i="9"/>
  <c r="J24" i="9"/>
  <c r="I25" i="9"/>
  <c r="J25" i="9"/>
  <c r="I26" i="9"/>
  <c r="J26" i="9"/>
  <c r="I27" i="9"/>
  <c r="J27" i="9"/>
  <c r="I29" i="9"/>
  <c r="J29" i="9"/>
  <c r="I32" i="9"/>
  <c r="J32" i="9"/>
  <c r="I38" i="9"/>
  <c r="J38" i="9"/>
  <c r="I40" i="9"/>
  <c r="J40" i="9"/>
  <c r="D21" i="9"/>
  <c r="E21" i="9"/>
  <c r="D22" i="9"/>
  <c r="E22" i="9"/>
  <c r="D23" i="9"/>
  <c r="E23" i="9"/>
  <c r="D24" i="9"/>
  <c r="E24" i="9"/>
  <c r="D25" i="9"/>
  <c r="E25" i="9"/>
  <c r="D26" i="9"/>
  <c r="E26" i="9"/>
  <c r="D27" i="9"/>
  <c r="E27" i="9"/>
  <c r="D29" i="9"/>
  <c r="E29" i="9"/>
  <c r="D32" i="9"/>
  <c r="E32" i="9"/>
  <c r="D38" i="9"/>
  <c r="E38" i="9"/>
  <c r="D40" i="9"/>
  <c r="E40" i="9"/>
  <c r="E5" i="9"/>
  <c r="F5" i="9"/>
  <c r="P42" i="8"/>
  <c r="Q42" i="8"/>
  <c r="P41" i="8"/>
  <c r="Q41" i="8"/>
  <c r="P40" i="8"/>
  <c r="Q40" i="8"/>
  <c r="P38" i="8"/>
  <c r="Q38" i="8"/>
  <c r="P32" i="8"/>
  <c r="Q32" i="8"/>
  <c r="P29" i="8"/>
  <c r="Q29" i="8"/>
  <c r="P27" i="8"/>
  <c r="Q27" i="8"/>
  <c r="P26" i="8"/>
  <c r="Q26" i="8"/>
  <c r="P25" i="8"/>
  <c r="Q25" i="8"/>
  <c r="P24" i="8"/>
  <c r="Q24" i="8"/>
  <c r="P23" i="8"/>
  <c r="Q23" i="8"/>
  <c r="P22" i="8"/>
  <c r="Q22" i="8"/>
  <c r="P21" i="8"/>
  <c r="Q21" i="8"/>
  <c r="J42" i="8"/>
  <c r="K42" i="8"/>
  <c r="J41" i="8"/>
  <c r="K41" i="8"/>
  <c r="J40" i="8"/>
  <c r="K40" i="8"/>
  <c r="J38" i="8"/>
  <c r="K38" i="8"/>
  <c r="J32" i="8"/>
  <c r="K32" i="8"/>
  <c r="J29" i="8"/>
  <c r="K29" i="8"/>
  <c r="J27" i="8"/>
  <c r="K27" i="8"/>
  <c r="J26" i="8"/>
  <c r="K26" i="8"/>
  <c r="J25" i="8"/>
  <c r="K25" i="8"/>
  <c r="J24" i="8"/>
  <c r="K24" i="8"/>
  <c r="J23" i="8"/>
  <c r="K23" i="8"/>
  <c r="J22" i="8"/>
  <c r="K22" i="8"/>
  <c r="J21" i="8"/>
  <c r="K21" i="8"/>
  <c r="E103" i="8"/>
  <c r="E96" i="8"/>
  <c r="E91" i="8"/>
  <c r="D5" i="8"/>
  <c r="E5" i="8"/>
  <c r="D21" i="3"/>
  <c r="E21" i="3"/>
  <c r="D22" i="3"/>
  <c r="E22" i="3"/>
  <c r="D23" i="3"/>
  <c r="E23" i="3"/>
  <c r="D24" i="3"/>
  <c r="E24" i="3"/>
  <c r="D25" i="3"/>
  <c r="E25" i="3"/>
  <c r="D26" i="3"/>
  <c r="E26" i="3"/>
  <c r="D27" i="3"/>
  <c r="E27" i="3"/>
  <c r="D29" i="3"/>
  <c r="E29" i="3"/>
  <c r="D32" i="3"/>
  <c r="E32" i="3"/>
  <c r="D38" i="3"/>
  <c r="E38" i="3"/>
  <c r="D40" i="3"/>
  <c r="E40" i="3"/>
  <c r="I21" i="3"/>
  <c r="J21" i="3"/>
  <c r="I22" i="3"/>
  <c r="J22" i="3"/>
  <c r="I23" i="3"/>
  <c r="J23" i="3"/>
  <c r="I24" i="3"/>
  <c r="J24" i="3"/>
  <c r="I25" i="3"/>
  <c r="J25" i="3"/>
  <c r="I26" i="3"/>
  <c r="J26" i="3"/>
  <c r="I27" i="3"/>
  <c r="J27" i="3"/>
  <c r="I29" i="3"/>
  <c r="J29" i="3"/>
  <c r="I32" i="3"/>
  <c r="J32" i="3"/>
  <c r="I38" i="3"/>
  <c r="J38" i="3"/>
  <c r="I40" i="3"/>
  <c r="J40" i="3"/>
  <c r="O21" i="3"/>
  <c r="P21" i="3"/>
  <c r="O22" i="3"/>
  <c r="P22" i="3"/>
  <c r="O23" i="3"/>
  <c r="P23" i="3"/>
  <c r="O24" i="3"/>
  <c r="P24" i="3"/>
  <c r="O25" i="3"/>
  <c r="P25" i="3"/>
  <c r="O26" i="3"/>
  <c r="P26" i="3"/>
  <c r="O27" i="3"/>
  <c r="P27" i="3"/>
  <c r="O28" i="3"/>
  <c r="P28" i="3"/>
  <c r="O29" i="3"/>
  <c r="P29" i="3"/>
  <c r="O30" i="3"/>
  <c r="P30" i="3"/>
  <c r="O31" i="3"/>
  <c r="P31" i="3"/>
  <c r="O32" i="3"/>
  <c r="P32" i="3"/>
  <c r="O33" i="3"/>
  <c r="P33" i="3"/>
  <c r="O34" i="3"/>
  <c r="P34" i="3"/>
  <c r="O35" i="3"/>
  <c r="P35" i="3"/>
  <c r="O36" i="3"/>
  <c r="P36" i="3"/>
  <c r="O37" i="3"/>
  <c r="P37" i="3"/>
  <c r="O38" i="3"/>
  <c r="P38" i="3"/>
  <c r="O39" i="3"/>
  <c r="P39" i="3"/>
  <c r="O40" i="3"/>
  <c r="P40" i="3"/>
  <c r="P41" i="3"/>
  <c r="E47" i="3"/>
  <c r="E52" i="3"/>
  <c r="D5" i="3"/>
  <c r="E59" i="3"/>
  <c r="E5" i="3"/>
  <c r="I36" i="3"/>
  <c r="J36" i="3"/>
  <c r="D36" i="3"/>
  <c r="E36" i="3"/>
  <c r="J36" i="8"/>
  <c r="K36" i="8"/>
  <c r="P36" i="8"/>
  <c r="Q36" i="8"/>
  <c r="D36" i="9"/>
  <c r="E36" i="9"/>
  <c r="I36" i="9"/>
  <c r="J36" i="9"/>
  <c r="P36" i="9"/>
  <c r="Q36" i="12"/>
  <c r="I36" i="12"/>
  <c r="J36" i="12"/>
  <c r="D36" i="12"/>
  <c r="E36" i="12"/>
  <c r="I35" i="3"/>
  <c r="J35" i="3"/>
  <c r="D35" i="3"/>
  <c r="E35" i="3"/>
  <c r="J35" i="8"/>
  <c r="K35" i="8"/>
  <c r="P35" i="8"/>
  <c r="Q35" i="8"/>
  <c r="D35" i="9"/>
  <c r="E35" i="9"/>
  <c r="I35" i="9"/>
  <c r="J35" i="9"/>
  <c r="P35" i="9"/>
  <c r="Q35" i="12"/>
  <c r="I35" i="12"/>
  <c r="J35" i="12"/>
  <c r="D35" i="12"/>
  <c r="E35" i="12"/>
  <c r="I34" i="3"/>
  <c r="J34" i="3"/>
  <c r="D34" i="3"/>
  <c r="E34" i="3"/>
  <c r="J34" i="8"/>
  <c r="K34" i="8"/>
  <c r="P34" i="8"/>
  <c r="Q34" i="8"/>
  <c r="D34" i="9"/>
  <c r="E34" i="9"/>
  <c r="I34" i="9"/>
  <c r="J34" i="9"/>
  <c r="P34" i="9"/>
  <c r="Q34" i="12"/>
  <c r="I34" i="12"/>
  <c r="J34" i="12"/>
  <c r="D34" i="12"/>
  <c r="E34" i="12"/>
  <c r="J36" i="1"/>
  <c r="J50" i="1"/>
  <c r="J41" i="12"/>
  <c r="Q45" i="12"/>
  <c r="E41" i="12"/>
  <c r="C5" i="12"/>
  <c r="E6" i="12"/>
  <c r="P45" i="9"/>
  <c r="J45" i="9"/>
  <c r="E45" i="9"/>
  <c r="D5" i="9"/>
  <c r="F6" i="9"/>
  <c r="Q43" i="8"/>
  <c r="K43" i="8"/>
  <c r="C5" i="8"/>
  <c r="E6" i="8"/>
  <c r="J41" i="3"/>
  <c r="E41" i="3"/>
  <c r="C5" i="3"/>
  <c r="E6" i="3"/>
  <c r="J54" i="1"/>
  <c r="D33" i="12"/>
  <c r="E33" i="12"/>
  <c r="I33" i="12"/>
  <c r="J33" i="12"/>
  <c r="Q33" i="12"/>
  <c r="P33" i="9"/>
  <c r="I33" i="9"/>
  <c r="J33" i="9"/>
  <c r="D33" i="9"/>
  <c r="E33" i="9"/>
  <c r="P33" i="8"/>
  <c r="Q33" i="8"/>
  <c r="J33" i="8"/>
  <c r="K33" i="8"/>
  <c r="D33" i="3"/>
  <c r="E33" i="3"/>
  <c r="I33" i="3"/>
  <c r="J33" i="3"/>
  <c r="D31" i="12"/>
  <c r="E31" i="12"/>
  <c r="I31" i="12"/>
  <c r="J31" i="12"/>
  <c r="Q31" i="12"/>
  <c r="P31" i="9"/>
  <c r="I31" i="9"/>
  <c r="J31" i="9"/>
  <c r="D31" i="9"/>
  <c r="E31" i="9"/>
  <c r="P31" i="8"/>
  <c r="Q31" i="8"/>
  <c r="J31" i="8"/>
  <c r="K31" i="8"/>
  <c r="D31" i="3"/>
  <c r="E31" i="3"/>
  <c r="I31" i="3"/>
  <c r="J31" i="3"/>
  <c r="D37" i="12"/>
  <c r="E37" i="12"/>
  <c r="I37" i="12"/>
  <c r="J37" i="12"/>
  <c r="Q37" i="12"/>
  <c r="P37" i="9"/>
  <c r="I37" i="9"/>
  <c r="J37" i="9"/>
  <c r="D37" i="9"/>
  <c r="E37" i="9"/>
  <c r="P37" i="8"/>
  <c r="Q37" i="8"/>
  <c r="J37" i="8"/>
  <c r="K37" i="8"/>
  <c r="D37" i="3"/>
  <c r="E37" i="3"/>
  <c r="I37" i="3"/>
  <c r="J37" i="3"/>
  <c r="E55" i="15"/>
  <c r="F31" i="8"/>
  <c r="E31" i="8"/>
  <c r="F70" i="8"/>
  <c r="E70" i="8"/>
  <c r="E29" i="8"/>
  <c r="F29" i="8"/>
  <c r="E17" i="15"/>
  <c r="D17" i="15"/>
  <c r="D15" i="15"/>
  <c r="E15" i="15"/>
  <c r="I28" i="12"/>
  <c r="J28" i="12"/>
  <c r="Q28" i="12"/>
  <c r="D28" i="12"/>
  <c r="E28" i="12"/>
  <c r="P28" i="9"/>
  <c r="I28" i="9"/>
  <c r="J28" i="9"/>
  <c r="D28" i="9"/>
  <c r="E28" i="9"/>
  <c r="P28" i="8"/>
  <c r="Q28" i="8"/>
  <c r="J28" i="8"/>
  <c r="K28" i="8"/>
  <c r="I28" i="3"/>
  <c r="J28" i="3"/>
  <c r="D28" i="3"/>
  <c r="E28" i="3"/>
  <c r="I29" i="1"/>
  <c r="L29" i="1"/>
  <c r="J67" i="1"/>
  <c r="H29" i="1"/>
  <c r="K29" i="1"/>
  <c r="J29" i="1"/>
  <c r="J26" i="1"/>
  <c r="J28" i="1"/>
  <c r="D30" i="12"/>
  <c r="E30" i="12"/>
  <c r="D39" i="12"/>
  <c r="E39" i="12"/>
  <c r="I30" i="12"/>
  <c r="J30" i="12"/>
  <c r="I39" i="12"/>
  <c r="J39" i="12"/>
  <c r="Q30" i="12"/>
  <c r="Q39" i="12"/>
  <c r="P30" i="9"/>
  <c r="P39" i="9"/>
  <c r="I30" i="9"/>
  <c r="J30" i="9"/>
  <c r="I39" i="9"/>
  <c r="J39" i="9"/>
  <c r="D30" i="9"/>
  <c r="E30" i="9"/>
  <c r="D39" i="9"/>
  <c r="E39" i="9"/>
  <c r="P39" i="8"/>
  <c r="Q39" i="8"/>
  <c r="P30" i="8"/>
  <c r="Q30" i="8"/>
  <c r="J39" i="8"/>
  <c r="K39" i="8"/>
  <c r="J30" i="8"/>
  <c r="K30" i="8"/>
  <c r="D30" i="3"/>
  <c r="E30" i="3"/>
  <c r="D39" i="3"/>
  <c r="E39" i="3"/>
  <c r="I30" i="3"/>
  <c r="J30" i="3"/>
  <c r="I39" i="3"/>
  <c r="J39" i="3"/>
  <c r="O55" i="15"/>
  <c r="K28" i="1"/>
  <c r="H28" i="1"/>
  <c r="I28" i="1"/>
  <c r="L28" i="1"/>
  <c r="M28" i="1"/>
  <c r="N28" i="1"/>
  <c r="O17" i="15"/>
  <c r="K26" i="1"/>
  <c r="H26" i="1"/>
  <c r="I26" i="1"/>
  <c r="L26" i="1"/>
  <c r="M26" i="1"/>
  <c r="N26" i="1"/>
  <c r="O15" i="15"/>
  <c r="E56" i="15"/>
  <c r="K67" i="1"/>
  <c r="H67" i="1"/>
  <c r="I67" i="1"/>
  <c r="L67" i="1"/>
  <c r="M67" i="1"/>
  <c r="N67" i="1"/>
  <c r="D56" i="1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<sst xmlns="http://schemas.openxmlformats.org/spreadsheetml/2006/main" count="935" uniqueCount="218">
  <si>
    <t xml:space="preserve">Matériaux </t>
  </si>
  <si>
    <t>Quantité</t>
  </si>
  <si>
    <t>Acide citrique</t>
  </si>
  <si>
    <t>Bicarbonate de soude</t>
  </si>
  <si>
    <t>Cristaux de soude</t>
  </si>
  <si>
    <t>Percarbonate de soude</t>
  </si>
  <si>
    <t>Vinaigre blanc</t>
  </si>
  <si>
    <t>Alcool denaturé</t>
  </si>
  <si>
    <t>Huile de lin</t>
  </si>
  <si>
    <t>Terebentine</t>
  </si>
  <si>
    <t>Cire d’abeille</t>
  </si>
  <si>
    <t>Alcool modifié/vodka</t>
  </si>
  <si>
    <t>HE tea tree</t>
  </si>
  <si>
    <t>HÉ Palmarosa</t>
  </si>
  <si>
    <t>HÉ Thym</t>
  </si>
  <si>
    <t xml:space="preserve">HÉ eucalyptus </t>
  </si>
  <si>
    <t>HÉ citron</t>
  </si>
  <si>
    <t>HÉ orange</t>
  </si>
  <si>
    <t>Gomme de guar</t>
  </si>
  <si>
    <t>Fécule de pomme de terre/corn stach</t>
  </si>
  <si>
    <t>Provenance</t>
  </si>
  <si>
    <t>Jigra</t>
  </si>
  <si>
    <t xml:space="preserve">Ariti herbal </t>
  </si>
  <si>
    <t>Ariti herbal</t>
  </si>
  <si>
    <t>Aberra cosmetique</t>
  </si>
  <si>
    <t>Total</t>
  </si>
  <si>
    <t>Materiaux</t>
  </si>
  <si>
    <t>Quantité/g ou ml</t>
  </si>
  <si>
    <t xml:space="preserve">Ustensiles </t>
  </si>
  <si>
    <t>Gel WC</t>
  </si>
  <si>
    <t>Eau minérale</t>
  </si>
  <si>
    <t>Prix TTC/g et ml</t>
  </si>
  <si>
    <t>Prix TTC/ g et ml</t>
  </si>
  <si>
    <t>Colonne1</t>
  </si>
  <si>
    <t>Pastilles effervescente 1 unité</t>
  </si>
  <si>
    <t>Avante</t>
  </si>
  <si>
    <t>Alcool a 70 °C</t>
  </si>
  <si>
    <t>Alcool a 70°C</t>
  </si>
  <si>
    <t>Désodorisant WC - 10 ml</t>
  </si>
  <si>
    <t>Materiel</t>
  </si>
  <si>
    <t>Fiches recette - impression</t>
  </si>
  <si>
    <t xml:space="preserve">Étiquettes </t>
  </si>
  <si>
    <t>Prix à l’unité</t>
  </si>
  <si>
    <t>Salaire</t>
  </si>
  <si>
    <t>Heure préparation</t>
  </si>
  <si>
    <t>Charges</t>
  </si>
  <si>
    <t>Location salle</t>
  </si>
  <si>
    <t>Electricité</t>
  </si>
  <si>
    <t>Déplacement</t>
  </si>
  <si>
    <t xml:space="preserve">Coût </t>
  </si>
  <si>
    <t>Heure d’ateliers</t>
  </si>
  <si>
    <t>Coût horaire</t>
  </si>
  <si>
    <t>Nombre d’heure</t>
  </si>
  <si>
    <t>Nombre de participant</t>
  </si>
  <si>
    <t>Coûts des materiaux</t>
  </si>
  <si>
    <t>Charge</t>
  </si>
  <si>
    <t>Atelier WC</t>
  </si>
  <si>
    <t>Atelier Linge</t>
  </si>
  <si>
    <t>Zestes agrumes</t>
  </si>
  <si>
    <t>Cendre de bois</t>
  </si>
  <si>
    <t>Cendré de bois</t>
  </si>
  <si>
    <t>Zestes d’agrumes</t>
  </si>
  <si>
    <t>Lessives- 1L</t>
  </si>
  <si>
    <t>Adoucissant - 1L</t>
  </si>
  <si>
    <t>Parfum de linge- 25 ml</t>
  </si>
  <si>
    <t>Atelier cuisine</t>
  </si>
  <si>
    <t>Crème vaisselle sans sulfates</t>
  </si>
  <si>
    <t xml:space="preserve">Ou </t>
  </si>
  <si>
    <t xml:space="preserve">Pastilles lave vaisselle </t>
  </si>
  <si>
    <t xml:space="preserve">Gros sel </t>
  </si>
  <si>
    <t>Savon végétal</t>
  </si>
  <si>
    <t>Cake vaisselle sans sulfates - 100ml</t>
  </si>
  <si>
    <t>Table a tawashi</t>
  </si>
  <si>
    <t>Nettoyant multisurface- 1L</t>
  </si>
  <si>
    <t>Produit à vitre - 1L</t>
  </si>
  <si>
    <t xml:space="preserve">Cire pour les meubles </t>
  </si>
  <si>
    <t>Nettoyant multi surface</t>
  </si>
  <si>
    <t>Atelier Surfaces</t>
  </si>
  <si>
    <t>Hydroxyde de sodium</t>
  </si>
  <si>
    <t>Huile de ricin</t>
  </si>
  <si>
    <t>Huile de coco</t>
  </si>
  <si>
    <t>Eau demineralisée</t>
  </si>
  <si>
    <t xml:space="preserve">Je suis </t>
  </si>
  <si>
    <t>Soude caustique</t>
  </si>
  <si>
    <t>Tabliers</t>
  </si>
  <si>
    <t>1 balance 0,01g</t>
  </si>
  <si>
    <t>Prix TTC/€</t>
  </si>
  <si>
    <t xml:space="preserve">Prix TTC/Birr </t>
  </si>
  <si>
    <t>Balance 0,1g</t>
  </si>
  <si>
    <t xml:space="preserve">Flacons vaporisateurs </t>
  </si>
  <si>
    <t>Pots cosmétiques alu</t>
  </si>
  <si>
    <t>Coupelles pesées inox</t>
  </si>
  <si>
    <t>Cuillères d’osseuses 2ml</t>
  </si>
  <si>
    <t>Pipettes poires 3ml</t>
  </si>
  <si>
    <t>Bandelettes PH</t>
  </si>
  <si>
    <t>Mini fouet inox</t>
  </si>
  <si>
    <t>Mini spatule inox</t>
  </si>
  <si>
    <t>Bescher 500 ml</t>
  </si>
  <si>
    <t xml:space="preserve">Bêcher 2l </t>
  </si>
  <si>
    <t>Bêcher 100 ml</t>
  </si>
  <si>
    <t>Pelle mesure 5ml</t>
  </si>
  <si>
    <t>Prix HT/birr unitaire</t>
  </si>
  <si>
    <t xml:space="preserve">Prix TTC/Birr unitaire </t>
  </si>
  <si>
    <t>Prix TTC/g - Birr</t>
  </si>
  <si>
    <t>Prix HT/kg- Birr</t>
  </si>
  <si>
    <t>Prix TTC/kg - Birr</t>
  </si>
  <si>
    <t xml:space="preserve">Aménagement atelier </t>
  </si>
  <si>
    <t>Prix TTC/birr</t>
  </si>
  <si>
    <t xml:space="preserve">Table de travail </t>
  </si>
  <si>
    <t>Abats jours lampe</t>
  </si>
  <si>
    <t>Plaques chauffantes</t>
  </si>
  <si>
    <t>Casseroles inox</t>
  </si>
  <si>
    <t xml:space="preserve">Bol inox grande contenance </t>
  </si>
  <si>
    <t>Bol inox petit contenance</t>
  </si>
  <si>
    <t>Saladier en verre</t>
  </si>
  <si>
    <t>Bols en verre</t>
  </si>
  <si>
    <t>Sceaux plastiques</t>
  </si>
  <si>
    <t>Cuillères en bois</t>
  </si>
  <si>
    <t>Marise caoutchouc</t>
  </si>
  <si>
    <t>Tabourets hauts</t>
  </si>
  <si>
    <t>Coût a répartir sur l’année/ nombre mini d’ateliers</t>
  </si>
  <si>
    <t>Coût materiel</t>
  </si>
  <si>
    <t>Coût amenagement</t>
  </si>
  <si>
    <t xml:space="preserve">Total </t>
  </si>
  <si>
    <t>Type de materiaux</t>
  </si>
  <si>
    <t xml:space="preserve">Produits chimiques </t>
  </si>
  <si>
    <t>Grande surface</t>
  </si>
  <si>
    <t>Huiles</t>
  </si>
  <si>
    <t>Huiles essentielles</t>
  </si>
  <si>
    <t>Alcool</t>
  </si>
  <si>
    <t xml:space="preserve">grande surface </t>
  </si>
  <si>
    <t xml:space="preserve">Ellelan </t>
  </si>
  <si>
    <t>Calcul des marges</t>
  </si>
  <si>
    <t>Calcul de la marge / taux de marge / taux de marque en pourcentage et en coefficient</t>
  </si>
  <si>
    <t>Vous devez prendre les prix vente ou achat hors taxe pour ces calculs.</t>
  </si>
  <si>
    <t>Exception : si vous ne pouvez pas récupérer la TVA (auto-entrepreneur ou SAS en franchise de TVA par exemple), mettez les montants TTC pour vos achats.</t>
  </si>
  <si>
    <t>Remplissez les cases bleues. Les résultats sont dans les blocs jaunes</t>
  </si>
  <si>
    <t>Taux de TVA applicable</t>
  </si>
  <si>
    <t>1. Calculez votre marge à partir de votre prix de vente et votre prix d'achat</t>
  </si>
  <si>
    <r>
      <t xml:space="preserve">1bis. Calculez votre marge à partir de votre prix de vente </t>
    </r>
    <r>
      <rPr>
        <b/>
        <u/>
        <sz val="11"/>
        <color rgb="FF333399"/>
        <rFont val="Calibri"/>
        <family val="2"/>
        <scheme val="minor"/>
      </rPr>
      <t>remisé</t>
    </r>
    <r>
      <rPr>
        <b/>
        <sz val="11"/>
        <color rgb="FF333399"/>
        <rFont val="Calibri"/>
        <family val="2"/>
        <scheme val="minor"/>
      </rPr>
      <t xml:space="preserve"> et votre prix d'achat</t>
    </r>
  </si>
  <si>
    <t>prix de vente HT</t>
  </si>
  <si>
    <t>remise sur votre prix de vente</t>
  </si>
  <si>
    <t>prix d'achat HT</t>
  </si>
  <si>
    <t>Calcul des marges en % et coefficient</t>
  </si>
  <si>
    <t>taux de marque en %</t>
  </si>
  <si>
    <t>taux de marge en %</t>
  </si>
  <si>
    <t>marge en coefficient</t>
  </si>
  <si>
    <t>Prix de vente HT après remise</t>
  </si>
  <si>
    <t>Prix de vente TTC</t>
  </si>
  <si>
    <t>2. Calculez votre prix de vente à partir de votre prix d'achat et de votre taux de marque cible en %</t>
  </si>
  <si>
    <t>2bis. Calculez votre prix de vente à partir de votre prix d'achat et de votre marge cible en coefficient</t>
  </si>
  <si>
    <t>taux de marque cible en %</t>
  </si>
  <si>
    <t>marge cible en coefficient</t>
  </si>
  <si>
    <t>taux de marque en pourcentage</t>
  </si>
  <si>
    <t>3. Calculez votre prix d'achat à partir de votre prix de vente et de votre taux de marque cible en %</t>
  </si>
  <si>
    <t>3bis. Calculez votre prix d'achat à partir de votre prix de vente et de votre marge cible en coefficient</t>
  </si>
  <si>
    <t>4. Calculez votre prix de vente à partir de votre prix d'achat et de votre taux de marge cible en %</t>
  </si>
  <si>
    <t>taux de marge cible en %</t>
  </si>
  <si>
    <t>5. Calculez votre prix d'achat à partir de votre prix de vente et de votre taux de marge cible en %</t>
  </si>
  <si>
    <t xml:space="preserve">Prix de vente </t>
  </si>
  <si>
    <t>Atelier Wc</t>
  </si>
  <si>
    <t>Atelier linge</t>
  </si>
  <si>
    <t>Atelier Surface</t>
  </si>
  <si>
    <t xml:space="preserve">Salaire </t>
  </si>
  <si>
    <t xml:space="preserve">Transport </t>
  </si>
  <si>
    <t>Prix transport/g2</t>
  </si>
  <si>
    <t xml:space="preserve">Prix TTC/g </t>
  </si>
  <si>
    <t xml:space="preserve">Prix HT/g - Birr </t>
  </si>
  <si>
    <t>Bambis</t>
  </si>
  <si>
    <t xml:space="preserve">Quantité unitaire/g </t>
  </si>
  <si>
    <t>Peinture</t>
  </si>
  <si>
    <t>Paniers rangement</t>
  </si>
  <si>
    <t>Boîtes plastiques outils</t>
  </si>
  <si>
    <t>Damascène essential oil</t>
  </si>
  <si>
    <t>HÉ Romarin</t>
  </si>
  <si>
    <t>HÉ lemongrass</t>
  </si>
  <si>
    <t>Beurre karité</t>
  </si>
  <si>
    <t>ESB products</t>
  </si>
  <si>
    <t>Huile ricin</t>
  </si>
  <si>
    <t>Masques protection</t>
  </si>
  <si>
    <t>Lunettes protection</t>
  </si>
  <si>
    <t>Gants de protection</t>
  </si>
  <si>
    <t>Hui de lin</t>
  </si>
  <si>
    <t>Huile Moringa</t>
  </si>
  <si>
    <t>Huile sesame</t>
  </si>
  <si>
    <t>Eau de rose</t>
  </si>
  <si>
    <t>Hydrolat</t>
  </si>
  <si>
    <t>Eau d’eucalyptus</t>
  </si>
  <si>
    <t>HÉ franckincense</t>
  </si>
  <si>
    <t xml:space="preserve">Bloc WC </t>
  </si>
  <si>
    <t>Agar Agar</t>
  </si>
  <si>
    <t xml:space="preserve">Gélifiant </t>
  </si>
  <si>
    <t xml:space="preserve">Gélatine </t>
  </si>
  <si>
    <t>Gelifiant</t>
  </si>
  <si>
    <t>Huile de nigelle</t>
  </si>
  <si>
    <t xml:space="preserve">Huile </t>
  </si>
  <si>
    <t>Hayat</t>
  </si>
  <si>
    <t>Pharmacie</t>
  </si>
  <si>
    <t>Huile</t>
  </si>
  <si>
    <t>Huile de macadamia</t>
  </si>
  <si>
    <t>Huile de courge</t>
  </si>
  <si>
    <t>Bee wraps</t>
  </si>
  <si>
    <t>Cire meuble</t>
  </si>
  <si>
    <t>Bougies citronelle</t>
  </si>
  <si>
    <t>Huile d’avocat</t>
  </si>
  <si>
    <t>Huile d’aloè vera</t>
  </si>
  <si>
    <t>Novis</t>
  </si>
  <si>
    <t>Prix TTC/g</t>
  </si>
  <si>
    <t xml:space="preserve">Temps fabrication </t>
  </si>
  <si>
    <t xml:space="preserve">Savon ménager Coco/ cendre - 1kg </t>
  </si>
  <si>
    <t>Coût total au g</t>
  </si>
  <si>
    <t>Coût/g</t>
  </si>
  <si>
    <t xml:space="preserve">Coût savon </t>
  </si>
  <si>
    <t>Total au kg</t>
  </si>
  <si>
    <t>Savon marseille maison</t>
  </si>
  <si>
    <t>prix TTC/g</t>
  </si>
  <si>
    <t>Huile d’olive</t>
  </si>
  <si>
    <t>Prix TTC/g ou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</si>
</sst>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"/>
    <numFmt numFmtId="166" formatCode="0.00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6"/>
      <color theme="1"/>
      <name val="Castellar"/>
      <family val="34"/>
    </font>
    <font>
      <sz val="16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 tint="9.9978637043366805E-2"/>
      <name val="Calibri"/>
      <family val="2"/>
      <scheme val="minor"/>
    </font>
    <font>
      <sz val="16"/>
      <color rgb="FF00B0F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4F81BD"/>
      <name val="Calibri"/>
      <family val="2"/>
      <scheme val="minor"/>
    </font>
    <font>
      <b/>
      <u/>
      <sz val="11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CC99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2F2F2"/>
      </patternFill>
    </fill>
  </fills>
  <borders count="1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B2B2B2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0" tint="-9.9978637043366805E-2"/>
      </left>
      <right style="thin">
        <color theme="0" tint="-9.9978637043366805E-2"/>
      </right>
      <top style="thin">
        <color theme="0" tint="-9.9978637043366805E-2"/>
      </top>
      <bottom style="thin">
        <color theme="0" tint="-9.9978637043366805E-2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5" fillId="0" borderId="1" applyNumberFormat="0" applyFill="0" applyAlignment="0" applyProtection="0"/>
    <xf numFmtId="0" fontId="1" fillId="3" borderId="2" applyNumberFormat="0" applyFont="0" applyAlignment="0" applyProtection="0"/>
    <xf numFmtId="0" fontId="4" fillId="9" borderId="12" applyNumberFormat="0" applyAlignment="0" applyProtection="0"/>
    <xf numFmtId="0" fontId="20" fillId="11" borderId="15" applyNumberFormat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 applyNumberFormat="1"/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5" fillId="0" borderId="1" xfId="2" applyFill="1"/>
    <xf numFmtId="0" fontId="8" fillId="0" borderId="0" xfId="0" applyFont="1"/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2" fontId="5" fillId="0" borderId="1" xfId="2" applyNumberFormat="1" applyFill="1"/>
    <xf numFmtId="0" fontId="0" fillId="0" borderId="0" xfId="0" applyFont="1" applyAlignment="1">
      <alignment wrapText="1"/>
    </xf>
    <xf numFmtId="164" fontId="0" fillId="0" borderId="0" xfId="0" applyNumberFormat="1"/>
    <xf numFmtId="164" fontId="8" fillId="0" borderId="0" xfId="0" applyNumberFormat="1" applyFont="1"/>
    <xf numFmtId="0" fontId="4" fillId="3" borderId="2" xfId="3" applyFont="1" applyAlignment="1">
      <alignment wrapText="1"/>
    </xf>
    <xf numFmtId="0" fontId="0" fillId="3" borderId="2" xfId="3" applyFont="1"/>
    <xf numFmtId="164" fontId="0" fillId="3" borderId="2" xfId="3" applyNumberFormat="1" applyFont="1"/>
    <xf numFmtId="0" fontId="0" fillId="3" borderId="2" xfId="3" applyFont="1" applyAlignment="1">
      <alignment wrapText="1"/>
    </xf>
    <xf numFmtId="1" fontId="0" fillId="0" borderId="0" xfId="0" applyNumberFormat="1"/>
    <xf numFmtId="0" fontId="0" fillId="3" borderId="2" xfId="3" applyNumberFormat="1" applyFont="1"/>
    <xf numFmtId="0" fontId="8" fillId="0" borderId="0" xfId="0" applyFont="1" applyAlignment="1">
      <alignment horizontal="right"/>
    </xf>
    <xf numFmtId="0" fontId="2" fillId="4" borderId="4" xfId="3" applyFont="1" applyFill="1" applyBorder="1" applyAlignment="1">
      <alignment vertical="center"/>
    </xf>
    <xf numFmtId="2" fontId="9" fillId="0" borderId="5" xfId="0" applyNumberFormat="1" applyFont="1" applyBorder="1" applyAlignment="1"/>
    <xf numFmtId="0" fontId="9" fillId="0" borderId="0" xfId="0" applyFont="1" applyAlignment="1"/>
    <xf numFmtId="1" fontId="0" fillId="0" borderId="3" xfId="0" applyNumberFormat="1" applyBorder="1" applyAlignment="1">
      <alignment vertical="center"/>
    </xf>
    <xf numFmtId="1" fontId="0" fillId="0" borderId="0" xfId="0" applyNumberFormat="1" applyAlignment="1"/>
    <xf numFmtId="0" fontId="10" fillId="0" borderId="0" xfId="0" applyFont="1" applyAlignment="1">
      <alignment vertical="center"/>
    </xf>
    <xf numFmtId="1" fontId="11" fillId="0" borderId="0" xfId="0" applyNumberFormat="1" applyFont="1" applyAlignment="1"/>
    <xf numFmtId="0" fontId="11" fillId="0" borderId="0" xfId="0" applyFont="1" applyAlignment="1"/>
    <xf numFmtId="0" fontId="11" fillId="0" borderId="0" xfId="0" applyFont="1"/>
    <xf numFmtId="1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1" fontId="11" fillId="0" borderId="0" xfId="0" applyNumberFormat="1" applyFont="1"/>
    <xf numFmtId="0" fontId="0" fillId="4" borderId="2" xfId="3" applyFont="1" applyFill="1"/>
    <xf numFmtId="164" fontId="0" fillId="4" borderId="2" xfId="3" applyNumberFormat="1" applyFont="1" applyFill="1"/>
    <xf numFmtId="0" fontId="0" fillId="4" borderId="2" xfId="3" applyFont="1" applyFill="1" applyAlignment="1">
      <alignment wrapText="1"/>
    </xf>
    <xf numFmtId="0" fontId="4" fillId="5" borderId="2" xfId="3" applyFont="1" applyFill="1" applyAlignment="1">
      <alignment wrapText="1"/>
    </xf>
    <xf numFmtId="0" fontId="0" fillId="5" borderId="2" xfId="3" applyFont="1" applyFill="1"/>
    <xf numFmtId="164" fontId="0" fillId="5" borderId="2" xfId="3" applyNumberFormat="1" applyFont="1" applyFill="1"/>
    <xf numFmtId="0" fontId="0" fillId="5" borderId="2" xfId="3" applyFont="1" applyFill="1" applyAlignment="1">
      <alignment wrapText="1"/>
    </xf>
    <xf numFmtId="1" fontId="8" fillId="0" borderId="0" xfId="0" applyNumberFormat="1" applyFont="1"/>
    <xf numFmtId="0" fontId="0" fillId="4" borderId="2" xfId="3" applyNumberFormat="1" applyFont="1" applyFill="1"/>
    <xf numFmtId="0" fontId="0" fillId="5" borderId="0" xfId="0" applyFill="1" applyAlignment="1">
      <alignment wrapText="1"/>
    </xf>
    <xf numFmtId="0" fontId="0" fillId="5" borderId="2" xfId="3" applyNumberFormat="1" applyFont="1" applyFill="1"/>
    <xf numFmtId="0" fontId="5" fillId="0" borderId="1" xfId="2" applyFill="1" applyAlignment="1">
      <alignment wrapText="1"/>
    </xf>
    <xf numFmtId="0" fontId="4" fillId="3" borderId="2" xfId="3" applyFont="1"/>
    <xf numFmtId="164" fontId="4" fillId="3" borderId="2" xfId="3" applyNumberFormat="1" applyFont="1"/>
    <xf numFmtId="0" fontId="0" fillId="0" borderId="0" xfId="0" applyAlignment="1">
      <alignment horizontal="center" vertical="center"/>
    </xf>
    <xf numFmtId="2" fontId="5" fillId="0" borderId="1" xfId="2" applyNumberFormat="1" applyFill="1" applyAlignment="1">
      <alignment horizontal="center" vertical="center"/>
    </xf>
    <xf numFmtId="0" fontId="5" fillId="0" borderId="1" xfId="2" applyFill="1" applyAlignment="1">
      <alignment horizontal="center" vertical="center" wrapText="1"/>
    </xf>
    <xf numFmtId="0" fontId="5" fillId="0" borderId="1" xfId="2" applyFill="1" applyAlignment="1">
      <alignment horizontal="center" vertical="center"/>
    </xf>
    <xf numFmtId="0" fontId="7" fillId="3" borderId="2" xfId="3" applyFont="1"/>
    <xf numFmtId="2" fontId="7" fillId="3" borderId="2" xfId="3" applyNumberFormat="1" applyFont="1"/>
    <xf numFmtId="0" fontId="13" fillId="0" borderId="0" xfId="0" applyFont="1" applyAlignment="1">
      <alignment wrapText="1"/>
    </xf>
    <xf numFmtId="2" fontId="13" fillId="0" borderId="0" xfId="0" applyNumberFormat="1" applyFont="1"/>
    <xf numFmtId="2" fontId="0" fillId="0" borderId="0" xfId="0" applyNumberFormat="1" applyAlignment="1">
      <alignment wrapText="1"/>
    </xf>
    <xf numFmtId="2" fontId="7" fillId="0" borderId="0" xfId="0" applyNumberFormat="1" applyFont="1"/>
    <xf numFmtId="2" fontId="0" fillId="3" borderId="2" xfId="3" applyNumberFormat="1" applyFont="1"/>
    <xf numFmtId="0" fontId="16" fillId="0" borderId="0" xfId="0" applyFont="1" applyBorder="1" applyAlignment="1">
      <alignment wrapText="1"/>
    </xf>
    <xf numFmtId="0" fontId="16" fillId="8" borderId="6" xfId="0" applyFont="1" applyFill="1" applyBorder="1" applyAlignment="1">
      <alignment wrapText="1"/>
    </xf>
    <xf numFmtId="0" fontId="16" fillId="8" borderId="8" xfId="0" applyFont="1" applyFill="1" applyBorder="1" applyAlignment="1">
      <alignment wrapText="1"/>
    </xf>
    <xf numFmtId="0" fontId="15" fillId="8" borderId="8" xfId="0" applyFont="1" applyFill="1" applyBorder="1" applyAlignment="1">
      <alignment wrapText="1"/>
    </xf>
    <xf numFmtId="0" fontId="16" fillId="8" borderId="10" xfId="0" applyFont="1" applyFill="1" applyBorder="1" applyAlignment="1">
      <alignment wrapText="1"/>
    </xf>
    <xf numFmtId="9" fontId="16" fillId="6" borderId="0" xfId="0" applyNumberFormat="1" applyFont="1" applyFill="1" applyBorder="1" applyAlignment="1">
      <alignment wrapText="1"/>
    </xf>
    <xf numFmtId="0" fontId="16" fillId="6" borderId="0" xfId="0" applyFont="1" applyFill="1" applyBorder="1" applyAlignment="1">
      <alignment wrapText="1"/>
    </xf>
    <xf numFmtId="9" fontId="16" fillId="7" borderId="0" xfId="0" applyNumberFormat="1" applyFont="1" applyFill="1" applyBorder="1" applyAlignment="1">
      <alignment wrapText="1"/>
    </xf>
    <xf numFmtId="0" fontId="15" fillId="0" borderId="0" xfId="0" applyFont="1" applyBorder="1" applyAlignment="1">
      <alignment wrapText="1"/>
    </xf>
    <xf numFmtId="9" fontId="16" fillId="8" borderId="7" xfId="0" applyNumberFormat="1" applyFont="1" applyFill="1" applyBorder="1" applyAlignment="1">
      <alignment wrapText="1"/>
    </xf>
    <xf numFmtId="9" fontId="16" fillId="8" borderId="9" xfId="0" applyNumberFormat="1" applyFont="1" applyFill="1" applyBorder="1" applyAlignment="1">
      <alignment wrapText="1"/>
    </xf>
    <xf numFmtId="0" fontId="15" fillId="8" borderId="9" xfId="0" applyFont="1" applyFill="1" applyBorder="1" applyAlignment="1">
      <alignment wrapText="1"/>
    </xf>
    <xf numFmtId="0" fontId="16" fillId="8" borderId="9" xfId="0" applyFont="1" applyFill="1" applyBorder="1" applyAlignment="1">
      <alignment wrapText="1"/>
    </xf>
    <xf numFmtId="0" fontId="16" fillId="8" borderId="11" xfId="0" applyFont="1" applyFill="1" applyBorder="1" applyAlignment="1">
      <alignment wrapText="1"/>
    </xf>
    <xf numFmtId="0" fontId="16" fillId="8" borderId="7" xfId="0" applyFont="1" applyFill="1" applyBorder="1" applyAlignment="1">
      <alignment wrapText="1"/>
    </xf>
    <xf numFmtId="9" fontId="15" fillId="8" borderId="9" xfId="0" applyNumberFormat="1" applyFont="1" applyFill="1" applyBorder="1" applyAlignment="1">
      <alignment wrapText="1"/>
    </xf>
    <xf numFmtId="1" fontId="0" fillId="0" borderId="0" xfId="0" applyNumberFormat="1" applyAlignment="1">
      <alignment horizontal="right" vertical="center"/>
    </xf>
    <xf numFmtId="0" fontId="12" fillId="0" borderId="1" xfId="2" applyFont="1" applyFill="1"/>
    <xf numFmtId="2" fontId="0" fillId="0" borderId="0" xfId="0" applyNumberFormat="1" applyAlignment="1">
      <alignment horizontal="right" vertical="center"/>
    </xf>
    <xf numFmtId="165" fontId="0" fillId="4" borderId="0" xfId="1" applyNumberFormat="1" applyFont="1" applyFill="1" applyAlignment="1">
      <alignment horizontal="right"/>
    </xf>
    <xf numFmtId="0" fontId="4" fillId="9" borderId="12" xfId="4" applyAlignment="1">
      <alignment horizontal="right"/>
    </xf>
    <xf numFmtId="2" fontId="4" fillId="9" borderId="12" xfId="4" applyNumberFormat="1"/>
    <xf numFmtId="0" fontId="0" fillId="0" borderId="0" xfId="0" applyBorder="1" applyAlignment="1">
      <alignment wrapText="1"/>
    </xf>
    <xf numFmtId="1" fontId="0" fillId="0" borderId="0" xfId="0" applyNumberFormat="1" applyBorder="1"/>
    <xf numFmtId="2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2" fontId="0" fillId="0" borderId="0" xfId="0" applyNumberFormat="1" applyBorder="1" applyAlignment="1">
      <alignment horizontal="right" vertical="center"/>
    </xf>
    <xf numFmtId="0" fontId="0" fillId="0" borderId="0" xfId="0" applyBorder="1"/>
    <xf numFmtId="0" fontId="0" fillId="0" borderId="0" xfId="0" applyBorder="1" applyAlignment="1">
      <alignment horizontal="right"/>
    </xf>
    <xf numFmtId="0" fontId="4" fillId="9" borderId="13" xfId="4" applyBorder="1" applyAlignment="1">
      <alignment horizontal="right"/>
    </xf>
    <xf numFmtId="2" fontId="4" fillId="9" borderId="13" xfId="4" applyNumberFormat="1" applyBorder="1"/>
    <xf numFmtId="2" fontId="7" fillId="3" borderId="14" xfId="3" applyNumberFormat="1" applyFont="1" applyBorder="1"/>
    <xf numFmtId="0" fontId="0" fillId="0" borderId="0" xfId="0" applyFill="1"/>
    <xf numFmtId="0" fontId="15" fillId="0" borderId="0" xfId="0" applyFont="1" applyBorder="1" applyAlignment="1">
      <alignment wrapText="1"/>
    </xf>
    <xf numFmtId="0" fontId="16" fillId="8" borderId="0" xfId="0" applyFont="1" applyFill="1" applyBorder="1" applyAlignment="1">
      <alignment wrapText="1"/>
    </xf>
    <xf numFmtId="2" fontId="4" fillId="9" borderId="0" xfId="4" applyNumberFormat="1" applyBorder="1"/>
    <xf numFmtId="2" fontId="7" fillId="3" borderId="0" xfId="3" applyNumberFormat="1" applyFont="1" applyBorder="1"/>
    <xf numFmtId="164" fontId="0" fillId="0" borderId="0" xfId="0" applyNumberFormat="1" applyBorder="1" applyAlignment="1">
      <alignment wrapText="1"/>
    </xf>
    <xf numFmtId="164" fontId="0" fillId="4" borderId="0" xfId="1" applyNumberFormat="1" applyFont="1" applyFill="1" applyBorder="1" applyAlignment="1">
      <alignment horizontal="right"/>
    </xf>
    <xf numFmtId="0" fontId="4" fillId="9" borderId="13" xfId="4" applyBorder="1"/>
    <xf numFmtId="0" fontId="4" fillId="9" borderId="0" xfId="4" applyBorder="1"/>
    <xf numFmtId="0" fontId="0" fillId="0" borderId="0" xfId="0" applyFill="1" applyBorder="1" applyAlignment="1">
      <alignment horizontal="right"/>
    </xf>
    <xf numFmtId="0" fontId="4" fillId="9" borderId="12" xfId="4"/>
    <xf numFmtId="0" fontId="0" fillId="0" borderId="0" xfId="0" applyNumberFormat="1" applyAlignment="1">
      <alignment horizontal="right" vertical="center"/>
    </xf>
    <xf numFmtId="0" fontId="4" fillId="9" borderId="12" xfId="4" applyBorder="1" applyAlignment="1">
      <alignment horizontal="right"/>
    </xf>
    <xf numFmtId="2" fontId="4" fillId="9" borderId="12" xfId="4" applyNumberFormat="1" applyBorder="1"/>
    <xf numFmtId="2" fontId="7" fillId="3" borderId="2" xfId="3" applyNumberFormat="1" applyFont="1" applyBorder="1"/>
    <xf numFmtId="164" fontId="0" fillId="0" borderId="0" xfId="0" applyNumberFormat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2" fontId="0" fillId="4" borderId="0" xfId="1" applyNumberFormat="1" applyFont="1" applyFill="1" applyAlignment="1">
      <alignment horizontal="right"/>
    </xf>
    <xf numFmtId="2" fontId="0" fillId="0" borderId="0" xfId="0" applyNumberFormat="1" applyFill="1"/>
    <xf numFmtId="164" fontId="0" fillId="0" borderId="0" xfId="0" applyNumberFormat="1" applyBorder="1"/>
    <xf numFmtId="164" fontId="4" fillId="9" borderId="13" xfId="4" applyNumberFormat="1" applyBorder="1" applyAlignment="1">
      <alignment horizontal="right"/>
    </xf>
    <xf numFmtId="1" fontId="4" fillId="9" borderId="13" xfId="4" applyNumberFormat="1" applyBorder="1" applyAlignment="1">
      <alignment horizontal="right"/>
    </xf>
    <xf numFmtId="1" fontId="4" fillId="9" borderId="12" xfId="4" applyNumberFormat="1"/>
    <xf numFmtId="166" fontId="4" fillId="9" borderId="12" xfId="4" applyNumberFormat="1"/>
    <xf numFmtId="0" fontId="4" fillId="9" borderId="12" xfId="4" applyNumberFormat="1"/>
    <xf numFmtId="164" fontId="0" fillId="0" borderId="0" xfId="0" applyNumberFormat="1" applyFill="1"/>
    <xf numFmtId="164" fontId="0" fillId="4" borderId="0" xfId="1" applyNumberFormat="1" applyFont="1" applyFill="1" applyAlignment="1">
      <alignment horizontal="right"/>
    </xf>
    <xf numFmtId="0" fontId="20" fillId="11" borderId="15" xfId="5" applyAlignment="1">
      <alignment wrapText="1"/>
    </xf>
    <xf numFmtId="0" fontId="0" fillId="0" borderId="17" xfId="0" applyFont="1" applyBorder="1" applyAlignment="1"/>
    <xf numFmtId="2" fontId="0" fillId="0" borderId="0" xfId="0" applyNumberFormat="1" applyBorder="1"/>
    <xf numFmtId="0" fontId="0" fillId="0" borderId="0" xfId="0" applyNumberFormat="1" applyBorder="1"/>
    <xf numFmtId="0" fontId="3" fillId="2" borderId="0" xfId="1"/>
    <xf numFmtId="0" fontId="0" fillId="10" borderId="16" xfId="0" applyFont="1" applyFill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4" borderId="18" xfId="0" applyFill="1" applyBorder="1"/>
    <xf numFmtId="2" fontId="0" fillId="4" borderId="18" xfId="0" applyNumberFormat="1" applyFill="1" applyBorder="1" applyAlignment="1">
      <alignment horizontal="center" vertical="center"/>
    </xf>
    <xf numFmtId="2" fontId="0" fillId="4" borderId="18" xfId="0" applyNumberFormat="1" applyFill="1" applyBorder="1"/>
    <xf numFmtId="2" fontId="0" fillId="3" borderId="2" xfId="3" applyNumberFormat="1" applyFont="1" applyAlignment="1">
      <alignment horizontal="center" vertical="center"/>
    </xf>
    <xf numFmtId="2" fontId="0" fillId="4" borderId="18" xfId="0" applyNumberFormat="1" applyFont="1" applyFill="1" applyBorder="1" applyAlignment="1"/>
    <xf numFmtId="2" fontId="0" fillId="3" borderId="2" xfId="3" applyNumberFormat="1" applyFont="1" applyAlignment="1"/>
    <xf numFmtId="2" fontId="0" fillId="4" borderId="18" xfId="0" applyNumberFormat="1" applyFont="1" applyFill="1" applyBorder="1" applyAlignment="1">
      <alignment wrapText="1"/>
    </xf>
    <xf numFmtId="0" fontId="12" fillId="0" borderId="1" xfId="2" applyFont="1" applyFill="1" applyAlignment="1">
      <alignment horizontal="center" vertical="center" wrapText="1"/>
    </xf>
    <xf numFmtId="0" fontId="5" fillId="0" borderId="1" xfId="2" applyFill="1" applyAlignment="1">
      <alignment horizontal="center"/>
    </xf>
    <xf numFmtId="0" fontId="17" fillId="0" borderId="0" xfId="0" applyFont="1" applyBorder="1" applyAlignment="1">
      <alignment wrapText="1"/>
    </xf>
    <xf numFmtId="0" fontId="14" fillId="0" borderId="0" xfId="0" applyFont="1" applyBorder="1" applyAlignment="1">
      <alignment wrapText="1"/>
    </xf>
    <xf numFmtId="0" fontId="15" fillId="0" borderId="0" xfId="0" applyFont="1" applyBorder="1" applyAlignment="1">
      <alignment wrapText="1"/>
    </xf>
  </cellXfs>
  <cellStyles count="6">
    <cellStyle name="Cellule liée" xfId="2" builtinId="24"/>
    <cellStyle name="Commentaire" xfId="3" builtinId="10"/>
    <cellStyle name="Entrée" xfId="4" builtinId="20"/>
    <cellStyle name="Insatisfaisant" xfId="1" builtinId="27"/>
    <cellStyle name="Normal" xfId="0" builtinId="0"/>
    <cellStyle name="Sortie" xfId="5" builtinId="21"/>
  </cellStyles>
  <dxfs count="182"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/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border outline="0">
        <left style="thin">
          <color theme="6"/>
        </left>
      </border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2" formatCode="0.00"/>
      <border diagonalUp="0" diagonalDown="0" outline="0">
        <left/>
        <right/>
        <top/>
        <bottom/>
      </border>
    </dxf>
    <dxf>
      <numFmt numFmtId="2" formatCode="0.00"/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/>
        <right style="thin">
          <color theme="6"/>
        </right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6"/>
        </right>
        <top style="thin">
          <color theme="6"/>
        </top>
        <bottom style="thin">
          <color theme="6"/>
        </bottom>
      </border>
    </dxf>
    <dxf>
      <border outline="0">
        <left style="thin">
          <color theme="6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" formatCode="0"/>
    </dxf>
    <dxf>
      <font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z val="16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z val="16"/>
      </font>
      <numFmt numFmtId="1" formatCode="0"/>
      <alignment vertical="center" wrapText="1"/>
    </dxf>
    <dxf>
      <font>
        <sz val="16"/>
      </font>
    </dxf>
    <dxf>
      <font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numFmt numFmtId="2" formatCode="0.0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numFmt numFmtId="0" formatCode="General"/>
    </dxf>
    <dxf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numFmt numFmtId="0" formatCode="General"/>
    </dxf>
    <dxf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164" formatCode="0.0"/>
    </dxf>
    <dxf>
      <numFmt numFmtId="164" formatCode="0.0"/>
    </dxf>
    <dxf>
      <numFmt numFmtId="2" formatCode="0.00"/>
    </dxf>
    <dxf>
      <numFmt numFmtId="2" formatCode="0.00"/>
    </dxf>
    <dxf>
      <alignment horizontal="general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164" formatCode="0.0"/>
    </dxf>
    <dxf>
      <numFmt numFmtId="164" formatCode="0.0"/>
    </dxf>
    <dxf>
      <numFmt numFmtId="2" formatCode="0.00"/>
    </dxf>
    <dxf>
      <numFmt numFmtId="164" formatCode="0.0"/>
    </dxf>
    <dxf>
      <alignment horizontal="general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" formatCode="0"/>
    </dxf>
    <dxf>
      <font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z val="16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z val="16"/>
      </font>
      <numFmt numFmtId="1" formatCode="0"/>
      <alignment vertical="center" wrapText="1"/>
    </dxf>
    <dxf>
      <font>
        <sz val="16"/>
      </font>
    </dxf>
    <dxf>
      <font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numFmt numFmtId="2" formatCode="0.0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numFmt numFmtId="0" formatCode="General"/>
    </dxf>
    <dxf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164" formatCode="0.0"/>
    </dxf>
    <dxf>
      <numFmt numFmtId="164" formatCode="0.0"/>
    </dxf>
    <dxf>
      <numFmt numFmtId="2" formatCode="0.00"/>
    </dxf>
    <dxf>
      <numFmt numFmtId="164" formatCode="0.0"/>
    </dxf>
    <dxf>
      <alignment horizontal="general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" formatCode="0"/>
    </dxf>
    <dxf>
      <font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z val="16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z val="16"/>
      </font>
      <numFmt numFmtId="1" formatCode="0"/>
      <alignment vertical="center" wrapText="1"/>
    </dxf>
    <dxf>
      <font>
        <sz val="16"/>
      </font>
      <numFmt numFmtId="1" formatCode="0"/>
      <alignment vertical="center" wrapText="1"/>
    </dxf>
    <dxf>
      <font>
        <sz val="16"/>
      </font>
    </dxf>
    <dxf>
      <font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numFmt numFmtId="2" formatCode="0.0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numFmt numFmtId="0" formatCode="General"/>
    </dxf>
    <dxf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1" formatCode="0"/>
    </dxf>
    <dxf>
      <numFmt numFmtId="0" formatCode="General"/>
    </dxf>
    <dxf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164" formatCode="0.0"/>
    </dxf>
    <dxf>
      <numFmt numFmtId="164" formatCode="0.0"/>
    </dxf>
    <dxf>
      <numFmt numFmtId="2" formatCode="0.00"/>
    </dxf>
    <dxf>
      <numFmt numFmtId="164" formatCode="0.0"/>
    </dxf>
    <dxf>
      <alignment horizontal="general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2" formatCode="0.00"/>
      <fill>
        <patternFill patternType="solid">
          <fgColor indexed="64"/>
          <bgColor theme="0"/>
        </patternFill>
      </fill>
      <border diagonalUp="0" diagonalDown="0" outline="0">
        <left style="thin">
          <color theme="0" tint="-9.9978637043366805E-2"/>
        </left>
        <right/>
        <top style="thin">
          <color theme="0" tint="-9.9978637043366805E-2"/>
        </top>
        <bottom/>
      </border>
    </dxf>
    <dxf>
      <numFmt numFmtId="2" formatCode="0.00"/>
      <fill>
        <patternFill patternType="solid">
          <fgColor theme="0"/>
          <bgColor indexed="64"/>
        </patternFill>
      </fill>
      <border>
        <left style="thin">
          <color theme="0" tint="-9.9978637043366805E-2"/>
        </left>
        <right/>
        <top style="thin">
          <color theme="0" tint="-9.9978637043366805E-2"/>
        </top>
        <bottom style="thin">
          <color theme="0" tint="-9.9978637043366805E-2"/>
        </bottom>
        <vertical style="thin">
          <color theme="0" tint="-9.9978637043366805E-2"/>
        </vertical>
        <horizontal style="thin">
          <color theme="0" tint="-9.9978637043366805E-2"/>
        </horizontal>
      </border>
    </dxf>
    <dxf>
      <numFmt numFmtId="2" formatCode="0.00"/>
      <fill>
        <patternFill patternType="solid">
          <fgColor indexed="64"/>
          <bgColor theme="0"/>
        </patternFill>
      </fill>
      <border diagonalUp="0" diagonalDown="0" outline="0">
        <left style="thin">
          <color theme="0" tint="-9.9978637043366805E-2"/>
        </left>
        <right style="thin">
          <color theme="0" tint="-9.9978637043366805E-2"/>
        </right>
        <top style="thin">
          <color theme="0" tint="-9.9978637043366805E-2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border>
        <left style="thin">
          <color theme="0" tint="-9.9978637043366805E-2"/>
        </left>
        <right style="thin">
          <color theme="0" tint="-9.9978637043366805E-2"/>
        </right>
        <top style="thin">
          <color theme="0" tint="-9.9978637043366805E-2"/>
        </top>
        <bottom style="thin">
          <color theme="0" tint="-9.9978637043366805E-2"/>
        </bottom>
        <vertical style="thin">
          <color theme="0" tint="-9.9978637043366805E-2"/>
        </vertical>
        <horizontal style="thin">
          <color theme="0" tint="-9.9978637043366805E-2"/>
        </horizontal>
      </border>
    </dxf>
    <dxf>
      <numFmt numFmtId="2" formatCode="0.00"/>
      <fill>
        <patternFill patternType="solid">
          <fgColor indexed="64"/>
          <bgColor theme="0"/>
        </patternFill>
      </fill>
      <border diagonalUp="0" diagonalDown="0" outline="0">
        <left style="thin">
          <color theme="0" tint="-9.9978637043366805E-2"/>
        </left>
        <right style="thin">
          <color theme="0" tint="-9.9978637043366805E-2"/>
        </right>
        <top style="thin">
          <color theme="0" tint="-9.9978637043366805E-2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border>
        <left style="thin">
          <color theme="0" tint="-9.9978637043366805E-2"/>
        </left>
        <right style="thin">
          <color theme="0" tint="-9.9978637043366805E-2"/>
        </right>
        <top style="thin">
          <color theme="0" tint="-9.9978637043366805E-2"/>
        </top>
        <bottom style="thin">
          <color theme="0" tint="-9.9978637043366805E-2"/>
        </bottom>
        <vertical style="thin">
          <color theme="0" tint="-9.9978637043366805E-2"/>
        </vertical>
        <horizontal style="thin">
          <color theme="0" tint="-9.9978637043366805E-2"/>
        </horizontal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9.9978637043366805E-2"/>
        </left>
        <right style="thin">
          <color theme="0" tint="-9.9978637043366805E-2"/>
        </right>
        <top style="thin">
          <color theme="0" tint="-9.9978637043366805E-2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>
        <left style="thin">
          <color theme="0" tint="-9.9978637043366805E-2"/>
        </left>
        <right style="thin">
          <color theme="0" tint="-9.9978637043366805E-2"/>
        </right>
        <top style="thin">
          <color theme="0" tint="-9.9978637043366805E-2"/>
        </top>
        <bottom style="thin">
          <color theme="0" tint="-9.9978637043366805E-2"/>
        </bottom>
        <vertical style="thin">
          <color theme="0" tint="-9.9978637043366805E-2"/>
        </vertical>
        <horizontal style="thin">
          <color theme="0" tint="-9.9978637043366805E-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0" tint="-9.9978637043366805E-2"/>
        </right>
        <top style="thin">
          <color theme="0" tint="-9.9978637043366805E-2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>
        <left/>
        <right style="thin">
          <color theme="0" tint="-9.9978637043366805E-2"/>
        </right>
        <top style="thin">
          <color theme="0" tint="-9.9978637043366805E-2"/>
        </top>
        <bottom style="thin">
          <color theme="0" tint="-9.9978637043366805E-2"/>
        </bottom>
        <vertical style="thin">
          <color theme="0" tint="-9.9978637043366805E-2"/>
        </vertical>
        <horizontal style="thin">
          <color theme="0" tint="-9.9978637043366805E-2"/>
        </horizontal>
      </border>
    </dxf>
    <dxf>
      <border>
        <top style="thin">
          <color theme="0" tint="-9.9978637043366805E-2"/>
        </top>
      </border>
    </dxf>
    <dxf>
      <fill>
        <patternFill patternType="solid">
          <fgColor indexed="64"/>
          <bgColor theme="0"/>
        </patternFill>
      </fill>
    </dxf>
    <dxf>
      <border>
        <left style="thin">
          <color theme="0" tint="-9.9978637043366805E-2"/>
        </left>
        <right style="thin">
          <color theme="0" tint="-9.9978637043366805E-2"/>
        </right>
        <top style="thin">
          <color theme="0" tint="-9.9978637043366805E-2"/>
        </top>
        <bottom style="thin">
          <color theme="0" tint="-9.9978637043366805E-2"/>
        </bottom>
      </border>
    </dxf>
    <dxf>
      <fill>
        <patternFill patternType="solid">
          <fgColor indexed="64"/>
          <bgColor theme="0"/>
        </patternFill>
      </fill>
    </dxf>
    <dxf>
      <border>
        <bottom style="thin">
          <color theme="0" tint="-9.9978637043366805E-2"/>
        </bottom>
      </border>
    </dxf>
    <dxf>
      <fill>
        <patternFill patternType="solid">
          <fgColor theme="0"/>
          <bgColor indexed="64"/>
        </patternFill>
      </fill>
      <border diagonalUp="0" diagonalDown="0">
        <left style="thin">
          <color theme="0" tint="-9.9978637043366805E-2"/>
        </left>
        <right style="thin">
          <color theme="0" tint="-9.9978637043366805E-2"/>
        </right>
        <top/>
        <bottom/>
        <vertical style="thin">
          <color theme="0" tint="-9.9978637043366805E-2"/>
        </vertical>
        <horizontal style="thin">
          <color theme="0" tint="-9.9978637043366805E-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" formatCode="0"/>
    </dxf>
    <dxf>
      <font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sz val="16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z val="16"/>
      </font>
      <numFmt numFmtId="1" formatCode="0"/>
      <alignment vertical="center" wrapText="1"/>
    </dxf>
    <dxf>
      <font>
        <sz val="16"/>
      </font>
    </dxf>
    <dxf>
      <font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alignment horizontal="right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numFmt numFmtId="2" formatCode="0.0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numFmt numFmtId="164" formatCode="0.0"/>
    </dxf>
    <dxf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numFmt numFmtId="164" formatCode="0.0"/>
    </dxf>
    <dxf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</font>
      <alignment horizontal="general" vertical="bottom" textRotation="0" wrapText="1" indent="0" justifyLastLine="0" shrinkToFit="0" readingOrder="0"/>
    </dxf>
    <dxf>
      <numFmt numFmtId="2" formatCode="0.00"/>
    </dxf>
    <dxf>
      <numFmt numFmtId="2" formatCode="0.0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color theme="1" tint="9.9978637043366805E-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2" formatCode="0.00"/>
    </dxf>
    <dxf>
      <font>
        <color rgb="FFC00000"/>
      </font>
      <numFmt numFmtId="2" formatCode="0.0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" formatCode="0"/>
    </dxf>
    <dxf>
      <numFmt numFmtId="1" formatCode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color rgb="FFC00000"/>
      </font>
      <numFmt numFmtId="2" formatCode="0.00"/>
    </dxf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  <numFmt numFmtId="1" formatCode="0"/>
    </dxf>
    <dxf>
      <font>
        <color theme="1"/>
      </font>
      <numFmt numFmtId="165" formatCode="0.0000"/>
      <fill>
        <patternFill patternType="solid">
          <fgColor theme="0"/>
          <bgColor indexed="64"/>
        </patternFill>
      </fill>
      <alignment horizontal="right"/>
    </dxf>
    <dxf>
      <alignment horizontal="right"/>
    </dxf>
    <dxf>
      <alignment horizontal="center" vertical="center" textRotation="0" wrapText="0" indent="0" justifyLastLine="0" shrinkToFit="0" readingOrder="0"/>
    </dxf>
    <dxf>
      <numFmt numFmtId="2" formatCode="0.00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numFmt numFmtId="1" formatCode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Charges à repartir sur l’année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Matériaux!$B$9:$C$9</c:f>
              <c:strCache>
                <c:ptCount val="2"/>
                <c:pt idx="0">
                  <c:v>Coût materiel</c:v>
                </c:pt>
                <c:pt idx="1">
                  <c:v>Coût amenagement</c:v>
                </c:pt>
              </c:strCache>
            </c:strRef>
          </c:cat>
          <c:val>
            <c:numRef>
              <c:f>Matériaux!$B$10:$C$10</c:f>
              <c:numCache>
                <c:formatCode>0.00</c:formatCode>
                <c:ptCount val="2"/>
                <c:pt idx="0">
                  <c:v>4167.5428000000002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15-5645-A7EA-DE11C4D383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Coût d’un atelier pour 1p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'Atelier linge'!$C$4:$E$4</c:f>
              <c:strCache>
                <c:ptCount val="3"/>
                <c:pt idx="0">
                  <c:v>Coûts des materiaux</c:v>
                </c:pt>
                <c:pt idx="1">
                  <c:v>Salaire</c:v>
                </c:pt>
                <c:pt idx="2">
                  <c:v>Charge</c:v>
                </c:pt>
              </c:strCache>
            </c:strRef>
          </c:cat>
          <c:val>
            <c:numRef>
              <c:f>'Atelier linge'!$C$5:$E$5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6E-8741-989F-43DDD93805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Coût d’un atelier pour 1p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'Atelier cuisine '!$D$4:$F$4</c:f>
              <c:strCache>
                <c:ptCount val="3"/>
                <c:pt idx="0">
                  <c:v>Coûts des materiaux</c:v>
                </c:pt>
                <c:pt idx="1">
                  <c:v>Salaire</c:v>
                </c:pt>
                <c:pt idx="2">
                  <c:v>Charge</c:v>
                </c:pt>
              </c:strCache>
            </c:strRef>
          </c:cat>
          <c:val>
            <c:numRef>
              <c:f>'Atelier cuisine '!$D$5:$F$5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55-0549-874E-537073AC19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Coût d’un atelier pour 1p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'Atelier surface'!$C$4:$E$4</c:f>
              <c:strCache>
                <c:ptCount val="3"/>
                <c:pt idx="0">
                  <c:v>Coûts des materiaux</c:v>
                </c:pt>
                <c:pt idx="1">
                  <c:v>Salaire</c:v>
                </c:pt>
                <c:pt idx="2">
                  <c:v>Charge</c:v>
                </c:pt>
              </c:strCache>
            </c:strRef>
          </c:cat>
          <c:val>
            <c:numRef>
              <c:f>'Atelier surface'!$C$5:$E$5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3D-0F4E-AC80-10591FE2FA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Coût d’un atelier pour 1p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'Atelier WC'!$C$4:$E$4</c:f>
              <c:strCache>
                <c:ptCount val="3"/>
                <c:pt idx="0">
                  <c:v>Coûts des materiaux</c:v>
                </c:pt>
                <c:pt idx="1">
                  <c:v>Salaire</c:v>
                </c:pt>
                <c:pt idx="2">
                  <c:v>Charge</c:v>
                </c:pt>
              </c:strCache>
            </c:strRef>
          </c:cat>
          <c:val>
            <c:numRef>
              <c:f>'Atelier WC'!$C$5:$E$5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E4-FB4F-BDA3-891F5BA1F3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1117600</xdr:colOff>
      <xdr:row>1</xdr:row>
      <xdr:rowOff>2540</xdr:rowOff>
    </xdr:from>
    <xdr:to>
      <xdr:col>7</xdr:col>
      <xdr:colOff>25400</xdr:colOff>
      <xdr:row>13</xdr:row>
      <xdr:rowOff>83820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FC78C9B-F7C7-4F4D-8B6E-0D5B0EC2A9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647095</xdr:colOff>
      <xdr:row>3</xdr:row>
      <xdr:rowOff>19352</xdr:rowOff>
    </xdr:from>
    <xdr:to>
      <xdr:col>11</xdr:col>
      <xdr:colOff>199572</xdr:colOff>
      <xdr:row>15</xdr:row>
      <xdr:rowOff>26005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887A869-AE8C-CA40-9857-19B662FFE2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647095</xdr:colOff>
      <xdr:row>3</xdr:row>
      <xdr:rowOff>19352</xdr:rowOff>
    </xdr:from>
    <xdr:to>
      <xdr:col>11</xdr:col>
      <xdr:colOff>199572</xdr:colOff>
      <xdr:row>15</xdr:row>
      <xdr:rowOff>26005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CFD15FC-FD8F-8945-8859-B0ADD8A449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647095</xdr:colOff>
      <xdr:row>3</xdr:row>
      <xdr:rowOff>19352</xdr:rowOff>
    </xdr:from>
    <xdr:to>
      <xdr:col>11</xdr:col>
      <xdr:colOff>199572</xdr:colOff>
      <xdr:row>15</xdr:row>
      <xdr:rowOff>26005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42C011E-472E-8040-91E6-7A6966C4D5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647095</xdr:colOff>
      <xdr:row>3</xdr:row>
      <xdr:rowOff>19352</xdr:rowOff>
    </xdr:from>
    <xdr:to>
      <xdr:col>11</xdr:col>
      <xdr:colOff>199572</xdr:colOff>
      <xdr:row>15</xdr:row>
      <xdr:rowOff>26005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9FC713C-3F76-4A43-85CE-5DF5A97700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6A385E-6430-B448-8116-BC9829B5D0CA}" name="Tableau1" displayName="Tableau1" ref="B17:N72" totalsRowShown="0" headerRowCellStyle="Cellule liée">
  <autoFilter ref="B17:N72" xr:uid="{9B2E94E4-868F-5948-A52A-9FC41F60E557}"/>
  <sortState xmlns:xlrd2="http://schemas.microsoft.com/office/spreadsheetml/2017/richdata2" ref="B18:N72">
    <sortCondition ref="N17:N72"/>
  </sortState>
  <tableColumns count="13">
    <tableColumn id="1" xr3:uid="{2E31475B-B6EA-BE4B-A0E3-8AFDC01F3A6C}" name="Matériaux " dataDxfId="181" totalsRowDxfId="180"/>
    <tableColumn id="11" xr3:uid="{6C673B3A-F127-A240-A5D4-FF408EC1B58A}" name="Type de materiaux" dataDxfId="179" totalsRowDxfId="178"/>
    <tableColumn id="3" xr3:uid="{0C04A101-AF56-E44B-A0BE-4236DE6D7110}" name="Quantité unitaire/g " dataDxfId="177"/>
    <tableColumn id="4" xr3:uid="{6851D9C0-E38D-3541-A0D3-6A2DF2C9FF53}" name="Provenance" dataDxfId="176" totalsRowDxfId="175"/>
    <tableColumn id="16" xr3:uid="{230A9E5F-B842-2348-B97C-20B31AFB32B1}" name="Transport " dataDxfId="174" totalsRowDxfId="173"/>
    <tableColumn id="19" xr3:uid="{34D8C2A2-AA2D-A340-926D-1617D3E09AF2}" name="Prix transport/g2" dataDxfId="172" totalsRowDxfId="171">
      <calculatedColumnFormula>Tableau1[[#This Row],[Transport ]]/Tableau1[[#This Row],[Quantité unitaire/g ]]</calculatedColumnFormula>
    </tableColumn>
    <tableColumn id="5" xr3:uid="{6F81B918-C6ED-4E42-9075-24CF97D7DCA1}" name="Prix HT/birr unitaire"/>
    <tableColumn id="6" xr3:uid="{E96052E1-ED11-8E48-8492-D28D39202254}" name="Prix TTC/Birr unitaire " dataDxfId="170"/>
    <tableColumn id="7" xr3:uid="{7BE9F858-802E-EA41-8FB2-FFD2A40E60D6}" name="Prix HT/g - Birr " dataDxfId="169" dataCellStyle="Insatisfaisant">
      <calculatedColumnFormula>Tableau1[[#This Row],[Prix HT/kg- Birr]]/1000</calculatedColumnFormula>
    </tableColumn>
    <tableColumn id="9" xr3:uid="{CE0DE50D-2B19-0D42-B066-F0C1BA3C3726}" name="Prix HT/kg- Birr"/>
    <tableColumn id="10" xr3:uid="{87D7E748-2FFE-2044-8B1C-43F993FCCF7A}" name="Prix TTC/kg - Birr" totalsRowDxfId="168" dataCellStyle="Entrée">
      <calculatedColumnFormula>(Tableau1[[#This Row],[Prix TTC/Birr unitaire ]]/Tableau1[[#This Row],[Quantité unitaire/g ]])*1000</calculatedColumnFormula>
    </tableColumn>
    <tableColumn id="8" xr3:uid="{FBAEEBB0-CF1E-A544-8B53-018DA91814E5}" name="Prix TTC/g - Birr" dataDxfId="167" dataCellStyle="Entrée">
      <calculatedColumnFormula>Tableau1[[#This Row],[Prix TTC/kg - Birr]]/1000</calculatedColumnFormula>
    </tableColumn>
    <tableColumn id="12" xr3:uid="{8EE98C10-1A6F-904F-B3EE-1DD6129A13F3}" name="Prix TTC/g " dataDxfId="166" dataCellStyle="Commentaire">
      <calculatedColumnFormula>Tableau1[[#This Row],[Prix TTC/g - Birr]]+Tableau1[[#This Row],[Prix transport/g2]]</calculatedColumnFormula>
    </tableColumn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7033F70-B9C3-9347-BAC8-33D36B59EB7A}" name="Tableau5" displayName="Tableau5" ref="B81:E110" totalsRowCount="1" headerRowCellStyle="Cellule liée">
  <autoFilter ref="B81:E109" xr:uid="{8B7E8912-9197-2942-A8D9-7777F9D41A9C}"/>
  <tableColumns count="4">
    <tableColumn id="1" xr3:uid="{40B1E13F-C678-CA4E-BF7A-B5ED6CEB0F82}" name="Ustensiles " totalsRowLabel="Total" dataDxfId="165" totalsRowDxfId="164"/>
    <tableColumn id="2" xr3:uid="{4B13360C-17A3-314B-86E9-EBCAEC513258}" name="Quantité" dataDxfId="163" totalsRowDxfId="162"/>
    <tableColumn id="4" xr3:uid="{2539BE06-92EF-0445-B42A-E0A70C1E7E54}" name="Prix TTC/€" dataDxfId="161" totalsRowDxfId="160"/>
    <tableColumn id="5" xr3:uid="{2FA7D017-4BD8-1A49-A095-C07AA818576C}" name="Prix TTC/Birr " totalsRowFunction="sum" dataDxfId="159" totalsRowDxfId="158" dataCellStyle="Commentaire">
      <calculatedColumnFormula>D82*47.98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438E0D7-B2A2-FA42-8A2D-4092252E19FE}" name="Tableau10" displayName="Tableau10" ref="G81:I88" totalsRowCount="1" headerRowCellStyle="Cellule liée">
  <autoFilter ref="G81:I87" xr:uid="{A5C7779A-3727-1547-B881-9AB6C026BE18}"/>
  <tableColumns count="3">
    <tableColumn id="1" xr3:uid="{13E45DF3-BFF3-DA42-95F3-8D1C12127890}" name="Aménagement atelier " totalsRowLabel="Total" dataDxfId="157" totalsRowDxfId="156"/>
    <tableColumn id="2" xr3:uid="{5245BC07-2009-5E43-979D-E7A5817977A2}" name="Quantité"/>
    <tableColumn id="3" xr3:uid="{30FD5F16-D37F-8C4C-8151-5DB29766C589}" name="Prix TTC/birr" totalsRowFunction="count" totalsRowDxfId="155" dataCellStyle="Commentaire"/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43B8C2A-A707-A140-8FA2-14BC4C05DA00}" name="Tableau12" displayName="Tableau12" ref="B9:C11" totalsRowCount="1" headerRowDxfId="154">
  <autoFilter ref="B9:C10" xr:uid="{857C5ED7-2E49-1D4E-842E-FF532DEE49A0}"/>
  <tableColumns count="2">
    <tableColumn id="1" xr3:uid="{660E9ACC-0B32-4743-91F1-92DCDB409C35}" name="Coût materiel" totalsRowLabel="Total" dataDxfId="153" totalsRowDxfId="152">
      <calculatedColumnFormula>Tableau5[[#Totals],[Prix TTC/Birr ]]</calculatedColumnFormula>
    </tableColumn>
    <tableColumn id="2" xr3:uid="{A6DEEC6F-9F3C-1748-B026-2F1261F92465}" name="Coût amenagement" totalsRowFunction="custom" dataDxfId="151" totalsRowDxfId="150">
      <calculatedColumnFormula>Tableau10[[#Totals],[Prix TTC/birr]]</calculatedColumnFormula>
      <totalsRowFormula array="1">Tableau12[Coût materiel]+Tableau12[Coût amenagement]</totalsRowFormula>
    </tableColumn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4F40AF94-DF4F-F142-95BC-17A5ED656BAA}" name="Tableau426" displayName="Tableau426" ref="H20:K43" totalsRowCount="1">
  <autoFilter ref="H20:K42" xr:uid="{9B8F20F9-1D33-8F43-A42D-923118696851}"/>
  <tableColumns count="4">
    <tableColumn id="1" xr3:uid="{E53E5F4D-C814-B74B-9490-8EE133340FCF}" name="Materiaux" totalsRowLabel="Total" dataDxfId="149" totalsRowDxfId="148"/>
    <tableColumn id="2" xr3:uid="{1A6B9ADA-FD1B-BF49-9DCD-95364C926F46}" name="Quantité/g ou ml"/>
    <tableColumn id="3" xr3:uid="{847ABBF9-A6D2-1944-8C72-18C9D0D3BA41}" name="Prix TTC/ g et ml" dataDxfId="147">
      <calculatedColumnFormula>Matériaux!M18</calculatedColumnFormula>
    </tableColumn>
    <tableColumn id="4" xr3:uid="{AEB04882-CAAF-8D49-BCF2-F340DBE85CE7}" name="Total" totalsRowFunction="sum" dataDxfId="146" totalsRowDxfId="145">
      <calculatedColumnFormula>Tableau426[[#This Row],[Prix TTC/ g et ml]]*Tableau426[[#This Row],[Quantité/g ou ml]]</calculatedColumnFormula>
    </tableColumn>
  </tableColumns>
  <tableStyleInfo name="TableStyleLight18" showFirstColumn="1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AAB04F2B-1661-8E4F-B680-A841829B11A2}" name="Tableau4727" displayName="Tableau4727" ref="N20:Q43" totalsRowCount="1">
  <autoFilter ref="N20:Q42" xr:uid="{16AA825C-9A88-F048-B8C7-E4B644FD3BFC}"/>
  <tableColumns count="4">
    <tableColumn id="1" xr3:uid="{3E91FC2A-058F-CB41-87A2-BE284731B0AC}" name="Materiaux" totalsRowLabel="Total" dataDxfId="144" totalsRowDxfId="143"/>
    <tableColumn id="2" xr3:uid="{273968A7-EC4A-7D43-A1D6-8E2C65A83C22}" name="Quantité/g ou ml"/>
    <tableColumn id="3" xr3:uid="{8A87B716-6E6A-4B41-ACE4-1E1209530B68}" name="Prix TTC/ g et ml" dataDxfId="142">
      <calculatedColumnFormula>Matériaux!Q18</calculatedColumnFormula>
    </tableColumn>
    <tableColumn id="4" xr3:uid="{635A2567-7B8B-BA4E-A5ED-C99D05995C8A}" name="Total" totalsRowFunction="sum" dataDxfId="141" totalsRowDxfId="140">
      <calculatedColumnFormula>Tableau4727[[#This Row],[Prix TTC/ g et ml]]*Tableau4727[[#This Row],[Quantité/g ou ml]]</calculatedColumnFormula>
    </tableColumn>
  </tableColumns>
  <tableStyleInfo name="TableStyleLight18" showFirstColumn="1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1C4ED376-CF18-F446-8489-1659DAF71872}" name="Tableau928" displayName="Tableau928" ref="B88:E91" totalsRowCount="1">
  <autoFilter ref="B88:E90" xr:uid="{6F2EC549-97D7-E843-ADCA-19C660517B90}"/>
  <tableColumns count="4">
    <tableColumn id="1" xr3:uid="{916FEF48-A565-F54C-B29D-F82BF1B85451}" name="Materiel" totalsRowLabel="Total" dataDxfId="139"/>
    <tableColumn id="2" xr3:uid="{3E3A8F38-7C3E-1B47-8708-83199815BBB7}" name="Quantité"/>
    <tableColumn id="3" xr3:uid="{B4B4CD89-854E-D94E-ACF4-3580CAB880BE}" name="Prix à l’unité" dataDxfId="138"/>
    <tableColumn id="4" xr3:uid="{20166076-5450-5246-A90A-70D1491584C2}" name="Total" totalsRowFunction="sum" totalsRowDxfId="137"/>
  </tableColumns>
  <tableStyleInfo name="TableStyleLight1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E1F30486-0EE7-E74D-BB35-05A686500D19}" name="Tableau1329" displayName="Tableau1329" ref="B99:E103" totalsRowCount="1">
  <autoFilter ref="B99:E102" xr:uid="{0D2405D9-8023-AF46-B46C-BE1D8CD7E081}"/>
  <tableColumns count="4">
    <tableColumn id="1" xr3:uid="{C459BF41-30EC-B941-9BEA-9BE4563E25F9}" name="Charges" totalsRowLabel="Total" dataDxfId="136" totalsRowDxfId="135"/>
    <tableColumn id="2" xr3:uid="{3E35AB87-7409-2347-BEE6-31D57BDBE714}" name="Coût "/>
    <tableColumn id="3" xr3:uid="{8B37713F-B50F-4440-936E-F54ECCE08E90}" name="Nombre de participant"/>
    <tableColumn id="4" xr3:uid="{C8755A5E-E5D8-7B46-A466-6FA3B64E0440}" name="Total" totalsRowFunction="sum" totalsRowDxfId="134"/>
  </tableColumns>
  <tableStyleInfo name="TableStyleLight1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FFFBDCC1-5E6F-3349-8383-8F3299AE16F5}" name="Tableau1730" displayName="Tableau1730" ref="B93:E96" totalsRowCount="1">
  <autoFilter ref="B93:E95" xr:uid="{BC6C43AC-50CD-D746-8BBD-3E7070827606}"/>
  <tableColumns count="4">
    <tableColumn id="1" xr3:uid="{17CA3105-1904-694B-941A-653B65E64A27}" name="Salaire" totalsRowLabel="Total"/>
    <tableColumn id="2" xr3:uid="{54784114-3376-9848-864C-C87BD567B392}" name="Coût horaire"/>
    <tableColumn id="3" xr3:uid="{F8C51913-4759-7047-96E9-F9BC06090254}" name="Nombre d’heure"/>
    <tableColumn id="4" xr3:uid="{577AA5BF-E97F-9043-9279-1677CF2C3401}" name="Total" totalsRowFunction="sum" totalsRowDxfId="133"/>
  </tableColumns>
  <tableStyleInfo name="TableStyleLight1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7C3E1035-3EDF-2544-AAD8-C37941C87ED6}" name="Tableau2331" displayName="Tableau2331" ref="C4:E6" totalsRowCount="1" headerRowDxfId="132" dataDxfId="131">
  <autoFilter ref="C4:E5" xr:uid="{4070FB93-670C-964A-B647-7827298A6705}"/>
  <tableColumns count="3">
    <tableColumn id="1" xr3:uid="{C310DC03-A5A5-4A42-B975-744E5EB89C44}" name="Coûts des materiaux" totalsRowLabel="Total" dataDxfId="130" totalsRowDxfId="129">
      <calculatedColumnFormula>SUM(#REF!,Tableau426[[#Totals],[Total]],Tableau4727[[#Totals],[Total]],Tableau928[[#Totals],[Total]])</calculatedColumnFormula>
    </tableColumn>
    <tableColumn id="2" xr3:uid="{EBE2538C-2EDF-F64F-AC57-D1D2BB78ECCB}" name="Salaire" dataDxfId="128" totalsRowDxfId="127">
      <calculatedColumnFormula>Tableau1730[[#Totals],[Total]]</calculatedColumnFormula>
    </tableColumn>
    <tableColumn id="3" xr3:uid="{AC871291-6ED9-B94E-B93E-207B31493A53}" name="Charge" totalsRowFunction="custom" dataDxfId="126" totalsRowDxfId="125">
      <calculatedColumnFormula>Tableau1329[[#Totals],[Total]]</calculatedColumnFormula>
      <totalsRowFormula>SUM(Tableau2331[Coûts des materiaux],Tableau2331[Salaire],Tableau2331[Charge])</totalsRowFormula>
    </tableColumn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CA24064-F49A-9D45-9097-82AAC0B9F76B}" name="Tableau7" displayName="Tableau7" ref="B20:F75" headerRowDxfId="124" dataDxfId="122" totalsRowDxfId="120" headerRowBorderDxfId="123" tableBorderDxfId="121" totalsRowBorderDxfId="119">
  <autoFilter ref="B20:F75" xr:uid="{DE55BF4E-0853-2D4E-B986-9BE34F8B0C71}"/>
  <tableColumns count="5">
    <tableColumn id="1" xr3:uid="{C2610264-98B2-0A4F-BA4A-AC674F83A692}" name="Matériaux " totalsRowLabel="Total" dataDxfId="118" totalsRowDxfId="117"/>
    <tableColumn id="5" xr3:uid="{71F81003-3B52-AD45-ABC6-4E261D4B62F5}" name="Provenance" dataDxfId="116" totalsRowDxfId="115"/>
    <tableColumn id="2" xr3:uid="{9918F55A-F7F5-174D-BECE-C056DF750724}" name="Quantité/g ou ml" dataDxfId="114" totalsRowDxfId="113"/>
    <tableColumn id="3" xr3:uid="{4CC188EF-02F1-C448-BD5D-838682ED180A}" name="Prix TTC/g ou ml" dataDxfId="112" totalsRowDxfId="111">
      <calculatedColumnFormula>Matériaux!N18</calculatedColumnFormula>
    </tableColumn>
    <tableColumn id="4" xr3:uid="{17467577-B7D7-334E-9978-0780F93BFD6B}" name="Total" totalsRowFunction="custom" dataDxfId="110" totalsRowDxfId="109">
      <calculatedColumnFormula>Tableau7[[#This Row],[Quantité/g ou ml]]*Tableau7[[#This Row],[Prix TTC/g ou ml]]</calculatedColumnFormula>
      <totalsRowFormula>SUBTOTAL(109,B74)</totalsRowFormula>
    </tableColumn>
  </tableColumns>
  <tableStyleInfo name="TableStyleLight1" showFirstColumn="1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A0A40276-CF93-BE4E-830D-F3FEB5C9E589}" name="Tableau332" displayName="Tableau332" ref="B20:E45" totalsRowCount="1">
  <autoFilter ref="B20:E44" xr:uid="{50E91909-8F17-E340-9F38-9C19DBA971AF}"/>
  <tableColumns count="4">
    <tableColumn id="1" xr3:uid="{CC25BAC1-837A-8A41-A431-6340241C4457}" name="Materiaux" totalsRowLabel="Total" dataDxfId="108" totalsRowDxfId="107"/>
    <tableColumn id="2" xr3:uid="{4A10A45C-A368-AE47-821D-F690BAE5FC7B}" name="Quantité/g ou ml"/>
    <tableColumn id="3" xr3:uid="{D83A6A5C-F1D7-9445-9E99-DBA9DE69097E}" name="Prix TTC/g et ml" dataDxfId="106" totalsRowDxfId="105">
      <calculatedColumnFormula>Matériaux!M18</calculatedColumnFormula>
    </tableColumn>
    <tableColumn id="4" xr3:uid="{07AAF510-1EAB-1347-A672-602D7C033CF4}" name="Total" totalsRowFunction="sum" dataDxfId="104" totalsRowDxfId="103">
      <calculatedColumnFormula>Tableau332[[#This Row],[Quantité/g ou ml]]*Tableau332[[#This Row],[Prix TTC/g et ml]]</calculatedColumnFormula>
    </tableColumn>
  </tableColumns>
  <tableStyleInfo name="TableStyleLight18" showFirstColumn="0" showLastColumn="1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FB8B7C7E-FC3E-4042-854B-8C4B9AEFBBCE}" name="Tableau433" displayName="Tableau433" ref="G20:J45" totalsRowCount="1">
  <autoFilter ref="G20:J44" xr:uid="{9B8F20F9-1D33-8F43-A42D-923118696851}"/>
  <tableColumns count="4">
    <tableColumn id="1" xr3:uid="{DFA92145-6A24-0E4F-83D3-09EB48BFAEB7}" name="Materiaux" totalsRowLabel="Total" dataDxfId="102" totalsRowDxfId="101"/>
    <tableColumn id="2" xr3:uid="{9E2BAD5B-DEB3-0141-B1A6-49BC175D4A4A}" name="Quantité/g ou ml"/>
    <tableColumn id="3" xr3:uid="{E53C4F44-E7BC-004F-AC5E-4FC55AFAC85C}" name="Prix TTC/ g et ml" dataDxfId="100">
      <calculatedColumnFormula>Matériaux!M18</calculatedColumnFormula>
    </tableColumn>
    <tableColumn id="4" xr3:uid="{FDAA80EE-9DF4-5440-BC6D-58606339FD96}" name="Total" totalsRowFunction="sum" dataDxfId="99" totalsRowDxfId="98">
      <calculatedColumnFormula>Tableau433[[#This Row],[Prix TTC/ g et ml]]*Tableau433[[#This Row],[Quantité/g ou ml]]</calculatedColumnFormula>
    </tableColumn>
  </tableColumns>
  <tableStyleInfo name="TableStyleLight18" showFirstColumn="1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97CA7A80-A0D8-314D-ACF6-AE3F81F1D2CB}" name="Tableau4734" displayName="Tableau4734" ref="M20:P45" totalsRowCount="1">
  <autoFilter ref="M20:P44" xr:uid="{16AA825C-9A88-F048-B8C7-E4B644FD3BFC}"/>
  <tableColumns count="4">
    <tableColumn id="1" xr3:uid="{B472C5E3-F49B-5F49-8DEF-A62D6D724927}" name="Materiaux" totalsRowLabel="Total" dataDxfId="97" totalsRowDxfId="96"/>
    <tableColumn id="2" xr3:uid="{543A7CFC-9339-874B-89C3-3EC1270F2A2B}" name="Quantité/g ou ml"/>
    <tableColumn id="3" xr3:uid="{0A89ED3A-9F58-F446-97EA-BFFFC4E45468}" name="Prix TTC/ g et ml" dataDxfId="95">
      <calculatedColumnFormula>Matériaux!Q18</calculatedColumnFormula>
    </tableColumn>
    <tableColumn id="4" xr3:uid="{8BB49786-F296-544B-82C1-B5A525908C09}" name="Total" totalsRowFunction="sum" dataDxfId="94" totalsRowDxfId="93">
      <calculatedColumnFormula>Matériaux!M18</calculatedColumnFormula>
    </tableColumn>
  </tableColumns>
  <tableStyleInfo name="TableStyleLight18" showFirstColumn="1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50CC39CA-473F-0843-99A5-CCB5DBA4E5F3}" name="Tableau935" displayName="Tableau935" ref="B48:E52" totalsRowCount="1">
  <autoFilter ref="B48:E51" xr:uid="{6F2EC549-97D7-E843-ADCA-19C660517B90}"/>
  <tableColumns count="4">
    <tableColumn id="1" xr3:uid="{E2CE1E49-4F19-154A-ABA0-F37819FE6150}" name="Materiel" totalsRowLabel="Total" dataDxfId="92" totalsRowDxfId="91"/>
    <tableColumn id="2" xr3:uid="{A123B3BB-6116-A944-8454-782ACA037DD8}" name="Quantité"/>
    <tableColumn id="3" xr3:uid="{ACD08023-E154-5643-BBCD-36151F95A87A}" name="Prix à l’unité" dataDxfId="90"/>
    <tableColumn id="4" xr3:uid="{150F9F90-3558-BF49-975B-4F230613BEBE}" name="Total" totalsRowFunction="sum" totalsRowDxfId="89"/>
  </tableColumns>
  <tableStyleInfo name="TableStyleLight18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B80430F3-A123-FE49-878D-420EBB1EA935}" name="Tableau1336" displayName="Tableau1336" ref="B60:E64" totalsRowCount="1">
  <autoFilter ref="B60:E63" xr:uid="{0D2405D9-8023-AF46-B46C-BE1D8CD7E081}"/>
  <tableColumns count="4">
    <tableColumn id="1" xr3:uid="{6BA62C39-1748-8448-8739-D41ED59616AA}" name="Charges" totalsRowLabel="Total" dataDxfId="88" totalsRowDxfId="87"/>
    <tableColumn id="2" xr3:uid="{E1EF691F-96FE-8F4A-A5E2-F5E32A8DC701}" name="Coût "/>
    <tableColumn id="3" xr3:uid="{445CBA42-0EF1-8A47-B238-6C898566C2ED}" name="Nombre de participant"/>
    <tableColumn id="4" xr3:uid="{BC6BA701-B168-904E-B6B6-360EABAAD401}" name="Total" totalsRowFunction="sum" totalsRowDxfId="86"/>
  </tableColumns>
  <tableStyleInfo name="TableStyleLight18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40A169EC-B5EE-3642-8C07-4A3022F13791}" name="Tableau1737" displayName="Tableau1737" ref="B54:E57" totalsRowCount="1">
  <autoFilter ref="B54:E56" xr:uid="{BC6C43AC-50CD-D746-8BBD-3E7070827606}"/>
  <tableColumns count="4">
    <tableColumn id="1" xr3:uid="{61932D8F-F363-F842-9034-FED93AE50558}" name="Salaire" totalsRowLabel="Total"/>
    <tableColumn id="2" xr3:uid="{E7895F13-BC92-D44A-B8D8-63E6546A9738}" name="Coût horaire"/>
    <tableColumn id="3" xr3:uid="{D4AC3A67-5EB7-FC4C-9912-218F2698D862}" name="Nombre d’heure"/>
    <tableColumn id="4" xr3:uid="{28B09C8C-2B53-1747-BA2C-70888BB97DCA}" name="Total" totalsRowFunction="sum" totalsRowDxfId="85"/>
  </tableColumns>
  <tableStyleInfo name="TableStyleLight18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9278A6B1-5122-4F4F-81E8-12C7BC88E5D9}" name="Tableau2338" displayName="Tableau2338" ref="C4:F6" totalsRowCount="1" headerRowDxfId="84" dataDxfId="83">
  <autoFilter ref="C4:F5" xr:uid="{4070FB93-670C-964A-B647-7827298A6705}"/>
  <tableColumns count="4">
    <tableColumn id="4" xr3:uid="{5F0DBBC7-50C1-1846-B1F1-1CD91E59B03F}" name="Colonne1" dataDxfId="82"/>
    <tableColumn id="1" xr3:uid="{4E194998-5DEB-8143-8132-84987D901AFB}" name="Coûts des materiaux" totalsRowLabel="Total" dataDxfId="81" totalsRowDxfId="80">
      <calculatedColumnFormula>SUM(Tableau332[[#Totals],[Total]],Tableau433[[#Totals],[Total]],Tableau4734[[#Totals],[Total]],Tableau935[[#Totals],[Total]])</calculatedColumnFormula>
    </tableColumn>
    <tableColumn id="2" xr3:uid="{91C3E64E-E463-AE40-8231-5C16B99FA1C9}" name="Salaire" dataDxfId="79" totalsRowDxfId="78">
      <calculatedColumnFormula>Tableau1737[[#Totals],[Total]]</calculatedColumnFormula>
    </tableColumn>
    <tableColumn id="3" xr3:uid="{A78A61B3-410F-7C4F-8B45-14ACBAB3F93E}" name="Charge" totalsRowFunction="custom" dataDxfId="77" totalsRowDxfId="76">
      <calculatedColumnFormula>Tableau1336[[#Totals],[Total]]</calculatedColumnFormula>
      <totalsRowFormula>SUM(Tableau2338[Coûts des materiaux],Tableau2338[Salaire],Tableau2338[Charge])</totalsRowFormula>
    </tableColumn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DB6FBAF2-DF5A-F34C-ACBD-CECF48BEAA00}" name="Tableau340" displayName="Tableau340" ref="B20:E41" totalsRowCount="1">
  <autoFilter ref="B20:E40" xr:uid="{50E91909-8F17-E340-9F38-9C19DBA971AF}"/>
  <tableColumns count="4">
    <tableColumn id="1" xr3:uid="{E209FDEA-8D93-BE4F-B880-39A01A349828}" name="Materiaux" totalsRowLabel="Total" dataDxfId="75" totalsRowDxfId="74"/>
    <tableColumn id="2" xr3:uid="{CDAFC5EC-3B8A-7449-93F1-ECC7F7D872A9}" name="Quantité/g ou ml"/>
    <tableColumn id="3" xr3:uid="{962FC57A-9C4C-1445-B928-C3A0AA18F055}" name="Prix TTC/g et ml" dataDxfId="73" totalsRowDxfId="72">
      <calculatedColumnFormula>Matériaux!M18</calculatedColumnFormula>
    </tableColumn>
    <tableColumn id="4" xr3:uid="{B0788BBD-1F92-874C-B32D-4E8E4A4E96CF}" name="Total" totalsRowFunction="sum" dataDxfId="71" totalsRowDxfId="70">
      <calculatedColumnFormula>Tableau340[[#This Row],[Quantité/g ou ml]]*Tableau340[[#This Row],[Prix TTC/g et ml]]</calculatedColumnFormula>
    </tableColumn>
  </tableColumns>
  <tableStyleInfo name="TableStyleLight18" showFirstColumn="0" showLastColumn="1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5A44ED3A-793B-9147-985C-69DB6B19718C}" name="Tableau441" displayName="Tableau441" ref="G20:J41" totalsRowCount="1">
  <autoFilter ref="G20:J40" xr:uid="{9B8F20F9-1D33-8F43-A42D-923118696851}"/>
  <tableColumns count="4">
    <tableColumn id="1" xr3:uid="{0C82D10C-6746-664A-B1CA-5553D88DEC46}" name="Materiaux" totalsRowLabel="Total" dataDxfId="69" totalsRowDxfId="68"/>
    <tableColumn id="2" xr3:uid="{C6202845-EC51-DA41-AF6B-AA62DCE98916}" name="Quantité/g ou ml"/>
    <tableColumn id="3" xr3:uid="{29F4E297-DAAE-9E48-A5D8-DCE2D93B65CE}" name="Prix TTC/ g et ml" dataDxfId="67">
      <calculatedColumnFormula>Matériaux!M18</calculatedColumnFormula>
    </tableColumn>
    <tableColumn id="4" xr3:uid="{FFC8A0A4-9D9E-7443-A1B6-E8A23098A9FF}" name="Total" totalsRowFunction="sum" dataDxfId="66" totalsRowDxfId="65">
      <calculatedColumnFormula>Tableau441[[#This Row],[Prix TTC/ g et ml]]*Tableau441[[#This Row],[Quantité/g ou ml]]</calculatedColumnFormula>
    </tableColumn>
  </tableColumns>
  <tableStyleInfo name="TableStyleLight18" showFirstColumn="1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4658F1B5-EBCA-3345-BD7E-A46BCFF95A6D}" name="Tableau943" displayName="Tableau943" ref="B44:E47" totalsRowCount="1">
  <autoFilter ref="B44:E46" xr:uid="{6F2EC549-97D7-E843-ADCA-19C660517B90}"/>
  <tableColumns count="4">
    <tableColumn id="1" xr3:uid="{261788DC-5C39-1441-822B-D83605C5BD06}" name="Materiel" totalsRowLabel="Total" dataDxfId="64" totalsRowDxfId="63"/>
    <tableColumn id="2" xr3:uid="{80511187-6FFF-A14D-AFE9-1BC6307443B6}" name="Quantité"/>
    <tableColumn id="3" xr3:uid="{1A0D59A2-1D9F-1F4B-98DD-F126E555E6A3}" name="Prix à l’unité" dataDxfId="62"/>
    <tableColumn id="4" xr3:uid="{BF45CFF3-6BE7-6D46-A6B5-11CD15CD0CE2}" name="Total" totalsRowFunction="sum" totalsRowDxfId="61"/>
  </tableColumns>
  <tableStyleInfo name="TableStyleLight18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7B6D7306-8055-2941-8AA8-206A824431BE}" name="Tableau1344" displayName="Tableau1344" ref="B55:E59" totalsRowCount="1">
  <autoFilter ref="B55:E58" xr:uid="{0D2405D9-8023-AF46-B46C-BE1D8CD7E081}"/>
  <tableColumns count="4">
    <tableColumn id="1" xr3:uid="{89328575-F4BF-9F48-B02E-0F80F53E314A}" name="Charges" totalsRowLabel="Total" dataDxfId="60" totalsRowDxfId="59"/>
    <tableColumn id="2" xr3:uid="{0C13CAE1-9972-2B43-A561-4078CE844253}" name="Coût "/>
    <tableColumn id="3" xr3:uid="{6AB69557-670D-844F-9798-6FB9EADC02B6}" name="Nombre de participant"/>
    <tableColumn id="4" xr3:uid="{524EC30B-09E8-C14A-9244-58550CAC2A85}" name="Total" totalsRowFunction="sum" totalsRowDxfId="58"/>
  </tableColumns>
  <tableStyleInfo name="TableStyleLight18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968B31EF-7539-A94E-B986-4398DE5BE59C}" name="Tableau1745" displayName="Tableau1745" ref="B49:E52" totalsRowCount="1">
  <autoFilter ref="B49:E51" xr:uid="{BC6C43AC-50CD-D746-8BBD-3E7070827606}"/>
  <tableColumns count="4">
    <tableColumn id="1" xr3:uid="{9C556ECA-3360-9B41-B719-BA252AF7DE77}" name="Salaire" totalsRowLabel="Total"/>
    <tableColumn id="2" xr3:uid="{4EA4DCA8-668A-284C-ACDE-6311D35F3051}" name="Coût horaire"/>
    <tableColumn id="3" xr3:uid="{40528EB3-63CF-C84E-98CF-E73808B61CB2}" name="Nombre d’heure"/>
    <tableColumn id="4" xr3:uid="{2F8A3D8E-78DF-5F4F-9CD7-D6641B21DF65}" name="Total" totalsRowFunction="sum" totalsRowDxfId="57"/>
  </tableColumns>
  <tableStyleInfo name="TableStyleLight18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B0B70B3D-B30A-7C41-8D9B-8E421372440B}" name="Tableau2346" displayName="Tableau2346" ref="C4:E6" totalsRowCount="1" headerRowDxfId="56" dataDxfId="55">
  <autoFilter ref="C4:E5" xr:uid="{4070FB93-670C-964A-B647-7827298A6705}"/>
  <tableColumns count="3">
    <tableColumn id="1" xr3:uid="{2E3DB10F-256E-5641-A877-DC13852C58EE}" name="Coûts des materiaux" totalsRowLabel="Total" dataDxfId="54" totalsRowDxfId="53">
      <calculatedColumnFormula>SUM(Tableau340[[#Totals],[Total]],Tableau441[[#Totals],[Total]],Tableau33239[[#Totals],[Total]])</calculatedColumnFormula>
    </tableColumn>
    <tableColumn id="2" xr3:uid="{D275E6EC-50FB-5A4D-80EC-64E28CACBFD4}" name="Salaire" dataDxfId="52" totalsRowDxfId="51">
      <calculatedColumnFormula>Tableau1745[[#Totals],[Total]]</calculatedColumnFormula>
    </tableColumn>
    <tableColumn id="3" xr3:uid="{0F565FD2-67F4-0547-A01F-292E252F618A}" name="Charge" totalsRowFunction="custom" dataDxfId="50" totalsRowDxfId="49">
      <calculatedColumnFormula>Tableau1344[[#Totals],[Total]]</calculatedColumnFormula>
      <totalsRowFormula>SUM(Tableau2346[Coûts des materiaux],Tableau2346[Salaire],Tableau2346[Charge])</totalsRowFormula>
    </tableColumn>
  </tableColumns>
  <tableStyleInfo name="TableStyleLight10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72978B9A-690B-E549-8A7F-4B31A20799F0}" name="Tableau33239" displayName="Tableau33239" ref="N20:Q45" totalsRowCount="1">
  <autoFilter ref="N20:Q44" xr:uid="{CE4A0EC7-99DF-8946-972E-96C210079848}"/>
  <tableColumns count="4">
    <tableColumn id="1" xr3:uid="{532C0169-0837-FD4B-AF0F-42FEAB4C703C}" name="Materiaux" totalsRowLabel="Total" dataDxfId="48" totalsRowDxfId="47"/>
    <tableColumn id="2" xr3:uid="{E2826DEF-F2AD-2843-AE46-850426EFBBD1}" name="Quantité/g ou ml"/>
    <tableColumn id="3" xr3:uid="{6754C724-D4D0-2D4B-A27F-E054FA6CE388}" name="Prix TTC/g et ml" dataDxfId="46" totalsRowDxfId="45">
      <calculatedColumnFormula>Matériaux!AB18</calculatedColumnFormula>
    </tableColumn>
    <tableColumn id="4" xr3:uid="{9BEAAE61-0234-3345-A0C2-D3AF49F64C3B}" name="Total" totalsRowFunction="sum" dataDxfId="44" totalsRowDxfId="43">
      <calculatedColumnFormula>Matériaux!M18</calculatedColumnFormula>
    </tableColumn>
  </tableColumns>
  <tableStyleInfo name="TableStyleLight18" showFirstColumn="0" showLastColumn="1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04CE98-F5B1-4941-A209-C9F5FF306CDD}" name="Tableau3" displayName="Tableau3" ref="B20:E41" totalsRowCount="1">
  <autoFilter ref="B20:E40" xr:uid="{50E91909-8F17-E340-9F38-9C19DBA971AF}"/>
  <tableColumns count="4">
    <tableColumn id="1" xr3:uid="{F9C97604-3B5D-6749-88D3-860AE45394A4}" name="Materiaux" totalsRowLabel="Total" dataDxfId="42" totalsRowDxfId="41"/>
    <tableColumn id="2" xr3:uid="{94D9BC6C-39BF-B74F-90D9-63B82B1393FE}" name="Quantité/g ou ml"/>
    <tableColumn id="3" xr3:uid="{719406E6-B66B-7746-BBB2-190E2C7F6410}" name="Prix TTC/g et ml" dataDxfId="40" totalsRowDxfId="39">
      <calculatedColumnFormula>Matériaux!M18</calculatedColumnFormula>
    </tableColumn>
    <tableColumn id="4" xr3:uid="{AF5EB334-6C73-844C-B25B-920B2CD762D6}" name="Total" totalsRowFunction="sum" dataDxfId="38" totalsRowDxfId="37">
      <calculatedColumnFormula>Tableau3[[#This Row],[Quantité/g ou ml]]*Tableau3[[#This Row],[Prix TTC/g et ml]]</calculatedColumnFormula>
    </tableColumn>
  </tableColumns>
  <tableStyleInfo name="TableStyleLight18" showFirstColumn="0" showLastColumn="1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AA6D81A-C927-3741-8A64-A70F7108CB9F}" name="Tableau4" displayName="Tableau4" ref="G20:J41" totalsRowCount="1">
  <autoFilter ref="G20:J40" xr:uid="{9B8F20F9-1D33-8F43-A42D-923118696851}"/>
  <tableColumns count="4">
    <tableColumn id="1" xr3:uid="{13D447EC-4E81-0748-B0F9-D5108074D621}" name="Materiaux" totalsRowLabel="Total" dataDxfId="36" totalsRowDxfId="35"/>
    <tableColumn id="2" xr3:uid="{91506691-EF07-B842-B447-A241BD916C1C}" name="Quantité/g ou ml"/>
    <tableColumn id="3" xr3:uid="{2E95E9AB-C2B0-924E-BE0E-E7468709685A}" name="Prix TTC/ g et ml" dataDxfId="34">
      <calculatedColumnFormula>Matériaux!M18</calculatedColumnFormula>
    </tableColumn>
    <tableColumn id="4" xr3:uid="{A6F56456-EEF5-864D-B23C-0D9B7A6F6CF6}" name="Total" totalsRowFunction="sum" dataDxfId="33" totalsRowDxfId="32">
      <calculatedColumnFormula>Tableau4[[#This Row],[Prix TTC/ g et ml]]*Tableau4[[#This Row],[Quantité/g ou ml]]</calculatedColumnFormula>
    </tableColumn>
  </tableColumns>
  <tableStyleInfo name="TableStyleLight18" showFirstColumn="1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FB5FD0-AE16-4F40-96DC-515DA0761722}" name="Tableau47" displayName="Tableau47" ref="M20:P41" totalsRowCount="1">
  <autoFilter ref="M20:P40" xr:uid="{16AA825C-9A88-F048-B8C7-E4B644FD3BFC}"/>
  <tableColumns count="4">
    <tableColumn id="1" xr3:uid="{9E4560C2-A307-C346-8522-4A09DE33AD99}" name="Materiaux" totalsRowLabel="Total" dataDxfId="31" totalsRowDxfId="30"/>
    <tableColumn id="2" xr3:uid="{33EF64C5-4645-034A-8497-64AA50D39847}" name="Quantité/g ou ml"/>
    <tableColumn id="3" xr3:uid="{E8B67327-C87E-C147-ABF0-78FC43E24237}" name="Prix TTC/ g et ml" dataDxfId="29">
      <calculatedColumnFormula>Matériaux!Q18</calculatedColumnFormula>
    </tableColumn>
    <tableColumn id="4" xr3:uid="{8781AF68-6566-E541-8CE8-F4682B4C2554}" name="Total" totalsRowFunction="sum" dataDxfId="28" totalsRowDxfId="27">
      <calculatedColumnFormula>Tableau47[[#This Row],[Prix TTC/ g et ml]]*Tableau47[[#This Row],[Quantité/g ou ml]]</calculatedColumnFormula>
    </tableColumn>
  </tableColumns>
  <tableStyleInfo name="TableStyleLight18" showFirstColumn="1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FAB0D15-100B-1E42-AB53-4CF34FA78AC3}" name="Tableau9" displayName="Tableau9" ref="B44:E47" totalsRowCount="1">
  <autoFilter ref="B44:E46" xr:uid="{6F2EC549-97D7-E843-ADCA-19C660517B90}"/>
  <tableColumns count="4">
    <tableColumn id="1" xr3:uid="{E927E249-42B4-7849-B374-32FEC930859F}" name="Materiel" totalsRowLabel="Total" dataDxfId="26" totalsRowDxfId="25"/>
    <tableColumn id="2" xr3:uid="{7EC7370C-C978-F448-8EC5-4BE3A0F7B15E}" name="Quantité"/>
    <tableColumn id="3" xr3:uid="{0C323C76-5E55-0545-97AA-C174989870F8}" name="Prix à l’unité" dataDxfId="24"/>
    <tableColumn id="4" xr3:uid="{D3399016-7B3F-844D-BDB2-D1ED1C2AE7A3}" name="Total" totalsRowFunction="sum" totalsRowDxfId="23"/>
  </tableColumns>
  <tableStyleInfo name="TableStyleLight18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2D95C2C-DAEA-434E-99F2-A034C078C910}" name="Tableau13" displayName="Tableau13" ref="B55:E59" totalsRowCount="1">
  <autoFilter ref="B55:E58" xr:uid="{0D2405D9-8023-AF46-B46C-BE1D8CD7E081}"/>
  <tableColumns count="4">
    <tableColumn id="1" xr3:uid="{DA968927-ECB1-6041-A8C7-F999AF5A17E7}" name="Charges" totalsRowLabel="Total" dataDxfId="22" totalsRowDxfId="21"/>
    <tableColumn id="2" xr3:uid="{D98A9540-3DBD-904E-9014-20A0A9C2B2DB}" name="Coût "/>
    <tableColumn id="3" xr3:uid="{901EED30-7249-1647-BA27-F77B2E45E136}" name="Nombre de participant"/>
    <tableColumn id="4" xr3:uid="{4013EE6C-B79A-7440-BB4D-C869DA56A25D}" name="Total" totalsRowFunction="sum" totalsRowDxfId="20"/>
  </tableColumns>
  <tableStyleInfo name="TableStyleLight18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52E16C7E-A312-7648-97F7-3179326F6536}" name="Tableau17" displayName="Tableau17" ref="B49:E52" totalsRowCount="1">
  <autoFilter ref="B49:E51" xr:uid="{BC6C43AC-50CD-D746-8BBD-3E7070827606}"/>
  <tableColumns count="4">
    <tableColumn id="1" xr3:uid="{01AFF691-DCF7-1742-A98A-3B47DB710AFC}" name="Salaire" totalsRowLabel="Total"/>
    <tableColumn id="2" xr3:uid="{AB5FB0ED-E7F2-BE4B-B292-D6C09C6D5546}" name="Coût horaire"/>
    <tableColumn id="3" xr3:uid="{B5FC45A8-26FD-E44D-822E-A40041ECA150}" name="Nombre d’heure"/>
    <tableColumn id="4" xr3:uid="{8F770BC2-4A4D-064C-81D6-16D189BD418A}" name="Total" totalsRowFunction="sum" totalsRowDxfId="19"/>
  </tableColumns>
  <tableStyleInfo name="TableStyleLight18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FF6BE91-0974-A04D-8F74-343EF20224B7}" name="Tableau23" displayName="Tableau23" ref="C4:E6" totalsRowCount="1" headerRowDxfId="18" dataDxfId="17">
  <autoFilter ref="C4:E5" xr:uid="{4070FB93-670C-964A-B647-7827298A6705}"/>
  <tableColumns count="3">
    <tableColumn id="1" xr3:uid="{968B3FC4-5D3E-BD41-93A0-7860649EB04C}" name="Coûts des materiaux" totalsRowLabel="Total" dataDxfId="16" totalsRowDxfId="15">
      <calculatedColumnFormula>SUM(Tableau3[[#Totals],[Total]],Tableau4[[#Totals],[Total]],Tableau47[[#Totals],[Total]],Tableau9[[#Totals],[Total]])</calculatedColumnFormula>
    </tableColumn>
    <tableColumn id="2" xr3:uid="{F1AC5010-47B3-514F-878B-2CCDFD553935}" name="Salaire" dataDxfId="14" totalsRowDxfId="13">
      <calculatedColumnFormula>Tableau17[[#Totals],[Total]]</calculatedColumnFormula>
    </tableColumn>
    <tableColumn id="3" xr3:uid="{F4898CA7-FECF-C94B-80E0-0142C676AC96}" name="Charge" totalsRowFunction="custom" dataDxfId="12" totalsRowDxfId="11">
      <calculatedColumnFormula>Tableau13[[#Totals],[Total]]</calculatedColumnFormula>
      <totalsRowFormula>SUM(Tableau23[Coûts des materiaux],Tableau23[Salaire],Tableau23[Charge])</totalsRowFormula>
    </tableColumn>
  </tableColumns>
  <tableStyleInfo name="TableStyleLight10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20789A-9A79-064E-9C20-4712BB242D06}" name="Tableau2" displayName="Tableau2" ref="B6:E61" totalsRowCount="1" tableBorderDxfId="10">
  <autoFilter ref="B6:E60" xr:uid="{6C9EBE47-4D7D-6A4D-B382-0D6CDE24F23B}"/>
  <tableColumns count="4">
    <tableColumn id="1" xr3:uid="{F3AD3F3C-4384-4340-830F-7A54D84B615A}" name="Matériaux " dataDxfId="9" totalsRowDxfId="8"/>
    <tableColumn id="2" xr3:uid="{42A898BC-992D-A34F-A8A2-0888B99AEFD2}" name="Quantité" totalsRowDxfId="7"/>
    <tableColumn id="3" xr3:uid="{FF1175A5-BC27-8F4F-A061-36E0BE6D2B39}" name="Prix TTC/g" dataDxfId="6" totalsRowDxfId="5">
      <calculatedColumnFormula>Matériaux!N18</calculatedColumnFormula>
    </tableColumn>
    <tableColumn id="4" xr3:uid="{E00EC457-BD12-C745-80BE-20F4AB08B962}" name="Total" totalsRowFunction="custom" dataDxfId="4" totalsRowDxfId="3">
      <calculatedColumnFormula>Tableau2[[#This Row],[Quantité]]*Tableau2[[#This Row],[Prix TTC/g]]</calculatedColumnFormula>
      <totalsRowFormula xml:space="preserve"> E11+E37+E54</totalsRowFormula>
    </tableColumn>
  </tableColumns>
  <tableStyleInfo name="TableStyleLight1" showFirstColumn="1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DC07A14-2B83-5D49-A00D-F012855E8C6C}" name="Tableau11" displayName="Tableau11" ref="H6:K7">
  <autoFilter ref="H6:K7" xr:uid="{7F6F5039-7799-094D-8BFE-10CFE0C505DC}"/>
  <tableColumns count="4">
    <tableColumn id="1" xr3:uid="{F0442144-D565-174C-BACF-49AD59ED08E0}" name="Temps fabrication " totalsRowLabel="Total"/>
    <tableColumn id="2" xr3:uid="{61182B3C-F456-0849-A441-969AA1DB2BD3}" name="Coût horaire"/>
    <tableColumn id="3" xr3:uid="{88764888-C56C-7C43-B604-4A5A42975F9D}" name="Coût savon " totalsRowFunction="sum">
      <calculatedColumnFormula>Tableau2[[#Totals],[Total]]</calculatedColumnFormula>
    </tableColumn>
    <tableColumn id="6" xr3:uid="{AD7A00A6-C6AA-C740-ACE8-A82008D3D8E6}" name="Total au kg">
      <calculatedColumnFormula>SUM(Tableau11[[#All],[Temps fabrication ]:[Coût savon ]])</calculatedColumnFormula>
    </tableColumn>
  </tableColumns>
  <tableStyleInfo name="TableStyleLight1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5E683C3-CB64-1848-BB5B-800BE83127B3}" name="Tableau15" displayName="Tableau15" ref="H3:H4" totalsRowShown="0">
  <autoFilter ref="H3:H4" xr:uid="{2563708A-67D4-5445-9759-A84D99CA76D8}"/>
  <tableColumns count="1">
    <tableColumn id="1" xr3:uid="{F45D2508-1E68-4942-9B08-4F30ECE1CDF4}" name="Coût total au g">
      <calculatedColumnFormula array="1">Tableau11[Total au kg]/1000</calculatedColumnFormula>
    </tableColumn>
  </tableColumns>
  <tableStyleInfo name="TableStyleLight1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5DE3FD5-1382-5A45-8C1D-82D2C9E41159}" name="Tableau19" displayName="Tableau19" ref="M6:P60" totalsRowShown="0" tableBorderDxfId="2">
  <autoFilter ref="M6:P60" xr:uid="{0BE0DEA4-E8F6-6644-B8B6-E5E532459325}"/>
  <tableColumns count="4">
    <tableColumn id="1" xr3:uid="{D1785A9E-FFDB-2041-8597-C1DDD3786440}" name="Matériaux " dataDxfId="1"/>
    <tableColumn id="2" xr3:uid="{DB75E889-021A-DF4E-A21B-281E4C2D398F}" name="Quantité"/>
    <tableColumn id="3" xr3:uid="{806FD6E0-D6CD-3941-A43C-CC8644FC88E9}" name="prix TTC/g" dataDxfId="0">
      <calculatedColumnFormula>Matériaux!N18</calculatedColumnFormula>
    </tableColumn>
    <tableColumn id="4" xr3:uid="{2FD1AAA9-7A3C-EC4B-89B3-2D7335BC98C9}" name="Total"/>
  </tableColumns>
  <tableStyleInfo name="TableStyleLight1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drawing" Target="../drawings/drawing2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8.xml"/><Relationship Id="rId3" Type="http://schemas.openxmlformats.org/officeDocument/2006/relationships/table" Target="../tables/table13.xml"/><Relationship Id="rId7" Type="http://schemas.openxmlformats.org/officeDocument/2006/relationships/table" Target="../tables/table17.xml"/><Relationship Id="rId2" Type="http://schemas.openxmlformats.org/officeDocument/2006/relationships/table" Target="../tables/table12.xml"/><Relationship Id="rId1" Type="http://schemas.openxmlformats.org/officeDocument/2006/relationships/drawing" Target="../drawings/drawing3.xml"/><Relationship Id="rId6" Type="http://schemas.openxmlformats.org/officeDocument/2006/relationships/table" Target="../tables/table16.xml"/><Relationship Id="rId5" Type="http://schemas.openxmlformats.org/officeDocument/2006/relationships/table" Target="../tables/table15.xml"/><Relationship Id="rId4" Type="http://schemas.openxmlformats.org/officeDocument/2006/relationships/table" Target="../tables/table1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5.xml"/><Relationship Id="rId3" Type="http://schemas.openxmlformats.org/officeDocument/2006/relationships/table" Target="../tables/table20.xml"/><Relationship Id="rId7" Type="http://schemas.openxmlformats.org/officeDocument/2006/relationships/table" Target="../tables/table24.xml"/><Relationship Id="rId2" Type="http://schemas.openxmlformats.org/officeDocument/2006/relationships/table" Target="../tables/table19.xml"/><Relationship Id="rId1" Type="http://schemas.openxmlformats.org/officeDocument/2006/relationships/drawing" Target="../drawings/drawing4.xml"/><Relationship Id="rId6" Type="http://schemas.openxmlformats.org/officeDocument/2006/relationships/table" Target="../tables/table23.xml"/><Relationship Id="rId5" Type="http://schemas.openxmlformats.org/officeDocument/2006/relationships/table" Target="../tables/table22.xml"/><Relationship Id="rId4" Type="http://schemas.openxmlformats.org/officeDocument/2006/relationships/table" Target="../tables/table2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2.xml"/><Relationship Id="rId3" Type="http://schemas.openxmlformats.org/officeDocument/2006/relationships/table" Target="../tables/table27.xml"/><Relationship Id="rId7" Type="http://schemas.openxmlformats.org/officeDocument/2006/relationships/table" Target="../tables/table31.xml"/><Relationship Id="rId2" Type="http://schemas.openxmlformats.org/officeDocument/2006/relationships/table" Target="../tables/table26.xml"/><Relationship Id="rId1" Type="http://schemas.openxmlformats.org/officeDocument/2006/relationships/drawing" Target="../drawings/drawing5.xml"/><Relationship Id="rId6" Type="http://schemas.openxmlformats.org/officeDocument/2006/relationships/table" Target="../tables/table30.xml"/><Relationship Id="rId5" Type="http://schemas.openxmlformats.org/officeDocument/2006/relationships/table" Target="../tables/table29.xml"/><Relationship Id="rId4" Type="http://schemas.openxmlformats.org/officeDocument/2006/relationships/table" Target="../tables/table28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5.xml"/><Relationship Id="rId2" Type="http://schemas.openxmlformats.org/officeDocument/2006/relationships/table" Target="../tables/table34.xml"/><Relationship Id="rId1" Type="http://schemas.openxmlformats.org/officeDocument/2006/relationships/table" Target="../tables/table33.xml"/><Relationship Id="rId4" Type="http://schemas.openxmlformats.org/officeDocument/2006/relationships/table" Target="../tables/table3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FC5D5-8BB4-3B4A-9B74-1CC2C624CB70}">
  <dimension ref="B7:Q110"/>
  <sheetViews>
    <sheetView topLeftCell="A132" zoomScaleNormal="150" zoomScaleSheetLayoutView="100" workbookViewId="0">
      <selection activeCell="J67" sqref="J67"/>
    </sheetView>
  </sheetViews>
  <sheetFormatPr defaultRowHeight="15" x14ac:dyDescent="0.2"/>
  <cols>
    <col min="2" max="2" width="18.4296875" style="2" customWidth="1"/>
    <col min="3" max="3" width="20.04296875" style="3" customWidth="1"/>
    <col min="4" max="4" width="21.65625" style="3" customWidth="1"/>
    <col min="5" max="5" width="21.38671875" style="6" customWidth="1"/>
    <col min="6" max="6" width="19.50390625" customWidth="1"/>
    <col min="7" max="7" width="24.2109375" customWidth="1"/>
    <col min="8" max="8" width="21.7890625" style="9" customWidth="1"/>
    <col min="9" max="9" width="22.05859375" customWidth="1"/>
    <col min="10" max="10" width="24.2109375" customWidth="1"/>
    <col min="11" max="11" width="23.80859375" customWidth="1"/>
    <col min="12" max="12" width="27.98046875" customWidth="1"/>
    <col min="13" max="13" width="17.3515625" customWidth="1"/>
    <col min="14" max="14" width="17.484375" customWidth="1"/>
    <col min="15" max="15" width="18.83203125" customWidth="1"/>
    <col min="16" max="16" width="20.4453125" customWidth="1"/>
  </cols>
  <sheetData>
    <row r="7" spans="2:9" ht="41.25" customHeight="1" thickBot="1" x14ac:dyDescent="0.25">
      <c r="B7" s="137" t="s">
        <v>120</v>
      </c>
      <c r="C7" s="137"/>
    </row>
    <row r="8" spans="2:9" ht="15.75" thickTop="1" x14ac:dyDescent="0.2"/>
    <row r="9" spans="2:9" x14ac:dyDescent="0.2">
      <c r="B9" s="59" t="s">
        <v>121</v>
      </c>
      <c r="C9" s="60" t="s">
        <v>122</v>
      </c>
    </row>
    <row r="10" spans="2:9" x14ac:dyDescent="0.2">
      <c r="B10" s="61">
        <f>Tableau5[[#Totals],[Prix TTC/Birr ]]</f>
        <v>4167.5428000000002</v>
      </c>
      <c r="C10" s="3">
        <f>Tableau10[[#Totals],[Prix TTC/birr]]</f>
        <v>0</v>
      </c>
    </row>
    <row r="11" spans="2:9" x14ac:dyDescent="0.2">
      <c r="B11" s="2" t="s">
        <v>25</v>
      </c>
      <c r="C11" s="3" cm="1">
        <f t="array" ref="C11">Tableau12[Coût materiel]+Tableau12[Coût amenagement]</f>
        <v>4167.5428000000002</v>
      </c>
    </row>
    <row r="12" spans="2:9" x14ac:dyDescent="0.2">
      <c r="B12" s="2" t="s">
        <v>123</v>
      </c>
    </row>
    <row r="15" spans="2:9" ht="12.75" customHeight="1" x14ac:dyDescent="0.2">
      <c r="I15" s="3"/>
    </row>
    <row r="17" spans="2:17" ht="15.75" thickBot="1" x14ac:dyDescent="0.25">
      <c r="B17" s="50" t="s">
        <v>0</v>
      </c>
      <c r="C17" s="50" t="s">
        <v>124</v>
      </c>
      <c r="D17" s="16" t="s">
        <v>169</v>
      </c>
      <c r="E17" s="54" t="s">
        <v>20</v>
      </c>
      <c r="F17" s="54" t="s">
        <v>164</v>
      </c>
      <c r="G17" s="54" t="s">
        <v>165</v>
      </c>
      <c r="H17" s="12" t="s">
        <v>101</v>
      </c>
      <c r="I17" s="12" t="s">
        <v>102</v>
      </c>
      <c r="J17" s="12" t="s">
        <v>167</v>
      </c>
      <c r="K17" s="12" t="s">
        <v>104</v>
      </c>
      <c r="L17" s="12" t="s">
        <v>105</v>
      </c>
      <c r="M17" s="81" t="s">
        <v>103</v>
      </c>
      <c r="N17" s="12" t="s">
        <v>166</v>
      </c>
    </row>
    <row r="18" spans="2:17" ht="15.75" thickTop="1" x14ac:dyDescent="0.2">
      <c r="B18" s="2" t="s">
        <v>2</v>
      </c>
      <c r="C18" s="2" t="s">
        <v>125</v>
      </c>
      <c r="D18" s="24">
        <f>25*1000</f>
        <v>25000</v>
      </c>
      <c r="E18" s="7" t="s">
        <v>21</v>
      </c>
      <c r="F18" s="80">
        <v>222</v>
      </c>
      <c r="G18" s="82">
        <f>Tableau1[[#This Row],[Transport ]]/Tableau1[[#This Row],[Quantité unitaire/g ]]</f>
        <v>8.8800000000000007E-3</v>
      </c>
      <c r="H18">
        <v>1500</v>
      </c>
      <c r="I18" s="8">
        <f>Tableau1[[#This Row],[Prix HT/birr unitaire]]+((Tableau1[[#This Row],[Prix HT/birr unitaire]])*(15/100))</f>
        <v>1725</v>
      </c>
      <c r="J18" s="83">
        <f>Tableau1[[#This Row],[Prix HT/kg- Birr]]/1000</f>
        <v>0.06</v>
      </c>
      <c r="K18">
        <f>(Tableau1[[#This Row],[Prix HT/birr unitaire]]/Tableau1[[#This Row],[Quantité unitaire/g ]])*1000</f>
        <v>60</v>
      </c>
      <c r="L18" s="84">
        <f>(Tableau1[[#This Row],[Prix TTC/Birr unitaire ]]/Tableau1[[#This Row],[Quantité unitaire/g ]])*1000</f>
        <v>69</v>
      </c>
      <c r="M18" s="85">
        <f>Tableau1[[#This Row],[Prix TTC/kg - Birr]]/1000</f>
        <v>6.9000000000000006E-2</v>
      </c>
      <c r="N18" s="58">
        <f>Tableau1[[#This Row],[Prix TTC/g - Birr]]+Tableau1[[#This Row],[Prix transport/g2]]</f>
        <v>7.7880000000000005E-2</v>
      </c>
    </row>
    <row r="19" spans="2:17" ht="18" customHeight="1" x14ac:dyDescent="0.2">
      <c r="B19" s="2" t="s">
        <v>3</v>
      </c>
      <c r="C19" s="2" t="s">
        <v>125</v>
      </c>
      <c r="D19" s="24">
        <f>25*1000</f>
        <v>25000</v>
      </c>
      <c r="E19" s="7" t="s">
        <v>21</v>
      </c>
      <c r="F19" s="80">
        <v>222</v>
      </c>
      <c r="G19" s="82">
        <f>Tableau1[[#This Row],[Transport ]]/Tableau1[[#This Row],[Quantité unitaire/g ]]</f>
        <v>8.8800000000000007E-3</v>
      </c>
      <c r="H19" s="8">
        <v>750</v>
      </c>
      <c r="I19" s="8">
        <f>Tableau1[[#This Row],[Prix HT/birr unitaire]]+((Tableau1[[#This Row],[Prix HT/birr unitaire]])*(15/100))</f>
        <v>862.5</v>
      </c>
      <c r="J19" s="83">
        <f>Tableau1[[#This Row],[Prix HT/kg- Birr]]/1000</f>
        <v>0.03</v>
      </c>
      <c r="K19">
        <f>(Tableau1[[#This Row],[Prix HT/birr unitaire]]/Tableau1[[#This Row],[Quantité unitaire/g ]])*1000</f>
        <v>30</v>
      </c>
      <c r="L19" s="84">
        <f>(Tableau1[[#This Row],[Prix TTC/Birr unitaire ]]/Tableau1[[#This Row],[Quantité unitaire/g ]])*1000</f>
        <v>34.5</v>
      </c>
      <c r="M19" s="85">
        <f>Tableau1[[#This Row],[Prix TTC/kg - Birr]]/1000</f>
        <v>3.4500000000000003E-2</v>
      </c>
      <c r="N19" s="58">
        <f>Tableau1[[#This Row],[Prix TTC/g - Birr]]+Tableau1[[#This Row],[Prix transport/g2]]</f>
        <v>4.3380000000000002E-2</v>
      </c>
      <c r="O19" s="1"/>
      <c r="P19" s="1"/>
      <c r="Q19" s="1"/>
    </row>
    <row r="20" spans="2:17" x14ac:dyDescent="0.2">
      <c r="B20" s="2" t="s">
        <v>4</v>
      </c>
      <c r="C20" s="2" t="s">
        <v>125</v>
      </c>
      <c r="D20" s="24">
        <f>40*1000</f>
        <v>40000</v>
      </c>
      <c r="E20" s="7" t="s">
        <v>21</v>
      </c>
      <c r="F20" s="80">
        <v>222</v>
      </c>
      <c r="G20" s="82">
        <f>Tableau1[[#This Row],[Transport ]]/Tableau1[[#This Row],[Quantité unitaire/g ]]</f>
        <v>5.5500000000000002E-3</v>
      </c>
      <c r="H20">
        <v>1200</v>
      </c>
      <c r="I20" s="8">
        <f>Tableau1[[#This Row],[Prix HT/birr unitaire]]+((Tableau1[[#This Row],[Prix HT/birr unitaire]])*(15/100))</f>
        <v>1380</v>
      </c>
      <c r="J20" s="83">
        <f>Tableau1[[#This Row],[Prix HT/kg- Birr]]/1000</f>
        <v>0.03</v>
      </c>
      <c r="K20">
        <f>(Tableau1[[#This Row],[Prix HT/birr unitaire]]/Tableau1[[#This Row],[Quantité unitaire/g ]])*1000</f>
        <v>30</v>
      </c>
      <c r="L20" s="84">
        <f>(Tableau1[[#This Row],[Prix TTC/Birr unitaire ]]/Tableau1[[#This Row],[Quantité unitaire/g ]])*1000</f>
        <v>34.5</v>
      </c>
      <c r="M20" s="85">
        <f>Tableau1[[#This Row],[Prix TTC/kg - Birr]]/1000</f>
        <v>3.4500000000000003E-2</v>
      </c>
      <c r="N20" s="58">
        <f>Tableau1[[#This Row],[Prix TTC/g - Birr]]+Tableau1[[#This Row],[Prix transport/g2]]</f>
        <v>4.0050000000000002E-2</v>
      </c>
    </row>
    <row r="21" spans="2:17" ht="15.75" customHeight="1" x14ac:dyDescent="0.2">
      <c r="B21" s="2" t="s">
        <v>78</v>
      </c>
      <c r="C21" s="2" t="s">
        <v>125</v>
      </c>
      <c r="D21" s="24">
        <v>0</v>
      </c>
      <c r="F21" s="80">
        <v>0</v>
      </c>
      <c r="G21" s="82">
        <v>0</v>
      </c>
      <c r="H21">
        <v>0</v>
      </c>
      <c r="I21" s="8">
        <f>Tableau1[[#This Row],[Prix HT/birr unitaire]]+((Tableau1[[#This Row],[Prix HT/birr unitaire]])*(15/100))</f>
        <v>0</v>
      </c>
      <c r="J21" s="83" t="e">
        <f>Tableau1[[#This Row],[Prix HT/kg- Birr]]/1000</f>
        <v>#DIV/0!</v>
      </c>
      <c r="K21" t="e">
        <f>(Tableau1[[#This Row],[Prix HT/birr unitaire]]/Tableau1[[#This Row],[Quantité unitaire/g ]])*1000</f>
        <v>#DIV/0!</v>
      </c>
      <c r="L21" s="84" t="e">
        <f>(Tableau1[[#This Row],[Prix TTC/Birr unitaire ]]/Tableau1[[#This Row],[Quantité unitaire/g ]])*1000</f>
        <v>#DIV/0!</v>
      </c>
      <c r="M21" s="85" t="e">
        <f>Tableau1[[#This Row],[Prix TTC/kg - Birr]]/1000</f>
        <v>#DIV/0!</v>
      </c>
      <c r="N21" s="58" t="e">
        <f>Tableau1[[#This Row],[Prix TTC/g - Birr]]+Tableau1[[#This Row],[Prix transport/g2]]</f>
        <v>#DIV/0!</v>
      </c>
    </row>
    <row r="22" spans="2:17" x14ac:dyDescent="0.2">
      <c r="B22" s="2" t="s">
        <v>83</v>
      </c>
      <c r="C22" s="2" t="s">
        <v>125</v>
      </c>
      <c r="D22" s="24">
        <v>25000</v>
      </c>
      <c r="E22" s="6" t="s">
        <v>21</v>
      </c>
      <c r="F22" s="80">
        <v>222</v>
      </c>
      <c r="G22" s="82">
        <f>Tableau1[[#This Row],[Transport ]]/Tableau1[[#This Row],[Quantité unitaire/g ]]</f>
        <v>8.8800000000000007E-3</v>
      </c>
      <c r="H22">
        <v>1200</v>
      </c>
      <c r="I22" s="8">
        <f>Tableau1[[#This Row],[Prix HT/birr unitaire]]+((Tableau1[[#This Row],[Prix HT/birr unitaire]])*(15/100))</f>
        <v>1380</v>
      </c>
      <c r="J22" s="83">
        <f>Tableau1[[#This Row],[Prix HT/kg- Birr]]/1000</f>
        <v>4.8000000000000001E-2</v>
      </c>
      <c r="K22">
        <f>(Tableau1[[#This Row],[Prix HT/birr unitaire]]/Tableau1[[#This Row],[Quantité unitaire/g ]])*1000</f>
        <v>48</v>
      </c>
      <c r="L22" s="84">
        <f>(Tableau1[[#This Row],[Prix TTC/Birr unitaire ]]/Tableau1[[#This Row],[Quantité unitaire/g ]])*1000</f>
        <v>55.199999999999996</v>
      </c>
      <c r="M22" s="85">
        <f>Tableau1[[#This Row],[Prix TTC/kg - Birr]]/1000</f>
        <v>5.5199999999999999E-2</v>
      </c>
      <c r="N22" s="58">
        <f>Tableau1[[#This Row],[Prix TTC/g - Birr]]+Tableau1[[#This Row],[Prix transport/g2]]</f>
        <v>6.4079999999999998E-2</v>
      </c>
    </row>
    <row r="23" spans="2:17" ht="27.75" x14ac:dyDescent="0.2">
      <c r="B23" s="2" t="s">
        <v>5</v>
      </c>
      <c r="C23" s="2" t="s">
        <v>125</v>
      </c>
      <c r="D23" s="24">
        <f>25*1000</f>
        <v>25000</v>
      </c>
      <c r="E23" s="7" t="s">
        <v>21</v>
      </c>
      <c r="F23" s="80">
        <v>222</v>
      </c>
      <c r="G23" s="82">
        <f>Tableau1[[#This Row],[Transport ]]/Tableau1[[#This Row],[Quantité unitaire/g ]]</f>
        <v>8.8800000000000007E-3</v>
      </c>
      <c r="H23">
        <v>850</v>
      </c>
      <c r="I23" s="8">
        <f>Tableau1[[#This Row],[Prix HT/birr unitaire]]+((Tableau1[[#This Row],[Prix HT/birr unitaire]])*(15/100))</f>
        <v>977.5</v>
      </c>
      <c r="J23" s="83">
        <f>Tableau1[[#This Row],[Prix HT/kg- Birr]]/1000</f>
        <v>3.4000000000000002E-2</v>
      </c>
      <c r="K23">
        <f>(Tableau1[[#This Row],[Prix HT/birr unitaire]]/Tableau1[[#This Row],[Quantité unitaire/g ]])*1000</f>
        <v>34</v>
      </c>
      <c r="L23" s="84">
        <f>(Tableau1[[#This Row],[Prix TTC/Birr unitaire ]]/Tableau1[[#This Row],[Quantité unitaire/g ]])*1000</f>
        <v>39.1</v>
      </c>
      <c r="M23" s="85">
        <f>Tableau1[[#This Row],[Prix TTC/kg - Birr]]/1000</f>
        <v>3.9100000000000003E-2</v>
      </c>
      <c r="N23" s="58">
        <f>Tableau1[[#This Row],[Prix TTC/g - Birr]]+Tableau1[[#This Row],[Prix transport/g2]]</f>
        <v>4.7980000000000002E-2</v>
      </c>
    </row>
    <row r="24" spans="2:17" x14ac:dyDescent="0.2">
      <c r="B24" s="2" t="s">
        <v>6</v>
      </c>
      <c r="C24" s="2" t="s">
        <v>129</v>
      </c>
      <c r="D24" s="24">
        <v>500</v>
      </c>
      <c r="E24" s="6" t="s">
        <v>168</v>
      </c>
      <c r="F24" s="80">
        <v>241</v>
      </c>
      <c r="G24" s="82">
        <f>Tableau1[[#This Row],[Transport ]]/Tableau1[[#This Row],[Quantité unitaire/g ]]</f>
        <v>0.48199999999999998</v>
      </c>
      <c r="H24">
        <v>10.3</v>
      </c>
      <c r="I24" s="8">
        <v>10.3</v>
      </c>
      <c r="J24" s="83">
        <f>Tableau1[[#This Row],[Prix HT/kg- Birr]]/1000</f>
        <v>2.06E-2</v>
      </c>
      <c r="K24">
        <f>(Tableau1[[#This Row],[Prix HT/birr unitaire]]/Tableau1[[#This Row],[Quantité unitaire/g ]])*1000</f>
        <v>20.6</v>
      </c>
      <c r="L24" s="84">
        <f>(Tableau1[[#This Row],[Prix TTC/Birr unitaire ]]/Tableau1[[#This Row],[Quantité unitaire/g ]])*1000</f>
        <v>20.6</v>
      </c>
      <c r="M24" s="85">
        <f>Tableau1[[#This Row],[Prix TTC/kg - Birr]]/1000</f>
        <v>2.06E-2</v>
      </c>
      <c r="N24" s="58">
        <f>Tableau1[[#This Row],[Prix TTC/g - Birr]]+Tableau1[[#This Row],[Prix transport/g2]]</f>
        <v>0.50259999999999994</v>
      </c>
    </row>
    <row r="25" spans="2:17" x14ac:dyDescent="0.2">
      <c r="B25" s="2" t="s">
        <v>7</v>
      </c>
      <c r="C25" s="2" t="s">
        <v>129</v>
      </c>
      <c r="D25" s="24">
        <v>1000</v>
      </c>
      <c r="E25" s="6" t="s">
        <v>168</v>
      </c>
      <c r="F25" s="80">
        <v>241</v>
      </c>
      <c r="G25" s="82">
        <f>Tableau1[[#This Row],[Transport ]]/Tableau1[[#This Row],[Quantité unitaire/g ]]</f>
        <v>0.24099999999999999</v>
      </c>
      <c r="H25">
        <v>175</v>
      </c>
      <c r="I25" s="8">
        <v>175</v>
      </c>
      <c r="J25" s="83">
        <f>Tableau1[[#This Row],[Prix HT/kg- Birr]]/1000</f>
        <v>0.17499999999999999</v>
      </c>
      <c r="K25">
        <f>(Tableau1[[#This Row],[Prix HT/birr unitaire]]/Tableau1[[#This Row],[Quantité unitaire/g ]])*1000</f>
        <v>175</v>
      </c>
      <c r="L25" s="84">
        <f>(Tableau1[[#This Row],[Prix TTC/Birr unitaire ]]/Tableau1[[#This Row],[Quantité unitaire/g ]])*1000</f>
        <v>175</v>
      </c>
      <c r="M25" s="85">
        <f>Tableau1[[#This Row],[Prix TTC/kg - Birr]]/1000</f>
        <v>0.17499999999999999</v>
      </c>
      <c r="N25" s="58">
        <f>Tableau1[[#This Row],[Prix TTC/g - Birr]]+Tableau1[[#This Row],[Prix transport/g2]]</f>
        <v>0.41599999999999998</v>
      </c>
    </row>
    <row r="26" spans="2:17" x14ac:dyDescent="0.2">
      <c r="B26" s="2" t="s">
        <v>11</v>
      </c>
      <c r="C26" s="2" t="s">
        <v>129</v>
      </c>
      <c r="D26" s="24">
        <v>0</v>
      </c>
      <c r="F26" s="80">
        <v>0</v>
      </c>
      <c r="G26" s="82">
        <v>0</v>
      </c>
      <c r="H26">
        <f ca="1">Tableau1[[#This Row],[Prix HT/kg- Birr]]*Tableau1[[#This Row],[Quantité unitaire/g ]]</f>
        <v>0</v>
      </c>
      <c r="I26" s="8">
        <f ca="1">Tableau1[[#This Row],[Prix HT/birr unitaire]]+((Tableau1[[#This Row],[Prix HT/birr unitaire]])*(15/100))</f>
        <v>0</v>
      </c>
      <c r="J26" s="83">
        <f ca="1">Tableau1[[#This Row],[Prix HT/kg- Birr]]/1000</f>
        <v>6.5000000000000002E-2</v>
      </c>
      <c r="K26">
        <f ca="1">(Tableau1[[#This Row],[Prix HT/birr unitaire]]/Tableau1[[#This Row],[Quantité unitaire/g ]])*1000</f>
        <v>65</v>
      </c>
      <c r="L26" s="84">
        <f ca="1">(Tableau1[[#This Row],[Prix TTC/Birr unitaire ]]/Tableau1[[#This Row],[Quantité unitaire/g ]])*1000</f>
        <v>74.75</v>
      </c>
      <c r="M26" s="85">
        <f ca="1">Tableau1[[#This Row],[Prix TTC/kg - Birr]]/1000</f>
        <v>0</v>
      </c>
      <c r="N26" s="58">
        <f ca="1">Tableau1[[#This Row],[Prix TTC/g - Birr]]+Tableau1[[#This Row],[Prix transport/g2]]</f>
        <v>0</v>
      </c>
    </row>
    <row r="27" spans="2:17" x14ac:dyDescent="0.2">
      <c r="B27" s="2" t="s">
        <v>36</v>
      </c>
      <c r="C27" s="2" t="s">
        <v>129</v>
      </c>
      <c r="D27" s="24">
        <v>0</v>
      </c>
      <c r="F27" s="80">
        <v>0</v>
      </c>
      <c r="G27" s="82">
        <v>0</v>
      </c>
      <c r="H27">
        <v>0</v>
      </c>
      <c r="I27" s="8">
        <v>0</v>
      </c>
      <c r="J27" s="83" t="e">
        <f>Tableau1[[#This Row],[Prix HT/kg- Birr]]/1000</f>
        <v>#DIV/0!</v>
      </c>
      <c r="K27" t="e">
        <f>(Tableau1[[#This Row],[Prix HT/birr unitaire]]/Tableau1[[#This Row],[Quantité unitaire/g ]])*1000</f>
        <v>#DIV/0!</v>
      </c>
      <c r="L27" s="84" t="e">
        <f>(Tableau1[[#This Row],[Prix TTC/Birr unitaire ]]/Tableau1[[#This Row],[Quantité unitaire/g ]])*1000</f>
        <v>#DIV/0!</v>
      </c>
      <c r="M27" s="85" t="e">
        <f>Tableau1[[#This Row],[Prix TTC/kg - Birr]]/1000</f>
        <v>#DIV/0!</v>
      </c>
      <c r="N27" s="58" t="e">
        <f>Tableau1[[#This Row],[Prix TTC/g - Birr]]+Tableau1[[#This Row],[Prix transport/g2]]</f>
        <v>#DIV/0!</v>
      </c>
    </row>
    <row r="28" spans="2:17" x14ac:dyDescent="0.2">
      <c r="B28" s="2" t="s">
        <v>9</v>
      </c>
      <c r="C28" s="2" t="s">
        <v>128</v>
      </c>
      <c r="D28" s="24">
        <v>0</v>
      </c>
      <c r="F28" s="80">
        <v>0</v>
      </c>
      <c r="G28" s="111" t="e">
        <f>Tableau1[[#This Row],[Transport ]]/Tableau1[[#This Row],[Quantité unitaire/g ]]</f>
        <v>#DIV/0!</v>
      </c>
      <c r="H28">
        <f ca="1">Tableau1[[#This Row],[Prix HT/kg- Birr]]*Tableau1[[#This Row],[Quantité unitaire/g ]]</f>
        <v>0</v>
      </c>
      <c r="I28" s="8">
        <f ca="1">Tableau1[[#This Row],[Prix HT/birr unitaire]]+((Tableau1[[#This Row],[Prix HT/birr unitaire]])*(15/100))</f>
        <v>0</v>
      </c>
      <c r="J28" s="113">
        <f ca="1">Tableau1[[#This Row],[Prix HT/kg- Birr]]/1000</f>
        <v>6.5000000000000002E-2</v>
      </c>
      <c r="K28">
        <f ca="1">(Tableau1[[#This Row],[Prix HT/birr unitaire]]/Tableau1[[#This Row],[Quantité unitaire/g ]])*1000</f>
        <v>65</v>
      </c>
      <c r="L28" s="84">
        <f ca="1">(Tableau1[[#This Row],[Prix TTC/Birr unitaire ]]/Tableau1[[#This Row],[Quantité unitaire/g ]])*1000</f>
        <v>74.75</v>
      </c>
      <c r="M28" s="119">
        <f ca="1">Tableau1[[#This Row],[Prix TTC/kg - Birr]]/1000</f>
        <v>0</v>
      </c>
      <c r="N28" s="58">
        <f ca="1">Tableau1[[#This Row],[Prix TTC/g - Birr]]+Tableau1[[#This Row],[Prix transport/g2]]</f>
        <v>0</v>
      </c>
    </row>
    <row r="29" spans="2:17" x14ac:dyDescent="0.2">
      <c r="B29" s="2" t="s">
        <v>14</v>
      </c>
      <c r="C29" s="2" t="s">
        <v>128</v>
      </c>
      <c r="D29" s="24">
        <v>0</v>
      </c>
      <c r="E29" s="6" t="s">
        <v>23</v>
      </c>
      <c r="F29" s="80">
        <v>200</v>
      </c>
      <c r="G29" s="111" t="e">
        <f>Tableau1[[#This Row],[Transport ]]/Tableau1[[#This Row],[Quantité unitaire/g ]]</f>
        <v>#DIV/0!</v>
      </c>
      <c r="H29">
        <f ca="1">Tableau1[[#This Row],[Prix HT/kg- Birr]]*Tableau1[[#This Row],[Quantité unitaire/g ]]</f>
        <v>0</v>
      </c>
      <c r="I29" s="8">
        <f ca="1">Tableau1[[#This Row],[Prix HT/birr unitaire]]+((Tableau1[[#This Row],[Prix HT/birr unitaire]])*(15/100))</f>
        <v>0</v>
      </c>
      <c r="J29" s="113">
        <f ca="1">Tableau1[[#This Row],[Prix HT/kg- Birr]]/1000</f>
        <v>6.5000000000000002E-2</v>
      </c>
      <c r="K29">
        <f ca="1">(Tableau1[[#This Row],[Prix HT/birr unitaire]]/Tableau1[[#This Row],[Quantité unitaire/g ]])*1000</f>
        <v>65</v>
      </c>
      <c r="L29" s="84">
        <f ca="1">(Tableau1[[#This Row],[Prix TTC/Birr unitaire ]]/Tableau1[[#This Row],[Quantité unitaire/g ]])*1000</f>
        <v>74.75</v>
      </c>
      <c r="M29" s="120"/>
      <c r="N29" s="58" t="e">
        <f>Tableau1[[#This Row],[Prix TTC/g - Birr]]+Tableau1[[#This Row],[Prix transport/g2]]</f>
        <v>#DIV/0!</v>
      </c>
    </row>
    <row r="30" spans="2:17" x14ac:dyDescent="0.2">
      <c r="B30" s="2" t="s">
        <v>16</v>
      </c>
      <c r="C30" s="2" t="s">
        <v>128</v>
      </c>
      <c r="D30" s="24">
        <v>1000</v>
      </c>
      <c r="E30" s="6" t="s">
        <v>173</v>
      </c>
      <c r="F30" s="80">
        <v>0</v>
      </c>
      <c r="G30" s="111">
        <f>Tableau1[[#This Row],[Transport ]]/Tableau1[[#This Row],[Quantité unitaire/g ]]</f>
        <v>0</v>
      </c>
      <c r="H30">
        <v>1800</v>
      </c>
      <c r="I30" s="8">
        <v>1800</v>
      </c>
      <c r="J30" s="113">
        <f>Tableau1[[#This Row],[Prix HT/kg- Birr]]/1000</f>
        <v>1.8</v>
      </c>
      <c r="K30">
        <f>(Tableau1[[#This Row],[Prix HT/birr unitaire]]/Tableau1[[#This Row],[Quantité unitaire/g ]])*1000</f>
        <v>1800</v>
      </c>
      <c r="L30" s="84">
        <f>(Tableau1[[#This Row],[Prix TTC/Birr unitaire ]]/Tableau1[[#This Row],[Quantité unitaire/g ]])*1000</f>
        <v>1800</v>
      </c>
      <c r="M30" s="85">
        <f>Tableau1[[#This Row],[Prix TTC/kg - Birr]]/1000</f>
        <v>1.8</v>
      </c>
      <c r="N30" s="58">
        <f>Tableau1[[#This Row],[Prix TTC/g - Birr]]+Tableau1[[#This Row],[Prix transport/g2]]</f>
        <v>1.8</v>
      </c>
    </row>
    <row r="31" spans="2:17" x14ac:dyDescent="0.2">
      <c r="B31" s="2" t="s">
        <v>17</v>
      </c>
      <c r="C31" s="2" t="s">
        <v>128</v>
      </c>
      <c r="D31" s="24">
        <v>1000</v>
      </c>
      <c r="E31" s="6" t="s">
        <v>173</v>
      </c>
      <c r="F31" s="80">
        <v>0</v>
      </c>
      <c r="G31" s="111">
        <f>Tableau1[[#This Row],[Transport ]]/Tableau1[[#This Row],[Quantité unitaire/g ]]</f>
        <v>0</v>
      </c>
      <c r="H31">
        <v>1800</v>
      </c>
      <c r="I31" s="8">
        <v>1800</v>
      </c>
      <c r="J31" s="113">
        <f>Tableau1[[#This Row],[Prix HT/kg- Birr]]/1000</f>
        <v>1.8</v>
      </c>
      <c r="K31">
        <f>(Tableau1[[#This Row],[Prix HT/birr unitaire]]/Tableau1[[#This Row],[Quantité unitaire/g ]])*1000</f>
        <v>1800</v>
      </c>
      <c r="L31" s="84">
        <f>(Tableau1[[#This Row],[Prix TTC/Birr unitaire ]]/Tableau1[[#This Row],[Quantité unitaire/g ]])*1000</f>
        <v>1800</v>
      </c>
      <c r="M31" s="85">
        <f>Tableau1[[#This Row],[Prix TTC/kg - Birr]]/1000</f>
        <v>1.8</v>
      </c>
      <c r="N31" s="58">
        <f>Tableau1[[#This Row],[Prix TTC/g - Birr]]+Tableau1[[#This Row],[Prix transport/g2]]</f>
        <v>1.8</v>
      </c>
    </row>
    <row r="32" spans="2:17" x14ac:dyDescent="0.2">
      <c r="B32" s="86" t="s">
        <v>174</v>
      </c>
      <c r="C32" s="86" t="s">
        <v>128</v>
      </c>
      <c r="D32" s="87">
        <v>1000</v>
      </c>
      <c r="E32" s="88" t="s">
        <v>173</v>
      </c>
      <c r="F32" s="89">
        <v>0</v>
      </c>
      <c r="G32" s="112">
        <f>Tableau1[[#This Row],[Transport ]]/Tableau1[[#This Row],[Quantité unitaire/g ]]</f>
        <v>0</v>
      </c>
      <c r="H32" s="91">
        <v>1800</v>
      </c>
      <c r="I32" s="92">
        <v>1800</v>
      </c>
      <c r="J32" s="114">
        <f>Tableau1[[#This Row],[Prix HT/kg- Birr]]/1000</f>
        <v>1.8</v>
      </c>
      <c r="K32">
        <f>(Tableau1[[#This Row],[Prix HT/birr unitaire]]/Tableau1[[#This Row],[Quantité unitaire/g ]])*1000</f>
        <v>1800</v>
      </c>
      <c r="L32" s="108">
        <f>(Tableau1[[#This Row],[Prix TTC/Birr unitaire ]]/Tableau1[[#This Row],[Quantité unitaire/g ]])*1000</f>
        <v>1800</v>
      </c>
      <c r="M32" s="109">
        <f>Tableau1[[#This Row],[Prix TTC/kg - Birr]]/1000</f>
        <v>1.8</v>
      </c>
      <c r="N32" s="110">
        <f>Tableau1[[#This Row],[Prix TTC/g - Birr]]+Tableau1[[#This Row],[Prix transport/g2]]</f>
        <v>1.8</v>
      </c>
    </row>
    <row r="33" spans="2:14" x14ac:dyDescent="0.2">
      <c r="B33" s="86" t="s">
        <v>175</v>
      </c>
      <c r="C33" s="86" t="s">
        <v>128</v>
      </c>
      <c r="D33" s="87">
        <v>1000</v>
      </c>
      <c r="E33" s="88" t="s">
        <v>173</v>
      </c>
      <c r="F33" s="89">
        <v>0</v>
      </c>
      <c r="G33" s="112">
        <f>Tableau1[[#This Row],[Transport ]]/Tableau1[[#This Row],[Quantité unitaire/g ]]</f>
        <v>0</v>
      </c>
      <c r="H33" s="91">
        <v>1800</v>
      </c>
      <c r="I33" s="92">
        <v>1800</v>
      </c>
      <c r="J33" s="114">
        <f>Tableau1[[#This Row],[Prix HT/kg- Birr]]/1000</f>
        <v>1.8</v>
      </c>
      <c r="K33" s="91">
        <f>(Tableau1[[#This Row],[Prix HT/birr unitaire]]/Tableau1[[#This Row],[Quantité unitaire/g ]])*1000</f>
        <v>1800</v>
      </c>
      <c r="L33" s="108">
        <f>(Tableau1[[#This Row],[Prix TTC/Birr unitaire ]]/Tableau1[[#This Row],[Quantité unitaire/g ]])*1000</f>
        <v>1800</v>
      </c>
      <c r="M33" s="109">
        <f>Tableau1[[#This Row],[Prix TTC/kg - Birr]]/1000</f>
        <v>1.8</v>
      </c>
      <c r="N33" s="110">
        <f>Tableau1[[#This Row],[Prix TTC/g - Birr]]+Tableau1[[#This Row],[Prix transport/g2]]</f>
        <v>1.8</v>
      </c>
    </row>
    <row r="34" spans="2:14" x14ac:dyDescent="0.2">
      <c r="B34" s="86" t="s">
        <v>15</v>
      </c>
      <c r="C34" s="86" t="s">
        <v>128</v>
      </c>
      <c r="D34" s="87">
        <v>1000</v>
      </c>
      <c r="E34" s="88" t="s">
        <v>173</v>
      </c>
      <c r="F34" s="89">
        <v>0</v>
      </c>
      <c r="G34" s="112">
        <f>Tableau1[[#This Row],[Transport ]]/Tableau1[[#This Row],[Quantité unitaire/g ]]</f>
        <v>0</v>
      </c>
      <c r="H34" s="91">
        <v>1800</v>
      </c>
      <c r="I34" s="92">
        <v>1800</v>
      </c>
      <c r="J34" s="114">
        <f>Tableau1[[#This Row],[Prix HT/kg- Birr]]/1000</f>
        <v>1.8</v>
      </c>
      <c r="K34" s="91">
        <f>(Tableau1[[#This Row],[Prix HT/birr unitaire]]/Tableau1[[#This Row],[Quantité unitaire/g ]])*1000</f>
        <v>1800</v>
      </c>
      <c r="L34" s="108">
        <f>(Tableau1[[#This Row],[Prix TTC/Birr unitaire ]]/Tableau1[[#This Row],[Quantité unitaire/g ]])*1000</f>
        <v>1800</v>
      </c>
      <c r="M34" s="109">
        <f>Tableau1[[#This Row],[Prix TTC/kg - Birr]]/1000</f>
        <v>1.8</v>
      </c>
      <c r="N34" s="110">
        <f>Tableau1[[#This Row],[Prix TTC/g - Birr]]+Tableau1[[#This Row],[Prix transport/g2]]</f>
        <v>1.8</v>
      </c>
    </row>
    <row r="35" spans="2:14" x14ac:dyDescent="0.2">
      <c r="B35" s="86" t="s">
        <v>17</v>
      </c>
      <c r="C35" s="86" t="s">
        <v>128</v>
      </c>
      <c r="D35" s="87">
        <v>1000</v>
      </c>
      <c r="E35" s="88" t="s">
        <v>173</v>
      </c>
      <c r="F35" s="89">
        <v>0</v>
      </c>
      <c r="G35" s="112">
        <f>Tableau1[[#This Row],[Transport ]]/Tableau1[[#This Row],[Quantité unitaire/g ]]</f>
        <v>0</v>
      </c>
      <c r="H35" s="91">
        <v>1800</v>
      </c>
      <c r="I35" s="92">
        <v>1800</v>
      </c>
      <c r="J35" s="114">
        <f>Tableau1[[#This Row],[Prix HT/kg- Birr]]/1000</f>
        <v>1.8</v>
      </c>
      <c r="K35" s="91">
        <f>(Tableau1[[#This Row],[Prix HT/birr unitaire]]/Tableau1[[#This Row],[Quantité unitaire/g ]])*1000</f>
        <v>1800</v>
      </c>
      <c r="L35" s="108">
        <f>(Tableau1[[#This Row],[Prix TTC/Birr unitaire ]]/Tableau1[[#This Row],[Quantité unitaire/g ]])*1000</f>
        <v>1800</v>
      </c>
      <c r="M35" s="109">
        <f>Tableau1[[#This Row],[Prix TTC/kg - Birr]]/1000</f>
        <v>1.8</v>
      </c>
      <c r="N35" s="110">
        <f>Tableau1[[#This Row],[Prix TTC/g - Birr]]+Tableau1[[#This Row],[Prix transport/g2]]</f>
        <v>1.8</v>
      </c>
    </row>
    <row r="36" spans="2:14" x14ac:dyDescent="0.2">
      <c r="B36" s="2" t="s">
        <v>15</v>
      </c>
      <c r="C36" s="2" t="s">
        <v>128</v>
      </c>
      <c r="D36" s="24">
        <v>250</v>
      </c>
      <c r="E36" s="6" t="s">
        <v>23</v>
      </c>
      <c r="F36" s="80">
        <v>200</v>
      </c>
      <c r="G36" s="111">
        <f>Tableau1[[#This Row],[Transport ]]/Tableau1[[#This Row],[Quantité unitaire/g ]]</f>
        <v>0.8</v>
      </c>
      <c r="H36">
        <v>575</v>
      </c>
      <c r="I36" s="8">
        <v>575</v>
      </c>
      <c r="J36" s="113">
        <f>Tableau1[[#This Row],[Prix HT/kg- Birr]]/1000</f>
        <v>2.2999999999999998</v>
      </c>
      <c r="K36">
        <f>(Tableau1[[#This Row],[Prix HT/birr unitaire]]/Tableau1[[#This Row],[Quantité unitaire/g ]])*1000</f>
        <v>2300</v>
      </c>
      <c r="L36" s="84">
        <f>(Tableau1[[#This Row],[Prix TTC/Birr unitaire ]]/Tableau1[[#This Row],[Quantité unitaire/g ]])*1000</f>
        <v>2300</v>
      </c>
      <c r="M36" s="85">
        <f>Tableau1[[#This Row],[Prix TTC/kg - Birr]]/1000</f>
        <v>2.2999999999999998</v>
      </c>
      <c r="N36" s="58">
        <f>Tableau1[[#This Row],[Prix TTC/g - Birr]]+Tableau1[[#This Row],[Prix transport/g2]]</f>
        <v>3.0999999999999996</v>
      </c>
    </row>
    <row r="37" spans="2:14" x14ac:dyDescent="0.2">
      <c r="B37" s="2" t="s">
        <v>15</v>
      </c>
      <c r="C37" s="2" t="s">
        <v>128</v>
      </c>
      <c r="D37" s="24">
        <v>30</v>
      </c>
      <c r="E37" s="6" t="s">
        <v>24</v>
      </c>
      <c r="F37" s="107">
        <v>274</v>
      </c>
      <c r="G37" s="111">
        <f>Tableau1[[#This Row],[Transport ]]/Tableau1[[#This Row],[Quantité unitaire/g ]]</f>
        <v>9.1333333333333329</v>
      </c>
      <c r="H37">
        <v>200</v>
      </c>
      <c r="I37" s="8">
        <v>200</v>
      </c>
      <c r="J37" s="114">
        <f>Tableau1[[#This Row],[Prix HT/kg- Birr]]/1000</f>
        <v>6.666666666666667</v>
      </c>
      <c r="K37" s="24">
        <f>(Tableau1[[#This Row],[Prix HT/birr unitaire]]/Tableau1[[#This Row],[Quantité unitaire/g ]])*1000</f>
        <v>6666.666666666667</v>
      </c>
      <c r="L37" s="117">
        <f>(Tableau1[[#This Row],[Prix TTC/Birr unitaire ]]/Tableau1[[#This Row],[Quantité unitaire/g ]])*1000</f>
        <v>6666.666666666667</v>
      </c>
      <c r="M37" s="94">
        <f>Tableau1[[#This Row],[Prix TTC/kg - Birr]]/1000</f>
        <v>6.666666666666667</v>
      </c>
      <c r="N37" s="95">
        <f>Tableau1[[#This Row],[Prix TTC/g - Birr]]+Tableau1[[#This Row],[Prix transport/g2]]</f>
        <v>15.8</v>
      </c>
    </row>
    <row r="38" spans="2:14" x14ac:dyDescent="0.2">
      <c r="B38" s="2" t="s">
        <v>17</v>
      </c>
      <c r="C38" s="2" t="s">
        <v>128</v>
      </c>
      <c r="D38" s="24">
        <v>30</v>
      </c>
      <c r="E38" s="6" t="s">
        <v>24</v>
      </c>
      <c r="F38" s="107">
        <v>274</v>
      </c>
      <c r="G38" s="111">
        <f>Tableau1[[#This Row],[Transport ]]/Tableau1[[#This Row],[Quantité unitaire/g ]]</f>
        <v>9.1333333333333329</v>
      </c>
      <c r="H38">
        <v>300</v>
      </c>
      <c r="I38" s="8">
        <v>300</v>
      </c>
      <c r="J38" s="114">
        <f>Tableau1[[#This Row],[Prix HT/kg- Birr]]/1000</f>
        <v>10</v>
      </c>
      <c r="K38">
        <f>(Tableau1[[#This Row],[Prix HT/birr unitaire]]/Tableau1[[#This Row],[Quantité unitaire/g ]])*1000</f>
        <v>10000</v>
      </c>
      <c r="L38" s="84">
        <f>(Tableau1[[#This Row],[Prix TTC/Birr unitaire ]]/Tableau1[[#This Row],[Quantité unitaire/g ]])*1000</f>
        <v>10000</v>
      </c>
      <c r="M38" s="85">
        <f>Tableau1[[#This Row],[Prix TTC/kg - Birr]]/1000</f>
        <v>10</v>
      </c>
      <c r="N38" s="58">
        <f>Tableau1[[#This Row],[Prix TTC/g - Birr]]+Tableau1[[#This Row],[Prix transport/g2]]</f>
        <v>19.133333333333333</v>
      </c>
    </row>
    <row r="39" spans="2:14" x14ac:dyDescent="0.2">
      <c r="B39" s="86" t="s">
        <v>175</v>
      </c>
      <c r="C39" s="86" t="s">
        <v>128</v>
      </c>
      <c r="D39" s="87">
        <v>30</v>
      </c>
      <c r="E39" s="88" t="s">
        <v>24</v>
      </c>
      <c r="F39" s="89">
        <v>274</v>
      </c>
      <c r="G39" s="112">
        <f>Tableau1[[#This Row],[Transport ]]/Tableau1[[#This Row],[Quantité unitaire/g ]]</f>
        <v>9.1333333333333329</v>
      </c>
      <c r="H39" s="91">
        <v>350</v>
      </c>
      <c r="I39" s="92">
        <v>350</v>
      </c>
      <c r="J39" s="114">
        <f>Tableau1[[#This Row],[Prix HT/kg- Birr]]/1000</f>
        <v>11.666666666666666</v>
      </c>
      <c r="K39" s="87">
        <f>(Tableau1[[#This Row],[Prix HT/birr unitaire]]/Tableau1[[#This Row],[Quantité unitaire/g ]])*1000</f>
        <v>11666.666666666666</v>
      </c>
      <c r="L39" s="117">
        <f>(Tableau1[[#This Row],[Prix TTC/Birr unitaire ]]/Tableau1[[#This Row],[Quantité unitaire/g ]])*1000</f>
        <v>11666.666666666666</v>
      </c>
      <c r="M39" s="94">
        <f>Tableau1[[#This Row],[Prix TTC/kg - Birr]]/1000</f>
        <v>11.666666666666666</v>
      </c>
      <c r="N39" s="95">
        <f>Tableau1[[#This Row],[Prix TTC/g - Birr]]+Tableau1[[#This Row],[Prix transport/g2]]</f>
        <v>20.799999999999997</v>
      </c>
    </row>
    <row r="40" spans="2:14" ht="14.25" customHeight="1" x14ac:dyDescent="0.2">
      <c r="B40" s="86" t="s">
        <v>188</v>
      </c>
      <c r="C40" s="101" t="s">
        <v>128</v>
      </c>
      <c r="D40" s="87">
        <v>30</v>
      </c>
      <c r="E40" s="88" t="s">
        <v>24</v>
      </c>
      <c r="F40" s="89">
        <v>274</v>
      </c>
      <c r="G40" s="112">
        <f>Tableau1[[#This Row],[Transport ]]/Tableau1[[#This Row],[Quantité unitaire/g ]]</f>
        <v>9.1333333333333329</v>
      </c>
      <c r="H40" s="102">
        <v>400</v>
      </c>
      <c r="I40" s="105">
        <v>400</v>
      </c>
      <c r="J40" s="114">
        <f>Tableau1[[#This Row],[Prix HT/kg- Birr]]/1000</f>
        <v>13.333333333333334</v>
      </c>
      <c r="K40" s="87">
        <f>(Tableau1[[#This Row],[Prix HT/birr unitaire]]/Tableau1[[#This Row],[Quantité unitaire/g ]])*1000</f>
        <v>13333.333333333334</v>
      </c>
      <c r="L40" s="118">
        <f>(Tableau1[[#This Row],[Prix TTC/Birr unitaire ]]/Tableau1[[#This Row],[Quantité unitaire/g ]])*1000</f>
        <v>13333.333333333334</v>
      </c>
      <c r="M40" s="85">
        <f>Tableau1[[#This Row],[Prix TTC/kg - Birr]]/1000</f>
        <v>13.333333333333334</v>
      </c>
      <c r="N40" s="58">
        <f>Tableau1[[#This Row],[Prix TTC/g - Birr]]+Tableau1[[#This Row],[Prix transport/g2]]</f>
        <v>22.466666666666669</v>
      </c>
    </row>
    <row r="41" spans="2:14" x14ac:dyDescent="0.2">
      <c r="B41" s="86" t="s">
        <v>174</v>
      </c>
      <c r="C41" s="86" t="s">
        <v>128</v>
      </c>
      <c r="D41" s="87">
        <v>30</v>
      </c>
      <c r="E41" s="88" t="s">
        <v>24</v>
      </c>
      <c r="F41" s="89">
        <v>274</v>
      </c>
      <c r="G41" s="112">
        <f>Tableau1[[#This Row],[Transport ]]/Tableau1[[#This Row],[Quantité unitaire/g ]]</f>
        <v>9.1333333333333329</v>
      </c>
      <c r="H41" s="91">
        <v>550</v>
      </c>
      <c r="I41" s="92">
        <v>550</v>
      </c>
      <c r="J41" s="114">
        <f>Tableau1[[#This Row],[Prix HT/kg- Birr]]/1000</f>
        <v>18.333333333333332</v>
      </c>
      <c r="K41" s="24">
        <f>(Tableau1[[#This Row],[Prix HT/birr unitaire]]/Tableau1[[#This Row],[Quantité unitaire/g ]])*1000</f>
        <v>18333.333333333332</v>
      </c>
      <c r="L41" s="117">
        <f>(Tableau1[[#This Row],[Prix TTC/Birr unitaire ]]/Tableau1[[#This Row],[Quantité unitaire/g ]])*1000</f>
        <v>18333.333333333332</v>
      </c>
      <c r="M41" s="94">
        <f>Tableau1[[#This Row],[Prix TTC/kg - Birr]]/1000</f>
        <v>18.333333333333332</v>
      </c>
      <c r="N41" s="95">
        <f>Tableau1[[#This Row],[Prix TTC/g - Birr]]+Tableau1[[#This Row],[Prix transport/g2]]</f>
        <v>27.466666666666665</v>
      </c>
    </row>
    <row r="42" spans="2:14" x14ac:dyDescent="0.2">
      <c r="B42" s="86" t="s">
        <v>188</v>
      </c>
      <c r="C42" s="101" t="s">
        <v>128</v>
      </c>
      <c r="D42" s="87">
        <v>10</v>
      </c>
      <c r="E42" s="88" t="s">
        <v>22</v>
      </c>
      <c r="F42" s="89">
        <v>200</v>
      </c>
      <c r="G42" s="112">
        <f>Tableau1[[#This Row],[Transport ]]/Tableau1[[#This Row],[Quantité unitaire/g ]]</f>
        <v>20</v>
      </c>
      <c r="H42" s="102"/>
      <c r="I42" s="105"/>
      <c r="J42" s="114">
        <f>Tableau1[[#This Row],[Prix HT/kg- Birr]]/1000</f>
        <v>0</v>
      </c>
      <c r="K42" s="91">
        <f>(Tableau1[[#This Row],[Prix HT/birr unitaire]]/Tableau1[[#This Row],[Quantité unitaire/g ]])*1000</f>
        <v>0</v>
      </c>
      <c r="L42" s="103">
        <f>(Tableau1[[#This Row],[Prix TTC/Birr unitaire ]]/Tableau1[[#This Row],[Quantité unitaire/g ]])*1000</f>
        <v>0</v>
      </c>
      <c r="M42" s="94">
        <f>Tableau1[[#This Row],[Prix TTC/kg - Birr]]/1000</f>
        <v>0</v>
      </c>
      <c r="N42" s="95">
        <f>Tableau1[[#This Row],[Prix TTC/g - Birr]]+Tableau1[[#This Row],[Prix transport/g2]]</f>
        <v>20</v>
      </c>
    </row>
    <row r="43" spans="2:14" x14ac:dyDescent="0.2">
      <c r="B43" s="2" t="s">
        <v>13</v>
      </c>
      <c r="C43" s="2" t="s">
        <v>128</v>
      </c>
      <c r="D43" s="24">
        <v>10</v>
      </c>
      <c r="E43" s="6" t="s">
        <v>22</v>
      </c>
      <c r="F43" s="80">
        <v>200</v>
      </c>
      <c r="G43" s="111">
        <f>Tableau1[[#This Row],[Transport ]]/Tableau1[[#This Row],[Quantité unitaire/g ]]</f>
        <v>20</v>
      </c>
      <c r="H43">
        <v>25</v>
      </c>
      <c r="I43" s="8">
        <v>25</v>
      </c>
      <c r="J43" s="113">
        <f>Tableau1[[#This Row],[Prix HT/kg- Birr]]/1000</f>
        <v>2.5</v>
      </c>
      <c r="K43">
        <f>(Tableau1[[#This Row],[Prix HT/birr unitaire]]/Tableau1[[#This Row],[Quantité unitaire/g ]])*1000</f>
        <v>2500</v>
      </c>
      <c r="L43" s="93">
        <f>(Tableau1[[#This Row],[Prix TTC/Birr unitaire ]]/Tableau1[[#This Row],[Quantité unitaire/g ]])*1000</f>
        <v>2500</v>
      </c>
      <c r="M43" s="94">
        <f>Tableau1[[#This Row],[Prix TTC/kg - Birr]]/1000</f>
        <v>2.5</v>
      </c>
      <c r="N43" s="95">
        <f>Tableau1[[#This Row],[Prix TTC/g - Birr]]+Tableau1[[#This Row],[Prix transport/g2]]</f>
        <v>22.5</v>
      </c>
    </row>
    <row r="44" spans="2:14" x14ac:dyDescent="0.2">
      <c r="B44" s="2" t="s">
        <v>12</v>
      </c>
      <c r="C44" s="2" t="s">
        <v>128</v>
      </c>
      <c r="D44" s="24">
        <v>0</v>
      </c>
      <c r="E44" s="6" t="s">
        <v>24</v>
      </c>
      <c r="F44" s="80">
        <v>274</v>
      </c>
      <c r="G44" s="111">
        <v>0</v>
      </c>
      <c r="H44">
        <v>0</v>
      </c>
      <c r="I44" s="8">
        <v>0</v>
      </c>
      <c r="J44" s="113" t="e">
        <f>Tableau1[[#This Row],[Prix HT/kg- Birr]]/1000</f>
        <v>#DIV/0!</v>
      </c>
      <c r="K44" t="e">
        <f>(Tableau1[[#This Row],[Prix HT/birr unitaire]]/Tableau1[[#This Row],[Quantité unitaire/g ]])*1000</f>
        <v>#DIV/0!</v>
      </c>
      <c r="L44" s="84" t="e">
        <f>(Tableau1[[#This Row],[Prix TTC/Birr unitaire ]]/Tableau1[[#This Row],[Quantité unitaire/g ]])*1000</f>
        <v>#DIV/0!</v>
      </c>
      <c r="M44" s="85" t="e">
        <f>Tableau1[[#This Row],[Prix TTC/kg - Birr]]/1000</f>
        <v>#DIV/0!</v>
      </c>
      <c r="N44" s="58" t="e">
        <f>Tableau1[[#This Row],[Prix TTC/g - Birr]]+Tableau1[[#This Row],[Prix transport/g2]]</f>
        <v>#DIV/0!</v>
      </c>
    </row>
    <row r="45" spans="2:14" x14ac:dyDescent="0.2">
      <c r="B45" s="2" t="s">
        <v>10</v>
      </c>
      <c r="C45" s="2" t="s">
        <v>127</v>
      </c>
      <c r="D45" s="24">
        <v>1000</v>
      </c>
      <c r="E45" s="6" t="s">
        <v>131</v>
      </c>
      <c r="F45" s="80">
        <v>0</v>
      </c>
      <c r="G45" s="82">
        <f>Tableau1[[#This Row],[Transport ]]/Tableau1[[#This Row],[Quantité unitaire/g ]]</f>
        <v>0</v>
      </c>
      <c r="H45">
        <v>275</v>
      </c>
      <c r="I45" s="8">
        <v>275</v>
      </c>
      <c r="J45" s="113">
        <f>Tableau1[[#This Row],[Prix HT/kg- Birr]]/1000</f>
        <v>0.27500000000000002</v>
      </c>
      <c r="K45">
        <f>(Tableau1[[#This Row],[Prix HT/birr unitaire]]/Tableau1[[#This Row],[Quantité unitaire/g ]])*1000</f>
        <v>275</v>
      </c>
      <c r="L45" s="84">
        <f>(Tableau1[[#This Row],[Prix TTC/Birr unitaire ]]/Tableau1[[#This Row],[Quantité unitaire/g ]])*1000</f>
        <v>275</v>
      </c>
      <c r="M45" s="85">
        <f>Tableau1[[#This Row],[Prix TTC/kg - Birr]]/1000</f>
        <v>0.27500000000000002</v>
      </c>
      <c r="N45" s="58">
        <f>Tableau1[[#This Row],[Prix TTC/g - Birr]]+Tableau1[[#This Row],[Prix transport/g2]]</f>
        <v>0.27500000000000002</v>
      </c>
    </row>
    <row r="46" spans="2:14" x14ac:dyDescent="0.2">
      <c r="B46" s="2" t="s">
        <v>79</v>
      </c>
      <c r="C46" s="2" t="s">
        <v>127</v>
      </c>
      <c r="D46" s="24">
        <v>60</v>
      </c>
      <c r="E46" s="6" t="s">
        <v>24</v>
      </c>
      <c r="F46" s="80">
        <v>274</v>
      </c>
      <c r="G46" s="82">
        <v>0</v>
      </c>
      <c r="H46">
        <v>150</v>
      </c>
      <c r="I46" s="8">
        <v>150</v>
      </c>
      <c r="J46" s="122">
        <f>Tableau1[[#This Row],[Prix HT/kg- Birr]]/1000</f>
        <v>2.5</v>
      </c>
      <c r="K46">
        <f>(Tableau1[[#This Row],[Prix HT/birr unitaire]]/Tableau1[[#This Row],[Quantité unitaire/g ]])*1000</f>
        <v>2500</v>
      </c>
      <c r="L46" s="84">
        <f>(Tableau1[[#This Row],[Prix TTC/Birr unitaire ]]/Tableau1[[#This Row],[Quantité unitaire/g ]])*1000</f>
        <v>2500</v>
      </c>
      <c r="M46" s="85">
        <f>Tableau1[[#This Row],[Prix TTC/kg - Birr]]/1000</f>
        <v>2.5</v>
      </c>
      <c r="N46" s="58">
        <f>Tableau1[[#This Row],[Prix TTC/g - Birr]]+Tableau1[[#This Row],[Prix transport/g2]]</f>
        <v>2.5</v>
      </c>
    </row>
    <row r="47" spans="2:14" x14ac:dyDescent="0.2">
      <c r="B47" s="86" t="s">
        <v>178</v>
      </c>
      <c r="C47" s="86" t="s">
        <v>127</v>
      </c>
      <c r="D47" s="87">
        <v>100</v>
      </c>
      <c r="E47" s="88" t="s">
        <v>177</v>
      </c>
      <c r="F47" s="89">
        <v>200</v>
      </c>
      <c r="G47" s="90">
        <f>Tableau1[[#This Row],[Transport ]]/Tableau1[[#This Row],[Quantité unitaire/g ]]</f>
        <v>2</v>
      </c>
      <c r="H47" s="91">
        <v>217</v>
      </c>
      <c r="I47" s="92">
        <v>251</v>
      </c>
      <c r="J47" s="114">
        <f>Tableau1[[#This Row],[Prix HT/kg- Birr]]/1000</f>
        <v>2.17</v>
      </c>
      <c r="K47" s="115">
        <f>(Tableau1[[#This Row],[Prix HT/birr unitaire]]/Tableau1[[#This Row],[Quantité unitaire/g ]])*1000</f>
        <v>2170</v>
      </c>
      <c r="L47" s="116">
        <f>(Tableau1[[#This Row],[Prix TTC/Birr unitaire ]]/Tableau1[[#This Row],[Quantité unitaire/g ]])*1000</f>
        <v>2510</v>
      </c>
      <c r="M47" s="94">
        <f>Tableau1[[#This Row],[Prix TTC/kg - Birr]]/1000</f>
        <v>2.5099999999999998</v>
      </c>
      <c r="N47" s="95">
        <f>Tableau1[[#This Row],[Prix TTC/g - Birr]]+Tableau1[[#This Row],[Prix transport/g2]]</f>
        <v>4.51</v>
      </c>
    </row>
    <row r="48" spans="2:14" x14ac:dyDescent="0.2">
      <c r="B48" s="86" t="s">
        <v>80</v>
      </c>
      <c r="C48" s="86" t="s">
        <v>127</v>
      </c>
      <c r="D48" s="87">
        <v>230</v>
      </c>
      <c r="E48" s="88" t="s">
        <v>177</v>
      </c>
      <c r="F48" s="89">
        <v>200</v>
      </c>
      <c r="G48" s="90">
        <f>Tableau1[[#This Row],[Transport ]]/Tableau1[[#This Row],[Quantité unitaire/g ]]</f>
        <v>0.86956521739130432</v>
      </c>
      <c r="H48" s="91">
        <v>217</v>
      </c>
      <c r="I48" s="92">
        <v>251</v>
      </c>
      <c r="J48" s="121">
        <f>Tableau1[[#This Row],[Prix HT/kg- Birr]]/1000</f>
        <v>0.94347826086956521</v>
      </c>
      <c r="K48" s="115">
        <f>(Tableau1[[#This Row],[Prix HT/birr unitaire]]/Tableau1[[#This Row],[Quantité unitaire/g ]])*1000</f>
        <v>943.47826086956525</v>
      </c>
      <c r="L48" s="116">
        <f>(Tableau1[[#This Row],[Prix TTC/Birr unitaire ]]/Tableau1[[#This Row],[Quantité unitaire/g ]])*1000</f>
        <v>1091.3043478260868</v>
      </c>
      <c r="M48" s="94">
        <f>Tableau1[[#This Row],[Prix TTC/kg - Birr]]/1000</f>
        <v>1.0913043478260869</v>
      </c>
      <c r="N48" s="95">
        <f>Tableau1[[#This Row],[Prix TTC/g - Birr]]+Tableau1[[#This Row],[Prix transport/g2]]</f>
        <v>1.9608695652173913</v>
      </c>
    </row>
    <row r="49" spans="2:14" x14ac:dyDescent="0.2">
      <c r="B49" s="2" t="s">
        <v>80</v>
      </c>
      <c r="C49" s="2" t="s">
        <v>127</v>
      </c>
      <c r="D49" s="24">
        <v>0</v>
      </c>
      <c r="F49" s="80">
        <v>0</v>
      </c>
      <c r="G49" s="82">
        <v>0</v>
      </c>
      <c r="H49">
        <v>0</v>
      </c>
      <c r="I49" s="8">
        <v>0</v>
      </c>
      <c r="J49" s="83" t="e">
        <f>Tableau1[[#This Row],[Prix HT/kg- Birr]]/1000</f>
        <v>#DIV/0!</v>
      </c>
      <c r="K49" t="e">
        <f>(Tableau1[[#This Row],[Prix HT/birr unitaire]]/Tableau1[[#This Row],[Quantité unitaire/g ]])*1000</f>
        <v>#DIV/0!</v>
      </c>
      <c r="L49" s="84" t="e">
        <f>(Tableau1[[#This Row],[Prix TTC/Birr unitaire ]]/Tableau1[[#This Row],[Quantité unitaire/g ]])*1000</f>
        <v>#DIV/0!</v>
      </c>
      <c r="M49" s="85" t="e">
        <f>Tableau1[[#This Row],[Prix TTC/kg - Birr]]/1000</f>
        <v>#DIV/0!</v>
      </c>
      <c r="N49" s="58" t="e">
        <f>Tableau1[[#This Row],[Prix TTC/g - Birr]]+Tableau1[[#This Row],[Prix transport/g2]]</f>
        <v>#DIV/0!</v>
      </c>
    </row>
    <row r="50" spans="2:14" x14ac:dyDescent="0.2">
      <c r="B50" s="86" t="s">
        <v>182</v>
      </c>
      <c r="C50" s="86" t="s">
        <v>127</v>
      </c>
      <c r="D50" s="87">
        <v>200</v>
      </c>
      <c r="E50" s="88" t="s">
        <v>23</v>
      </c>
      <c r="F50" s="89">
        <v>200</v>
      </c>
      <c r="G50" s="90">
        <f>Tableau1[[#This Row],[Transport ]]/Tableau1[[#This Row],[Quantité unitaire/g ]]</f>
        <v>1</v>
      </c>
      <c r="H50" s="91">
        <v>70</v>
      </c>
      <c r="I50" s="92">
        <v>70</v>
      </c>
      <c r="J50" s="96">
        <f>Tableau1[[#This Row],[Prix HT/kg- Birr]]/1000</f>
        <v>0.35</v>
      </c>
      <c r="K50" s="91">
        <f>(Tableau1[[#This Row],[Prix HT/birr unitaire]]/Tableau1[[#This Row],[Quantité unitaire/g ]])*1000</f>
        <v>350</v>
      </c>
      <c r="L50" s="93">
        <f>(Tableau1[[#This Row],[Prix TTC/Birr unitaire ]]/Tableau1[[#This Row],[Quantité unitaire/g ]])*1000</f>
        <v>350</v>
      </c>
      <c r="M50" s="94">
        <f>Tableau1[[#This Row],[Prix TTC/kg - Birr]]/1000</f>
        <v>0.35</v>
      </c>
      <c r="N50" s="95">
        <f>Tableau1[[#This Row],[Prix TTC/g - Birr]]+Tableau1[[#This Row],[Prix transport/g2]]</f>
        <v>1.35</v>
      </c>
    </row>
    <row r="51" spans="2:14" x14ac:dyDescent="0.2">
      <c r="B51" s="86" t="s">
        <v>183</v>
      </c>
      <c r="C51" s="86" t="s">
        <v>127</v>
      </c>
      <c r="D51" s="87">
        <v>50</v>
      </c>
      <c r="E51" s="88" t="s">
        <v>23</v>
      </c>
      <c r="F51" s="89">
        <v>200</v>
      </c>
      <c r="G51" s="90">
        <f>Tableau1[[#This Row],[Transport ]]/Tableau1[[#This Row],[Quantité unitaire/g ]]</f>
        <v>4</v>
      </c>
      <c r="H51" s="91">
        <v>35</v>
      </c>
      <c r="I51" s="92">
        <v>35</v>
      </c>
      <c r="J51" s="96">
        <f>Tableau1[[#This Row],[Prix HT/kg- Birr]]/1000</f>
        <v>0.7</v>
      </c>
      <c r="K51" s="91">
        <f>(Tableau1[[#This Row],[Prix HT/birr unitaire]]/Tableau1[[#This Row],[Quantité unitaire/g ]])*1000</f>
        <v>700</v>
      </c>
      <c r="L51" s="93">
        <f>(Tableau1[[#This Row],[Prix TTC/Birr unitaire ]]/Tableau1[[#This Row],[Quantité unitaire/g ]])*1000</f>
        <v>700</v>
      </c>
      <c r="M51" s="94">
        <f>Tableau1[[#This Row],[Prix TTC/kg - Birr]]/1000</f>
        <v>0.7</v>
      </c>
      <c r="N51" s="95">
        <f>Tableau1[[#This Row],[Prix TTC/g - Birr]]+Tableau1[[#This Row],[Prix transport/g2]]</f>
        <v>4.7</v>
      </c>
    </row>
    <row r="52" spans="2:14" x14ac:dyDescent="0.2">
      <c r="B52" s="86" t="s">
        <v>183</v>
      </c>
      <c r="C52" s="101" t="s">
        <v>195</v>
      </c>
      <c r="D52" s="87">
        <v>60</v>
      </c>
      <c r="E52" s="88" t="s">
        <v>24</v>
      </c>
      <c r="F52" s="89">
        <v>274</v>
      </c>
      <c r="G52" s="90">
        <f>Tableau1[[#This Row],[Transport ]]/Tableau1[[#This Row],[Quantité unitaire/g ]]</f>
        <v>4.5666666666666664</v>
      </c>
      <c r="H52" s="102">
        <v>150</v>
      </c>
      <c r="I52" s="105">
        <v>150</v>
      </c>
      <c r="J52" s="96">
        <f>Tableau1[[#This Row],[Prix HT/kg- Birr]]/1000</f>
        <v>2.5</v>
      </c>
      <c r="K52" s="91">
        <f>(Tableau1[[#This Row],[Prix HT/birr unitaire]]/Tableau1[[#This Row],[Quantité unitaire/g ]])*1000</f>
        <v>2500</v>
      </c>
      <c r="L52" s="106">
        <f>(Tableau1[[#This Row],[Prix TTC/Birr unitaire ]]/Tableau1[[#This Row],[Quantité unitaire/g ]])*1000</f>
        <v>2500</v>
      </c>
      <c r="M52" s="85">
        <f>Tableau1[[#This Row],[Prix TTC/kg - Birr]]/1000</f>
        <v>2.5</v>
      </c>
      <c r="N52" s="58">
        <f>Tableau1[[#This Row],[Prix TTC/g - Birr]]+Tableau1[[#This Row],[Prix transport/g2]]</f>
        <v>7.0666666666666664</v>
      </c>
    </row>
    <row r="53" spans="2:14" x14ac:dyDescent="0.2">
      <c r="B53" s="86" t="s">
        <v>184</v>
      </c>
      <c r="C53" s="101" t="s">
        <v>127</v>
      </c>
      <c r="D53" s="87">
        <v>100</v>
      </c>
      <c r="E53" s="88" t="s">
        <v>23</v>
      </c>
      <c r="F53" s="89">
        <v>200</v>
      </c>
      <c r="G53" s="90">
        <f>Tableau1[[#This Row],[Transport ]]/Tableau1[[#This Row],[Quantité unitaire/g ]]</f>
        <v>2</v>
      </c>
      <c r="H53" s="102">
        <v>35</v>
      </c>
      <c r="I53" s="96">
        <v>35</v>
      </c>
      <c r="J53" s="96">
        <f>Tableau1[[#This Row],[Prix HT/kg- Birr]]/1000</f>
        <v>0.35</v>
      </c>
      <c r="K53" s="91">
        <f>(Tableau1[[#This Row],[Prix HT/birr unitaire]]/Tableau1[[#This Row],[Quantité unitaire/g ]])*1000</f>
        <v>350</v>
      </c>
      <c r="L53" s="103">
        <f>(Tableau1[[#This Row],[Prix TTC/Birr unitaire ]]/Tableau1[[#This Row],[Quantité unitaire/g ]])*1000</f>
        <v>350</v>
      </c>
      <c r="M53" s="94">
        <f>Tableau1[[#This Row],[Prix TTC/kg - Birr]]/1000</f>
        <v>0.35</v>
      </c>
      <c r="N53" s="95">
        <f>Tableau1[[#This Row],[Prix TTC/g - Birr]]+Tableau1[[#This Row],[Prix transport/g2]]</f>
        <v>2.35</v>
      </c>
    </row>
    <row r="54" spans="2:14" x14ac:dyDescent="0.2">
      <c r="B54" s="86" t="s">
        <v>194</v>
      </c>
      <c r="C54" s="101" t="s">
        <v>195</v>
      </c>
      <c r="D54" s="87">
        <v>50</v>
      </c>
      <c r="E54" s="88" t="s">
        <v>196</v>
      </c>
      <c r="F54" s="89"/>
      <c r="G54" s="90">
        <f>Tableau1[[#This Row],[Transport ]]/Tableau1[[#This Row],[Quantité unitaire/g ]]</f>
        <v>0</v>
      </c>
      <c r="H54" s="102">
        <v>85</v>
      </c>
      <c r="I54" s="105">
        <v>85</v>
      </c>
      <c r="J54" s="96">
        <f>Tableau1[[#This Row],[Prix HT/kg- Birr]]/1000</f>
        <v>1.7</v>
      </c>
      <c r="K54" s="91">
        <f>(Tableau1[[#This Row],[Prix HT/birr unitaire]]/Tableau1[[#This Row],[Quantité unitaire/g ]])*1000</f>
        <v>1700</v>
      </c>
      <c r="L54" s="103">
        <f>(Tableau1[[#This Row],[Prix TTC/Birr unitaire ]]/Tableau1[[#This Row],[Quantité unitaire/g ]])*1000</f>
        <v>1700</v>
      </c>
      <c r="M54" s="94">
        <f>Tableau1[[#This Row],[Prix TTC/kg - Birr]]/1000</f>
        <v>1.7</v>
      </c>
      <c r="N54" s="95">
        <f>Tableau1[[#This Row],[Prix TTC/g - Birr]]+Tableau1[[#This Row],[Prix transport/g2]]</f>
        <v>1.7</v>
      </c>
    </row>
    <row r="55" spans="2:14" x14ac:dyDescent="0.2">
      <c r="B55" s="86" t="s">
        <v>194</v>
      </c>
      <c r="C55" s="101" t="s">
        <v>198</v>
      </c>
      <c r="D55" s="87">
        <v>60</v>
      </c>
      <c r="E55" s="88" t="s">
        <v>24</v>
      </c>
      <c r="F55" s="89">
        <v>274</v>
      </c>
      <c r="G55" s="90">
        <f>Tableau1[[#This Row],[Transport ]]/Tableau1[[#This Row],[Quantité unitaire/g ]]</f>
        <v>4.5666666666666664</v>
      </c>
      <c r="H55" s="102">
        <v>150</v>
      </c>
      <c r="I55" s="105">
        <v>150</v>
      </c>
      <c r="J55" s="96">
        <f>Tableau1[[#This Row],[Prix HT/kg- Birr]]/1000</f>
        <v>2.5</v>
      </c>
      <c r="K55" s="91">
        <f>(Tableau1[[#This Row],[Prix HT/birr unitaire]]/Tableau1[[#This Row],[Quantité unitaire/g ]])*1000</f>
        <v>2500</v>
      </c>
      <c r="L55" s="106">
        <f>(Tableau1[[#This Row],[Prix TTC/Birr unitaire ]]/Tableau1[[#This Row],[Quantité unitaire/g ]])*1000</f>
        <v>2500</v>
      </c>
      <c r="M55" s="85">
        <f>Tableau1[[#This Row],[Prix TTC/kg - Birr]]/1000</f>
        <v>2.5</v>
      </c>
      <c r="N55" s="58">
        <f>Tableau1[[#This Row],[Prix TTC/g - Birr]]+Tableau1[[#This Row],[Prix transport/g2]]</f>
        <v>7.0666666666666664</v>
      </c>
    </row>
    <row r="56" spans="2:14" x14ac:dyDescent="0.2">
      <c r="B56" s="86" t="s">
        <v>199</v>
      </c>
      <c r="C56" s="101" t="s">
        <v>198</v>
      </c>
      <c r="D56" s="87">
        <v>60</v>
      </c>
      <c r="E56" s="88" t="s">
        <v>24</v>
      </c>
      <c r="F56" s="89">
        <v>274</v>
      </c>
      <c r="G56" s="90">
        <f>Tableau1[[#This Row],[Transport ]]/Tableau1[[#This Row],[Quantité unitaire/g ]]</f>
        <v>4.5666666666666664</v>
      </c>
      <c r="H56" s="102">
        <v>150</v>
      </c>
      <c r="I56" s="105">
        <v>150</v>
      </c>
      <c r="J56" s="96">
        <f>Tableau1[[#This Row],[Prix HT/kg- Birr]]/1000</f>
        <v>2.5</v>
      </c>
      <c r="K56" s="91">
        <f>(Tableau1[[#This Row],[Prix HT/birr unitaire]]/Tableau1[[#This Row],[Quantité unitaire/g ]])*1000</f>
        <v>2500</v>
      </c>
      <c r="L56" s="106">
        <f>(Tableau1[[#This Row],[Prix TTC/Birr unitaire ]]/Tableau1[[#This Row],[Quantité unitaire/g ]])*1000</f>
        <v>2500</v>
      </c>
      <c r="M56" s="85">
        <f>Tableau1[[#This Row],[Prix TTC/kg - Birr]]/1000</f>
        <v>2.5</v>
      </c>
      <c r="N56" s="58">
        <f>Tableau1[[#This Row],[Prix TTC/g - Birr]]+Tableau1[[#This Row],[Prix transport/g2]]</f>
        <v>7.0666666666666664</v>
      </c>
    </row>
    <row r="57" spans="2:14" x14ac:dyDescent="0.2">
      <c r="B57" s="86" t="s">
        <v>200</v>
      </c>
      <c r="C57" s="101" t="s">
        <v>198</v>
      </c>
      <c r="D57" s="87">
        <v>60</v>
      </c>
      <c r="E57" s="88" t="s">
        <v>24</v>
      </c>
      <c r="F57" s="89">
        <v>274</v>
      </c>
      <c r="G57" s="90">
        <f>Tableau1[[#This Row],[Transport ]]/Tableau1[[#This Row],[Quantité unitaire/g ]]</f>
        <v>4.5666666666666664</v>
      </c>
      <c r="H57" s="102">
        <v>150</v>
      </c>
      <c r="I57" s="105">
        <v>150</v>
      </c>
      <c r="J57" s="96">
        <f>Tableau1[[#This Row],[Prix HT/kg- Birr]]/1000</f>
        <v>2.5</v>
      </c>
      <c r="K57" s="91">
        <f>(Tableau1[[#This Row],[Prix HT/birr unitaire]]/Tableau1[[#This Row],[Quantité unitaire/g ]])*1000</f>
        <v>2500</v>
      </c>
      <c r="L57" s="106">
        <f>(Tableau1[[#This Row],[Prix TTC/Birr unitaire ]]/Tableau1[[#This Row],[Quantité unitaire/g ]])*1000</f>
        <v>2500</v>
      </c>
      <c r="M57" s="85">
        <f>Tableau1[[#This Row],[Prix TTC/kg - Birr]]/1000</f>
        <v>2.5</v>
      </c>
      <c r="N57" s="58">
        <f>Tableau1[[#This Row],[Prix TTC/g - Birr]]+Tableau1[[#This Row],[Prix transport/g2]]</f>
        <v>7.0666666666666664</v>
      </c>
    </row>
    <row r="58" spans="2:14" x14ac:dyDescent="0.2">
      <c r="B58" s="86" t="s">
        <v>204</v>
      </c>
      <c r="C58" s="101" t="s">
        <v>127</v>
      </c>
      <c r="D58" s="87">
        <v>100</v>
      </c>
      <c r="E58" s="88" t="s">
        <v>177</v>
      </c>
      <c r="F58" s="89">
        <v>200</v>
      </c>
      <c r="G58" s="90">
        <f>Tableau1[[#This Row],[Transport ]]/Tableau1[[#This Row],[Quantité unitaire/g ]]</f>
        <v>2</v>
      </c>
      <c r="H58" s="102">
        <v>217</v>
      </c>
      <c r="I58" s="105">
        <v>251</v>
      </c>
      <c r="J58" s="96">
        <f>Tableau1[[#This Row],[Prix HT/kg- Birr]]/1000</f>
        <v>2.17</v>
      </c>
      <c r="K58" s="91">
        <f>(Tableau1[[#This Row],[Prix HT/birr unitaire]]/Tableau1[[#This Row],[Quantité unitaire/g ]])*1000</f>
        <v>2170</v>
      </c>
      <c r="L58" s="106">
        <f>(Tableau1[[#This Row],[Prix TTC/Birr unitaire ]]/Tableau1[[#This Row],[Quantité unitaire/g ]])*1000</f>
        <v>2510</v>
      </c>
      <c r="M58" s="85">
        <f>Tableau1[[#This Row],[Prix TTC/kg - Birr]]/1000</f>
        <v>2.5099999999999998</v>
      </c>
      <c r="N58" s="58">
        <f>Tableau1[[#This Row],[Prix TTC/g - Birr]]+Tableau1[[#This Row],[Prix transport/g2]]</f>
        <v>4.51</v>
      </c>
    </row>
    <row r="59" spans="2:14" x14ac:dyDescent="0.2">
      <c r="B59" s="86" t="s">
        <v>205</v>
      </c>
      <c r="C59" s="101" t="s">
        <v>127</v>
      </c>
      <c r="D59" s="87">
        <v>100</v>
      </c>
      <c r="E59" s="88" t="s">
        <v>177</v>
      </c>
      <c r="F59" s="89">
        <v>200</v>
      </c>
      <c r="G59" s="90">
        <f>Tableau1[[#This Row],[Transport ]]/Tableau1[[#This Row],[Quantité unitaire/g ]]</f>
        <v>2</v>
      </c>
      <c r="H59" s="102">
        <v>217</v>
      </c>
      <c r="I59" s="105">
        <v>251</v>
      </c>
      <c r="J59" s="96">
        <f>Tableau1[[#This Row],[Prix HT/kg- Birr]]/1000</f>
        <v>2.17</v>
      </c>
      <c r="K59" s="91">
        <f>(Tableau1[[#This Row],[Prix HT/birr unitaire]]/Tableau1[[#This Row],[Quantité unitaire/g ]])*1000</f>
        <v>2170</v>
      </c>
      <c r="L59" s="106">
        <f>(Tableau1[[#This Row],[Prix TTC/Birr unitaire ]]/Tableau1[[#This Row],[Quantité unitaire/g ]])*1000</f>
        <v>2510</v>
      </c>
      <c r="M59" s="85">
        <f>Tableau1[[#This Row],[Prix TTC/kg - Birr]]/1000</f>
        <v>2.5099999999999998</v>
      </c>
      <c r="N59" s="58">
        <f>Tableau1[[#This Row],[Prix TTC/g - Birr]]+Tableau1[[#This Row],[Prix transport/g2]]</f>
        <v>4.51</v>
      </c>
    </row>
    <row r="60" spans="2:14" x14ac:dyDescent="0.2">
      <c r="B60" s="86" t="s">
        <v>216</v>
      </c>
      <c r="C60" s="101" t="s">
        <v>127</v>
      </c>
      <c r="D60" s="87"/>
      <c r="E60" s="88"/>
      <c r="F60" s="89"/>
      <c r="G60" s="90">
        <v>0</v>
      </c>
      <c r="H60" s="102"/>
      <c r="I60" s="105"/>
      <c r="J60" s="83">
        <f>Tableau1[[#This Row],[Prix HT/kg- Birr]]/1000</f>
        <v>0</v>
      </c>
      <c r="K60" s="91"/>
      <c r="L60" s="106" t="e">
        <f>(Tableau1[[#This Row],[Prix TTC/Birr unitaire ]]/Tableau1[[#This Row],[Quantité unitaire/g ]])*1000</f>
        <v>#DIV/0!</v>
      </c>
      <c r="M60" s="85" t="e">
        <f>Tableau1[[#This Row],[Prix TTC/kg - Birr]]/1000</f>
        <v>#DIV/0!</v>
      </c>
      <c r="N60" s="58" t="e">
        <f>Tableau1[[#This Row],[Prix TTC/g - Birr]]+Tableau1[[#This Row],[Prix transport/g2]]</f>
        <v>#DIV/0!</v>
      </c>
    </row>
    <row r="61" spans="2:14" x14ac:dyDescent="0.2">
      <c r="B61" s="86" t="s">
        <v>176</v>
      </c>
      <c r="C61" s="86" t="s">
        <v>127</v>
      </c>
      <c r="D61" s="87">
        <v>200</v>
      </c>
      <c r="E61" s="88" t="s">
        <v>177</v>
      </c>
      <c r="F61" s="89">
        <v>200</v>
      </c>
      <c r="G61" s="90">
        <f>Tableau1[[#This Row],[Transport ]]/Tableau1[[#This Row],[Quantité unitaire/g ]]</f>
        <v>1</v>
      </c>
      <c r="H61" s="91">
        <v>382</v>
      </c>
      <c r="I61" s="92">
        <v>432</v>
      </c>
      <c r="J61" s="114">
        <f>Tableau1[[#This Row],[Prix HT/kg- Birr]]/1000</f>
        <v>1.91</v>
      </c>
      <c r="K61" s="91">
        <f>(Tableau1[[#This Row],[Prix HT/birr unitaire]]/Tableau1[[#This Row],[Quantité unitaire/g ]])*1000</f>
        <v>1910</v>
      </c>
      <c r="L61" s="116">
        <f>(Tableau1[[#This Row],[Prix TTC/Birr unitaire ]]/Tableau1[[#This Row],[Quantité unitaire/g ]])*1000</f>
        <v>2160</v>
      </c>
      <c r="M61" s="94">
        <f>Tableau1[[#This Row],[Prix TTC/kg - Birr]]/1000</f>
        <v>2.16</v>
      </c>
      <c r="N61" s="95">
        <f>Tableau1[[#This Row],[Prix TTC/g - Birr]]+Tableau1[[#This Row],[Prix transport/g2]]</f>
        <v>3.16</v>
      </c>
    </row>
    <row r="62" spans="2:14" x14ac:dyDescent="0.2">
      <c r="B62" s="86" t="s">
        <v>185</v>
      </c>
      <c r="C62" s="101" t="s">
        <v>186</v>
      </c>
      <c r="D62" s="87">
        <v>100</v>
      </c>
      <c r="E62" s="88" t="s">
        <v>23</v>
      </c>
      <c r="F62" s="89">
        <v>200</v>
      </c>
      <c r="G62" s="90">
        <f>Tableau1[[#This Row],[Transport ]]/Tableau1[[#This Row],[Quantité unitaire/g ]]</f>
        <v>2</v>
      </c>
      <c r="H62" s="102">
        <v>50</v>
      </c>
      <c r="I62" s="105">
        <v>50</v>
      </c>
      <c r="J62" s="96">
        <f>Tableau1[[#This Row],[Prix HT/kg- Birr]]/1000</f>
        <v>0.5</v>
      </c>
      <c r="K62" s="91">
        <f>(Tableau1[[#This Row],[Prix HT/birr unitaire]]/Tableau1[[#This Row],[Quantité unitaire/g ]])*1000</f>
        <v>500</v>
      </c>
      <c r="L62" s="103">
        <f>(Tableau1[[#This Row],[Prix TTC/Birr unitaire ]]/Tableau1[[#This Row],[Quantité unitaire/g ]])*1000</f>
        <v>500</v>
      </c>
      <c r="M62" s="94">
        <f>Tableau1[[#This Row],[Prix TTC/kg - Birr]]/1000</f>
        <v>0.5</v>
      </c>
      <c r="N62" s="95">
        <f>Tableau1[[#This Row],[Prix TTC/g - Birr]]+Tableau1[[#This Row],[Prix transport/g2]]</f>
        <v>2.5</v>
      </c>
    </row>
    <row r="63" spans="2:14" x14ac:dyDescent="0.2">
      <c r="B63" s="86" t="s">
        <v>187</v>
      </c>
      <c r="C63" s="101" t="s">
        <v>186</v>
      </c>
      <c r="D63" s="87">
        <v>20000</v>
      </c>
      <c r="E63" s="88" t="s">
        <v>23</v>
      </c>
      <c r="F63" s="89">
        <v>200</v>
      </c>
      <c r="G63" s="90">
        <f>Tableau1[[#This Row],[Transport ]]/Tableau1[[#This Row],[Quantité unitaire/g ]]</f>
        <v>0.01</v>
      </c>
      <c r="H63" s="102">
        <v>276</v>
      </c>
      <c r="I63" s="105">
        <v>276</v>
      </c>
      <c r="J63" s="96">
        <f>Tableau1[[#This Row],[Prix HT/kg- Birr]]/1000</f>
        <v>1.38E-2</v>
      </c>
      <c r="K63" s="91">
        <f>(Tableau1[[#This Row],[Prix HT/birr unitaire]]/Tableau1[[#This Row],[Quantité unitaire/g ]])*1000</f>
        <v>13.799999999999999</v>
      </c>
      <c r="L63" s="103">
        <f>(Tableau1[[#This Row],[Prix TTC/Birr unitaire ]]/Tableau1[[#This Row],[Quantité unitaire/g ]])*1000</f>
        <v>13.799999999999999</v>
      </c>
      <c r="M63" s="94">
        <f>Tableau1[[#This Row],[Prix TTC/kg - Birr]]/1000</f>
        <v>1.38E-2</v>
      </c>
      <c r="N63" s="95">
        <f>Tableau1[[#This Row],[Prix TTC/g - Birr]]+Tableau1[[#This Row],[Prix transport/g2]]</f>
        <v>2.3800000000000002E-2</v>
      </c>
    </row>
    <row r="64" spans="2:14" x14ac:dyDescent="0.2">
      <c r="B64" s="86" t="s">
        <v>190</v>
      </c>
      <c r="C64" s="101" t="s">
        <v>191</v>
      </c>
      <c r="D64" s="87"/>
      <c r="E64" s="88"/>
      <c r="F64" s="89"/>
      <c r="G64" s="90">
        <v>0</v>
      </c>
      <c r="H64" s="102"/>
      <c r="I64" s="105"/>
      <c r="J64" s="96" t="e">
        <f>Tableau1[[#This Row],[Prix HT/kg- Birr]]/1000</f>
        <v>#DIV/0!</v>
      </c>
      <c r="K64" s="91" t="e">
        <f>(Tableau1[[#This Row],[Prix HT/birr unitaire]]/Tableau1[[#This Row],[Quantité unitaire/g ]])*1000</f>
        <v>#DIV/0!</v>
      </c>
      <c r="L64" s="103" t="e">
        <f>(Tableau1[[#This Row],[Prix TTC/Birr unitaire ]]/Tableau1[[#This Row],[Quantité unitaire/g ]])*1000</f>
        <v>#DIV/0!</v>
      </c>
      <c r="M64" s="94" t="e">
        <f>Tableau1[[#This Row],[Prix TTC/kg - Birr]]/1000</f>
        <v>#DIV/0!</v>
      </c>
      <c r="N64" s="95" t="e">
        <f>Tableau1[[#This Row],[Prix TTC/g - Birr]]+Tableau1[[#This Row],[Prix transport/g2]]</f>
        <v>#DIV/0!</v>
      </c>
    </row>
    <row r="65" spans="2:14" x14ac:dyDescent="0.2">
      <c r="B65" s="86" t="s">
        <v>192</v>
      </c>
      <c r="C65" s="101" t="s">
        <v>193</v>
      </c>
      <c r="D65" s="87"/>
      <c r="E65" s="88"/>
      <c r="F65" s="89"/>
      <c r="G65" s="90">
        <v>0</v>
      </c>
      <c r="H65" s="102"/>
      <c r="I65" s="105"/>
      <c r="J65" s="96" t="e">
        <f>Tableau1[[#This Row],[Prix HT/kg- Birr]]/1000</f>
        <v>#DIV/0!</v>
      </c>
      <c r="K65" s="91" t="e">
        <f>(Tableau1[[#This Row],[Prix HT/birr unitaire]]/Tableau1[[#This Row],[Quantité unitaire/g ]])*1000</f>
        <v>#DIV/0!</v>
      </c>
      <c r="L65" s="103" t="e">
        <f>(Tableau1[[#This Row],[Prix TTC/Birr unitaire ]]/Tableau1[[#This Row],[Quantité unitaire/g ]])*1000</f>
        <v>#DIV/0!</v>
      </c>
      <c r="M65" s="94" t="e">
        <f>Tableau1[[#This Row],[Prix TTC/kg - Birr]]/1000</f>
        <v>#DIV/0!</v>
      </c>
      <c r="N65" s="95" t="e">
        <f>Tableau1[[#This Row],[Prix TTC/g - Birr]]+Tableau1[[#This Row],[Prix transport/g2]]</f>
        <v>#DIV/0!</v>
      </c>
    </row>
    <row r="66" spans="2:14" x14ac:dyDescent="0.2">
      <c r="B66" s="2" t="s">
        <v>30</v>
      </c>
      <c r="C66" s="2" t="s">
        <v>130</v>
      </c>
      <c r="D66" s="24">
        <v>5000</v>
      </c>
      <c r="E66" s="6" t="s">
        <v>35</v>
      </c>
      <c r="F66" s="80">
        <v>0</v>
      </c>
      <c r="G66" s="82">
        <f>Tableau1[[#This Row],[Transport ]]/Tableau1[[#This Row],[Quantité unitaire/g ]]</f>
        <v>0</v>
      </c>
      <c r="H66">
        <v>45</v>
      </c>
      <c r="I66" s="8">
        <v>45</v>
      </c>
      <c r="J66" s="83">
        <f>Tableau1[[#This Row],[Prix HT/kg- Birr]]/1000</f>
        <v>8.9999999999999993E-3</v>
      </c>
      <c r="K66">
        <f>(Tableau1[[#This Row],[Prix HT/birr unitaire]]/Tableau1[[#This Row],[Quantité unitaire/g ]])*1000</f>
        <v>9</v>
      </c>
      <c r="L66" s="84">
        <f>(Tableau1[[#This Row],[Prix TTC/Birr unitaire ]]/Tableau1[[#This Row],[Quantité unitaire/g ]])*1000</f>
        <v>9</v>
      </c>
      <c r="M66" s="85">
        <f>Tableau1[[#This Row],[Prix TTC/kg - Birr]]/1000</f>
        <v>8.9999999999999993E-3</v>
      </c>
      <c r="N66" s="58">
        <f>Tableau1[[#This Row],[Prix TTC/g - Birr]]+Tableau1[[#This Row],[Prix transport/g2]]</f>
        <v>8.9999999999999993E-3</v>
      </c>
    </row>
    <row r="67" spans="2:14" ht="27.75" x14ac:dyDescent="0.2">
      <c r="B67" s="2" t="s">
        <v>19</v>
      </c>
      <c r="C67" s="2" t="s">
        <v>126</v>
      </c>
      <c r="D67" s="24">
        <v>0</v>
      </c>
      <c r="F67" s="80">
        <v>0</v>
      </c>
      <c r="G67" s="82">
        <v>0</v>
      </c>
      <c r="H67">
        <f ca="1">Tableau1[[#This Row],[Prix HT/kg- Birr]]*Tableau1[[#This Row],[Quantité unitaire/g ]]</f>
        <v>0</v>
      </c>
      <c r="I67" s="8">
        <f ca="1">Tableau1[[#This Row],[Prix HT/birr unitaire]]+((Tableau1[[#This Row],[Prix HT/birr unitaire]])*(15/100))</f>
        <v>0</v>
      </c>
      <c r="J67" s="83">
        <f ca="1">Tableau1[[#This Row],[Prix HT/kg- Birr]]/1000</f>
        <v>6.5000000000000002E-2</v>
      </c>
      <c r="K67">
        <f ca="1">(Tableau1[[#This Row],[Prix HT/birr unitaire]]/Tableau1[[#This Row],[Quantité unitaire/g ]])*1000</f>
        <v>65</v>
      </c>
      <c r="L67" s="84">
        <f ca="1">(Tableau1[[#This Row],[Prix TTC/Birr unitaire ]]/Tableau1[[#This Row],[Quantité unitaire/g ]])*1000</f>
        <v>74.75</v>
      </c>
      <c r="M67" s="85">
        <f ca="1">Tableau1[[#This Row],[Prix TTC/kg - Birr]]/1000</f>
        <v>0</v>
      </c>
      <c r="N67" s="58">
        <f ca="1">Tableau1[[#This Row],[Prix TTC/g - Birr]]+Tableau1[[#This Row],[Prix transport/g2]]</f>
        <v>0</v>
      </c>
    </row>
    <row r="68" spans="2:14" x14ac:dyDescent="0.2">
      <c r="B68" s="2" t="s">
        <v>59</v>
      </c>
      <c r="C68" s="2"/>
      <c r="D68" s="24">
        <v>0</v>
      </c>
      <c r="F68" s="80">
        <v>0</v>
      </c>
      <c r="G68" s="82">
        <v>0</v>
      </c>
      <c r="H68">
        <v>0</v>
      </c>
      <c r="I68" s="8">
        <v>0</v>
      </c>
      <c r="J68" s="83" t="e">
        <f>Tableau1[[#This Row],[Prix HT/kg- Birr]]/1000</f>
        <v>#DIV/0!</v>
      </c>
      <c r="K68" t="e">
        <f>(Tableau1[[#This Row],[Prix HT/birr unitaire]]/Tableau1[[#This Row],[Quantité unitaire/g ]])*1000</f>
        <v>#DIV/0!</v>
      </c>
      <c r="L68" s="84" t="e">
        <f>(Tableau1[[#This Row],[Prix TTC/Birr unitaire ]]/Tableau1[[#This Row],[Quantité unitaire/g ]])*1000</f>
        <v>#DIV/0!</v>
      </c>
      <c r="M68" s="85" t="e">
        <f>Tableau1[[#This Row],[Prix TTC/kg - Birr]]/1000</f>
        <v>#DIV/0!</v>
      </c>
      <c r="N68" s="58" t="e">
        <f>Tableau1[[#This Row],[Prix TTC/g - Birr]]+Tableau1[[#This Row],[Prix transport/g2]]</f>
        <v>#DIV/0!</v>
      </c>
    </row>
    <row r="69" spans="2:14" x14ac:dyDescent="0.2">
      <c r="B69" s="2" t="s">
        <v>58</v>
      </c>
      <c r="C69" s="2" t="s">
        <v>126</v>
      </c>
      <c r="D69" s="24">
        <v>0</v>
      </c>
      <c r="F69" s="80">
        <v>0</v>
      </c>
      <c r="G69" s="82">
        <v>0</v>
      </c>
      <c r="H69">
        <v>0</v>
      </c>
      <c r="I69" s="8">
        <v>0</v>
      </c>
      <c r="J69" s="83" t="e">
        <f>Tableau1[[#This Row],[Prix HT/kg- Birr]]/1000</f>
        <v>#DIV/0!</v>
      </c>
      <c r="K69" t="e">
        <f>(Tableau1[[#This Row],[Prix HT/birr unitaire]]/Tableau1[[#This Row],[Quantité unitaire/g ]])*1000</f>
        <v>#DIV/0!</v>
      </c>
      <c r="L69" s="84" t="e">
        <f>(Tableau1[[#This Row],[Prix TTC/Birr unitaire ]]/Tableau1[[#This Row],[Quantité unitaire/g ]])*1000</f>
        <v>#DIV/0!</v>
      </c>
      <c r="M69" s="85" t="e">
        <f>Tableau1[[#This Row],[Prix TTC/kg - Birr]]/1000</f>
        <v>#DIV/0!</v>
      </c>
      <c r="N69" s="58" t="e">
        <f>Tableau1[[#This Row],[Prix TTC/g - Birr]]+Tableau1[[#This Row],[Prix transport/g2]]</f>
        <v>#DIV/0!</v>
      </c>
    </row>
    <row r="70" spans="2:14" x14ac:dyDescent="0.2">
      <c r="B70" s="2" t="s">
        <v>69</v>
      </c>
      <c r="C70" s="2" t="s">
        <v>130</v>
      </c>
      <c r="D70" s="24">
        <v>1000</v>
      </c>
      <c r="E70" s="6" t="s">
        <v>206</v>
      </c>
      <c r="F70" s="80">
        <v>244</v>
      </c>
      <c r="G70" s="82">
        <f>Tableau1[[#This Row],[Transport ]]/Tableau1[[#This Row],[Quantité unitaire/g ]]</f>
        <v>0.24399999999999999</v>
      </c>
      <c r="H70">
        <v>34.78</v>
      </c>
      <c r="I70" s="8">
        <v>34.78</v>
      </c>
      <c r="J70" s="83">
        <f>Tableau1[[#This Row],[Prix HT/kg- Birr]]/1000</f>
        <v>3.4779999999999998E-2</v>
      </c>
      <c r="K70">
        <f>(Tableau1[[#This Row],[Prix HT/birr unitaire]]/Tableau1[[#This Row],[Quantité unitaire/g ]])*1000</f>
        <v>34.78</v>
      </c>
      <c r="L70" s="84">
        <f>(Tableau1[[#This Row],[Prix TTC/Birr unitaire ]]/Tableau1[[#This Row],[Quantité unitaire/g ]])*1000</f>
        <v>34.78</v>
      </c>
      <c r="M70" s="85">
        <f>Tableau1[[#This Row],[Prix TTC/kg - Birr]]/1000</f>
        <v>3.4779999999999998E-2</v>
      </c>
      <c r="N70" s="58">
        <f>Tableau1[[#This Row],[Prix TTC/g - Birr]]+Tableau1[[#This Row],[Prix transport/g2]]</f>
        <v>0.27877999999999997</v>
      </c>
    </row>
    <row r="71" spans="2:14" x14ac:dyDescent="0.2">
      <c r="B71" s="2" t="s">
        <v>81</v>
      </c>
      <c r="C71" s="2" t="s">
        <v>197</v>
      </c>
      <c r="D71" s="24">
        <v>0</v>
      </c>
      <c r="F71" s="80">
        <v>0</v>
      </c>
      <c r="G71" s="82">
        <v>0</v>
      </c>
      <c r="H71">
        <v>0</v>
      </c>
      <c r="I71" s="8">
        <v>0</v>
      </c>
      <c r="J71" s="83" t="e">
        <f>Tableau1[[#This Row],[Prix HT/kg- Birr]]/1000</f>
        <v>#DIV/0!</v>
      </c>
      <c r="K71" t="e">
        <f>(Tableau1[[#This Row],[Prix HT/birr unitaire]]/Tableau1[[#This Row],[Quantité unitaire/g ]])*1000</f>
        <v>#DIV/0!</v>
      </c>
      <c r="L71" s="84" t="e">
        <f>(Tableau1[[#This Row],[Prix TTC/Birr unitaire ]]/Tableau1[[#This Row],[Quantité unitaire/g ]])*1000</f>
        <v>#DIV/0!</v>
      </c>
      <c r="M71" s="85" t="e">
        <f>Tableau1[[#This Row],[Prix TTC/kg - Birr]]/1000</f>
        <v>#DIV/0!</v>
      </c>
      <c r="N71" s="58" t="e">
        <f>Tableau1[[#This Row],[Prix TTC/g - Birr]]+Tableau1[[#This Row],[Prix transport/g2]]</f>
        <v>#DIV/0!</v>
      </c>
    </row>
    <row r="73" spans="2:14" x14ac:dyDescent="0.2">
      <c r="B73" s="86"/>
      <c r="C73" s="101"/>
      <c r="D73" s="87"/>
      <c r="E73" s="88"/>
      <c r="F73" s="89"/>
      <c r="G73" s="90"/>
      <c r="H73" s="102"/>
      <c r="I73" s="96"/>
      <c r="J73" s="96"/>
      <c r="K73" s="91"/>
      <c r="L73" s="104"/>
      <c r="M73" s="99"/>
      <c r="N73" s="100"/>
    </row>
    <row r="74" spans="2:14" x14ac:dyDescent="0.2">
      <c r="B74" s="86"/>
      <c r="C74" s="101"/>
      <c r="D74" s="87"/>
      <c r="E74" s="88"/>
      <c r="F74" s="89"/>
      <c r="G74" s="90"/>
      <c r="H74" s="102"/>
      <c r="I74" s="96"/>
      <c r="J74" s="96"/>
      <c r="K74" s="91"/>
      <c r="L74" s="104"/>
      <c r="M74" s="99"/>
      <c r="N74" s="100"/>
    </row>
    <row r="75" spans="2:14" x14ac:dyDescent="0.2">
      <c r="B75" s="86"/>
      <c r="C75" s="101"/>
      <c r="D75" s="87"/>
      <c r="E75" s="88"/>
      <c r="F75" s="89"/>
      <c r="G75" s="90"/>
      <c r="H75" s="102"/>
      <c r="I75" s="96"/>
      <c r="J75" s="96"/>
      <c r="K75" s="91"/>
      <c r="L75" s="104"/>
      <c r="M75" s="99"/>
      <c r="N75" s="100"/>
    </row>
    <row r="76" spans="2:14" x14ac:dyDescent="0.2">
      <c r="B76" s="86"/>
      <c r="C76" s="101"/>
      <c r="D76" s="87"/>
      <c r="E76" s="88"/>
      <c r="F76" s="89"/>
      <c r="G76" s="90"/>
      <c r="H76" s="102"/>
      <c r="I76" s="96"/>
      <c r="J76" s="96"/>
      <c r="K76" s="91"/>
      <c r="L76" s="104"/>
      <c r="M76" s="99"/>
      <c r="N76" s="100"/>
    </row>
    <row r="77" spans="2:14" x14ac:dyDescent="0.2">
      <c r="B77" s="86"/>
      <c r="C77" s="101"/>
      <c r="D77" s="87"/>
      <c r="E77" s="88"/>
      <c r="F77" s="89"/>
      <c r="G77" s="90"/>
      <c r="H77" s="102"/>
      <c r="I77" s="96"/>
      <c r="J77" s="96"/>
      <c r="K77" s="91"/>
      <c r="L77" s="104"/>
      <c r="M77" s="99"/>
      <c r="N77" s="100"/>
    </row>
    <row r="78" spans="2:14" x14ac:dyDescent="0.2">
      <c r="B78" s="86"/>
      <c r="C78" s="101"/>
      <c r="D78" s="87"/>
      <c r="E78" s="88"/>
      <c r="F78" s="89"/>
      <c r="G78" s="90"/>
      <c r="H78" s="102"/>
      <c r="I78" s="96"/>
      <c r="J78" s="96"/>
      <c r="K78" s="91"/>
      <c r="L78" s="104"/>
      <c r="M78" s="99"/>
      <c r="N78" s="100"/>
    </row>
    <row r="81" spans="2:9" ht="15.75" thickBot="1" x14ac:dyDescent="0.25">
      <c r="B81" s="50" t="s">
        <v>28</v>
      </c>
      <c r="C81" s="16" t="s">
        <v>1</v>
      </c>
      <c r="D81" s="54" t="s">
        <v>86</v>
      </c>
      <c r="E81" s="12" t="s">
        <v>87</v>
      </c>
      <c r="G81" s="55" t="s">
        <v>106</v>
      </c>
      <c r="H81" s="56" t="s">
        <v>1</v>
      </c>
      <c r="I81" s="56" t="s">
        <v>107</v>
      </c>
    </row>
    <row r="82" spans="2:9" ht="15.75" thickTop="1" x14ac:dyDescent="0.2">
      <c r="B82" s="2" t="s">
        <v>72</v>
      </c>
      <c r="C82" s="24"/>
      <c r="D82" s="6"/>
      <c r="E82" s="57"/>
      <c r="G82" s="9" t="s">
        <v>108</v>
      </c>
      <c r="H82">
        <v>1</v>
      </c>
      <c r="I82" s="21"/>
    </row>
    <row r="83" spans="2:9" x14ac:dyDescent="0.2">
      <c r="B83" s="2" t="s">
        <v>84</v>
      </c>
      <c r="C83" s="24"/>
      <c r="D83" s="6"/>
      <c r="E83" s="57"/>
      <c r="G83" s="9" t="s">
        <v>109</v>
      </c>
      <c r="H83"/>
      <c r="I83" s="21"/>
    </row>
    <row r="84" spans="2:9" x14ac:dyDescent="0.2">
      <c r="B84" s="2" t="s">
        <v>85</v>
      </c>
      <c r="C84" s="24">
        <v>1</v>
      </c>
      <c r="D84" s="6">
        <v>11.99</v>
      </c>
      <c r="E84" s="58">
        <f>D84*47.98</f>
        <v>575.28019999999992</v>
      </c>
      <c r="G84" s="17" t="s">
        <v>119</v>
      </c>
      <c r="H84">
        <v>3</v>
      </c>
      <c r="I84" s="21"/>
    </row>
    <row r="85" spans="2:9" x14ac:dyDescent="0.2">
      <c r="B85" s="2" t="s">
        <v>88</v>
      </c>
      <c r="C85" s="24">
        <v>1</v>
      </c>
      <c r="D85" s="6">
        <v>9.99</v>
      </c>
      <c r="E85" s="58">
        <f t="shared" ref="E85:E97" si="0">D85*47.98</f>
        <v>479.3202</v>
      </c>
      <c r="G85" s="17" t="s">
        <v>170</v>
      </c>
      <c r="H85"/>
      <c r="I85" s="21"/>
    </row>
    <row r="86" spans="2:9" x14ac:dyDescent="0.2">
      <c r="B86" s="2" t="s">
        <v>89</v>
      </c>
      <c r="C86" s="24">
        <v>5</v>
      </c>
      <c r="D86" s="6">
        <v>12.99</v>
      </c>
      <c r="E86" s="58">
        <f t="shared" si="0"/>
        <v>623.26019999999994</v>
      </c>
      <c r="G86" s="17" t="s">
        <v>171</v>
      </c>
      <c r="H86"/>
      <c r="I86" s="21"/>
    </row>
    <row r="87" spans="2:9" x14ac:dyDescent="0.2">
      <c r="B87" s="2" t="s">
        <v>90</v>
      </c>
      <c r="C87" s="24">
        <v>40</v>
      </c>
      <c r="D87" s="6">
        <v>15.99</v>
      </c>
      <c r="E87" s="58">
        <f t="shared" si="0"/>
        <v>767.2002</v>
      </c>
      <c r="G87" s="17" t="s">
        <v>172</v>
      </c>
      <c r="H87"/>
      <c r="I87" s="21"/>
    </row>
    <row r="88" spans="2:9" ht="27.75" x14ac:dyDescent="0.2">
      <c r="B88" s="2" t="s">
        <v>91</v>
      </c>
      <c r="C88" s="24">
        <v>2</v>
      </c>
      <c r="D88" s="6">
        <v>6.4</v>
      </c>
      <c r="E88" s="58">
        <f t="shared" si="0"/>
        <v>307.072</v>
      </c>
      <c r="G88" s="9" t="s">
        <v>25</v>
      </c>
      <c r="H88"/>
      <c r="I88" s="62">
        <f>SUBTOTAL(103,Tableau10[Prix TTC/birr])</f>
        <v>0</v>
      </c>
    </row>
    <row r="89" spans="2:9" ht="27.75" x14ac:dyDescent="0.2">
      <c r="B89" s="2" t="s">
        <v>92</v>
      </c>
      <c r="C89" s="24">
        <v>6</v>
      </c>
      <c r="D89" s="6">
        <v>1.2</v>
      </c>
      <c r="E89" s="58">
        <f t="shared" si="0"/>
        <v>57.575999999999993</v>
      </c>
      <c r="F89" s="9"/>
      <c r="H89"/>
    </row>
    <row r="90" spans="2:9" x14ac:dyDescent="0.2">
      <c r="B90" s="2" t="s">
        <v>93</v>
      </c>
      <c r="C90" s="24">
        <v>10</v>
      </c>
      <c r="D90" s="6">
        <v>0.8</v>
      </c>
      <c r="E90" s="58">
        <f t="shared" si="0"/>
        <v>38.384</v>
      </c>
      <c r="F90" s="9"/>
      <c r="H90"/>
    </row>
    <row r="91" spans="2:9" x14ac:dyDescent="0.2">
      <c r="B91" s="2" t="s">
        <v>94</v>
      </c>
      <c r="C91" s="24">
        <v>50</v>
      </c>
      <c r="D91" s="6">
        <v>2.9</v>
      </c>
      <c r="E91" s="58">
        <f t="shared" si="0"/>
        <v>139.142</v>
      </c>
      <c r="F91" s="9"/>
      <c r="H91"/>
    </row>
    <row r="92" spans="2:9" x14ac:dyDescent="0.2">
      <c r="B92" s="2" t="s">
        <v>95</v>
      </c>
      <c r="C92" s="24">
        <v>5</v>
      </c>
      <c r="D92" s="6">
        <v>4</v>
      </c>
      <c r="E92" s="58">
        <f t="shared" si="0"/>
        <v>191.92</v>
      </c>
      <c r="F92" s="9"/>
      <c r="H92"/>
    </row>
    <row r="93" spans="2:9" x14ac:dyDescent="0.2">
      <c r="B93" s="2" t="s">
        <v>96</v>
      </c>
      <c r="C93" s="24">
        <v>3</v>
      </c>
      <c r="D93" s="6">
        <v>5.7</v>
      </c>
      <c r="E93" s="58">
        <f t="shared" si="0"/>
        <v>273.48599999999999</v>
      </c>
      <c r="F93" s="9"/>
      <c r="H93"/>
    </row>
    <row r="94" spans="2:9" x14ac:dyDescent="0.2">
      <c r="B94" s="2" t="s">
        <v>97</v>
      </c>
      <c r="C94" s="24">
        <v>2</v>
      </c>
      <c r="D94" s="6">
        <v>3.4</v>
      </c>
      <c r="E94" s="58">
        <f t="shared" si="0"/>
        <v>163.13199999999998</v>
      </c>
      <c r="F94" s="9"/>
      <c r="H94"/>
    </row>
    <row r="95" spans="2:9" x14ac:dyDescent="0.2">
      <c r="B95" s="2" t="s">
        <v>98</v>
      </c>
      <c r="C95" s="24">
        <v>2</v>
      </c>
      <c r="D95" s="6">
        <v>7.8</v>
      </c>
      <c r="E95" s="58">
        <f t="shared" si="0"/>
        <v>374.24399999999997</v>
      </c>
      <c r="F95" s="9"/>
      <c r="H95"/>
    </row>
    <row r="96" spans="2:9" x14ac:dyDescent="0.2">
      <c r="B96" s="2" t="s">
        <v>99</v>
      </c>
      <c r="C96" s="24">
        <v>2</v>
      </c>
      <c r="D96" s="6">
        <v>1</v>
      </c>
      <c r="E96" s="58">
        <f t="shared" si="0"/>
        <v>47.98</v>
      </c>
      <c r="F96" s="9"/>
      <c r="H96"/>
    </row>
    <row r="97" spans="2:8" x14ac:dyDescent="0.2">
      <c r="B97" s="2" t="s">
        <v>100</v>
      </c>
      <c r="C97" s="24">
        <v>6</v>
      </c>
      <c r="D97" s="6">
        <v>2.7</v>
      </c>
      <c r="E97" s="58">
        <f t="shared" si="0"/>
        <v>129.54599999999999</v>
      </c>
      <c r="F97" s="9"/>
      <c r="H97"/>
    </row>
    <row r="98" spans="2:8" x14ac:dyDescent="0.2">
      <c r="B98" s="2" t="s">
        <v>110</v>
      </c>
      <c r="C98" s="24">
        <v>2</v>
      </c>
      <c r="D98" s="6"/>
      <c r="E98" s="58">
        <f>D98*47.98</f>
        <v>0</v>
      </c>
      <c r="F98" s="9"/>
      <c r="H98"/>
    </row>
    <row r="99" spans="2:8" x14ac:dyDescent="0.2">
      <c r="B99" s="2" t="s">
        <v>111</v>
      </c>
      <c r="C99" s="24">
        <v>4</v>
      </c>
      <c r="D99" s="6"/>
      <c r="E99" s="58">
        <f>D99*47.98</f>
        <v>0</v>
      </c>
      <c r="F99" s="9"/>
      <c r="H99"/>
    </row>
    <row r="100" spans="2:8" ht="27.75" x14ac:dyDescent="0.2">
      <c r="B100" s="2" t="s">
        <v>113</v>
      </c>
      <c r="C100" s="24">
        <v>4</v>
      </c>
      <c r="D100" s="6"/>
      <c r="E100" s="58">
        <f>D100*47.98</f>
        <v>0</v>
      </c>
      <c r="F100" s="9"/>
      <c r="H100"/>
    </row>
    <row r="101" spans="2:8" x14ac:dyDescent="0.2">
      <c r="B101" s="2" t="s">
        <v>114</v>
      </c>
      <c r="C101" s="24">
        <v>4</v>
      </c>
      <c r="D101" s="6"/>
      <c r="E101" s="58">
        <f>D101*47.98</f>
        <v>0</v>
      </c>
      <c r="F101" s="9"/>
      <c r="H101"/>
    </row>
    <row r="102" spans="2:8" x14ac:dyDescent="0.2">
      <c r="B102" s="2" t="s">
        <v>115</v>
      </c>
      <c r="C102" s="24">
        <v>4</v>
      </c>
      <c r="D102" s="6"/>
      <c r="E102" s="58">
        <f>D102*47.98</f>
        <v>0</v>
      </c>
      <c r="F102" s="9"/>
      <c r="H102"/>
    </row>
    <row r="103" spans="2:8" ht="27.75" x14ac:dyDescent="0.2">
      <c r="B103" s="2" t="s">
        <v>112</v>
      </c>
      <c r="C103" s="24">
        <v>4</v>
      </c>
      <c r="D103" s="6"/>
      <c r="E103" s="58">
        <f>D103*47.98</f>
        <v>0</v>
      </c>
      <c r="F103" s="9"/>
      <c r="H103"/>
    </row>
    <row r="104" spans="2:8" x14ac:dyDescent="0.2">
      <c r="B104" s="2" t="s">
        <v>116</v>
      </c>
      <c r="C104" s="24">
        <v>2</v>
      </c>
      <c r="D104" s="6"/>
      <c r="E104" s="58">
        <f>D104*47.98</f>
        <v>0</v>
      </c>
      <c r="F104" s="9"/>
      <c r="H104"/>
    </row>
    <row r="105" spans="2:8" x14ac:dyDescent="0.2">
      <c r="B105" s="2" t="s">
        <v>117</v>
      </c>
      <c r="C105" s="24">
        <v>5</v>
      </c>
      <c r="D105" s="6"/>
      <c r="E105" s="58">
        <f>D105*47.98</f>
        <v>0</v>
      </c>
      <c r="F105" s="9"/>
      <c r="H105"/>
    </row>
    <row r="106" spans="2:8" x14ac:dyDescent="0.2">
      <c r="B106" s="2" t="s">
        <v>118</v>
      </c>
      <c r="C106" s="24">
        <v>5</v>
      </c>
      <c r="D106" s="6"/>
      <c r="E106" s="58">
        <f>D106*47.98</f>
        <v>0</v>
      </c>
      <c r="F106" s="9"/>
      <c r="H106"/>
    </row>
    <row r="107" spans="2:8" x14ac:dyDescent="0.2">
      <c r="B107" s="2" t="s">
        <v>179</v>
      </c>
      <c r="C107" s="24">
        <v>50</v>
      </c>
      <c r="D107" s="6"/>
      <c r="E107" s="58">
        <f>D107*47.98</f>
        <v>0</v>
      </c>
      <c r="F107" s="9"/>
      <c r="H107"/>
    </row>
    <row r="108" spans="2:8" x14ac:dyDescent="0.2">
      <c r="B108" s="2" t="s">
        <v>180</v>
      </c>
      <c r="C108" s="24">
        <v>50</v>
      </c>
      <c r="D108" s="6"/>
      <c r="E108" s="58">
        <f>D108*47.98</f>
        <v>0</v>
      </c>
      <c r="G108" s="9"/>
      <c r="H108"/>
    </row>
    <row r="109" spans="2:8" x14ac:dyDescent="0.2">
      <c r="B109" s="2" t="s">
        <v>181</v>
      </c>
      <c r="C109" s="24">
        <v>50</v>
      </c>
      <c r="D109" s="6"/>
      <c r="E109" s="58">
        <f>D109*47.98</f>
        <v>0</v>
      </c>
      <c r="G109" s="9"/>
      <c r="H109"/>
    </row>
    <row r="110" spans="2:8" x14ac:dyDescent="0.2">
      <c r="B110" s="2" t="s">
        <v>25</v>
      </c>
      <c r="C110" s="24"/>
      <c r="D110" s="53"/>
      <c r="E110" s="62">
        <f>SUBTOTAL(109,Tableau5[Prix TTC/Birr ])</f>
        <v>4167.5428000000002</v>
      </c>
      <c r="G110" s="9"/>
      <c r="H110"/>
    </row>
  </sheetData>
  <mergeCells count="1">
    <mergeCell ref="B7:C7"/>
  </mergeCell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03664-5081-E74B-9937-91643E46581F}">
  <dimension ref="A2:Q103"/>
  <sheetViews>
    <sheetView topLeftCell="A15" zoomScaleNormal="150" zoomScaleSheetLayoutView="100" workbookViewId="0">
      <selection activeCell="G77" sqref="G77"/>
    </sheetView>
  </sheetViews>
  <sheetFormatPr defaultRowHeight="15" x14ac:dyDescent="0.2"/>
  <cols>
    <col min="1" max="1" width="11.703125" bestFit="1" customWidth="1"/>
    <col min="2" max="2" width="22.46484375" style="11" customWidth="1"/>
    <col min="3" max="3" width="20.84765625" customWidth="1"/>
    <col min="4" max="4" width="20.84765625" style="3" customWidth="1"/>
    <col min="5" max="5" width="17.890625" customWidth="1"/>
    <col min="6" max="6" width="11.703125" bestFit="1" customWidth="1"/>
    <col min="7" max="7" width="18.96484375" style="10" customWidth="1"/>
    <col min="8" max="8" width="17.62109375" customWidth="1"/>
    <col min="9" max="9" width="16.94921875" customWidth="1"/>
    <col min="13" max="13" width="16.94921875" customWidth="1"/>
    <col min="14" max="14" width="22.46484375" customWidth="1"/>
    <col min="15" max="15" width="14.9296875" customWidth="1"/>
  </cols>
  <sheetData>
    <row r="2" spans="1:7" ht="21.75" x14ac:dyDescent="0.2">
      <c r="B2" s="32" t="s">
        <v>57</v>
      </c>
    </row>
    <row r="3" spans="1:7" ht="21" x14ac:dyDescent="0.3">
      <c r="A3" s="27"/>
      <c r="B3" s="28"/>
      <c r="C3" s="29"/>
      <c r="D3" s="29"/>
      <c r="G3"/>
    </row>
    <row r="4" spans="1:7" ht="39.75" x14ac:dyDescent="0.3">
      <c r="A4" s="30"/>
      <c r="B4" s="31"/>
      <c r="C4" s="36" t="s">
        <v>54</v>
      </c>
      <c r="D4" s="34" t="s">
        <v>43</v>
      </c>
      <c r="E4" s="35" t="s">
        <v>55</v>
      </c>
      <c r="G4"/>
    </row>
    <row r="5" spans="1:7" ht="21" x14ac:dyDescent="0.3">
      <c r="C5" s="36" t="e">
        <f>SUM(#REF!,Tableau426[[#Totals],[Total]],Tableau4727[[#Totals],[Total]],Tableau928[[#Totals],[Total]])</f>
        <v>#REF!</v>
      </c>
      <c r="D5" s="38">
        <f>Tableau1730[[#Totals],[Total]]</f>
        <v>0</v>
      </c>
      <c r="E5" s="35">
        <f>Tableau1329[[#Totals],[Total]]</f>
        <v>0</v>
      </c>
    </row>
    <row r="6" spans="1:7" ht="21" x14ac:dyDescent="0.3">
      <c r="C6" s="37" t="s">
        <v>25</v>
      </c>
      <c r="D6" s="35"/>
      <c r="E6" s="38" t="e">
        <f>SUM(Tableau2331[Coûts des materiaux],Tableau2331[Salaire],Tableau2331[Charge])</f>
        <v>#REF!</v>
      </c>
    </row>
    <row r="17" spans="2:17" ht="15.75" thickBot="1" x14ac:dyDescent="0.25">
      <c r="C17" s="12" t="s">
        <v>62</v>
      </c>
      <c r="D17" s="16"/>
      <c r="H17" s="12" t="s">
        <v>63</v>
      </c>
      <c r="N17" s="12" t="s">
        <v>64</v>
      </c>
    </row>
    <row r="18" spans="2:17" ht="15.75" thickTop="1" x14ac:dyDescent="0.2"/>
    <row r="20" spans="2:17" x14ac:dyDescent="0.2">
      <c r="B20" s="130" t="s">
        <v>0</v>
      </c>
      <c r="C20" s="130" t="s">
        <v>20</v>
      </c>
      <c r="D20" s="130" t="s">
        <v>27</v>
      </c>
      <c r="E20" s="130" t="s">
        <v>217</v>
      </c>
      <c r="F20" s="130" t="s">
        <v>25</v>
      </c>
      <c r="G20"/>
      <c r="H20" s="15" t="s">
        <v>26</v>
      </c>
      <c r="I20" t="s">
        <v>27</v>
      </c>
      <c r="J20" s="11" t="s">
        <v>32</v>
      </c>
      <c r="K20" t="s">
        <v>25</v>
      </c>
      <c r="N20" s="15" t="s">
        <v>26</v>
      </c>
      <c r="O20" t="s">
        <v>27</v>
      </c>
      <c r="P20" s="11" t="s">
        <v>32</v>
      </c>
      <c r="Q20" t="s">
        <v>25</v>
      </c>
    </row>
    <row r="21" spans="2:17" x14ac:dyDescent="0.2">
      <c r="B21" s="134" t="s">
        <v>2</v>
      </c>
      <c r="C21" s="131" t="s">
        <v>21</v>
      </c>
      <c r="D21" s="132"/>
      <c r="E21" s="132">
        <f>Matériaux!N18</f>
        <v>7.7880000000000005E-2</v>
      </c>
      <c r="F21" s="132">
        <f>Tableau7[[#This Row],[Quantité/g ou ml]]*Tableau7[[#This Row],[Prix TTC/g ou ml]]</f>
        <v>0</v>
      </c>
      <c r="G21"/>
      <c r="H21" s="17" t="s">
        <v>2</v>
      </c>
      <c r="I21">
        <v>0</v>
      </c>
      <c r="J21" s="18">
        <f>Matériaux!M18</f>
        <v>6.9000000000000006E-2</v>
      </c>
      <c r="K21" s="18">
        <f>Tableau426[[#This Row],[Prix TTC/ g et ml]]*Tableau426[[#This Row],[Quantité/g ou ml]]</f>
        <v>0</v>
      </c>
      <c r="N21" s="17" t="s">
        <v>2</v>
      </c>
      <c r="O21">
        <v>0</v>
      </c>
      <c r="P21" s="18">
        <f>Matériaux!M18</f>
        <v>6.9000000000000006E-2</v>
      </c>
      <c r="Q21" s="18">
        <f>Tableau4727[[#This Row],[Prix TTC/ g et ml]]*Tableau4727[[#This Row],[Quantité/g ou ml]]</f>
        <v>0</v>
      </c>
    </row>
    <row r="22" spans="2:17" ht="27.75" x14ac:dyDescent="0.2">
      <c r="B22" s="134" t="s">
        <v>3</v>
      </c>
      <c r="C22" s="131" t="s">
        <v>21</v>
      </c>
      <c r="D22" s="132"/>
      <c r="E22" s="132">
        <f>Matériaux!N19</f>
        <v>4.3380000000000002E-2</v>
      </c>
      <c r="F22" s="132">
        <f>Tableau7[[#This Row],[Quantité/g ou ml]]*Tableau7[[#This Row],[Prix TTC/g ou ml]]</f>
        <v>0</v>
      </c>
      <c r="G22"/>
      <c r="H22" s="17" t="s">
        <v>3</v>
      </c>
      <c r="I22">
        <v>0</v>
      </c>
      <c r="J22" s="18">
        <f>Matériaux!M19</f>
        <v>3.4500000000000003E-2</v>
      </c>
      <c r="K22" s="18">
        <f>Tableau426[[#This Row],[Prix TTC/ g et ml]]*Tableau426[[#This Row],[Quantité/g ou ml]]</f>
        <v>0</v>
      </c>
      <c r="N22" s="17" t="s">
        <v>3</v>
      </c>
      <c r="O22">
        <v>0</v>
      </c>
      <c r="P22" s="18">
        <f>Matériaux!M19</f>
        <v>3.4500000000000003E-2</v>
      </c>
      <c r="Q22" s="18">
        <f>Tableau4727[[#This Row],[Prix TTC/ g et ml]]*Tableau4727[[#This Row],[Quantité/g ou ml]]</f>
        <v>0</v>
      </c>
    </row>
    <row r="23" spans="2:17" x14ac:dyDescent="0.2">
      <c r="B23" s="134" t="s">
        <v>4</v>
      </c>
      <c r="C23" s="131" t="s">
        <v>21</v>
      </c>
      <c r="D23" s="132"/>
      <c r="E23" s="132">
        <f>Matériaux!N20</f>
        <v>4.0050000000000002E-2</v>
      </c>
      <c r="F23" s="132">
        <f>Tableau7[[#This Row],[Quantité/g ou ml]]*Tableau7[[#This Row],[Prix TTC/g ou ml]]</f>
        <v>0</v>
      </c>
      <c r="G23"/>
      <c r="H23" s="17" t="s">
        <v>4</v>
      </c>
      <c r="I23">
        <v>0</v>
      </c>
      <c r="J23" s="18">
        <f>Matériaux!M20</f>
        <v>3.4500000000000003E-2</v>
      </c>
      <c r="K23" s="18">
        <f>Tableau426[[#This Row],[Prix TTC/ g et ml]]*Tableau426[[#This Row],[Quantité/g ou ml]]</f>
        <v>0</v>
      </c>
      <c r="N23" s="17" t="s">
        <v>4</v>
      </c>
      <c r="O23">
        <v>0</v>
      </c>
      <c r="P23" s="18">
        <f>Matériaux!M20</f>
        <v>3.4500000000000003E-2</v>
      </c>
      <c r="Q23" s="18">
        <f>Tableau4727[[#This Row],[Prix TTC/ g et ml]]*Tableau4727[[#This Row],[Quantité/g ou ml]]</f>
        <v>0</v>
      </c>
    </row>
    <row r="24" spans="2:17" ht="27.75" x14ac:dyDescent="0.2">
      <c r="B24" s="134" t="s">
        <v>78</v>
      </c>
      <c r="C24" s="131"/>
      <c r="D24" s="132"/>
      <c r="E24" s="132">
        <v>0</v>
      </c>
      <c r="F24" s="132">
        <v>0</v>
      </c>
      <c r="G24"/>
      <c r="H24" s="17" t="s">
        <v>5</v>
      </c>
      <c r="I24">
        <v>0</v>
      </c>
      <c r="J24" s="18">
        <f>Matériaux!M23</f>
        <v>3.9100000000000003E-2</v>
      </c>
      <c r="K24" s="18">
        <f>Tableau426[[#This Row],[Prix TTC/ g et ml]]*Tableau426[[#This Row],[Quantité/g ou ml]]</f>
        <v>0</v>
      </c>
      <c r="N24" s="17" t="s">
        <v>5</v>
      </c>
      <c r="O24">
        <v>0</v>
      </c>
      <c r="P24" s="18">
        <f>Matériaux!M23</f>
        <v>3.9100000000000003E-2</v>
      </c>
      <c r="Q24" s="18">
        <f>Tableau4727[[#This Row],[Prix TTC/ g et ml]]*Tableau4727[[#This Row],[Quantité/g ou ml]]</f>
        <v>0</v>
      </c>
    </row>
    <row r="25" spans="2:17" x14ac:dyDescent="0.2">
      <c r="B25" s="134" t="s">
        <v>83</v>
      </c>
      <c r="C25" s="131" t="s">
        <v>21</v>
      </c>
      <c r="D25" s="132"/>
      <c r="E25" s="132">
        <f>Matériaux!N22</f>
        <v>6.4079999999999998E-2</v>
      </c>
      <c r="F25" s="132">
        <f>Tableau7[[#This Row],[Quantité/g ou ml]]*Tableau7[[#This Row],[Prix TTC/g ou ml]]</f>
        <v>0</v>
      </c>
      <c r="G25"/>
      <c r="H25" s="23" t="s">
        <v>6</v>
      </c>
      <c r="I25" s="21">
        <v>300</v>
      </c>
      <c r="J25" s="22">
        <f>Matériaux!M24</f>
        <v>2.06E-2</v>
      </c>
      <c r="K25" s="22">
        <f>Tableau426[[#This Row],[Prix TTC/ g et ml]]*Tableau426[[#This Row],[Quantité/g ou ml]]</f>
        <v>6.18</v>
      </c>
      <c r="N25" s="45" t="s">
        <v>6</v>
      </c>
      <c r="O25" s="43">
        <v>0</v>
      </c>
      <c r="P25" s="44">
        <f>Matériaux!M24</f>
        <v>2.06E-2</v>
      </c>
      <c r="Q25" s="44">
        <f>Tableau4727[[#This Row],[Prix TTC/ g et ml]]*Tableau4727[[#This Row],[Quantité/g ou ml]]</f>
        <v>0</v>
      </c>
    </row>
    <row r="26" spans="2:17" x14ac:dyDescent="0.2">
      <c r="B26" s="134" t="s">
        <v>5</v>
      </c>
      <c r="C26" s="131" t="s">
        <v>21</v>
      </c>
      <c r="D26" s="132"/>
      <c r="E26" s="132">
        <f>Matériaux!N23</f>
        <v>4.7980000000000002E-2</v>
      </c>
      <c r="F26" s="132">
        <f>Tableau7[[#This Row],[Quantité/g ou ml]]*Tableau7[[#This Row],[Prix TTC/g ou ml]]</f>
        <v>0</v>
      </c>
      <c r="G26"/>
      <c r="H26" s="17" t="s">
        <v>7</v>
      </c>
      <c r="I26">
        <v>0</v>
      </c>
      <c r="J26" s="18">
        <f>Matériaux!M25</f>
        <v>0.17499999999999999</v>
      </c>
      <c r="K26" s="18">
        <f>Tableau426[[#This Row],[Prix TTC/ g et ml]]*Tableau426[[#This Row],[Quantité/g ou ml]]</f>
        <v>0</v>
      </c>
      <c r="N26" s="17" t="s">
        <v>7</v>
      </c>
      <c r="O26">
        <v>0</v>
      </c>
      <c r="P26" s="18">
        <f>Matériaux!M25</f>
        <v>0.17499999999999999</v>
      </c>
      <c r="Q26" s="18">
        <f>Tableau4727[[#This Row],[Prix TTC/ g et ml]]*Tableau4727[[#This Row],[Quantité/g ou ml]]</f>
        <v>0</v>
      </c>
    </row>
    <row r="27" spans="2:17" x14ac:dyDescent="0.2">
      <c r="B27" s="134" t="s">
        <v>6</v>
      </c>
      <c r="C27" s="131" t="s">
        <v>168</v>
      </c>
      <c r="D27" s="132"/>
      <c r="E27" s="132">
        <f>Matériaux!N24</f>
        <v>0.50259999999999994</v>
      </c>
      <c r="F27" s="132">
        <f>Tableau7[[#This Row],[Quantité/g ou ml]]*Tableau7[[#This Row],[Prix TTC/g ou ml]]</f>
        <v>0</v>
      </c>
      <c r="G27"/>
      <c r="H27" s="17" t="s">
        <v>8</v>
      </c>
      <c r="I27">
        <v>0</v>
      </c>
      <c r="J27" s="18" t="e">
        <f>Matériaux!#REF!</f>
        <v>#REF!</v>
      </c>
      <c r="K27" s="18" t="e">
        <f>Tableau426[[#This Row],[Prix TTC/ g et ml]]*Tableau426[[#This Row],[Quantité/g ou ml]]</f>
        <v>#REF!</v>
      </c>
      <c r="N27" s="17" t="s">
        <v>8</v>
      </c>
      <c r="O27">
        <v>0</v>
      </c>
      <c r="P27" s="18" t="e">
        <f>Matériaux!#REF!</f>
        <v>#REF!</v>
      </c>
      <c r="Q27" s="18" t="e">
        <f>Tableau4727[[#This Row],[Prix TTC/ g et ml]]*Tableau4727[[#This Row],[Quantité/g ou ml]]</f>
        <v>#REF!</v>
      </c>
    </row>
    <row r="28" spans="2:17" x14ac:dyDescent="0.2">
      <c r="B28" s="134" t="s">
        <v>7</v>
      </c>
      <c r="C28" s="131" t="s">
        <v>168</v>
      </c>
      <c r="D28" s="132"/>
      <c r="E28" s="132">
        <f>Matériaux!N25</f>
        <v>0.41599999999999998</v>
      </c>
      <c r="F28" s="132">
        <f>Tableau7[[#This Row],[Quantité/g ou ml]]*Tableau7[[#This Row],[Prix TTC/g ou ml]]</f>
        <v>0</v>
      </c>
      <c r="G28"/>
      <c r="H28" s="17" t="s">
        <v>9</v>
      </c>
      <c r="I28">
        <v>0</v>
      </c>
      <c r="J28" s="18">
        <f ca="1">Matériaux!M28</f>
        <v>0</v>
      </c>
      <c r="K28" s="18">
        <f ca="1">Tableau426[[#This Row],[Prix TTC/ g et ml]]*Tableau426[[#This Row],[Quantité/g ou ml]]</f>
        <v>0</v>
      </c>
      <c r="N28" s="17" t="s">
        <v>9</v>
      </c>
      <c r="O28">
        <v>0</v>
      </c>
      <c r="P28" s="18">
        <f ca="1">Matériaux!M28</f>
        <v>0</v>
      </c>
      <c r="Q28" s="18">
        <f ca="1">Tableau4727[[#This Row],[Prix TTC/ g et ml]]*Tableau4727[[#This Row],[Quantité/g ou ml]]</f>
        <v>0</v>
      </c>
    </row>
    <row r="29" spans="2:17" x14ac:dyDescent="0.2">
      <c r="B29" s="134" t="s">
        <v>11</v>
      </c>
      <c r="C29" s="131"/>
      <c r="D29" s="132"/>
      <c r="E29" s="132">
        <f ca="1">Matériaux!N26</f>
        <v>0</v>
      </c>
      <c r="F29" s="132">
        <f ca="1">Tableau7[[#This Row],[Quantité/g ou ml]]*Tableau7[[#This Row],[Prix TTC/g ou ml]]</f>
        <v>0</v>
      </c>
      <c r="G29"/>
      <c r="H29" s="17" t="s">
        <v>10</v>
      </c>
      <c r="I29">
        <v>0</v>
      </c>
      <c r="J29" s="18">
        <f>Matériaux!M45</f>
        <v>0.27500000000000002</v>
      </c>
      <c r="K29" s="18">
        <f>Tableau426[[#This Row],[Prix TTC/ g et ml]]*Tableau426[[#This Row],[Quantité/g ou ml]]</f>
        <v>0</v>
      </c>
      <c r="N29" s="17" t="s">
        <v>10</v>
      </c>
      <c r="O29">
        <v>0</v>
      </c>
      <c r="P29" s="18">
        <f>Matériaux!M45</f>
        <v>0.27500000000000002</v>
      </c>
      <c r="Q29" s="18">
        <f>Tableau4727[[#This Row],[Prix TTC/ g et ml]]*Tableau4727[[#This Row],[Quantité/g ou ml]]</f>
        <v>0</v>
      </c>
    </row>
    <row r="30" spans="2:17" ht="27.75" x14ac:dyDescent="0.2">
      <c r="B30" s="134" t="s">
        <v>36</v>
      </c>
      <c r="C30" s="131"/>
      <c r="D30" s="132"/>
      <c r="E30" s="132">
        <v>0</v>
      </c>
      <c r="F30" s="132">
        <v>0</v>
      </c>
      <c r="G30"/>
      <c r="H30" s="17" t="s">
        <v>11</v>
      </c>
      <c r="I30">
        <v>0</v>
      </c>
      <c r="J30" s="18">
        <f ca="1">Matériaux!M26</f>
        <v>0</v>
      </c>
      <c r="K30" s="18">
        <f ca="1">Tableau426[[#This Row],[Prix TTC/ g et ml]]*Tableau426[[#This Row],[Quantité/g ou ml]]</f>
        <v>0</v>
      </c>
      <c r="N30" s="23" t="s">
        <v>11</v>
      </c>
      <c r="O30" s="21">
        <v>50</v>
      </c>
      <c r="P30" s="22">
        <f ca="1">Matériaux!M26</f>
        <v>0</v>
      </c>
      <c r="Q30" s="22">
        <f ca="1">Tableau4727[[#This Row],[Prix TTC/ g et ml]]*Tableau4727[[#This Row],[Quantité/g ou ml]]</f>
        <v>0</v>
      </c>
    </row>
    <row r="31" spans="2:17" x14ac:dyDescent="0.2">
      <c r="B31" s="134" t="s">
        <v>9</v>
      </c>
      <c r="C31" s="131"/>
      <c r="D31" s="132"/>
      <c r="E31" s="132">
        <f ca="1">Matériaux!N28</f>
        <v>0</v>
      </c>
      <c r="F31" s="132">
        <f ca="1">Tableau7[[#This Row],[Quantité/g ou ml]]*Tableau7[[#This Row],[Prix TTC/g ou ml]]</f>
        <v>0</v>
      </c>
      <c r="G31"/>
      <c r="H31" s="45" t="s">
        <v>12</v>
      </c>
      <c r="I31" s="43">
        <v>0</v>
      </c>
      <c r="J31" s="44">
        <f>Matériaux!M29</f>
        <v>0</v>
      </c>
      <c r="K31" s="44">
        <f>Tableau426[[#This Row],[Prix TTC/ g et ml]]*Tableau426[[#This Row],[Quantité/g ou ml]]</f>
        <v>0</v>
      </c>
      <c r="N31" s="45" t="s">
        <v>12</v>
      </c>
      <c r="O31" s="43">
        <v>0.2</v>
      </c>
      <c r="P31" s="44">
        <f>Matériaux!M29</f>
        <v>0</v>
      </c>
      <c r="Q31" s="44">
        <f>Tableau4727[[#This Row],[Prix TTC/ g et ml]]*Tableau4727[[#This Row],[Quantité/g ou ml]]</f>
        <v>0</v>
      </c>
    </row>
    <row r="32" spans="2:17" x14ac:dyDescent="0.2">
      <c r="B32" s="134" t="s">
        <v>14</v>
      </c>
      <c r="C32" s="131" t="s">
        <v>23</v>
      </c>
      <c r="D32" s="132"/>
      <c r="E32" s="132">
        <v>0</v>
      </c>
      <c r="F32" s="132">
        <v>0</v>
      </c>
      <c r="G32"/>
      <c r="H32" s="17" t="s">
        <v>13</v>
      </c>
      <c r="I32">
        <v>0</v>
      </c>
      <c r="J32" s="18">
        <f>Matériaux!M30</f>
        <v>1.8</v>
      </c>
      <c r="K32" s="18">
        <f>Tableau426[[#This Row],[Prix TTC/ g et ml]]*Tableau426[[#This Row],[Quantité/g ou ml]]</f>
        <v>0</v>
      </c>
      <c r="N32" s="17" t="s">
        <v>13</v>
      </c>
      <c r="O32">
        <v>0</v>
      </c>
      <c r="P32" s="18">
        <f>Matériaux!M30</f>
        <v>1.8</v>
      </c>
      <c r="Q32" s="18">
        <f>Tableau4727[[#This Row],[Prix TTC/ g et ml]]*Tableau4727[[#This Row],[Quantité/g ou ml]]</f>
        <v>0</v>
      </c>
    </row>
    <row r="33" spans="2:17" x14ac:dyDescent="0.2">
      <c r="B33" s="134" t="s">
        <v>16</v>
      </c>
      <c r="C33" s="131" t="s">
        <v>173</v>
      </c>
      <c r="D33" s="132"/>
      <c r="E33" s="132">
        <f>Matériaux!N30</f>
        <v>1.8</v>
      </c>
      <c r="F33" s="132">
        <f>Tableau7[[#This Row],[Quantité/g ou ml]]*Tableau7[[#This Row],[Prix TTC/g ou ml]]</f>
        <v>0</v>
      </c>
      <c r="G33"/>
      <c r="H33" s="17" t="s">
        <v>14</v>
      </c>
      <c r="I33">
        <v>0</v>
      </c>
      <c r="J33" s="18">
        <f>Matériaux!M31</f>
        <v>1.8</v>
      </c>
      <c r="K33" s="18">
        <f>Tableau426[[#This Row],[Prix TTC/ g et ml]]*Tableau426[[#This Row],[Quantité/g ou ml]]</f>
        <v>0</v>
      </c>
      <c r="N33" s="17" t="s">
        <v>14</v>
      </c>
      <c r="O33">
        <v>0</v>
      </c>
      <c r="P33" s="18">
        <f>Matériaux!M31</f>
        <v>1.8</v>
      </c>
      <c r="Q33" s="18">
        <f>Tableau4727[[#This Row],[Prix TTC/ g et ml]]*Tableau4727[[#This Row],[Quantité/g ou ml]]</f>
        <v>0</v>
      </c>
    </row>
    <row r="34" spans="2:17" x14ac:dyDescent="0.2">
      <c r="B34" s="134" t="s">
        <v>17</v>
      </c>
      <c r="C34" s="131" t="s">
        <v>173</v>
      </c>
      <c r="D34" s="132"/>
      <c r="E34" s="132">
        <f>Matériaux!N31</f>
        <v>1.8</v>
      </c>
      <c r="F34" s="132">
        <f>Tableau7[[#This Row],[Quantité/g ou ml]]*Tableau7[[#This Row],[Prix TTC/g ou ml]]</f>
        <v>0</v>
      </c>
      <c r="G34"/>
      <c r="H34" s="41" t="s">
        <v>15</v>
      </c>
      <c r="I34" s="39">
        <v>0</v>
      </c>
      <c r="J34" s="40">
        <f>Matériaux!M32</f>
        <v>1.8</v>
      </c>
      <c r="K34" s="40">
        <f>Tableau426[[#This Row],[Prix TTC/ g et ml]]*Tableau426[[#This Row],[Quantité/g ou ml]]</f>
        <v>0</v>
      </c>
      <c r="N34" s="41" t="s">
        <v>15</v>
      </c>
      <c r="O34" s="39">
        <v>0</v>
      </c>
      <c r="P34" s="40">
        <f>Matériaux!M32</f>
        <v>1.8</v>
      </c>
      <c r="Q34" s="40">
        <f>Tableau4727[[#This Row],[Prix TTC/ g et ml]]*Tableau4727[[#This Row],[Quantité/g ou ml]]</f>
        <v>0</v>
      </c>
    </row>
    <row r="35" spans="2:17" x14ac:dyDescent="0.2">
      <c r="B35" s="134" t="s">
        <v>174</v>
      </c>
      <c r="C35" s="131" t="s">
        <v>173</v>
      </c>
      <c r="D35" s="132"/>
      <c r="E35" s="132">
        <f>Matériaux!N32</f>
        <v>1.8</v>
      </c>
      <c r="F35" s="132">
        <f>Tableau7[[#This Row],[Quantité/g ou ml]]*Tableau7[[#This Row],[Prix TTC/g ou ml]]</f>
        <v>0</v>
      </c>
      <c r="G35"/>
      <c r="H35" s="17" t="s">
        <v>16</v>
      </c>
      <c r="I35">
        <v>0</v>
      </c>
      <c r="J35" s="18">
        <f>Matériaux!M34</f>
        <v>1.8</v>
      </c>
      <c r="K35" s="18">
        <f>Tableau426[[#This Row],[Prix TTC/ g et ml]]*Tableau426[[#This Row],[Quantité/g ou ml]]</f>
        <v>0</v>
      </c>
      <c r="N35" s="17" t="s">
        <v>16</v>
      </c>
      <c r="O35">
        <v>0</v>
      </c>
      <c r="P35" s="18">
        <f>Matériaux!M34</f>
        <v>1.8</v>
      </c>
      <c r="Q35" s="18">
        <f>Tableau4727[[#This Row],[Prix TTC/ g et ml]]*Tableau4727[[#This Row],[Quantité/g ou ml]]</f>
        <v>0</v>
      </c>
    </row>
    <row r="36" spans="2:17" x14ac:dyDescent="0.2">
      <c r="B36" s="134" t="s">
        <v>175</v>
      </c>
      <c r="C36" s="131" t="s">
        <v>173</v>
      </c>
      <c r="D36" s="132"/>
      <c r="E36" s="132">
        <f>Matériaux!N33</f>
        <v>1.8</v>
      </c>
      <c r="F36" s="132">
        <f>Tableau7[[#This Row],[Quantité/g ou ml]]*Tableau7[[#This Row],[Prix TTC/g ou ml]]</f>
        <v>0</v>
      </c>
      <c r="G36"/>
      <c r="H36" s="17" t="s">
        <v>17</v>
      </c>
      <c r="I36">
        <v>0</v>
      </c>
      <c r="J36" s="18">
        <f>Matériaux!M35</f>
        <v>1.8</v>
      </c>
      <c r="K36" s="18">
        <f>Tableau426[[#This Row],[Prix TTC/ g et ml]]*Tableau426[[#This Row],[Quantité/g ou ml]]</f>
        <v>0</v>
      </c>
      <c r="N36" s="17" t="s">
        <v>17</v>
      </c>
      <c r="O36">
        <v>3</v>
      </c>
      <c r="P36" s="18">
        <f>Matériaux!M35</f>
        <v>1.8</v>
      </c>
      <c r="Q36" s="18">
        <f>Tableau4727[[#This Row],[Prix TTC/ g et ml]]*Tableau4727[[#This Row],[Quantité/g ou ml]]</f>
        <v>5.4</v>
      </c>
    </row>
    <row r="37" spans="2:17" x14ac:dyDescent="0.2">
      <c r="B37" s="134" t="s">
        <v>15</v>
      </c>
      <c r="C37" s="131" t="s">
        <v>173</v>
      </c>
      <c r="D37" s="132"/>
      <c r="E37" s="132">
        <f>Matériaux!N34</f>
        <v>1.8</v>
      </c>
      <c r="F37" s="132">
        <f>Tableau7[[#This Row],[Quantité/g ou ml]]*Tableau7[[#This Row],[Prix TTC/g ou ml]]</f>
        <v>0</v>
      </c>
      <c r="G37"/>
      <c r="H37" s="45" t="s">
        <v>18</v>
      </c>
      <c r="I37" s="43">
        <v>0</v>
      </c>
      <c r="J37" s="44" t="e">
        <f>Matériaux!#REF!</f>
        <v>#REF!</v>
      </c>
      <c r="K37" s="44" t="e">
        <f>Tableau426[[#This Row],[Prix TTC/ g et ml]]*Tableau426[[#This Row],[Quantité/g ou ml]]</f>
        <v>#REF!</v>
      </c>
      <c r="N37" s="23" t="s">
        <v>18</v>
      </c>
      <c r="O37" s="21">
        <v>0</v>
      </c>
      <c r="P37" s="22" t="e">
        <f>Matériaux!#REF!</f>
        <v>#REF!</v>
      </c>
      <c r="Q37" s="22" t="e">
        <f>Tableau4727[[#This Row],[Prix TTC/ g et ml]]*Tableau4727[[#This Row],[Quantité/g ou ml]]</f>
        <v>#REF!</v>
      </c>
    </row>
    <row r="38" spans="2:17" x14ac:dyDescent="0.2">
      <c r="B38" s="134" t="s">
        <v>17</v>
      </c>
      <c r="C38" s="131" t="s">
        <v>173</v>
      </c>
      <c r="D38" s="132"/>
      <c r="E38" s="132">
        <f>Matériaux!N35</f>
        <v>1.8</v>
      </c>
      <c r="F38" s="132">
        <f>Tableau7[[#This Row],[Quantité/g ou ml]]*Tableau7[[#This Row],[Prix TTC/g ou ml]]</f>
        <v>0</v>
      </c>
      <c r="G38"/>
      <c r="H38" s="23" t="s">
        <v>30</v>
      </c>
      <c r="I38" s="21">
        <v>600</v>
      </c>
      <c r="J38" s="22">
        <f>Matériaux!M66</f>
        <v>8.9999999999999993E-3</v>
      </c>
      <c r="K38" s="22">
        <f>Tableau426[[#This Row],[Prix TTC/ g et ml]]*Tableau426[[#This Row],[Quantité/g ou ml]]</f>
        <v>5.3999999999999995</v>
      </c>
      <c r="N38" s="23" t="s">
        <v>30</v>
      </c>
      <c r="O38" s="21">
        <v>25</v>
      </c>
      <c r="P38" s="22">
        <f>Matériaux!M66</f>
        <v>8.9999999999999993E-3</v>
      </c>
      <c r="Q38" s="22">
        <f>Tableau4727[[#This Row],[Prix TTC/ g et ml]]*Tableau4727[[#This Row],[Quantité/g ou ml]]</f>
        <v>0.22499999999999998</v>
      </c>
    </row>
    <row r="39" spans="2:17" ht="27.75" x14ac:dyDescent="0.2">
      <c r="B39" s="134" t="s">
        <v>15</v>
      </c>
      <c r="C39" s="131" t="s">
        <v>23</v>
      </c>
      <c r="D39" s="132"/>
      <c r="E39" s="132">
        <f>Matériaux!N36</f>
        <v>3.0999999999999996</v>
      </c>
      <c r="F39" s="132">
        <f>Tableau7[[#This Row],[Quantité/g ou ml]]*Tableau7[[#This Row],[Prix TTC/g ou ml]]</f>
        <v>0</v>
      </c>
      <c r="G39"/>
      <c r="H39" s="45" t="s">
        <v>19</v>
      </c>
      <c r="I39" s="43">
        <v>0</v>
      </c>
      <c r="J39" s="44">
        <f ca="1">Matériaux!M67</f>
        <v>0</v>
      </c>
      <c r="K39" s="44">
        <f ca="1">Tableau426[[#This Row],[Prix TTC/ g et ml]]*Tableau426[[#This Row],[Quantité/g ou ml]]</f>
        <v>0</v>
      </c>
      <c r="N39" s="23" t="s">
        <v>19</v>
      </c>
      <c r="O39" s="21">
        <v>0</v>
      </c>
      <c r="P39" s="22">
        <f ca="1">Matériaux!M67</f>
        <v>0</v>
      </c>
      <c r="Q39" s="22">
        <f ca="1">Tableau4727[[#This Row],[Prix TTC/ g et ml]]*Tableau4727[[#This Row],[Quantité/g ou ml]]</f>
        <v>0</v>
      </c>
    </row>
    <row r="40" spans="2:17" x14ac:dyDescent="0.2">
      <c r="B40" s="134" t="s">
        <v>15</v>
      </c>
      <c r="C40" s="131" t="s">
        <v>24</v>
      </c>
      <c r="D40" s="132"/>
      <c r="E40" s="132">
        <f>Matériaux!N37</f>
        <v>15.8</v>
      </c>
      <c r="F40" s="132">
        <f>Tableau7[[#This Row],[Quantité/g ou ml]]*Tableau7[[#This Row],[Prix TTC/g ou ml]]</f>
        <v>0</v>
      </c>
      <c r="G40"/>
      <c r="H40" s="41" t="s">
        <v>37</v>
      </c>
      <c r="I40" s="39"/>
      <c r="J40" s="40" t="e">
        <f>Matériaux!M27</f>
        <v>#DIV/0!</v>
      </c>
      <c r="K40" s="40" t="e">
        <f>Tableau426[[#This Row],[Prix TTC/ g et ml]]*Tableau426[[#This Row],[Quantité/g ou ml]]</f>
        <v>#DIV/0!</v>
      </c>
      <c r="N40" s="23" t="s">
        <v>37</v>
      </c>
      <c r="O40" s="21"/>
      <c r="P40" s="22" t="e">
        <f>Matériaux!M27</f>
        <v>#DIV/0!</v>
      </c>
      <c r="Q40" s="22" t="e">
        <f>Tableau4727[[#This Row],[Prix TTC/ g et ml]]*Tableau4727[[#This Row],[Quantité/g ou ml]]</f>
        <v>#DIV/0!</v>
      </c>
    </row>
    <row r="41" spans="2:17" x14ac:dyDescent="0.2">
      <c r="B41" s="134" t="s">
        <v>17</v>
      </c>
      <c r="C41" s="131" t="s">
        <v>24</v>
      </c>
      <c r="D41" s="132"/>
      <c r="E41" s="132">
        <f>Matériaux!N38</f>
        <v>19.133333333333333</v>
      </c>
      <c r="F41" s="132">
        <f>Tableau7[[#This Row],[Quantité/g ou ml]]*Tableau7[[#This Row],[Prix TTC/g ou ml]]</f>
        <v>0</v>
      </c>
      <c r="G41"/>
      <c r="H41" s="2" t="s">
        <v>60</v>
      </c>
      <c r="J41" s="18">
        <f>Matériaux!P57</f>
        <v>0</v>
      </c>
      <c r="K41" s="18">
        <f>Tableau426[[#This Row],[Prix TTC/ g et ml]]*Tableau426[[#This Row],[Quantité/g ou ml]]</f>
        <v>0</v>
      </c>
      <c r="N41" s="2" t="s">
        <v>60</v>
      </c>
      <c r="P41" s="18" t="e">
        <f>Matériaux!M68</f>
        <v>#DIV/0!</v>
      </c>
      <c r="Q41" s="18" t="e">
        <f>Tableau4727[[#This Row],[Prix TTC/ g et ml]]*Tableau4727[[#This Row],[Quantité/g ou ml]]</f>
        <v>#DIV/0!</v>
      </c>
    </row>
    <row r="42" spans="2:17" x14ac:dyDescent="0.2">
      <c r="B42" s="134" t="s">
        <v>175</v>
      </c>
      <c r="C42" s="131" t="s">
        <v>24</v>
      </c>
      <c r="D42" s="132"/>
      <c r="E42" s="132">
        <f>Matériaux!N39</f>
        <v>20.799999999999997</v>
      </c>
      <c r="F42" s="132">
        <f>Tableau7[[#This Row],[Quantité/g ou ml]]*Tableau7[[#This Row],[Prix TTC/g ou ml]]</f>
        <v>0</v>
      </c>
      <c r="G42"/>
      <c r="H42" s="2" t="s">
        <v>61</v>
      </c>
      <c r="J42" s="18">
        <f>Matériaux!P57</f>
        <v>0</v>
      </c>
      <c r="K42" s="18">
        <f>Tableau426[[#This Row],[Prix TTC/ g et ml]]*Tableau426[[#This Row],[Quantité/g ou ml]]</f>
        <v>0</v>
      </c>
      <c r="N42" s="2" t="s">
        <v>61</v>
      </c>
      <c r="P42" s="18" t="e">
        <f>Matériaux!M69</f>
        <v>#DIV/0!</v>
      </c>
      <c r="Q42" s="18" t="e">
        <f>Tableau4727[[#This Row],[Prix TTC/ g et ml]]*Tableau4727[[#This Row],[Quantité/g ou ml]]</f>
        <v>#DIV/0!</v>
      </c>
    </row>
    <row r="43" spans="2:17" x14ac:dyDescent="0.2">
      <c r="B43" s="134" t="s">
        <v>188</v>
      </c>
      <c r="C43" s="131" t="s">
        <v>24</v>
      </c>
      <c r="D43" s="132"/>
      <c r="E43" s="132">
        <f>Matériaux!N40</f>
        <v>22.466666666666669</v>
      </c>
      <c r="F43" s="132">
        <f>Tableau7[[#This Row],[Quantité/g ou ml]]*Tableau7[[#This Row],[Prix TTC/g ou ml]]</f>
        <v>0</v>
      </c>
      <c r="G43"/>
      <c r="H43" s="14" t="s">
        <v>25</v>
      </c>
      <c r="K43" s="13" t="e">
        <f>SUBTOTAL(109,Tableau426[Total])</f>
        <v>#REF!</v>
      </c>
      <c r="N43" s="14" t="s">
        <v>25</v>
      </c>
      <c r="Q43" s="13" t="e">
        <f>SUBTOTAL(109,Tableau4727[Total])</f>
        <v>#REF!</v>
      </c>
    </row>
    <row r="44" spans="2:17" x14ac:dyDescent="0.2">
      <c r="B44" s="134" t="s">
        <v>174</v>
      </c>
      <c r="C44" s="131" t="s">
        <v>24</v>
      </c>
      <c r="D44" s="132"/>
      <c r="E44" s="132">
        <f>Matériaux!N41</f>
        <v>27.466666666666665</v>
      </c>
      <c r="F44" s="132">
        <f>Tableau7[[#This Row],[Quantité/g ou ml]]*Tableau7[[#This Row],[Prix TTC/g ou ml]]</f>
        <v>0</v>
      </c>
      <c r="G44"/>
      <c r="H44" s="10"/>
    </row>
    <row r="45" spans="2:17" x14ac:dyDescent="0.2">
      <c r="B45" s="134" t="s">
        <v>188</v>
      </c>
      <c r="C45" s="131" t="s">
        <v>22</v>
      </c>
      <c r="D45" s="132"/>
      <c r="E45" s="132">
        <f>Matériaux!N42</f>
        <v>20</v>
      </c>
      <c r="F45" s="132">
        <f>Tableau7[[#This Row],[Quantité/g ou ml]]*Tableau7[[#This Row],[Prix TTC/g ou ml]]</f>
        <v>0</v>
      </c>
      <c r="G45"/>
      <c r="H45" s="10"/>
    </row>
    <row r="46" spans="2:17" x14ac:dyDescent="0.2">
      <c r="B46" s="134" t="s">
        <v>13</v>
      </c>
      <c r="C46" s="131" t="s">
        <v>22</v>
      </c>
      <c r="D46" s="132"/>
      <c r="E46" s="132">
        <f>Matériaux!N43</f>
        <v>22.5</v>
      </c>
      <c r="F46" s="132">
        <f>Tableau7[[#This Row],[Quantité/g ou ml]]*Tableau7[[#This Row],[Prix TTC/g ou ml]]</f>
        <v>0</v>
      </c>
      <c r="G46"/>
      <c r="H46" s="10"/>
    </row>
    <row r="47" spans="2:17" x14ac:dyDescent="0.2">
      <c r="B47" s="134" t="s">
        <v>12</v>
      </c>
      <c r="C47" s="131" t="s">
        <v>24</v>
      </c>
      <c r="D47" s="132"/>
      <c r="E47" s="132">
        <v>0</v>
      </c>
      <c r="F47" s="132">
        <v>0</v>
      </c>
      <c r="G47"/>
      <c r="H47" s="10"/>
    </row>
    <row r="48" spans="2:17" x14ac:dyDescent="0.2">
      <c r="B48" s="134" t="s">
        <v>10</v>
      </c>
      <c r="C48" s="131" t="s">
        <v>131</v>
      </c>
      <c r="D48" s="132"/>
      <c r="E48" s="132">
        <f>Matériaux!N45</f>
        <v>0.27500000000000002</v>
      </c>
      <c r="F48" s="132">
        <f>Tableau7[[#This Row],[Quantité/g ou ml]]*Tableau7[[#This Row],[Prix TTC/g ou ml]]</f>
        <v>0</v>
      </c>
      <c r="G48"/>
      <c r="H48" s="10"/>
    </row>
    <row r="49" spans="2:10" x14ac:dyDescent="0.2">
      <c r="B49" s="134" t="s">
        <v>79</v>
      </c>
      <c r="C49" s="131" t="s">
        <v>24</v>
      </c>
      <c r="D49" s="132"/>
      <c r="E49" s="132">
        <f>Matériaux!N46</f>
        <v>2.5</v>
      </c>
      <c r="F49" s="132">
        <f>Tableau7[[#This Row],[Quantité/g ou ml]]*Tableau7[[#This Row],[Prix TTC/g ou ml]]</f>
        <v>0</v>
      </c>
      <c r="G49"/>
      <c r="H49" s="10"/>
    </row>
    <row r="50" spans="2:10" x14ac:dyDescent="0.2">
      <c r="B50" s="134" t="s">
        <v>178</v>
      </c>
      <c r="C50" s="131" t="s">
        <v>177</v>
      </c>
      <c r="D50" s="132"/>
      <c r="E50" s="132">
        <f>Matériaux!N47</f>
        <v>4.51</v>
      </c>
      <c r="F50" s="132">
        <f>Tableau7[[#This Row],[Quantité/g ou ml]]*Tableau7[[#This Row],[Prix TTC/g ou ml]]</f>
        <v>0</v>
      </c>
      <c r="G50"/>
      <c r="H50" s="10"/>
    </row>
    <row r="51" spans="2:10" x14ac:dyDescent="0.2">
      <c r="B51" s="134" t="s">
        <v>80</v>
      </c>
      <c r="C51" s="131" t="s">
        <v>177</v>
      </c>
      <c r="D51" s="132"/>
      <c r="E51" s="132">
        <f>Matériaux!N48</f>
        <v>1.9608695652173913</v>
      </c>
      <c r="F51" s="132">
        <f>Tableau7[[#This Row],[Quantité/g ou ml]]*Tableau7[[#This Row],[Prix TTC/g ou ml]]</f>
        <v>0</v>
      </c>
      <c r="G51"/>
      <c r="H51" s="10"/>
    </row>
    <row r="52" spans="2:10" x14ac:dyDescent="0.2">
      <c r="B52" s="134" t="s">
        <v>80</v>
      </c>
      <c r="C52" s="131"/>
      <c r="D52" s="132"/>
      <c r="E52" s="132">
        <v>0</v>
      </c>
      <c r="F52" s="132">
        <v>0</v>
      </c>
      <c r="G52"/>
      <c r="H52" s="10"/>
    </row>
    <row r="53" spans="2:10" x14ac:dyDescent="0.2">
      <c r="B53" s="134" t="s">
        <v>182</v>
      </c>
      <c r="C53" s="131" t="s">
        <v>23</v>
      </c>
      <c r="D53" s="132"/>
      <c r="E53" s="132">
        <f>Matériaux!N50</f>
        <v>1.35</v>
      </c>
      <c r="F53" s="132">
        <f>Tableau7[[#This Row],[Quantité/g ou ml]]*Tableau7[[#This Row],[Prix TTC/g ou ml]]</f>
        <v>0</v>
      </c>
      <c r="G53"/>
      <c r="H53" s="10"/>
    </row>
    <row r="54" spans="2:10" x14ac:dyDescent="0.2">
      <c r="B54" s="134" t="s">
        <v>183</v>
      </c>
      <c r="C54" s="131" t="s">
        <v>23</v>
      </c>
      <c r="D54" s="132"/>
      <c r="E54" s="132">
        <f>Matériaux!N51</f>
        <v>4.7</v>
      </c>
      <c r="F54" s="132">
        <f>Tableau7[[#This Row],[Quantité/g ou ml]]*Tableau7[[#This Row],[Prix TTC/g ou ml]]</f>
        <v>0</v>
      </c>
      <c r="G54"/>
      <c r="H54" s="10"/>
    </row>
    <row r="55" spans="2:10" x14ac:dyDescent="0.2">
      <c r="B55" s="134" t="s">
        <v>183</v>
      </c>
      <c r="C55" s="131" t="s">
        <v>24</v>
      </c>
      <c r="D55" s="132"/>
      <c r="E55" s="132">
        <f>Matériaux!N52</f>
        <v>7.0666666666666664</v>
      </c>
      <c r="F55" s="132">
        <f>Tableau7[[#This Row],[Quantité/g ou ml]]*Tableau7[[#This Row],[Prix TTC/g ou ml]]</f>
        <v>0</v>
      </c>
      <c r="G55"/>
      <c r="H55" s="10"/>
    </row>
    <row r="56" spans="2:10" x14ac:dyDescent="0.2">
      <c r="B56" s="134" t="s">
        <v>184</v>
      </c>
      <c r="C56" s="131" t="s">
        <v>23</v>
      </c>
      <c r="D56" s="132"/>
      <c r="E56" s="132">
        <f>Matériaux!N53</f>
        <v>2.35</v>
      </c>
      <c r="F56" s="132">
        <f>Tableau7[[#This Row],[Quantité/g ou ml]]*Tableau7[[#This Row],[Prix TTC/g ou ml]]</f>
        <v>0</v>
      </c>
      <c r="G56"/>
      <c r="J56" s="10"/>
    </row>
    <row r="57" spans="2:10" x14ac:dyDescent="0.2">
      <c r="B57" s="134" t="s">
        <v>194</v>
      </c>
      <c r="C57" s="131" t="s">
        <v>196</v>
      </c>
      <c r="D57" s="132"/>
      <c r="E57" s="132">
        <f>Matériaux!N54</f>
        <v>1.7</v>
      </c>
      <c r="F57" s="132">
        <f>Tableau7[[#This Row],[Quantité/g ou ml]]*Tableau7[[#This Row],[Prix TTC/g ou ml]]</f>
        <v>0</v>
      </c>
      <c r="G57"/>
      <c r="J57" s="10"/>
    </row>
    <row r="58" spans="2:10" x14ac:dyDescent="0.2">
      <c r="B58" s="134" t="s">
        <v>194</v>
      </c>
      <c r="C58" s="131" t="s">
        <v>24</v>
      </c>
      <c r="D58" s="132"/>
      <c r="E58" s="132">
        <f>Matériaux!N55</f>
        <v>7.0666666666666664</v>
      </c>
      <c r="F58" s="132">
        <f>Tableau7[[#This Row],[Quantité/g ou ml]]*Tableau7[[#This Row],[Prix TTC/g ou ml]]</f>
        <v>0</v>
      </c>
      <c r="G58"/>
      <c r="J58" s="10"/>
    </row>
    <row r="59" spans="2:10" x14ac:dyDescent="0.2">
      <c r="B59" s="134" t="s">
        <v>199</v>
      </c>
      <c r="C59" s="131" t="s">
        <v>24</v>
      </c>
      <c r="D59" s="132"/>
      <c r="E59" s="132">
        <f>Matériaux!N56</f>
        <v>7.0666666666666664</v>
      </c>
      <c r="F59" s="132">
        <f>Tableau7[[#This Row],[Quantité/g ou ml]]*Tableau7[[#This Row],[Prix TTC/g ou ml]]</f>
        <v>0</v>
      </c>
      <c r="G59"/>
      <c r="J59" s="10"/>
    </row>
    <row r="60" spans="2:10" x14ac:dyDescent="0.2">
      <c r="B60" s="134" t="s">
        <v>200</v>
      </c>
      <c r="C60" s="131" t="s">
        <v>24</v>
      </c>
      <c r="D60" s="132"/>
      <c r="E60" s="132">
        <f>Matériaux!N57</f>
        <v>7.0666666666666664</v>
      </c>
      <c r="F60" s="132">
        <f>Tableau7[[#This Row],[Quantité/g ou ml]]*Tableau7[[#This Row],[Prix TTC/g ou ml]]</f>
        <v>0</v>
      </c>
      <c r="G60"/>
      <c r="J60" s="10"/>
    </row>
    <row r="61" spans="2:10" x14ac:dyDescent="0.2">
      <c r="B61" s="134" t="s">
        <v>204</v>
      </c>
      <c r="C61" s="131" t="s">
        <v>177</v>
      </c>
      <c r="D61" s="132"/>
      <c r="E61" s="132">
        <f>Matériaux!N58</f>
        <v>4.51</v>
      </c>
      <c r="F61" s="132">
        <f>Tableau7[[#This Row],[Quantité/g ou ml]]*Tableau7[[#This Row],[Prix TTC/g ou ml]]</f>
        <v>0</v>
      </c>
      <c r="G61"/>
      <c r="H61" s="10"/>
    </row>
    <row r="62" spans="2:10" x14ac:dyDescent="0.2">
      <c r="B62" s="134" t="s">
        <v>205</v>
      </c>
      <c r="C62" s="131" t="s">
        <v>177</v>
      </c>
      <c r="D62" s="132"/>
      <c r="E62" s="132">
        <f>Matériaux!N59</f>
        <v>4.51</v>
      </c>
      <c r="F62" s="132">
        <f>Tableau7[[#This Row],[Quantité/g ou ml]]*Tableau7[[#This Row],[Prix TTC/g ou ml]]</f>
        <v>0</v>
      </c>
      <c r="G62"/>
      <c r="H62" s="10"/>
    </row>
    <row r="63" spans="2:10" x14ac:dyDescent="0.2">
      <c r="B63" s="134" t="s">
        <v>216</v>
      </c>
      <c r="C63" s="131"/>
      <c r="D63" s="132"/>
      <c r="E63" s="132">
        <v>0</v>
      </c>
      <c r="F63" s="132">
        <v>0</v>
      </c>
      <c r="G63"/>
      <c r="H63" s="10"/>
    </row>
    <row r="64" spans="2:10" x14ac:dyDescent="0.2">
      <c r="B64" s="134" t="s">
        <v>176</v>
      </c>
      <c r="C64" s="131" t="s">
        <v>177</v>
      </c>
      <c r="D64" s="132"/>
      <c r="E64" s="132">
        <f>Matériaux!N61</f>
        <v>3.16</v>
      </c>
      <c r="F64" s="132">
        <f>Tableau7[[#This Row],[Quantité/g ou ml]]*Tableau7[[#This Row],[Prix TTC/g ou ml]]</f>
        <v>0</v>
      </c>
      <c r="G64"/>
      <c r="H64" s="10"/>
    </row>
    <row r="65" spans="2:8" x14ac:dyDescent="0.2">
      <c r="B65" s="134" t="s">
        <v>185</v>
      </c>
      <c r="C65" s="131" t="s">
        <v>23</v>
      </c>
      <c r="D65" s="132"/>
      <c r="E65" s="132">
        <f>Matériaux!N62</f>
        <v>2.5</v>
      </c>
      <c r="F65" s="132">
        <f>Tableau7[[#This Row],[Quantité/g ou ml]]*Tableau7[[#This Row],[Prix TTC/g ou ml]]</f>
        <v>0</v>
      </c>
      <c r="G65"/>
      <c r="H65" s="10"/>
    </row>
    <row r="66" spans="2:8" x14ac:dyDescent="0.2">
      <c r="B66" s="134" t="s">
        <v>187</v>
      </c>
      <c r="C66" s="131" t="s">
        <v>23</v>
      </c>
      <c r="D66" s="132"/>
      <c r="E66" s="132">
        <f>Matériaux!N63</f>
        <v>2.3800000000000002E-2</v>
      </c>
      <c r="F66" s="132">
        <f>Tableau7[[#This Row],[Quantité/g ou ml]]*Tableau7[[#This Row],[Prix TTC/g ou ml]]</f>
        <v>0</v>
      </c>
      <c r="G66"/>
      <c r="H66" s="10"/>
    </row>
    <row r="67" spans="2:8" x14ac:dyDescent="0.2">
      <c r="B67" s="134" t="s">
        <v>190</v>
      </c>
      <c r="C67" s="131"/>
      <c r="D67" s="132"/>
      <c r="E67" s="132">
        <v>0</v>
      </c>
      <c r="F67" s="132">
        <v>0</v>
      </c>
      <c r="G67"/>
      <c r="H67" s="10"/>
    </row>
    <row r="68" spans="2:8" x14ac:dyDescent="0.2">
      <c r="B68" s="134" t="s">
        <v>192</v>
      </c>
      <c r="C68" s="131"/>
      <c r="D68" s="132"/>
      <c r="E68" s="132">
        <v>0</v>
      </c>
      <c r="F68" s="132">
        <v>0</v>
      </c>
      <c r="G68"/>
      <c r="H68" s="10"/>
    </row>
    <row r="69" spans="2:8" x14ac:dyDescent="0.2">
      <c r="B69" s="135" t="s">
        <v>30</v>
      </c>
      <c r="C69" s="133" t="s">
        <v>35</v>
      </c>
      <c r="D69" s="63">
        <v>2000</v>
      </c>
      <c r="E69" s="63">
        <f>Matériaux!N66</f>
        <v>8.9999999999999993E-3</v>
      </c>
      <c r="F69" s="63">
        <f>Tableau7[[#This Row],[Quantité/g ou ml]]*Tableau7[[#This Row],[Prix TTC/g ou ml]]</f>
        <v>18</v>
      </c>
      <c r="G69"/>
      <c r="H69" s="10"/>
    </row>
    <row r="70" spans="2:8" x14ac:dyDescent="0.2">
      <c r="B70" s="134" t="s">
        <v>19</v>
      </c>
      <c r="C70" s="131"/>
      <c r="D70" s="132"/>
      <c r="E70" s="132">
        <f ca="1">Matériaux!N67</f>
        <v>0</v>
      </c>
      <c r="F70" s="132">
        <f ca="1">Tableau7[[#This Row],[Quantité/g ou ml]]*Tableau7[[#This Row],[Prix TTC/g ou ml]]</f>
        <v>0</v>
      </c>
      <c r="G70"/>
      <c r="H70" s="10"/>
    </row>
    <row r="71" spans="2:8" x14ac:dyDescent="0.2">
      <c r="B71" s="135" t="s">
        <v>59</v>
      </c>
      <c r="C71" s="133"/>
      <c r="D71" s="63">
        <v>300</v>
      </c>
      <c r="E71" s="63">
        <v>0</v>
      </c>
      <c r="F71" s="63">
        <v>0</v>
      </c>
      <c r="G71"/>
      <c r="H71" s="10"/>
    </row>
    <row r="72" spans="2:8" x14ac:dyDescent="0.2">
      <c r="B72" s="134" t="s">
        <v>58</v>
      </c>
      <c r="C72" s="131"/>
      <c r="D72" s="132"/>
      <c r="E72" s="132">
        <v>0</v>
      </c>
      <c r="F72" s="132">
        <v>0</v>
      </c>
      <c r="G72"/>
      <c r="H72" s="10"/>
    </row>
    <row r="73" spans="2:8" x14ac:dyDescent="0.2">
      <c r="B73" s="134" t="s">
        <v>69</v>
      </c>
      <c r="C73" s="131" t="s">
        <v>206</v>
      </c>
      <c r="D73" s="132"/>
      <c r="E73" s="132">
        <f>Matériaux!N70</f>
        <v>0.27877999999999997</v>
      </c>
      <c r="F73" s="132">
        <f>Tableau7[[#This Row],[Quantité/g ou ml]]*Tableau7[[#This Row],[Prix TTC/g ou ml]]</f>
        <v>0</v>
      </c>
      <c r="G73"/>
      <c r="H73" s="10"/>
    </row>
    <row r="74" spans="2:8" x14ac:dyDescent="0.2">
      <c r="B74" s="134" t="s">
        <v>81</v>
      </c>
      <c r="C74" s="131"/>
      <c r="D74" s="132"/>
      <c r="E74" s="132">
        <v>0</v>
      </c>
      <c r="F74" s="132">
        <v>0</v>
      </c>
      <c r="G74"/>
      <c r="H74" s="10"/>
    </row>
    <row r="75" spans="2:8" x14ac:dyDescent="0.2">
      <c r="B75" s="136"/>
      <c r="C75" s="131"/>
      <c r="D75" s="132"/>
      <c r="E75" s="132">
        <f>Matériaux!N72</f>
        <v>0</v>
      </c>
      <c r="F75" s="132">
        <f>Tableau7[[#This Row],[Quantité/g ou ml]]*Tableau7[[#This Row],[Prix TTC/g ou ml]]</f>
        <v>0</v>
      </c>
      <c r="G75"/>
      <c r="H75" s="10"/>
    </row>
    <row r="76" spans="2:8" x14ac:dyDescent="0.2">
      <c r="F76" s="3"/>
    </row>
    <row r="80" spans="2:8" x14ac:dyDescent="0.2">
      <c r="F80" s="3"/>
    </row>
    <row r="81" spans="2:6" x14ac:dyDescent="0.2">
      <c r="F81" s="3"/>
    </row>
    <row r="82" spans="2:6" x14ac:dyDescent="0.2">
      <c r="F82" s="3"/>
    </row>
    <row r="83" spans="2:6" x14ac:dyDescent="0.2">
      <c r="F83" s="3"/>
    </row>
    <row r="84" spans="2:6" x14ac:dyDescent="0.2">
      <c r="F84" s="3"/>
    </row>
    <row r="88" spans="2:6" x14ac:dyDescent="0.2">
      <c r="B88" s="11" t="s">
        <v>39</v>
      </c>
      <c r="C88" t="s">
        <v>1</v>
      </c>
      <c r="D88" s="3" t="s">
        <v>42</v>
      </c>
      <c r="E88" t="s">
        <v>25</v>
      </c>
    </row>
    <row r="89" spans="2:6" x14ac:dyDescent="0.2">
      <c r="B89" s="11" t="s">
        <v>40</v>
      </c>
    </row>
    <row r="90" spans="2:6" x14ac:dyDescent="0.2">
      <c r="B90" s="11" t="s">
        <v>41</v>
      </c>
    </row>
    <row r="91" spans="2:6" x14ac:dyDescent="0.2">
      <c r="B91" s="11" t="s">
        <v>25</v>
      </c>
      <c r="D91"/>
      <c r="E91" s="13">
        <f>SUBTOTAL(109,Tableau928[Total])</f>
        <v>0</v>
      </c>
    </row>
    <row r="93" spans="2:6" x14ac:dyDescent="0.2">
      <c r="B93" s="11" t="s">
        <v>43</v>
      </c>
      <c r="C93" t="s">
        <v>51</v>
      </c>
      <c r="D93" s="3" t="s">
        <v>52</v>
      </c>
      <c r="E93" t="s">
        <v>25</v>
      </c>
    </row>
    <row r="94" spans="2:6" x14ac:dyDescent="0.2">
      <c r="B94" t="s">
        <v>44</v>
      </c>
      <c r="C94" s="3"/>
      <c r="D94"/>
    </row>
    <row r="95" spans="2:6" x14ac:dyDescent="0.2">
      <c r="B95" s="11" t="s">
        <v>50</v>
      </c>
    </row>
    <row r="96" spans="2:6" x14ac:dyDescent="0.2">
      <c r="B96" t="s">
        <v>25</v>
      </c>
      <c r="D96"/>
      <c r="E96" s="13">
        <f>SUBTOTAL(109,Tableau1730[Total])</f>
        <v>0</v>
      </c>
    </row>
    <row r="99" spans="2:5" x14ac:dyDescent="0.2">
      <c r="B99" s="11" t="s">
        <v>45</v>
      </c>
      <c r="C99" t="s">
        <v>49</v>
      </c>
      <c r="D99" s="2" t="s">
        <v>53</v>
      </c>
      <c r="E99" s="2" t="s">
        <v>25</v>
      </c>
    </row>
    <row r="100" spans="2:5" x14ac:dyDescent="0.2">
      <c r="B100" s="11" t="s">
        <v>46</v>
      </c>
      <c r="D100"/>
    </row>
    <row r="101" spans="2:5" x14ac:dyDescent="0.2">
      <c r="B101" s="11" t="s">
        <v>47</v>
      </c>
      <c r="D101"/>
    </row>
    <row r="102" spans="2:5" x14ac:dyDescent="0.2">
      <c r="B102" s="11" t="s">
        <v>48</v>
      </c>
      <c r="D102"/>
    </row>
    <row r="103" spans="2:5" x14ac:dyDescent="0.2">
      <c r="B103" s="11" t="s">
        <v>25</v>
      </c>
      <c r="D103"/>
      <c r="E103" s="26">
        <f>SUBTOTAL(109,Tableau1329[Total])</f>
        <v>0</v>
      </c>
    </row>
  </sheetData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AF46-5BF8-6648-B49E-F8D1D29373E2}">
  <dimension ref="A2:U64"/>
  <sheetViews>
    <sheetView zoomScaleNormal="150" zoomScaleSheetLayoutView="100" workbookViewId="0">
      <selection activeCell="N54" sqref="N54"/>
    </sheetView>
  </sheetViews>
  <sheetFormatPr defaultRowHeight="15" x14ac:dyDescent="0.2"/>
  <cols>
    <col min="1" max="1" width="11.703125" bestFit="1" customWidth="1"/>
    <col min="2" max="2" width="22.46484375" style="11" customWidth="1"/>
    <col min="3" max="3" width="20.84765625" customWidth="1"/>
    <col min="4" max="4" width="20.84765625" style="3" customWidth="1"/>
    <col min="5" max="5" width="13.1796875" bestFit="1" customWidth="1"/>
    <col min="6" max="6" width="11.703125" bestFit="1" customWidth="1"/>
    <col min="7" max="7" width="18.96484375" style="10" customWidth="1"/>
    <col min="8" max="8" width="17.62109375" customWidth="1"/>
    <col min="9" max="9" width="16.94921875" customWidth="1"/>
    <col min="13" max="13" width="14.52734375" customWidth="1"/>
    <col min="14" max="14" width="29.59375" customWidth="1"/>
    <col min="15" max="15" width="14.9296875" customWidth="1"/>
    <col min="19" max="19" width="17.21875" customWidth="1"/>
    <col min="20" max="20" width="17.3515625" customWidth="1"/>
    <col min="21" max="21" width="11.296875" customWidth="1"/>
  </cols>
  <sheetData>
    <row r="2" spans="1:8" ht="21.75" x14ac:dyDescent="0.2">
      <c r="B2" s="32" t="s">
        <v>65</v>
      </c>
    </row>
    <row r="3" spans="1:8" ht="21" x14ac:dyDescent="0.3">
      <c r="A3" s="27"/>
      <c r="B3" s="28"/>
      <c r="C3" s="29"/>
      <c r="D3" s="29"/>
      <c r="G3"/>
    </row>
    <row r="4" spans="1:8" ht="39.75" x14ac:dyDescent="0.3">
      <c r="A4" s="30"/>
      <c r="B4" s="31"/>
      <c r="C4" s="33" t="s">
        <v>33</v>
      </c>
      <c r="D4" s="36" t="s">
        <v>54</v>
      </c>
      <c r="E4" s="34" t="s">
        <v>43</v>
      </c>
      <c r="F4" s="35" t="s">
        <v>55</v>
      </c>
      <c r="G4"/>
    </row>
    <row r="5" spans="1:8" ht="21" x14ac:dyDescent="0.3">
      <c r="C5" s="36"/>
      <c r="D5" s="36" t="e">
        <f>SUM(Tableau332[[#Totals],[Total]],Tableau433[[#Totals],[Total]],Tableau4734[[#Totals],[Total]],Tableau935[[#Totals],[Total]])</f>
        <v>#REF!</v>
      </c>
      <c r="E5" s="38">
        <f>Tableau1737[[#Totals],[Total]]</f>
        <v>0</v>
      </c>
      <c r="F5" s="35">
        <f>Tableau1336[[#Totals],[Total]]</f>
        <v>0</v>
      </c>
      <c r="G5"/>
      <c r="H5" s="10"/>
    </row>
    <row r="6" spans="1:8" ht="21" x14ac:dyDescent="0.3">
      <c r="D6" s="37" t="s">
        <v>25</v>
      </c>
      <c r="E6" s="35"/>
      <c r="F6" s="38" t="e">
        <f>SUM(Tableau2338[Coûts des materiaux],Tableau2338[Salaire],Tableau2338[Charge])</f>
        <v>#REF!</v>
      </c>
      <c r="G6"/>
      <c r="H6" s="10"/>
    </row>
    <row r="17" spans="2:21" ht="15.75" thickBot="1" x14ac:dyDescent="0.25">
      <c r="C17" s="138" t="s">
        <v>66</v>
      </c>
      <c r="D17" s="138"/>
      <c r="F17" s="13" t="s">
        <v>67</v>
      </c>
      <c r="H17" s="138" t="s">
        <v>71</v>
      </c>
      <c r="I17" s="138"/>
      <c r="N17" s="12" t="s">
        <v>68</v>
      </c>
      <c r="R17" t="s">
        <v>67</v>
      </c>
      <c r="T17" s="138" t="s">
        <v>73</v>
      </c>
      <c r="U17" s="138"/>
    </row>
    <row r="18" spans="2:21" ht="15.75" thickTop="1" x14ac:dyDescent="0.2"/>
    <row r="20" spans="2:21" x14ac:dyDescent="0.2">
      <c r="B20" s="11" t="s">
        <v>26</v>
      </c>
      <c r="C20" t="s">
        <v>27</v>
      </c>
      <c r="D20" s="5" t="s">
        <v>31</v>
      </c>
      <c r="E20" t="s">
        <v>25</v>
      </c>
      <c r="G20" s="15" t="s">
        <v>26</v>
      </c>
      <c r="H20" t="s">
        <v>27</v>
      </c>
      <c r="I20" s="11" t="s">
        <v>32</v>
      </c>
      <c r="J20" t="s">
        <v>25</v>
      </c>
      <c r="M20" s="15" t="s">
        <v>26</v>
      </c>
      <c r="N20" t="s">
        <v>27</v>
      </c>
      <c r="O20" s="11" t="s">
        <v>32</v>
      </c>
      <c r="P20" t="s">
        <v>25</v>
      </c>
      <c r="S20" t="s">
        <v>82</v>
      </c>
    </row>
    <row r="21" spans="2:21" x14ac:dyDescent="0.2">
      <c r="B21" s="42" t="s">
        <v>2</v>
      </c>
      <c r="C21" s="43">
        <v>0</v>
      </c>
      <c r="D21" s="44">
        <f>Matériaux!M18</f>
        <v>6.9000000000000006E-2</v>
      </c>
      <c r="E21" s="44">
        <f>Tableau332[[#This Row],[Quantité/g ou ml]]*Tableau332[[#This Row],[Prix TTC/g et ml]]</f>
        <v>0</v>
      </c>
      <c r="G21" s="17" t="s">
        <v>2</v>
      </c>
      <c r="H21">
        <v>0</v>
      </c>
      <c r="I21" s="18">
        <f>Matériaux!M18</f>
        <v>6.9000000000000006E-2</v>
      </c>
      <c r="J21">
        <f>Tableau433[[#This Row],[Prix TTC/ g et ml]]*Tableau433[[#This Row],[Quantité/g ou ml]]</f>
        <v>0</v>
      </c>
      <c r="M21" s="23" t="s">
        <v>2</v>
      </c>
      <c r="N21" s="21">
        <v>110</v>
      </c>
      <c r="O21" s="22">
        <f>Matériaux!Q18</f>
        <v>0</v>
      </c>
      <c r="P21" s="21">
        <f>Matériaux!M18</f>
        <v>6.9000000000000006E-2</v>
      </c>
    </row>
    <row r="22" spans="2:21" ht="27.75" x14ac:dyDescent="0.2">
      <c r="B22" s="41" t="s">
        <v>3</v>
      </c>
      <c r="C22" s="39">
        <v>0</v>
      </c>
      <c r="D22" s="40">
        <f>Matériaux!M19</f>
        <v>3.4500000000000003E-2</v>
      </c>
      <c r="E22" s="40">
        <f>Tableau332[[#This Row],[Quantité/g ou ml]]*Tableau332[[#This Row],[Prix TTC/g et ml]]</f>
        <v>0</v>
      </c>
      <c r="G22" s="23" t="s">
        <v>3</v>
      </c>
      <c r="H22" s="21">
        <v>6</v>
      </c>
      <c r="I22" s="22">
        <f>Matériaux!M19</f>
        <v>3.4500000000000003E-2</v>
      </c>
      <c r="J22" s="21">
        <f>Tableau433[[#This Row],[Prix TTC/ g et ml]]*Tableau433[[#This Row],[Quantité/g ou ml]]</f>
        <v>0.20700000000000002</v>
      </c>
      <c r="M22" s="23" t="s">
        <v>3</v>
      </c>
      <c r="N22" s="21">
        <v>170</v>
      </c>
      <c r="O22" s="22">
        <f>Matériaux!Q19</f>
        <v>0</v>
      </c>
      <c r="P22" s="21">
        <f>Matériaux!M19</f>
        <v>3.4500000000000003E-2</v>
      </c>
    </row>
    <row r="23" spans="2:21" ht="27.75" x14ac:dyDescent="0.2">
      <c r="B23" s="2" t="s">
        <v>4</v>
      </c>
      <c r="C23">
        <v>0</v>
      </c>
      <c r="D23" s="18">
        <f>Matériaux!M20</f>
        <v>3.4500000000000003E-2</v>
      </c>
      <c r="E23" s="18">
        <f>Tableau332[[#This Row],[Quantité/g ou ml]]*Tableau332[[#This Row],[Prix TTC/g et ml]]</f>
        <v>0</v>
      </c>
      <c r="G23" s="17" t="s">
        <v>4</v>
      </c>
      <c r="H23">
        <v>4</v>
      </c>
      <c r="I23" s="18">
        <f>Matériaux!M20</f>
        <v>3.4500000000000003E-2</v>
      </c>
      <c r="J23">
        <f>Tableau433[[#This Row],[Prix TTC/ g et ml]]*Tableau433[[#This Row],[Quantité/g ou ml]]</f>
        <v>0.13800000000000001</v>
      </c>
      <c r="M23" s="23" t="s">
        <v>4</v>
      </c>
      <c r="N23" s="21">
        <v>110</v>
      </c>
      <c r="O23" s="22">
        <f>Matériaux!Q20</f>
        <v>0</v>
      </c>
      <c r="P23" s="21">
        <f>Matériaux!M20</f>
        <v>3.4500000000000003E-2</v>
      </c>
    </row>
    <row r="24" spans="2:21" ht="27.75" x14ac:dyDescent="0.2">
      <c r="B24" s="2" t="s">
        <v>5</v>
      </c>
      <c r="C24">
        <v>0</v>
      </c>
      <c r="D24" s="18">
        <f>Matériaux!M23</f>
        <v>3.9100000000000003E-2</v>
      </c>
      <c r="E24" s="18">
        <f>Tableau332[[#This Row],[Quantité/g ou ml]]*Tableau332[[#This Row],[Prix TTC/g et ml]]</f>
        <v>0</v>
      </c>
      <c r="G24" s="17" t="s">
        <v>5</v>
      </c>
      <c r="H24">
        <v>0</v>
      </c>
      <c r="I24" s="18">
        <f>Matériaux!M23</f>
        <v>3.9100000000000003E-2</v>
      </c>
      <c r="J24">
        <f>Tableau433[[#This Row],[Prix TTC/ g et ml]]*Tableau433[[#This Row],[Quantité/g ou ml]]</f>
        <v>0</v>
      </c>
      <c r="M24" s="17" t="s">
        <v>5</v>
      </c>
      <c r="N24">
        <v>0</v>
      </c>
      <c r="O24" s="18">
        <f>Matériaux!Q23</f>
        <v>0</v>
      </c>
      <c r="P24">
        <f>Matériaux!M23</f>
        <v>3.9100000000000003E-2</v>
      </c>
    </row>
    <row r="25" spans="2:21" x14ac:dyDescent="0.2">
      <c r="B25" s="2" t="s">
        <v>6</v>
      </c>
      <c r="C25">
        <v>0</v>
      </c>
      <c r="D25" s="18">
        <f>Matériaux!M24</f>
        <v>2.06E-2</v>
      </c>
      <c r="E25" s="18">
        <f>Tableau332[[#This Row],[Quantité/g ou ml]]*Tableau332[[#This Row],[Prix TTC/g et ml]]</f>
        <v>0</v>
      </c>
      <c r="G25" s="45" t="s">
        <v>6</v>
      </c>
      <c r="H25" s="43">
        <v>0</v>
      </c>
      <c r="I25" s="44">
        <f>Matériaux!M24</f>
        <v>2.06E-2</v>
      </c>
      <c r="J25" s="43">
        <f>Tableau433[[#This Row],[Prix TTC/ g et ml]]*Tableau433[[#This Row],[Quantité/g ou ml]]</f>
        <v>0</v>
      </c>
      <c r="M25" s="45" t="s">
        <v>6</v>
      </c>
      <c r="N25" s="43">
        <v>0</v>
      </c>
      <c r="O25" s="44">
        <f>Matériaux!Q24</f>
        <v>0</v>
      </c>
      <c r="P25" s="43">
        <f>Matériaux!M24</f>
        <v>2.06E-2</v>
      </c>
    </row>
    <row r="26" spans="2:21" x14ac:dyDescent="0.2">
      <c r="B26" s="2" t="s">
        <v>7</v>
      </c>
      <c r="C26">
        <v>0</v>
      </c>
      <c r="D26" s="18">
        <f>Matériaux!M25</f>
        <v>0.17499999999999999</v>
      </c>
      <c r="E26" s="18">
        <f>Tableau332[[#This Row],[Quantité/g ou ml]]*Tableau332[[#This Row],[Prix TTC/g et ml]]</f>
        <v>0</v>
      </c>
      <c r="G26" s="17" t="s">
        <v>7</v>
      </c>
      <c r="H26">
        <v>0</v>
      </c>
      <c r="I26" s="18">
        <f>Matériaux!M25</f>
        <v>0.17499999999999999</v>
      </c>
      <c r="J26">
        <f>Tableau433[[#This Row],[Prix TTC/ g et ml]]*Tableau433[[#This Row],[Quantité/g ou ml]]</f>
        <v>0</v>
      </c>
      <c r="M26" s="17" t="s">
        <v>7</v>
      </c>
      <c r="N26">
        <v>0</v>
      </c>
      <c r="O26" s="18">
        <f>Matériaux!Q25</f>
        <v>0</v>
      </c>
      <c r="P26">
        <f>Matériaux!M25</f>
        <v>0.17499999999999999</v>
      </c>
    </row>
    <row r="27" spans="2:21" x14ac:dyDescent="0.2">
      <c r="B27" s="2" t="s">
        <v>8</v>
      </c>
      <c r="C27">
        <v>0</v>
      </c>
      <c r="D27" s="18" t="e">
        <f>Matériaux!#REF!</f>
        <v>#REF!</v>
      </c>
      <c r="E27" s="18" t="e">
        <f>Tableau332[[#This Row],[Quantité/g ou ml]]*Tableau332[[#This Row],[Prix TTC/g et ml]]</f>
        <v>#REF!</v>
      </c>
      <c r="G27" s="17" t="s">
        <v>8</v>
      </c>
      <c r="H27">
        <v>0</v>
      </c>
      <c r="I27" s="18" t="e">
        <f>Matériaux!#REF!</f>
        <v>#REF!</v>
      </c>
      <c r="J27" t="e">
        <f>Tableau433[[#This Row],[Prix TTC/ g et ml]]*Tableau433[[#This Row],[Quantité/g ou ml]]</f>
        <v>#REF!</v>
      </c>
      <c r="M27" s="17" t="s">
        <v>8</v>
      </c>
      <c r="N27">
        <v>0</v>
      </c>
      <c r="O27" s="18" t="e">
        <f>Matériaux!#REF!</f>
        <v>#REF!</v>
      </c>
      <c r="P27" t="e">
        <f>Matériaux!#REF!</f>
        <v>#REF!</v>
      </c>
    </row>
    <row r="28" spans="2:21" x14ac:dyDescent="0.2">
      <c r="B28" s="2" t="s">
        <v>9</v>
      </c>
      <c r="C28">
        <v>0</v>
      </c>
      <c r="D28" s="18">
        <f ca="1">Matériaux!M28</f>
        <v>0</v>
      </c>
      <c r="E28" s="18">
        <f ca="1">Tableau332[[#This Row],[Quantité/g ou ml]]*Tableau332[[#This Row],[Prix TTC/g et ml]]</f>
        <v>0</v>
      </c>
      <c r="G28" s="17" t="s">
        <v>9</v>
      </c>
      <c r="H28">
        <v>0</v>
      </c>
      <c r="I28" s="18">
        <f ca="1">Matériaux!M28</f>
        <v>0</v>
      </c>
      <c r="J28">
        <f ca="1">Tableau433[[#This Row],[Prix TTC/ g et ml]]*Tableau433[[#This Row],[Quantité/g ou ml]]</f>
        <v>0</v>
      </c>
      <c r="M28" s="17" t="s">
        <v>9</v>
      </c>
      <c r="N28">
        <v>0</v>
      </c>
      <c r="O28" s="18">
        <f>Matériaux!Q28</f>
        <v>0</v>
      </c>
      <c r="P28">
        <f ca="1">Matériaux!M28</f>
        <v>0</v>
      </c>
    </row>
    <row r="29" spans="2:21" x14ac:dyDescent="0.2">
      <c r="B29" s="2" t="s">
        <v>10</v>
      </c>
      <c r="C29">
        <v>0</v>
      </c>
      <c r="D29" s="18">
        <f>Matériaux!M45</f>
        <v>0.27500000000000002</v>
      </c>
      <c r="E29" s="18">
        <f>Tableau332[[#This Row],[Quantité/g ou ml]]*Tableau332[[#This Row],[Prix TTC/g et ml]]</f>
        <v>0</v>
      </c>
      <c r="G29" s="17" t="s">
        <v>10</v>
      </c>
      <c r="H29">
        <v>0</v>
      </c>
      <c r="I29" s="18">
        <f>Matériaux!M45</f>
        <v>0.27500000000000002</v>
      </c>
      <c r="J29">
        <f>Tableau433[[#This Row],[Prix TTC/ g et ml]]*Tableau433[[#This Row],[Quantité/g ou ml]]</f>
        <v>0</v>
      </c>
      <c r="M29" s="17" t="s">
        <v>10</v>
      </c>
      <c r="N29">
        <v>0</v>
      </c>
      <c r="O29" s="18">
        <f>Matériaux!Q40</f>
        <v>0</v>
      </c>
      <c r="P29">
        <f>Matériaux!M45</f>
        <v>0.27500000000000002</v>
      </c>
    </row>
    <row r="30" spans="2:21" ht="27.75" x14ac:dyDescent="0.2">
      <c r="B30" s="2" t="s">
        <v>11</v>
      </c>
      <c r="C30">
        <v>0</v>
      </c>
      <c r="D30" s="18">
        <f ca="1">Matériaux!M26</f>
        <v>0</v>
      </c>
      <c r="E30" s="18">
        <f ca="1">Tableau332[[#This Row],[Quantité/g ou ml]]*Tableau332[[#This Row],[Prix TTC/g et ml]]</f>
        <v>0</v>
      </c>
      <c r="G30" s="17" t="s">
        <v>11</v>
      </c>
      <c r="H30">
        <v>0</v>
      </c>
      <c r="I30" s="18">
        <f ca="1">Matériaux!M26</f>
        <v>0</v>
      </c>
      <c r="J30">
        <f ca="1">Tableau433[[#This Row],[Prix TTC/ g et ml]]*Tableau433[[#This Row],[Quantité/g ou ml]]</f>
        <v>0</v>
      </c>
      <c r="M30" s="17" t="s">
        <v>11</v>
      </c>
      <c r="N30">
        <v>0</v>
      </c>
      <c r="O30" s="18">
        <f>Matériaux!Q26</f>
        <v>0</v>
      </c>
      <c r="P30">
        <f ca="1">Matériaux!M26</f>
        <v>0</v>
      </c>
    </row>
    <row r="31" spans="2:21" x14ac:dyDescent="0.2">
      <c r="B31" s="45" t="s">
        <v>12</v>
      </c>
      <c r="C31" s="43">
        <v>0</v>
      </c>
      <c r="D31" s="44">
        <f>Matériaux!M29</f>
        <v>0</v>
      </c>
      <c r="E31" s="44">
        <f>Tableau332[[#This Row],[Quantité/g ou ml]]*Tableau332[[#This Row],[Prix TTC/g et ml]]</f>
        <v>0</v>
      </c>
      <c r="G31" s="23" t="s">
        <v>12</v>
      </c>
      <c r="H31" s="21">
        <v>20</v>
      </c>
      <c r="I31" s="22">
        <f>Matériaux!M29</f>
        <v>0</v>
      </c>
      <c r="J31" s="21">
        <f>Tableau433[[#This Row],[Prix TTC/ g et ml]]*Tableau433[[#This Row],[Quantité/g ou ml]]</f>
        <v>0</v>
      </c>
      <c r="M31" s="45" t="s">
        <v>12</v>
      </c>
      <c r="N31" s="43">
        <v>0</v>
      </c>
      <c r="O31" s="44">
        <f>Matériaux!Q29</f>
        <v>0</v>
      </c>
      <c r="P31" s="43">
        <f>Matériaux!M29</f>
        <v>0</v>
      </c>
    </row>
    <row r="32" spans="2:21" x14ac:dyDescent="0.2">
      <c r="B32" s="2" t="s">
        <v>13</v>
      </c>
      <c r="C32">
        <v>0</v>
      </c>
      <c r="D32" s="18">
        <f>Matériaux!M30</f>
        <v>1.8</v>
      </c>
      <c r="E32" s="18">
        <f>Tableau332[[#This Row],[Quantité/g ou ml]]*Tableau332[[#This Row],[Prix TTC/g et ml]]</f>
        <v>0</v>
      </c>
      <c r="G32" s="17" t="s">
        <v>13</v>
      </c>
      <c r="H32">
        <v>0</v>
      </c>
      <c r="I32" s="18">
        <f>Matériaux!M30</f>
        <v>1.8</v>
      </c>
      <c r="J32">
        <f>Tableau433[[#This Row],[Prix TTC/ g et ml]]*Tableau433[[#This Row],[Quantité/g ou ml]]</f>
        <v>0</v>
      </c>
      <c r="M32" s="17" t="s">
        <v>13</v>
      </c>
      <c r="N32">
        <v>0</v>
      </c>
      <c r="O32" s="18">
        <f>Matériaux!Q30</f>
        <v>0</v>
      </c>
      <c r="P32">
        <f>Matériaux!M30</f>
        <v>1.8</v>
      </c>
    </row>
    <row r="33" spans="2:16" x14ac:dyDescent="0.2">
      <c r="B33" s="2" t="s">
        <v>14</v>
      </c>
      <c r="C33">
        <v>0</v>
      </c>
      <c r="D33" s="18">
        <f>Matériaux!M31</f>
        <v>1.8</v>
      </c>
      <c r="E33" s="18">
        <f>Tableau332[[#This Row],[Quantité/g ou ml]]*Tableau332[[#This Row],[Prix TTC/g et ml]]</f>
        <v>0</v>
      </c>
      <c r="G33" s="17" t="s">
        <v>14</v>
      </c>
      <c r="H33">
        <v>0</v>
      </c>
      <c r="I33" s="18">
        <f>Matériaux!M31</f>
        <v>1.8</v>
      </c>
      <c r="J33">
        <f>Tableau433[[#This Row],[Prix TTC/ g et ml]]*Tableau433[[#This Row],[Quantité/g ou ml]]</f>
        <v>0</v>
      </c>
      <c r="M33" s="17" t="s">
        <v>14</v>
      </c>
      <c r="N33">
        <v>0</v>
      </c>
      <c r="O33" s="18">
        <f>Matériaux!Q31</f>
        <v>0</v>
      </c>
      <c r="P33">
        <f>Matériaux!M31</f>
        <v>1.8</v>
      </c>
    </row>
    <row r="34" spans="2:16" x14ac:dyDescent="0.2">
      <c r="B34" s="41" t="s">
        <v>15</v>
      </c>
      <c r="C34" s="39">
        <v>0</v>
      </c>
      <c r="D34" s="40">
        <f>Matériaux!M32</f>
        <v>1.8</v>
      </c>
      <c r="E34" s="40">
        <f>Tableau332[[#This Row],[Quantité/g ou ml]]*Tableau332[[#This Row],[Prix TTC/g et ml]]</f>
        <v>0</v>
      </c>
      <c r="G34" s="41" t="s">
        <v>15</v>
      </c>
      <c r="H34" s="39">
        <v>0</v>
      </c>
      <c r="I34" s="40">
        <f>Matériaux!M32</f>
        <v>1.8</v>
      </c>
      <c r="J34" s="39">
        <f>Tableau433[[#This Row],[Prix TTC/ g et ml]]*Tableau433[[#This Row],[Quantité/g ou ml]]</f>
        <v>0</v>
      </c>
      <c r="M34" s="41" t="s">
        <v>15</v>
      </c>
      <c r="N34" s="39"/>
      <c r="O34" s="40">
        <f>Matériaux!Q32</f>
        <v>0</v>
      </c>
      <c r="P34" s="39">
        <f>Matériaux!M32</f>
        <v>1.8</v>
      </c>
    </row>
    <row r="35" spans="2:16" x14ac:dyDescent="0.2">
      <c r="B35" s="2" t="s">
        <v>16</v>
      </c>
      <c r="C35">
        <v>0</v>
      </c>
      <c r="D35" s="18">
        <f>Matériaux!M34</f>
        <v>1.8</v>
      </c>
      <c r="E35" s="18">
        <f>Tableau332[[#This Row],[Quantité/g ou ml]]*Tableau332[[#This Row],[Prix TTC/g et ml]]</f>
        <v>0</v>
      </c>
      <c r="G35" s="17" t="s">
        <v>16</v>
      </c>
      <c r="H35">
        <v>0</v>
      </c>
      <c r="I35" s="18">
        <f>Matériaux!M34</f>
        <v>1.8</v>
      </c>
      <c r="J35">
        <f>Tableau433[[#This Row],[Prix TTC/ g et ml]]*Tableau433[[#This Row],[Quantité/g ou ml]]</f>
        <v>0</v>
      </c>
      <c r="M35" s="17" t="s">
        <v>16</v>
      </c>
      <c r="N35">
        <v>0</v>
      </c>
      <c r="O35" s="18">
        <f>Matériaux!Q33</f>
        <v>0</v>
      </c>
      <c r="P35">
        <f>Matériaux!M34</f>
        <v>1.8</v>
      </c>
    </row>
    <row r="36" spans="2:16" x14ac:dyDescent="0.2">
      <c r="B36" s="2" t="s">
        <v>17</v>
      </c>
      <c r="C36">
        <v>0</v>
      </c>
      <c r="D36" s="18">
        <f>Matériaux!M35</f>
        <v>1.8</v>
      </c>
      <c r="E36" s="18">
        <f>Tableau332[[#This Row],[Quantité/g ou ml]]*Tableau332[[#This Row],[Prix TTC/g et ml]]</f>
        <v>0</v>
      </c>
      <c r="G36" s="17" t="s">
        <v>17</v>
      </c>
      <c r="H36">
        <v>0</v>
      </c>
      <c r="I36" s="18">
        <f>Matériaux!M35</f>
        <v>1.8</v>
      </c>
      <c r="J36">
        <f>Tableau433[[#This Row],[Prix TTC/ g et ml]]*Tableau433[[#This Row],[Quantité/g ou ml]]</f>
        <v>0</v>
      </c>
      <c r="M36" s="17" t="s">
        <v>17</v>
      </c>
      <c r="N36">
        <v>0</v>
      </c>
      <c r="O36" s="18">
        <f>Matériaux!Q34</f>
        <v>0</v>
      </c>
      <c r="P36">
        <f>Matériaux!M35</f>
        <v>1.8</v>
      </c>
    </row>
    <row r="37" spans="2:16" x14ac:dyDescent="0.2">
      <c r="B37" s="2" t="s">
        <v>18</v>
      </c>
      <c r="C37">
        <v>0</v>
      </c>
      <c r="D37" s="18" t="e">
        <f>Matériaux!#REF!</f>
        <v>#REF!</v>
      </c>
      <c r="E37" s="18" t="e">
        <f>Tableau332[[#This Row],[Quantité/g ou ml]]*Tableau332[[#This Row],[Prix TTC/g et ml]]</f>
        <v>#REF!</v>
      </c>
      <c r="G37" s="45" t="s">
        <v>18</v>
      </c>
      <c r="H37" s="43">
        <v>0</v>
      </c>
      <c r="I37" s="44" t="e">
        <f>Matériaux!#REF!</f>
        <v>#REF!</v>
      </c>
      <c r="J37" s="43" t="e">
        <f>Tableau433[[#This Row],[Prix TTC/ g et ml]]*Tableau433[[#This Row],[Quantité/g ou ml]]</f>
        <v>#REF!</v>
      </c>
      <c r="M37" s="45" t="s">
        <v>18</v>
      </c>
      <c r="N37" s="43">
        <v>0</v>
      </c>
      <c r="O37" s="44">
        <f>Matériaux!Q52</f>
        <v>0</v>
      </c>
      <c r="P37" s="43" t="e">
        <f>Matériaux!#REF!</f>
        <v>#REF!</v>
      </c>
    </row>
    <row r="38" spans="2:16" x14ac:dyDescent="0.2">
      <c r="B38" s="23" t="s">
        <v>30</v>
      </c>
      <c r="C38" s="21">
        <v>45</v>
      </c>
      <c r="D38" s="22">
        <f>Matériaux!M66</f>
        <v>8.9999999999999993E-3</v>
      </c>
      <c r="E38" s="22">
        <f>Tableau332[[#This Row],[Quantité/g ou ml]]*Tableau332[[#This Row],[Prix TTC/g et ml]]</f>
        <v>0.40499999999999997</v>
      </c>
      <c r="G38" s="23" t="s">
        <v>30</v>
      </c>
      <c r="H38" s="21">
        <v>80</v>
      </c>
      <c r="I38" s="22">
        <f>Matériaux!M66</f>
        <v>8.9999999999999993E-3</v>
      </c>
      <c r="J38" s="21">
        <f>Tableau433[[#This Row],[Prix TTC/ g et ml]]*Tableau433[[#This Row],[Quantité/g ou ml]]</f>
        <v>0.72</v>
      </c>
      <c r="M38" s="41" t="s">
        <v>30</v>
      </c>
      <c r="N38" s="39">
        <v>0</v>
      </c>
      <c r="O38" s="40">
        <f>Matériaux!Q55</f>
        <v>0</v>
      </c>
      <c r="P38" s="39">
        <f>Matériaux!M66</f>
        <v>8.9999999999999993E-3</v>
      </c>
    </row>
    <row r="39" spans="2:16" ht="41.25" x14ac:dyDescent="0.2">
      <c r="B39" s="2" t="s">
        <v>19</v>
      </c>
      <c r="C39">
        <v>0</v>
      </c>
      <c r="D39" s="18">
        <f ca="1">Matériaux!M67</f>
        <v>0</v>
      </c>
      <c r="E39" s="18">
        <f ca="1">Tableau332[[#This Row],[Quantité/g ou ml]]*Tableau332[[#This Row],[Prix TTC/g et ml]]</f>
        <v>0</v>
      </c>
      <c r="G39" s="45" t="s">
        <v>19</v>
      </c>
      <c r="H39" s="43">
        <v>0</v>
      </c>
      <c r="I39" s="44">
        <f ca="1">Matériaux!M67</f>
        <v>0</v>
      </c>
      <c r="J39" s="43">
        <f ca="1">Tableau433[[#This Row],[Prix TTC/ g et ml]]*Tableau433[[#This Row],[Quantité/g ou ml]]</f>
        <v>0</v>
      </c>
      <c r="M39" s="45" t="s">
        <v>19</v>
      </c>
      <c r="N39" s="43">
        <v>0</v>
      </c>
      <c r="O39" s="44">
        <f>Matériaux!Q56</f>
        <v>0</v>
      </c>
      <c r="P39" s="43">
        <f ca="1">Matériaux!M67</f>
        <v>0</v>
      </c>
    </row>
    <row r="40" spans="2:16" x14ac:dyDescent="0.2">
      <c r="B40" s="2" t="s">
        <v>37</v>
      </c>
      <c r="C40">
        <v>0</v>
      </c>
      <c r="D40" s="18" t="e">
        <f>Matériaux!M27</f>
        <v>#DIV/0!</v>
      </c>
      <c r="E40" s="18" t="e">
        <f>Tableau332[[#This Row],[Quantité/g ou ml]]*Tableau332[[#This Row],[Prix TTC/g et ml]]</f>
        <v>#DIV/0!</v>
      </c>
      <c r="G40" s="41" t="s">
        <v>37</v>
      </c>
      <c r="H40" s="39">
        <v>0</v>
      </c>
      <c r="I40" s="40" t="e">
        <f>Matériaux!M27</f>
        <v>#DIV/0!</v>
      </c>
      <c r="J40" s="47" t="e">
        <f>Tableau433[[#This Row],[Prix TTC/ g et ml]]*Tableau433[[#This Row],[Quantité/g ou ml]]</f>
        <v>#DIV/0!</v>
      </c>
      <c r="M40" s="41" t="s">
        <v>37</v>
      </c>
      <c r="N40" s="39">
        <v>0</v>
      </c>
      <c r="O40" s="40">
        <f>Matériaux!Q27</f>
        <v>0</v>
      </c>
      <c r="P40" s="47" t="e">
        <f>Matériaux!M27</f>
        <v>#DIV/0!</v>
      </c>
    </row>
    <row r="41" spans="2:16" x14ac:dyDescent="0.2">
      <c r="B41" s="2" t="s">
        <v>59</v>
      </c>
      <c r="C41">
        <v>0</v>
      </c>
      <c r="D41" s="18" t="e">
        <f>Matériaux!M68</f>
        <v>#DIV/0!</v>
      </c>
      <c r="E41" s="18" t="e">
        <f>Tableau332[[#This Row],[Quantité/g ou ml]]*Tableau332[[#This Row],[Prix TTC/g et ml]]</f>
        <v>#DIV/0!</v>
      </c>
      <c r="G41" s="48" t="s">
        <v>59</v>
      </c>
      <c r="H41" s="43">
        <v>0</v>
      </c>
      <c r="I41" s="44" t="e">
        <f>Matériaux!M68</f>
        <v>#DIV/0!</v>
      </c>
      <c r="J41" s="49" t="e">
        <f>Tableau433[[#This Row],[Prix TTC/ g et ml]]*Tableau433[[#This Row],[Quantité/g ou ml]]</f>
        <v>#DIV/0!</v>
      </c>
      <c r="M41" s="48" t="s">
        <v>59</v>
      </c>
      <c r="N41" s="43">
        <v>0</v>
      </c>
      <c r="O41" s="44">
        <f>Matériaux!Q57</f>
        <v>0</v>
      </c>
      <c r="P41" s="49" t="e">
        <f>Matériaux!M68</f>
        <v>#DIV/0!</v>
      </c>
    </row>
    <row r="42" spans="2:16" x14ac:dyDescent="0.2">
      <c r="B42" s="2" t="s">
        <v>58</v>
      </c>
      <c r="C42">
        <v>0</v>
      </c>
      <c r="D42" s="18" t="e">
        <f>Matériaux!M69</f>
        <v>#DIV/0!</v>
      </c>
      <c r="E42" s="18" t="e">
        <f>Tableau332[[#This Row],[Quantité/g ou ml]]*Tableau332[[#This Row],[Prix TTC/g et ml]]</f>
        <v>#DIV/0!</v>
      </c>
      <c r="G42" s="2" t="s">
        <v>58</v>
      </c>
      <c r="H42">
        <v>0</v>
      </c>
      <c r="I42" s="18" t="e">
        <f>Matériaux!M69</f>
        <v>#DIV/0!</v>
      </c>
      <c r="J42" s="4" t="e">
        <f>Tableau433[[#This Row],[Prix TTC/ g et ml]]*Tableau433[[#This Row],[Quantité/g ou ml]]</f>
        <v>#DIV/0!</v>
      </c>
      <c r="M42" s="2" t="s">
        <v>58</v>
      </c>
      <c r="N42">
        <v>0</v>
      </c>
      <c r="O42" s="18" t="e">
        <f>Matériaux!#REF!</f>
        <v>#REF!</v>
      </c>
      <c r="P42" s="4" t="e">
        <f>Matériaux!M69</f>
        <v>#DIV/0!</v>
      </c>
    </row>
    <row r="43" spans="2:16" x14ac:dyDescent="0.2">
      <c r="B43" s="2" t="s">
        <v>69</v>
      </c>
      <c r="C43">
        <v>0</v>
      </c>
      <c r="D43" s="18">
        <f>Matériaux!M70</f>
        <v>3.4779999999999998E-2</v>
      </c>
      <c r="E43" s="18">
        <f>Tableau332[[#This Row],[Quantité/g ou ml]]*Tableau332[[#This Row],[Prix TTC/g et ml]]</f>
        <v>0</v>
      </c>
      <c r="G43" s="2" t="s">
        <v>69</v>
      </c>
      <c r="H43">
        <v>0</v>
      </c>
      <c r="I43" s="18">
        <f>Matériaux!M70</f>
        <v>3.4779999999999998E-2</v>
      </c>
      <c r="J43" s="4">
        <f>Tableau433[[#This Row],[Prix TTC/ g et ml]]*Tableau433[[#This Row],[Quantité/g ou ml]]</f>
        <v>0</v>
      </c>
      <c r="M43" s="23" t="s">
        <v>69</v>
      </c>
      <c r="N43" s="21">
        <v>180</v>
      </c>
      <c r="O43" s="22">
        <f>Matériaux!Q58</f>
        <v>0</v>
      </c>
      <c r="P43" s="25">
        <f>Matériaux!M70</f>
        <v>3.4779999999999998E-2</v>
      </c>
    </row>
    <row r="44" spans="2:16" x14ac:dyDescent="0.2">
      <c r="B44" s="23" t="s">
        <v>70</v>
      </c>
      <c r="C44" s="21">
        <v>30</v>
      </c>
      <c r="D44" s="22" t="e">
        <f>Matériaux!M21</f>
        <v>#DIV/0!</v>
      </c>
      <c r="E44" s="22" t="e">
        <f>Tableau332[[#This Row],[Quantité/g ou ml]]*Tableau332[[#This Row],[Prix TTC/g et ml]]</f>
        <v>#DIV/0!</v>
      </c>
      <c r="G44" s="23" t="s">
        <v>70</v>
      </c>
      <c r="H44" s="21">
        <v>60</v>
      </c>
      <c r="I44" s="22" t="e">
        <f>Matériaux!M21</f>
        <v>#DIV/0!</v>
      </c>
      <c r="J44" s="25" t="e">
        <f>Tableau433[[#This Row],[Prix TTC/ g et ml]]*Tableau433[[#This Row],[Quantité/g ou ml]]</f>
        <v>#DIV/0!</v>
      </c>
      <c r="M44" s="2" t="s">
        <v>70</v>
      </c>
      <c r="N44">
        <v>0</v>
      </c>
      <c r="O44" s="18">
        <f>Matériaux!Q21</f>
        <v>0</v>
      </c>
      <c r="P44" s="4" t="e">
        <f>Matériaux!M21</f>
        <v>#DIV/0!</v>
      </c>
    </row>
    <row r="45" spans="2:16" x14ac:dyDescent="0.2">
      <c r="B45" s="11" t="s">
        <v>25</v>
      </c>
      <c r="E45" s="19" t="e">
        <f>SUBTOTAL(109,Tableau332[Total])</f>
        <v>#REF!</v>
      </c>
      <c r="G45" s="14" t="s">
        <v>25</v>
      </c>
      <c r="J45" s="46" t="e">
        <f>SUBTOTAL(109,Tableau433[Total])</f>
        <v>#REF!</v>
      </c>
      <c r="M45" s="14" t="s">
        <v>25</v>
      </c>
      <c r="P45" s="13" t="e">
        <f>SUBTOTAL(109,Tableau4734[Total])</f>
        <v>#REF!</v>
      </c>
    </row>
    <row r="46" spans="2:16" x14ac:dyDescent="0.2">
      <c r="E46" s="19"/>
    </row>
    <row r="47" spans="2:16" x14ac:dyDescent="0.2">
      <c r="E47" s="19"/>
    </row>
    <row r="48" spans="2:16" x14ac:dyDescent="0.2">
      <c r="B48" s="11" t="s">
        <v>39</v>
      </c>
      <c r="C48" t="s">
        <v>1</v>
      </c>
      <c r="D48" s="3" t="s">
        <v>42</v>
      </c>
      <c r="E48" t="s">
        <v>25</v>
      </c>
    </row>
    <row r="49" spans="2:9" x14ac:dyDescent="0.2">
      <c r="B49" s="11" t="s">
        <v>40</v>
      </c>
    </row>
    <row r="50" spans="2:9" x14ac:dyDescent="0.2">
      <c r="B50" s="11" t="s">
        <v>41</v>
      </c>
    </row>
    <row r="52" spans="2:9" x14ac:dyDescent="0.2">
      <c r="B52" s="11" t="s">
        <v>25</v>
      </c>
      <c r="D52"/>
      <c r="E52" s="13">
        <f>SUBTOTAL(109,Tableau935[Total])</f>
        <v>0</v>
      </c>
    </row>
    <row r="54" spans="2:9" x14ac:dyDescent="0.2">
      <c r="B54" s="11" t="s">
        <v>43</v>
      </c>
      <c r="C54" t="s">
        <v>51</v>
      </c>
      <c r="D54" s="3" t="s">
        <v>52</v>
      </c>
      <c r="E54" t="s">
        <v>25</v>
      </c>
    </row>
    <row r="55" spans="2:9" x14ac:dyDescent="0.2">
      <c r="B55" t="s">
        <v>44</v>
      </c>
      <c r="C55" s="3"/>
      <c r="D55"/>
    </row>
    <row r="56" spans="2:9" x14ac:dyDescent="0.2">
      <c r="B56" s="11" t="s">
        <v>50</v>
      </c>
    </row>
    <row r="57" spans="2:9" x14ac:dyDescent="0.2">
      <c r="B57" t="s">
        <v>25</v>
      </c>
      <c r="D57"/>
      <c r="E57" s="13">
        <f>SUBTOTAL(109,Tableau1737[Total])</f>
        <v>0</v>
      </c>
    </row>
    <row r="58" spans="2:9" x14ac:dyDescent="0.2">
      <c r="F58" s="3"/>
    </row>
    <row r="59" spans="2:9" x14ac:dyDescent="0.2">
      <c r="F59" s="3"/>
      <c r="G59"/>
      <c r="I59" s="10"/>
    </row>
    <row r="60" spans="2:9" x14ac:dyDescent="0.2">
      <c r="B60" s="11" t="s">
        <v>45</v>
      </c>
      <c r="C60" t="s">
        <v>49</v>
      </c>
      <c r="D60" s="2" t="s">
        <v>53</v>
      </c>
      <c r="E60" s="2" t="s">
        <v>25</v>
      </c>
      <c r="F60" s="3"/>
      <c r="G60"/>
      <c r="I60" s="10"/>
    </row>
    <row r="61" spans="2:9" x14ac:dyDescent="0.2">
      <c r="B61" s="11" t="s">
        <v>46</v>
      </c>
      <c r="D61"/>
      <c r="F61" s="3"/>
      <c r="G61"/>
      <c r="I61" s="10"/>
    </row>
    <row r="62" spans="2:9" x14ac:dyDescent="0.2">
      <c r="B62" s="11" t="s">
        <v>47</v>
      </c>
      <c r="D62"/>
      <c r="F62" s="3"/>
      <c r="G62"/>
      <c r="I62" s="10"/>
    </row>
    <row r="63" spans="2:9" x14ac:dyDescent="0.2">
      <c r="B63" s="11" t="s">
        <v>48</v>
      </c>
      <c r="D63"/>
      <c r="G63"/>
      <c r="I63" s="10"/>
    </row>
    <row r="64" spans="2:9" x14ac:dyDescent="0.2">
      <c r="B64" s="11" t="s">
        <v>25</v>
      </c>
      <c r="D64"/>
      <c r="E64" s="26">
        <f>SUBTOTAL(109,Tableau1336[Total])</f>
        <v>0</v>
      </c>
    </row>
  </sheetData>
  <mergeCells count="3">
    <mergeCell ref="H17:I17"/>
    <mergeCell ref="C17:D17"/>
    <mergeCell ref="T17:U17"/>
  </mergeCells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49971-3EA5-6A4E-9F77-AD1798F060F2}">
  <dimension ref="A2:Q59"/>
  <sheetViews>
    <sheetView topLeftCell="A3" zoomScaleNormal="150" zoomScaleSheetLayoutView="100" workbookViewId="0">
      <selection activeCell="C6" sqref="C6"/>
    </sheetView>
  </sheetViews>
  <sheetFormatPr defaultRowHeight="15" x14ac:dyDescent="0.2"/>
  <cols>
    <col min="1" max="1" width="11.703125" bestFit="1" customWidth="1"/>
    <col min="2" max="2" width="22.46484375" style="11" customWidth="1"/>
    <col min="3" max="3" width="20.84765625" customWidth="1"/>
    <col min="4" max="4" width="20.84765625" style="3" customWidth="1"/>
    <col min="5" max="5" width="13.1796875" bestFit="1" customWidth="1"/>
    <col min="6" max="6" width="11.703125" bestFit="1" customWidth="1"/>
    <col min="7" max="7" width="18.96484375" style="10" customWidth="1"/>
    <col min="8" max="8" width="17.62109375" customWidth="1"/>
    <col min="9" max="9" width="16.94921875" customWidth="1"/>
    <col min="14" max="14" width="15.73828125" customWidth="1"/>
    <col min="15" max="15" width="17.484375" customWidth="1"/>
    <col min="16" max="16" width="15.73828125" customWidth="1"/>
  </cols>
  <sheetData>
    <row r="2" spans="1:7" ht="21.75" x14ac:dyDescent="0.2">
      <c r="B2" s="32" t="s">
        <v>77</v>
      </c>
    </row>
    <row r="3" spans="1:7" ht="21" x14ac:dyDescent="0.3">
      <c r="A3" s="27"/>
      <c r="B3" s="28"/>
      <c r="C3" s="29"/>
      <c r="D3" s="29"/>
      <c r="G3"/>
    </row>
    <row r="4" spans="1:7" ht="39.75" x14ac:dyDescent="0.3">
      <c r="A4" s="30"/>
      <c r="B4" s="31"/>
      <c r="C4" s="36" t="s">
        <v>54</v>
      </c>
      <c r="D4" s="34" t="s">
        <v>43</v>
      </c>
      <c r="E4" s="35" t="s">
        <v>55</v>
      </c>
      <c r="G4"/>
    </row>
    <row r="5" spans="1:7" ht="21" x14ac:dyDescent="0.3">
      <c r="C5" s="36" t="e">
        <f>SUM(Tableau340[[#Totals],[Total]],Tableau441[[#Totals],[Total]],Tableau33239[[#Totals],[Total]])</f>
        <v>#REF!</v>
      </c>
      <c r="D5" s="38">
        <f>Tableau1745[[#Totals],[Total]]</f>
        <v>0</v>
      </c>
      <c r="E5" s="35">
        <f>Tableau1344[[#Totals],[Total]]</f>
        <v>0</v>
      </c>
    </row>
    <row r="6" spans="1:7" ht="21" x14ac:dyDescent="0.3">
      <c r="C6" s="37" t="s">
        <v>25</v>
      </c>
      <c r="D6" s="35"/>
      <c r="E6" s="38" t="e">
        <f>SUM(Tableau2346[Coûts des materiaux],Tableau2346[Salaire],Tableau2346[Charge])</f>
        <v>#REF!</v>
      </c>
    </row>
    <row r="17" spans="2:17" ht="15.75" thickBot="1" x14ac:dyDescent="0.25">
      <c r="C17" s="12" t="s">
        <v>74</v>
      </c>
      <c r="D17" s="16"/>
      <c r="H17" s="12" t="s">
        <v>75</v>
      </c>
      <c r="O17" s="12" t="s">
        <v>76</v>
      </c>
    </row>
    <row r="18" spans="2:17" ht="15.75" thickTop="1" x14ac:dyDescent="0.2"/>
    <row r="20" spans="2:17" x14ac:dyDescent="0.2">
      <c r="B20" s="11" t="s">
        <v>26</v>
      </c>
      <c r="C20" t="s">
        <v>27</v>
      </c>
      <c r="D20" s="5" t="s">
        <v>31</v>
      </c>
      <c r="E20" t="s">
        <v>25</v>
      </c>
      <c r="G20" s="15" t="s">
        <v>26</v>
      </c>
      <c r="H20" t="s">
        <v>27</v>
      </c>
      <c r="I20" s="11" t="s">
        <v>32</v>
      </c>
      <c r="J20" t="s">
        <v>25</v>
      </c>
      <c r="N20" s="11" t="s">
        <v>26</v>
      </c>
      <c r="O20" t="s">
        <v>27</v>
      </c>
      <c r="P20" s="5" t="s">
        <v>31</v>
      </c>
      <c r="Q20" t="s">
        <v>25</v>
      </c>
    </row>
    <row r="21" spans="2:17" x14ac:dyDescent="0.2">
      <c r="B21" s="42" t="s">
        <v>2</v>
      </c>
      <c r="C21" s="43">
        <v>0</v>
      </c>
      <c r="D21" s="44">
        <f>Matériaux!M18</f>
        <v>6.9000000000000006E-2</v>
      </c>
      <c r="E21" s="44">
        <f>Tableau340[[#This Row],[Quantité/g ou ml]]*Tableau340[[#This Row],[Prix TTC/g et ml]]</f>
        <v>0</v>
      </c>
      <c r="G21" s="17" t="s">
        <v>2</v>
      </c>
      <c r="H21">
        <v>0</v>
      </c>
      <c r="I21" s="18">
        <f>Matériaux!M18</f>
        <v>6.9000000000000006E-2</v>
      </c>
      <c r="J21">
        <f>Tableau441[[#This Row],[Prix TTC/ g et ml]]*Tableau441[[#This Row],[Quantité/g ou ml]]</f>
        <v>0</v>
      </c>
      <c r="N21" s="45" t="s">
        <v>2</v>
      </c>
      <c r="O21" s="43">
        <v>0</v>
      </c>
      <c r="P21" s="44">
        <f>Matériaux!AB18</f>
        <v>0</v>
      </c>
      <c r="Q21" s="44">
        <f>Matériaux!M18</f>
        <v>6.9000000000000006E-2</v>
      </c>
    </row>
    <row r="22" spans="2:17" ht="27.75" x14ac:dyDescent="0.2">
      <c r="B22" s="41" t="s">
        <v>3</v>
      </c>
      <c r="C22" s="39">
        <v>0</v>
      </c>
      <c r="D22" s="40">
        <f>Matériaux!M19</f>
        <v>3.4500000000000003E-2</v>
      </c>
      <c r="E22" s="40">
        <f>Tableau340[[#This Row],[Quantité/g ou ml]]*Tableau340[[#This Row],[Prix TTC/g et ml]]</f>
        <v>0</v>
      </c>
      <c r="G22" s="17" t="s">
        <v>3</v>
      </c>
      <c r="H22">
        <v>0</v>
      </c>
      <c r="I22" s="18">
        <f>Matériaux!M19</f>
        <v>3.4500000000000003E-2</v>
      </c>
      <c r="J22">
        <f>Tableau441[[#This Row],[Prix TTC/ g et ml]]*Tableau441[[#This Row],[Quantité/g ou ml]]</f>
        <v>0</v>
      </c>
      <c r="N22" s="23" t="s">
        <v>3</v>
      </c>
      <c r="O22" s="21">
        <v>20</v>
      </c>
      <c r="P22" s="22">
        <f>Matériaux!AB19</f>
        <v>0</v>
      </c>
      <c r="Q22" s="22">
        <f>Matériaux!M19</f>
        <v>3.4500000000000003E-2</v>
      </c>
    </row>
    <row r="23" spans="2:17" x14ac:dyDescent="0.2">
      <c r="B23" s="2" t="s">
        <v>4</v>
      </c>
      <c r="C23">
        <v>0</v>
      </c>
      <c r="D23" s="18">
        <f>Matériaux!M20</f>
        <v>3.4500000000000003E-2</v>
      </c>
      <c r="E23" s="18">
        <f>Tableau340[[#This Row],[Quantité/g ou ml]]*Tableau340[[#This Row],[Prix TTC/g et ml]]</f>
        <v>0</v>
      </c>
      <c r="G23" s="17" t="s">
        <v>4</v>
      </c>
      <c r="H23">
        <v>0</v>
      </c>
      <c r="I23" s="18">
        <f>Matériaux!M20</f>
        <v>3.4500000000000003E-2</v>
      </c>
      <c r="J23">
        <f>Tableau441[[#This Row],[Prix TTC/ g et ml]]*Tableau441[[#This Row],[Quantité/g ou ml]]</f>
        <v>0</v>
      </c>
      <c r="N23" s="2" t="s">
        <v>4</v>
      </c>
      <c r="O23">
        <v>0</v>
      </c>
      <c r="P23" s="18">
        <f>Matériaux!AB20</f>
        <v>0</v>
      </c>
      <c r="Q23" s="18">
        <f>Matériaux!M20</f>
        <v>3.4500000000000003E-2</v>
      </c>
    </row>
    <row r="24" spans="2:17" ht="27.75" x14ac:dyDescent="0.2">
      <c r="B24" s="2" t="s">
        <v>5</v>
      </c>
      <c r="C24">
        <v>0</v>
      </c>
      <c r="D24" s="18">
        <f>Matériaux!M23</f>
        <v>3.9100000000000003E-2</v>
      </c>
      <c r="E24" s="18">
        <f>Tableau340[[#This Row],[Quantité/g ou ml]]*Tableau340[[#This Row],[Prix TTC/g et ml]]</f>
        <v>0</v>
      </c>
      <c r="G24" s="17" t="s">
        <v>5</v>
      </c>
      <c r="H24">
        <v>0</v>
      </c>
      <c r="I24" s="18">
        <f>Matériaux!M23</f>
        <v>3.9100000000000003E-2</v>
      </c>
      <c r="J24">
        <f>Tableau441[[#This Row],[Prix TTC/ g et ml]]*Tableau441[[#This Row],[Quantité/g ou ml]]</f>
        <v>0</v>
      </c>
      <c r="N24" s="2" t="s">
        <v>5</v>
      </c>
      <c r="O24">
        <v>0</v>
      </c>
      <c r="P24" s="18">
        <f>Matériaux!AB23</f>
        <v>0</v>
      </c>
      <c r="Q24" s="18">
        <f>Matériaux!M23</f>
        <v>3.9100000000000003E-2</v>
      </c>
    </row>
    <row r="25" spans="2:17" x14ac:dyDescent="0.2">
      <c r="B25" s="2" t="s">
        <v>6</v>
      </c>
      <c r="C25">
        <v>0</v>
      </c>
      <c r="D25" s="18">
        <f>Matériaux!M24</f>
        <v>2.06E-2</v>
      </c>
      <c r="E25" s="18">
        <f>Tableau340[[#This Row],[Quantité/g ou ml]]*Tableau340[[#This Row],[Prix TTC/g et ml]]</f>
        <v>0</v>
      </c>
      <c r="G25" s="45" t="s">
        <v>6</v>
      </c>
      <c r="H25" s="43">
        <v>0</v>
      </c>
      <c r="I25" s="44">
        <f>Matériaux!M24</f>
        <v>2.06E-2</v>
      </c>
      <c r="J25" s="43">
        <f>Tableau441[[#This Row],[Prix TTC/ g et ml]]*Tableau441[[#This Row],[Quantité/g ou ml]]</f>
        <v>0</v>
      </c>
      <c r="N25" s="23" t="s">
        <v>6</v>
      </c>
      <c r="O25" s="21">
        <v>500</v>
      </c>
      <c r="P25" s="22">
        <f>Matériaux!AB24</f>
        <v>0</v>
      </c>
      <c r="Q25" s="22">
        <f>Matériaux!M24</f>
        <v>2.06E-2</v>
      </c>
    </row>
    <row r="26" spans="2:17" x14ac:dyDescent="0.2">
      <c r="B26" s="23" t="s">
        <v>7</v>
      </c>
      <c r="C26" s="21">
        <v>250</v>
      </c>
      <c r="D26" s="22">
        <f>Matériaux!M25</f>
        <v>0.17499999999999999</v>
      </c>
      <c r="E26" s="22">
        <f>Tableau340[[#This Row],[Quantité/g ou ml]]*Tableau340[[#This Row],[Prix TTC/g et ml]]</f>
        <v>43.75</v>
      </c>
      <c r="G26" s="17" t="s">
        <v>7</v>
      </c>
      <c r="H26">
        <v>0</v>
      </c>
      <c r="I26" s="18">
        <f>Matériaux!M25</f>
        <v>0.17499999999999999</v>
      </c>
      <c r="J26">
        <f>Tableau441[[#This Row],[Prix TTC/ g et ml]]*Tableau441[[#This Row],[Quantité/g ou ml]]</f>
        <v>0</v>
      </c>
      <c r="N26" s="2" t="s">
        <v>7</v>
      </c>
      <c r="P26" s="18">
        <f>Matériaux!AB25</f>
        <v>0</v>
      </c>
      <c r="Q26" s="18">
        <f>Matériaux!M25</f>
        <v>0.17499999999999999</v>
      </c>
    </row>
    <row r="27" spans="2:17" x14ac:dyDescent="0.2">
      <c r="B27" s="2" t="s">
        <v>8</v>
      </c>
      <c r="C27">
        <v>0</v>
      </c>
      <c r="D27" s="18" t="e">
        <f>Matériaux!#REF!</f>
        <v>#REF!</v>
      </c>
      <c r="E27" s="18" t="e">
        <f>Tableau340[[#This Row],[Quantité/g ou ml]]*Tableau340[[#This Row],[Prix TTC/g et ml]]</f>
        <v>#REF!</v>
      </c>
      <c r="G27" s="23" t="s">
        <v>8</v>
      </c>
      <c r="H27" s="21">
        <v>200</v>
      </c>
      <c r="I27" s="22" t="e">
        <f>Matériaux!#REF!</f>
        <v>#REF!</v>
      </c>
      <c r="J27" s="21" t="e">
        <f>Tableau441[[#This Row],[Prix TTC/ g et ml]]*Tableau441[[#This Row],[Quantité/g ou ml]]</f>
        <v>#REF!</v>
      </c>
      <c r="N27" s="2" t="s">
        <v>8</v>
      </c>
      <c r="O27">
        <v>0</v>
      </c>
      <c r="P27" s="18" t="e">
        <f>Matériaux!#REF!</f>
        <v>#REF!</v>
      </c>
      <c r="Q27" s="18" t="e">
        <f>Matériaux!#REF!</f>
        <v>#REF!</v>
      </c>
    </row>
    <row r="28" spans="2:17" x14ac:dyDescent="0.2">
      <c r="B28" s="2" t="s">
        <v>9</v>
      </c>
      <c r="C28">
        <v>0</v>
      </c>
      <c r="D28" s="18">
        <f ca="1">Matériaux!M28</f>
        <v>0</v>
      </c>
      <c r="E28" s="18">
        <f ca="1">Tableau340[[#This Row],[Quantité/g ou ml]]*Tableau340[[#This Row],[Prix TTC/g et ml]]</f>
        <v>0</v>
      </c>
      <c r="G28" s="23" t="s">
        <v>9</v>
      </c>
      <c r="H28" s="21">
        <v>200</v>
      </c>
      <c r="I28" s="22">
        <f ca="1">Matériaux!M28</f>
        <v>0</v>
      </c>
      <c r="J28" s="21">
        <f ca="1">Tableau441[[#This Row],[Prix TTC/ g et ml]]*Tableau441[[#This Row],[Quantité/g ou ml]]</f>
        <v>0</v>
      </c>
      <c r="N28" s="2" t="s">
        <v>9</v>
      </c>
      <c r="O28">
        <v>0</v>
      </c>
      <c r="P28" s="18">
        <f>Matériaux!AB28</f>
        <v>0</v>
      </c>
      <c r="Q28" s="18">
        <f ca="1">Matériaux!M28</f>
        <v>0</v>
      </c>
    </row>
    <row r="29" spans="2:17" x14ac:dyDescent="0.2">
      <c r="B29" s="2" t="s">
        <v>10</v>
      </c>
      <c r="C29">
        <v>0</v>
      </c>
      <c r="D29" s="18">
        <f>Matériaux!M45</f>
        <v>0.27500000000000002</v>
      </c>
      <c r="E29" s="18">
        <f>Tableau340[[#This Row],[Quantité/g ou ml]]*Tableau340[[#This Row],[Prix TTC/g et ml]]</f>
        <v>0</v>
      </c>
      <c r="G29" s="23" t="s">
        <v>10</v>
      </c>
      <c r="H29" s="21">
        <v>100</v>
      </c>
      <c r="I29" s="22">
        <f>Matériaux!M45</f>
        <v>0.27500000000000002</v>
      </c>
      <c r="J29" s="21">
        <f>Tableau441[[#This Row],[Prix TTC/ g et ml]]*Tableau441[[#This Row],[Quantité/g ou ml]]</f>
        <v>27.500000000000004</v>
      </c>
      <c r="N29" s="2" t="s">
        <v>10</v>
      </c>
      <c r="O29">
        <v>0</v>
      </c>
      <c r="P29" s="18">
        <f>Matériaux!AB40</f>
        <v>0</v>
      </c>
      <c r="Q29" s="18">
        <f>Matériaux!M45</f>
        <v>0.27500000000000002</v>
      </c>
    </row>
    <row r="30" spans="2:17" ht="27.75" x14ac:dyDescent="0.2">
      <c r="B30" s="2" t="s">
        <v>11</v>
      </c>
      <c r="C30">
        <v>0</v>
      </c>
      <c r="D30" s="18">
        <f ca="1">Matériaux!M26</f>
        <v>0</v>
      </c>
      <c r="E30" s="18">
        <f ca="1">Tableau340[[#This Row],[Quantité/g ou ml]]*Tableau340[[#This Row],[Prix TTC/g et ml]]</f>
        <v>0</v>
      </c>
      <c r="G30" s="17" t="s">
        <v>11</v>
      </c>
      <c r="H30">
        <v>0</v>
      </c>
      <c r="I30" s="18">
        <f ca="1">Matériaux!M26</f>
        <v>0</v>
      </c>
      <c r="J30">
        <f ca="1">Tableau441[[#This Row],[Prix TTC/ g et ml]]*Tableau441[[#This Row],[Quantité/g ou ml]]</f>
        <v>0</v>
      </c>
      <c r="N30" s="2" t="s">
        <v>11</v>
      </c>
      <c r="O30">
        <v>0</v>
      </c>
      <c r="P30" s="18">
        <f>Matériaux!AB26</f>
        <v>0</v>
      </c>
      <c r="Q30" s="18">
        <f ca="1">Matériaux!M26</f>
        <v>0</v>
      </c>
    </row>
    <row r="31" spans="2:17" x14ac:dyDescent="0.2">
      <c r="B31" s="45" t="s">
        <v>12</v>
      </c>
      <c r="C31" s="43">
        <v>0</v>
      </c>
      <c r="D31" s="44">
        <f>Matériaux!M29</f>
        <v>0</v>
      </c>
      <c r="E31" s="44">
        <f>Tableau340[[#This Row],[Quantité/g ou ml]]*Tableau340[[#This Row],[Prix TTC/g et ml]]</f>
        <v>0</v>
      </c>
      <c r="G31" s="41" t="s">
        <v>12</v>
      </c>
      <c r="H31" s="39">
        <v>0</v>
      </c>
      <c r="I31" s="40">
        <f>Matériaux!M29</f>
        <v>0</v>
      </c>
      <c r="J31" s="39">
        <f>Tableau441[[#This Row],[Prix TTC/ g et ml]]*Tableau441[[#This Row],[Quantité/g ou ml]]</f>
        <v>0</v>
      </c>
      <c r="N31" s="45" t="s">
        <v>12</v>
      </c>
      <c r="O31" s="43">
        <v>0</v>
      </c>
      <c r="P31" s="44">
        <f>Matériaux!AB29</f>
        <v>0</v>
      </c>
      <c r="Q31" s="44">
        <f>Matériaux!M29</f>
        <v>0</v>
      </c>
    </row>
    <row r="32" spans="2:17" x14ac:dyDescent="0.2">
      <c r="B32" s="2" t="s">
        <v>13</v>
      </c>
      <c r="C32">
        <v>0</v>
      </c>
      <c r="D32" s="18">
        <f>Matériaux!M30</f>
        <v>1.8</v>
      </c>
      <c r="E32" s="18">
        <f>Tableau340[[#This Row],[Quantité/g ou ml]]*Tableau340[[#This Row],[Prix TTC/g et ml]]</f>
        <v>0</v>
      </c>
      <c r="G32" s="23" t="s">
        <v>13</v>
      </c>
      <c r="H32" s="21">
        <v>1</v>
      </c>
      <c r="I32" s="22">
        <f>Matériaux!M30</f>
        <v>1.8</v>
      </c>
      <c r="J32" s="21">
        <f>Tableau441[[#This Row],[Prix TTC/ g et ml]]*Tableau441[[#This Row],[Quantité/g ou ml]]</f>
        <v>1.8</v>
      </c>
      <c r="N32" s="2" t="s">
        <v>13</v>
      </c>
      <c r="O32">
        <v>0</v>
      </c>
      <c r="P32" s="18">
        <f>Matériaux!AB30</f>
        <v>0</v>
      </c>
      <c r="Q32" s="18">
        <f>Matériaux!M30</f>
        <v>1.8</v>
      </c>
    </row>
    <row r="33" spans="2:17" x14ac:dyDescent="0.2">
      <c r="B33" s="2" t="s">
        <v>14</v>
      </c>
      <c r="C33">
        <v>0</v>
      </c>
      <c r="D33" s="18">
        <f>Matériaux!M31</f>
        <v>1.8</v>
      </c>
      <c r="E33" s="18">
        <f>Tableau340[[#This Row],[Quantité/g ou ml]]*Tableau340[[#This Row],[Prix TTC/g et ml]]</f>
        <v>0</v>
      </c>
      <c r="G33" s="17" t="s">
        <v>14</v>
      </c>
      <c r="H33">
        <v>0</v>
      </c>
      <c r="I33" s="18">
        <f>Matériaux!M31</f>
        <v>1.8</v>
      </c>
      <c r="J33">
        <f>Tableau441[[#This Row],[Prix TTC/ g et ml]]*Tableau441[[#This Row],[Quantité/g ou ml]]</f>
        <v>0</v>
      </c>
      <c r="N33" s="2" t="s">
        <v>14</v>
      </c>
      <c r="O33">
        <v>0</v>
      </c>
      <c r="P33" s="18">
        <f>Matériaux!AB31</f>
        <v>0</v>
      </c>
      <c r="Q33" s="18">
        <f>Matériaux!M31</f>
        <v>1.8</v>
      </c>
    </row>
    <row r="34" spans="2:17" x14ac:dyDescent="0.2">
      <c r="B34" s="41" t="s">
        <v>15</v>
      </c>
      <c r="C34" s="39">
        <v>0</v>
      </c>
      <c r="D34" s="40">
        <f>Matériaux!M32</f>
        <v>1.8</v>
      </c>
      <c r="E34" s="40">
        <f>Tableau340[[#This Row],[Quantité/g ou ml]]*Tableau340[[#This Row],[Prix TTC/g et ml]]</f>
        <v>0</v>
      </c>
      <c r="G34" s="41" t="s">
        <v>15</v>
      </c>
      <c r="H34" s="39">
        <v>0</v>
      </c>
      <c r="I34" s="40">
        <f>Matériaux!M32</f>
        <v>1.8</v>
      </c>
      <c r="J34" s="39">
        <f>Tableau441[[#This Row],[Prix TTC/ g et ml]]*Tableau441[[#This Row],[Quantité/g ou ml]]</f>
        <v>0</v>
      </c>
      <c r="N34" s="23" t="s">
        <v>15</v>
      </c>
      <c r="O34" s="51">
        <v>0.5</v>
      </c>
      <c r="P34" s="52">
        <f>Matériaux!AB32</f>
        <v>0</v>
      </c>
      <c r="Q34" s="52">
        <f>Matériaux!M32</f>
        <v>1.8</v>
      </c>
    </row>
    <row r="35" spans="2:17" x14ac:dyDescent="0.2">
      <c r="B35" s="2" t="s">
        <v>16</v>
      </c>
      <c r="C35">
        <v>0</v>
      </c>
      <c r="D35" s="18">
        <f>Matériaux!M34</f>
        <v>1.8</v>
      </c>
      <c r="E35" s="18">
        <f>Tableau340[[#This Row],[Quantité/g ou ml]]*Tableau340[[#This Row],[Prix TTC/g et ml]]</f>
        <v>0</v>
      </c>
      <c r="G35" s="17" t="s">
        <v>16</v>
      </c>
      <c r="H35">
        <v>0</v>
      </c>
      <c r="I35" s="18">
        <f>Matériaux!M34</f>
        <v>1.8</v>
      </c>
      <c r="J35">
        <f>Tableau441[[#This Row],[Prix TTC/ g et ml]]*Tableau441[[#This Row],[Quantité/g ou ml]]</f>
        <v>0</v>
      </c>
      <c r="N35" s="2" t="s">
        <v>16</v>
      </c>
      <c r="O35">
        <v>0</v>
      </c>
      <c r="P35" s="18">
        <f>Matériaux!AB33</f>
        <v>0</v>
      </c>
      <c r="Q35" s="18">
        <f>Matériaux!M34</f>
        <v>1.8</v>
      </c>
    </row>
    <row r="36" spans="2:17" x14ac:dyDescent="0.2">
      <c r="B36" s="2" t="s">
        <v>17</v>
      </c>
      <c r="C36">
        <v>0</v>
      </c>
      <c r="D36" s="18">
        <f>Matériaux!M35</f>
        <v>1.8</v>
      </c>
      <c r="E36" s="18">
        <f>Tableau340[[#This Row],[Quantité/g ou ml]]*Tableau340[[#This Row],[Prix TTC/g et ml]]</f>
        <v>0</v>
      </c>
      <c r="G36" s="17" t="s">
        <v>17</v>
      </c>
      <c r="H36">
        <v>0</v>
      </c>
      <c r="I36" s="18">
        <f>Matériaux!M35</f>
        <v>1.8</v>
      </c>
      <c r="J36">
        <f>Tableau441[[#This Row],[Prix TTC/ g et ml]]*Tableau441[[#This Row],[Quantité/g ou ml]]</f>
        <v>0</v>
      </c>
      <c r="N36" s="2" t="s">
        <v>17</v>
      </c>
      <c r="O36">
        <v>0</v>
      </c>
      <c r="P36" s="18">
        <f>Matériaux!AB34</f>
        <v>0</v>
      </c>
      <c r="Q36" s="18">
        <f>Matériaux!M35</f>
        <v>1.8</v>
      </c>
    </row>
    <row r="37" spans="2:17" x14ac:dyDescent="0.2">
      <c r="B37" s="2" t="s">
        <v>18</v>
      </c>
      <c r="C37">
        <v>0</v>
      </c>
      <c r="D37" s="18" t="e">
        <f>Matériaux!#REF!</f>
        <v>#REF!</v>
      </c>
      <c r="E37" s="18" t="e">
        <f>Tableau340[[#This Row],[Quantité/g ou ml]]*Tableau340[[#This Row],[Prix TTC/g et ml]]</f>
        <v>#REF!</v>
      </c>
      <c r="G37" s="45" t="s">
        <v>18</v>
      </c>
      <c r="H37" s="43">
        <v>0</v>
      </c>
      <c r="I37" s="44" t="e">
        <f>Matériaux!#REF!</f>
        <v>#REF!</v>
      </c>
      <c r="J37" s="43" t="e">
        <f>Tableau441[[#This Row],[Prix TTC/ g et ml]]*Tableau441[[#This Row],[Quantité/g ou ml]]</f>
        <v>#REF!</v>
      </c>
      <c r="N37" s="2" t="s">
        <v>18</v>
      </c>
      <c r="O37">
        <v>0</v>
      </c>
      <c r="P37" s="18">
        <f>Matériaux!AB52</f>
        <v>0</v>
      </c>
      <c r="Q37" s="18" t="e">
        <f>Matériaux!#REF!</f>
        <v>#REF!</v>
      </c>
    </row>
    <row r="38" spans="2:17" x14ac:dyDescent="0.2">
      <c r="B38" s="23" t="s">
        <v>30</v>
      </c>
      <c r="C38" s="21">
        <v>750</v>
      </c>
      <c r="D38" s="22">
        <f>Matériaux!M66</f>
        <v>8.9999999999999993E-3</v>
      </c>
      <c r="E38" s="22">
        <f>Tableau340[[#This Row],[Quantité/g ou ml]]*Tableau340[[#This Row],[Prix TTC/g et ml]]</f>
        <v>6.7499999999999991</v>
      </c>
      <c r="G38" s="41" t="s">
        <v>30</v>
      </c>
      <c r="H38" s="39">
        <v>0</v>
      </c>
      <c r="I38" s="40">
        <f>Matériaux!M66</f>
        <v>8.9999999999999993E-3</v>
      </c>
      <c r="J38" s="39">
        <f>Tableau441[[#This Row],[Prix TTC/ g et ml]]*Tableau441[[#This Row],[Quantité/g ou ml]]</f>
        <v>0</v>
      </c>
      <c r="N38" s="23" t="s">
        <v>30</v>
      </c>
      <c r="O38" s="21">
        <v>425</v>
      </c>
      <c r="P38" s="22">
        <f>Matériaux!AB55</f>
        <v>0</v>
      </c>
      <c r="Q38" s="22">
        <f>Matériaux!M66</f>
        <v>8.9999999999999993E-3</v>
      </c>
    </row>
    <row r="39" spans="2:17" ht="41.25" x14ac:dyDescent="0.2">
      <c r="B39" s="2" t="s">
        <v>19</v>
      </c>
      <c r="C39">
        <v>0</v>
      </c>
      <c r="D39" s="18">
        <f ca="1">Matériaux!M67</f>
        <v>0</v>
      </c>
      <c r="E39" s="18">
        <f ca="1">Tableau340[[#This Row],[Quantité/g ou ml]]*Tableau340[[#This Row],[Prix TTC/g et ml]]</f>
        <v>0</v>
      </c>
      <c r="G39" s="45" t="s">
        <v>19</v>
      </c>
      <c r="H39" s="43">
        <v>0</v>
      </c>
      <c r="I39" s="44">
        <f ca="1">Matériaux!M67</f>
        <v>0</v>
      </c>
      <c r="J39" s="43">
        <f ca="1">Tableau441[[#This Row],[Prix TTC/ g et ml]]*Tableau441[[#This Row],[Quantité/g ou ml]]</f>
        <v>0</v>
      </c>
      <c r="N39" s="2" t="s">
        <v>19</v>
      </c>
      <c r="O39">
        <v>0</v>
      </c>
      <c r="P39" s="18">
        <f>Matériaux!AB56</f>
        <v>0</v>
      </c>
      <c r="Q39" s="18">
        <f ca="1">Matériaux!M67</f>
        <v>0</v>
      </c>
    </row>
    <row r="40" spans="2:17" x14ac:dyDescent="0.2">
      <c r="B40" s="2" t="s">
        <v>37</v>
      </c>
      <c r="C40">
        <v>0</v>
      </c>
      <c r="D40" s="18" t="e">
        <f>Matériaux!M27</f>
        <v>#DIV/0!</v>
      </c>
      <c r="E40" s="18" t="e">
        <f>Tableau340[[#This Row],[Quantité/g ou ml]]*Tableau340[[#This Row],[Prix TTC/g et ml]]</f>
        <v>#DIV/0!</v>
      </c>
      <c r="G40" s="41" t="s">
        <v>37</v>
      </c>
      <c r="H40" s="39">
        <v>0</v>
      </c>
      <c r="I40" s="40" t="e">
        <f>Matériaux!M27</f>
        <v>#DIV/0!</v>
      </c>
      <c r="J40" s="47" t="e">
        <f>Tableau441[[#This Row],[Prix TTC/ g et ml]]*Tableau441[[#This Row],[Quantité/g ou ml]]</f>
        <v>#DIV/0!</v>
      </c>
      <c r="N40" s="2" t="s">
        <v>37</v>
      </c>
      <c r="O40">
        <v>0</v>
      </c>
      <c r="P40" s="18">
        <f>Matériaux!AB27</f>
        <v>0</v>
      </c>
      <c r="Q40" s="18" t="e">
        <f>Matériaux!M27</f>
        <v>#DIV/0!</v>
      </c>
    </row>
    <row r="41" spans="2:17" x14ac:dyDescent="0.2">
      <c r="B41" s="11" t="s">
        <v>25</v>
      </c>
      <c r="E41" s="19" t="e">
        <f>SUBTOTAL(109,Tableau340[Total])</f>
        <v>#REF!</v>
      </c>
      <c r="G41" s="14" t="s">
        <v>25</v>
      </c>
      <c r="J41" s="13" t="e">
        <f>SUBTOTAL(109,Tableau441[Total])</f>
        <v>#REF!</v>
      </c>
      <c r="N41" s="2" t="s">
        <v>59</v>
      </c>
      <c r="O41">
        <v>0</v>
      </c>
      <c r="P41" s="18">
        <f>Matériaux!AB57</f>
        <v>0</v>
      </c>
      <c r="Q41" s="18" t="e">
        <f>Matériaux!M68</f>
        <v>#DIV/0!</v>
      </c>
    </row>
    <row r="42" spans="2:17" x14ac:dyDescent="0.2">
      <c r="N42" s="2" t="s">
        <v>58</v>
      </c>
      <c r="O42">
        <v>0</v>
      </c>
      <c r="P42" s="18" t="e">
        <f>Matériaux!#REF!</f>
        <v>#REF!</v>
      </c>
      <c r="Q42" s="18" t="e">
        <f>Matériaux!M69</f>
        <v>#DIV/0!</v>
      </c>
    </row>
    <row r="43" spans="2:17" x14ac:dyDescent="0.2">
      <c r="N43" s="2" t="s">
        <v>69</v>
      </c>
      <c r="O43">
        <v>0</v>
      </c>
      <c r="P43" s="18">
        <f>Matériaux!AB58</f>
        <v>0</v>
      </c>
      <c r="Q43" s="18">
        <f>Matériaux!M70</f>
        <v>3.4779999999999998E-2</v>
      </c>
    </row>
    <row r="44" spans="2:17" x14ac:dyDescent="0.2">
      <c r="B44" s="11" t="s">
        <v>39</v>
      </c>
      <c r="C44" t="s">
        <v>1</v>
      </c>
      <c r="D44" s="3" t="s">
        <v>42</v>
      </c>
      <c r="E44" t="s">
        <v>25</v>
      </c>
      <c r="N44" s="23" t="s">
        <v>70</v>
      </c>
      <c r="O44" s="21">
        <v>30</v>
      </c>
      <c r="P44" s="22">
        <f>Matériaux!AB21</f>
        <v>0</v>
      </c>
      <c r="Q44" s="22" t="e">
        <f>Matériaux!M21</f>
        <v>#DIV/0!</v>
      </c>
    </row>
    <row r="45" spans="2:17" x14ac:dyDescent="0.2">
      <c r="B45" s="11" t="s">
        <v>40</v>
      </c>
      <c r="N45" s="11" t="s">
        <v>25</v>
      </c>
      <c r="P45" s="3"/>
      <c r="Q45" s="19" t="e">
        <f>SUBTOTAL(109,Tableau33239[Total])</f>
        <v>#REF!</v>
      </c>
    </row>
    <row r="46" spans="2:17" x14ac:dyDescent="0.2">
      <c r="B46" s="11" t="s">
        <v>41</v>
      </c>
    </row>
    <row r="47" spans="2:17" x14ac:dyDescent="0.2">
      <c r="B47" s="11" t="s">
        <v>25</v>
      </c>
      <c r="D47"/>
      <c r="E47" s="13">
        <f>SUBTOTAL(109,Tableau943[Total])</f>
        <v>0</v>
      </c>
    </row>
    <row r="49" spans="2:9" x14ac:dyDescent="0.2">
      <c r="B49" s="11" t="s">
        <v>43</v>
      </c>
      <c r="C49" t="s">
        <v>51</v>
      </c>
      <c r="D49" s="3" t="s">
        <v>52</v>
      </c>
      <c r="E49" t="s">
        <v>25</v>
      </c>
    </row>
    <row r="50" spans="2:9" x14ac:dyDescent="0.2">
      <c r="B50" t="s">
        <v>44</v>
      </c>
      <c r="C50" s="3"/>
      <c r="D50"/>
    </row>
    <row r="51" spans="2:9" x14ac:dyDescent="0.2">
      <c r="B51" s="11" t="s">
        <v>50</v>
      </c>
    </row>
    <row r="52" spans="2:9" x14ac:dyDescent="0.2">
      <c r="B52" t="s">
        <v>25</v>
      </c>
      <c r="D52"/>
      <c r="E52" s="13">
        <f>SUBTOTAL(109,Tableau1745[Total])</f>
        <v>0</v>
      </c>
    </row>
    <row r="55" spans="2:9" x14ac:dyDescent="0.2">
      <c r="B55" s="11" t="s">
        <v>45</v>
      </c>
      <c r="C55" t="s">
        <v>49</v>
      </c>
      <c r="D55" s="2" t="s">
        <v>53</v>
      </c>
      <c r="E55" s="2" t="s">
        <v>25</v>
      </c>
      <c r="F55" s="3"/>
      <c r="G55"/>
      <c r="I55" s="10"/>
    </row>
    <row r="56" spans="2:9" x14ac:dyDescent="0.2">
      <c r="B56" s="11" t="s">
        <v>46</v>
      </c>
      <c r="D56"/>
      <c r="F56" s="3"/>
      <c r="G56"/>
      <c r="I56" s="10"/>
    </row>
    <row r="57" spans="2:9" x14ac:dyDescent="0.2">
      <c r="B57" s="11" t="s">
        <v>47</v>
      </c>
      <c r="D57"/>
      <c r="F57" s="3"/>
      <c r="G57"/>
      <c r="I57" s="10"/>
    </row>
    <row r="58" spans="2:9" x14ac:dyDescent="0.2">
      <c r="B58" s="11" t="s">
        <v>48</v>
      </c>
      <c r="D58"/>
      <c r="F58" s="3"/>
      <c r="G58"/>
      <c r="I58" s="10"/>
    </row>
    <row r="59" spans="2:9" x14ac:dyDescent="0.2">
      <c r="B59" s="11" t="s">
        <v>25</v>
      </c>
      <c r="D59"/>
      <c r="E59" s="26">
        <f>SUBTOTAL(109,Tableau1344[Total])</f>
        <v>0</v>
      </c>
      <c r="F59" s="3"/>
      <c r="G59"/>
      <c r="I59" s="10"/>
    </row>
  </sheetData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0EB98-039A-9147-AEE5-738CD5B4AB75}">
  <dimension ref="B3:B5"/>
  <sheetViews>
    <sheetView topLeftCell="A2" zoomScaleNormal="150" zoomScaleSheetLayoutView="100" workbookViewId="0">
      <selection activeCell="B6" sqref="B6"/>
    </sheetView>
  </sheetViews>
  <sheetFormatPr defaultRowHeight="15" x14ac:dyDescent="0.2"/>
  <sheetData>
    <row r="3" spans="2:2" x14ac:dyDescent="0.2">
      <c r="B3" t="s">
        <v>201</v>
      </c>
    </row>
    <row r="4" spans="2:2" x14ac:dyDescent="0.2">
      <c r="B4" t="s">
        <v>202</v>
      </c>
    </row>
    <row r="5" spans="2:2" x14ac:dyDescent="0.2">
      <c r="B5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34B92-42B5-A946-B59B-D8DB5E8528E5}">
  <dimension ref="A2:T59"/>
  <sheetViews>
    <sheetView tabSelected="1" topLeftCell="A29" zoomScaleNormal="150" zoomScaleSheetLayoutView="100" workbookViewId="0">
      <selection activeCell="E41" sqref="E41"/>
    </sheetView>
  </sheetViews>
  <sheetFormatPr defaultRowHeight="15" x14ac:dyDescent="0.2"/>
  <cols>
    <col min="1" max="1" width="11.703125" bestFit="1" customWidth="1"/>
    <col min="2" max="2" width="22.46484375" style="11" customWidth="1"/>
    <col min="3" max="3" width="20.84765625" customWidth="1"/>
    <col min="4" max="4" width="20.84765625" style="3" customWidth="1"/>
    <col min="5" max="5" width="13.1796875" bestFit="1" customWidth="1"/>
    <col min="6" max="6" width="11.703125" bestFit="1" customWidth="1"/>
    <col min="7" max="7" width="18.96484375" style="10" customWidth="1"/>
    <col min="8" max="8" width="17.62109375" customWidth="1"/>
    <col min="9" max="9" width="16.94921875" customWidth="1"/>
    <col min="13" max="13" width="14.52734375" customWidth="1"/>
    <col min="14" max="14" width="22.46484375" customWidth="1"/>
    <col min="15" max="15" width="14.9296875" customWidth="1"/>
  </cols>
  <sheetData>
    <row r="2" spans="1:7" ht="21.75" x14ac:dyDescent="0.2">
      <c r="B2" s="32" t="s">
        <v>56</v>
      </c>
    </row>
    <row r="3" spans="1:7" ht="21" x14ac:dyDescent="0.3">
      <c r="A3" s="27"/>
      <c r="B3" s="28"/>
      <c r="C3" s="29"/>
      <c r="D3" s="29"/>
      <c r="G3"/>
    </row>
    <row r="4" spans="1:7" ht="39.75" x14ac:dyDescent="0.3">
      <c r="A4" s="30"/>
      <c r="B4" s="31"/>
      <c r="C4" s="36" t="s">
        <v>54</v>
      </c>
      <c r="D4" s="34" t="s">
        <v>43</v>
      </c>
      <c r="E4" s="35" t="s">
        <v>55</v>
      </c>
      <c r="G4"/>
    </row>
    <row r="5" spans="1:7" ht="21" x14ac:dyDescent="0.3">
      <c r="C5" s="36" t="e">
        <f>SUM(Tableau3[[#Totals],[Total]],Tableau4[[#Totals],[Total]],Tableau47[[#Totals],[Total]],Tableau9[[#Totals],[Total]])</f>
        <v>#REF!</v>
      </c>
      <c r="D5" s="38">
        <f>Tableau17[[#Totals],[Total]]</f>
        <v>0</v>
      </c>
      <c r="E5" s="35">
        <f>Tableau13[[#Totals],[Total]]</f>
        <v>0</v>
      </c>
    </row>
    <row r="6" spans="1:7" ht="21" x14ac:dyDescent="0.3">
      <c r="C6" s="37" t="s">
        <v>25</v>
      </c>
      <c r="D6" s="35"/>
      <c r="E6" s="38" t="e">
        <f>SUM(Tableau23[Coûts des materiaux],Tableau23[Salaire],Tableau23[Charge])</f>
        <v>#REF!</v>
      </c>
    </row>
    <row r="17" spans="2:20" ht="15.75" thickBot="1" x14ac:dyDescent="0.25">
      <c r="C17" s="12" t="s">
        <v>34</v>
      </c>
      <c r="D17" s="16"/>
      <c r="H17" s="12" t="s">
        <v>29</v>
      </c>
      <c r="N17" s="12" t="s">
        <v>38</v>
      </c>
      <c r="T17" s="12" t="s">
        <v>189</v>
      </c>
    </row>
    <row r="18" spans="2:20" ht="15.75" thickTop="1" x14ac:dyDescent="0.2"/>
    <row r="20" spans="2:20" x14ac:dyDescent="0.2">
      <c r="B20" s="11" t="s">
        <v>26</v>
      </c>
      <c r="C20" t="s">
        <v>27</v>
      </c>
      <c r="D20" s="5" t="s">
        <v>31</v>
      </c>
      <c r="E20" t="s">
        <v>25</v>
      </c>
      <c r="G20" s="15" t="s">
        <v>26</v>
      </c>
      <c r="H20" t="s">
        <v>27</v>
      </c>
      <c r="I20" s="11" t="s">
        <v>32</v>
      </c>
      <c r="J20" t="s">
        <v>25</v>
      </c>
      <c r="M20" s="15" t="s">
        <v>26</v>
      </c>
      <c r="N20" t="s">
        <v>27</v>
      </c>
      <c r="O20" s="11" t="s">
        <v>32</v>
      </c>
      <c r="P20" t="s">
        <v>25</v>
      </c>
    </row>
    <row r="21" spans="2:20" x14ac:dyDescent="0.2">
      <c r="B21" s="20" t="s">
        <v>2</v>
      </c>
      <c r="C21" s="21">
        <v>95</v>
      </c>
      <c r="D21" s="63">
        <f>Matériaux!M18</f>
        <v>6.9000000000000006E-2</v>
      </c>
      <c r="E21" s="22">
        <f>Tableau3[[#This Row],[Quantité/g ou ml]]*Tableau3[[#This Row],[Prix TTC/g et ml]]</f>
        <v>6.5550000000000006</v>
      </c>
      <c r="G21" s="17" t="s">
        <v>2</v>
      </c>
      <c r="H21">
        <v>0</v>
      </c>
      <c r="I21" s="18">
        <f>Matériaux!M18</f>
        <v>6.9000000000000006E-2</v>
      </c>
      <c r="J21">
        <f>Tableau4[[#This Row],[Prix TTC/ g et ml]]*Tableau4[[#This Row],[Quantité/g ou ml]]</f>
        <v>0</v>
      </c>
      <c r="M21" s="17" t="s">
        <v>2</v>
      </c>
      <c r="N21">
        <v>0</v>
      </c>
      <c r="O21" s="18">
        <f>Matériaux!Q18</f>
        <v>0</v>
      </c>
      <c r="P21">
        <f>Tableau47[[#This Row],[Prix TTC/ g et ml]]*Tableau47[[#This Row],[Quantité/g ou ml]]</f>
        <v>0</v>
      </c>
    </row>
    <row r="22" spans="2:20" ht="27.75" x14ac:dyDescent="0.2">
      <c r="B22" s="23" t="s">
        <v>3</v>
      </c>
      <c r="C22" s="21">
        <v>280</v>
      </c>
      <c r="D22" s="63">
        <f>Matériaux!M19</f>
        <v>3.4500000000000003E-2</v>
      </c>
      <c r="E22" s="22">
        <f>Tableau3[[#This Row],[Quantité/g ou ml]]*Tableau3[[#This Row],[Prix TTC/g et ml]]</f>
        <v>9.66</v>
      </c>
      <c r="G22" s="17" t="s">
        <v>3</v>
      </c>
      <c r="H22">
        <v>0</v>
      </c>
      <c r="I22" s="18">
        <f>Matériaux!M19</f>
        <v>3.4500000000000003E-2</v>
      </c>
      <c r="J22">
        <f>Tableau4[[#This Row],[Prix TTC/ g et ml]]*Tableau4[[#This Row],[Quantité/g ou ml]]</f>
        <v>0</v>
      </c>
      <c r="M22" s="17" t="s">
        <v>3</v>
      </c>
      <c r="N22">
        <v>0</v>
      </c>
      <c r="O22" s="18">
        <f>Matériaux!Q19</f>
        <v>0</v>
      </c>
      <c r="P22">
        <f>Tableau47[[#This Row],[Prix TTC/ g et ml]]*Tableau47[[#This Row],[Quantité/g ou ml]]</f>
        <v>0</v>
      </c>
    </row>
    <row r="23" spans="2:20" ht="27.75" x14ac:dyDescent="0.2">
      <c r="B23" s="2" t="s">
        <v>4</v>
      </c>
      <c r="C23">
        <v>0</v>
      </c>
      <c r="D23" s="3">
        <f>Matériaux!M20</f>
        <v>3.4500000000000003E-2</v>
      </c>
      <c r="E23" s="18">
        <f>Tableau3[[#This Row],[Quantité/g ou ml]]*Tableau3[[#This Row],[Prix TTC/g et ml]]</f>
        <v>0</v>
      </c>
      <c r="G23" s="17" t="s">
        <v>4</v>
      </c>
      <c r="H23">
        <v>0</v>
      </c>
      <c r="I23" s="18">
        <f>Matériaux!M20</f>
        <v>3.4500000000000003E-2</v>
      </c>
      <c r="J23">
        <f>Tableau4[[#This Row],[Prix TTC/ g et ml]]*Tableau4[[#This Row],[Quantité/g ou ml]]</f>
        <v>0</v>
      </c>
      <c r="M23" s="17" t="s">
        <v>4</v>
      </c>
      <c r="N23">
        <v>0</v>
      </c>
      <c r="O23" s="18">
        <f>Matériaux!Q20</f>
        <v>0</v>
      </c>
      <c r="P23">
        <f>Tableau47[[#This Row],[Prix TTC/ g et ml]]*Tableau47[[#This Row],[Quantité/g ou ml]]</f>
        <v>0</v>
      </c>
    </row>
    <row r="24" spans="2:20" ht="27.75" x14ac:dyDescent="0.2">
      <c r="B24" s="2" t="s">
        <v>5</v>
      </c>
      <c r="C24">
        <v>0</v>
      </c>
      <c r="D24" s="3">
        <f>Matériaux!M23</f>
        <v>3.9100000000000003E-2</v>
      </c>
      <c r="E24" s="18">
        <f>Tableau3[[#This Row],[Quantité/g ou ml]]*Tableau3[[#This Row],[Prix TTC/g et ml]]</f>
        <v>0</v>
      </c>
      <c r="G24" s="17" t="s">
        <v>5</v>
      </c>
      <c r="H24">
        <v>0</v>
      </c>
      <c r="I24" s="18">
        <f>Matériaux!M23</f>
        <v>3.9100000000000003E-2</v>
      </c>
      <c r="J24">
        <f>Tableau4[[#This Row],[Prix TTC/ g et ml]]*Tableau4[[#This Row],[Quantité/g ou ml]]</f>
        <v>0</v>
      </c>
      <c r="M24" s="17" t="s">
        <v>5</v>
      </c>
      <c r="N24">
        <v>0</v>
      </c>
      <c r="O24" s="18">
        <f>Matériaux!Q23</f>
        <v>0</v>
      </c>
      <c r="P24">
        <f>Tableau47[[#This Row],[Prix TTC/ g et ml]]*Tableau47[[#This Row],[Quantité/g ou ml]]</f>
        <v>0</v>
      </c>
    </row>
    <row r="25" spans="2:20" x14ac:dyDescent="0.2">
      <c r="B25" s="2" t="s">
        <v>6</v>
      </c>
      <c r="C25">
        <v>0</v>
      </c>
      <c r="D25" s="3">
        <f>Matériaux!M24</f>
        <v>2.06E-2</v>
      </c>
      <c r="E25" s="18">
        <f>Tableau3[[#This Row],[Quantité/g ou ml]]*Tableau3[[#This Row],[Prix TTC/g et ml]]</f>
        <v>0</v>
      </c>
      <c r="G25" s="23" t="s">
        <v>6</v>
      </c>
      <c r="H25" s="21">
        <v>250</v>
      </c>
      <c r="I25" s="22">
        <f>Matériaux!M24</f>
        <v>2.06E-2</v>
      </c>
      <c r="J25" s="21">
        <f>Tableau4[[#This Row],[Prix TTC/ g et ml]]*Tableau4[[#This Row],[Quantité/g ou ml]]</f>
        <v>5.15</v>
      </c>
      <c r="M25" s="23" t="s">
        <v>6</v>
      </c>
      <c r="N25" s="21">
        <v>250</v>
      </c>
      <c r="O25" s="22">
        <f>Matériaux!Q24</f>
        <v>0</v>
      </c>
      <c r="P25" s="21">
        <f>Tableau47[[#This Row],[Prix TTC/ g et ml]]*Tableau47[[#This Row],[Quantité/g ou ml]]</f>
        <v>0</v>
      </c>
    </row>
    <row r="26" spans="2:20" x14ac:dyDescent="0.2">
      <c r="B26" s="2" t="s">
        <v>7</v>
      </c>
      <c r="C26">
        <v>0</v>
      </c>
      <c r="D26" s="3">
        <f>Matériaux!M25</f>
        <v>0.17499999999999999</v>
      </c>
      <c r="E26" s="18">
        <f>Tableau3[[#This Row],[Quantité/g ou ml]]*Tableau3[[#This Row],[Prix TTC/g et ml]]</f>
        <v>0</v>
      </c>
      <c r="G26" s="17" t="s">
        <v>7</v>
      </c>
      <c r="H26">
        <v>0</v>
      </c>
      <c r="I26" s="18">
        <f>Matériaux!M25</f>
        <v>0.17499999999999999</v>
      </c>
      <c r="J26">
        <f>Tableau4[[#This Row],[Prix TTC/ g et ml]]*Tableau4[[#This Row],[Quantité/g ou ml]]</f>
        <v>0</v>
      </c>
      <c r="M26" s="17" t="s">
        <v>7</v>
      </c>
      <c r="N26">
        <v>0</v>
      </c>
      <c r="O26" s="18">
        <f>Matériaux!Q25</f>
        <v>0</v>
      </c>
      <c r="P26">
        <f>Tableau47[[#This Row],[Prix TTC/ g et ml]]*Tableau47[[#This Row],[Quantité/g ou ml]]</f>
        <v>0</v>
      </c>
    </row>
    <row r="27" spans="2:20" x14ac:dyDescent="0.2">
      <c r="B27" s="2" t="s">
        <v>8</v>
      </c>
      <c r="C27">
        <v>0</v>
      </c>
      <c r="D27" s="3" t="e">
        <f>Matériaux!#REF!</f>
        <v>#REF!</v>
      </c>
      <c r="E27" s="18" t="e">
        <f>Tableau3[[#This Row],[Quantité/g ou ml]]*Tableau3[[#This Row],[Prix TTC/g et ml]]</f>
        <v>#REF!</v>
      </c>
      <c r="G27" s="17" t="s">
        <v>8</v>
      </c>
      <c r="H27">
        <v>0</v>
      </c>
      <c r="I27" s="18" t="e">
        <f>Matériaux!#REF!</f>
        <v>#REF!</v>
      </c>
      <c r="J27" t="e">
        <f>Tableau4[[#This Row],[Prix TTC/ g et ml]]*Tableau4[[#This Row],[Quantité/g ou ml]]</f>
        <v>#REF!</v>
      </c>
      <c r="M27" s="17" t="s">
        <v>8</v>
      </c>
      <c r="N27">
        <v>0</v>
      </c>
      <c r="O27" s="18" t="e">
        <f>Matériaux!#REF!</f>
        <v>#REF!</v>
      </c>
      <c r="P27" t="e">
        <f>Tableau47[[#This Row],[Prix TTC/ g et ml]]*Tableau47[[#This Row],[Quantité/g ou ml]]</f>
        <v>#REF!</v>
      </c>
    </row>
    <row r="28" spans="2:20" x14ac:dyDescent="0.2">
      <c r="B28" s="2" t="s">
        <v>9</v>
      </c>
      <c r="C28">
        <v>0</v>
      </c>
      <c r="D28" s="3">
        <f ca="1">Matériaux!M28</f>
        <v>0</v>
      </c>
      <c r="E28" s="18">
        <f ca="1">Tableau3[[#This Row],[Quantité/g ou ml]]*Tableau3[[#This Row],[Prix TTC/g et ml]]</f>
        <v>0</v>
      </c>
      <c r="G28" s="17" t="s">
        <v>9</v>
      </c>
      <c r="H28">
        <v>0</v>
      </c>
      <c r="I28" s="18">
        <f ca="1">Matériaux!M28</f>
        <v>0</v>
      </c>
      <c r="J28">
        <f ca="1">Tableau4[[#This Row],[Prix TTC/ g et ml]]*Tableau4[[#This Row],[Quantité/g ou ml]]</f>
        <v>0</v>
      </c>
      <c r="M28" s="17" t="s">
        <v>9</v>
      </c>
      <c r="N28">
        <v>0</v>
      </c>
      <c r="O28" s="18">
        <f>Matériaux!Q28</f>
        <v>0</v>
      </c>
      <c r="P28">
        <f>Tableau47[[#This Row],[Prix TTC/ g et ml]]*Tableau47[[#This Row],[Quantité/g ou ml]]</f>
        <v>0</v>
      </c>
    </row>
    <row r="29" spans="2:20" x14ac:dyDescent="0.2">
      <c r="B29" s="2" t="s">
        <v>10</v>
      </c>
      <c r="C29">
        <v>0</v>
      </c>
      <c r="D29" s="3">
        <f>Matériaux!M45</f>
        <v>0.27500000000000002</v>
      </c>
      <c r="E29" s="18">
        <f>Tableau3[[#This Row],[Quantité/g ou ml]]*Tableau3[[#This Row],[Prix TTC/g et ml]]</f>
        <v>0</v>
      </c>
      <c r="G29" s="17" t="s">
        <v>10</v>
      </c>
      <c r="H29">
        <v>0</v>
      </c>
      <c r="I29" s="18">
        <f>Matériaux!M45</f>
        <v>0.27500000000000002</v>
      </c>
      <c r="J29">
        <f>Tableau4[[#This Row],[Prix TTC/ g et ml]]*Tableau4[[#This Row],[Quantité/g ou ml]]</f>
        <v>0</v>
      </c>
      <c r="M29" s="17" t="s">
        <v>10</v>
      </c>
      <c r="N29">
        <v>0</v>
      </c>
      <c r="O29" s="18">
        <f>Matériaux!Q40</f>
        <v>0</v>
      </c>
      <c r="P29">
        <f>Tableau47[[#This Row],[Prix TTC/ g et ml]]*Tableau47[[#This Row],[Quantité/g ou ml]]</f>
        <v>0</v>
      </c>
    </row>
    <row r="30" spans="2:20" ht="27.75" x14ac:dyDescent="0.2">
      <c r="B30" s="2" t="s">
        <v>11</v>
      </c>
      <c r="C30">
        <v>0</v>
      </c>
      <c r="D30" s="3">
        <f ca="1">Matériaux!M26</f>
        <v>0</v>
      </c>
      <c r="E30" s="18">
        <f ca="1">Tableau3[[#This Row],[Quantité/g ou ml]]*Tableau3[[#This Row],[Prix TTC/g et ml]]</f>
        <v>0</v>
      </c>
      <c r="G30" s="17" t="s">
        <v>11</v>
      </c>
      <c r="H30">
        <v>0</v>
      </c>
      <c r="I30" s="18">
        <f ca="1">Matériaux!M26</f>
        <v>0</v>
      </c>
      <c r="J30">
        <f ca="1">Tableau4[[#This Row],[Prix TTC/ g et ml]]*Tableau4[[#This Row],[Quantité/g ou ml]]</f>
        <v>0</v>
      </c>
      <c r="M30" s="17" t="s">
        <v>11</v>
      </c>
      <c r="N30">
        <v>0</v>
      </c>
      <c r="O30" s="18">
        <f>Matériaux!Q26</f>
        <v>0</v>
      </c>
      <c r="P30">
        <f>Tableau47[[#This Row],[Prix TTC/ g et ml]]*Tableau47[[#This Row],[Quantité/g ou ml]]</f>
        <v>0</v>
      </c>
    </row>
    <row r="31" spans="2:20" x14ac:dyDescent="0.2">
      <c r="B31" s="23" t="s">
        <v>12</v>
      </c>
      <c r="C31" s="21">
        <v>0.5</v>
      </c>
      <c r="D31" s="63">
        <f>Matériaux!M29</f>
        <v>0</v>
      </c>
      <c r="E31" s="22">
        <f>Tableau3[[#This Row],[Quantité/g ou ml]]*Tableau3[[#This Row],[Prix TTC/g et ml]]</f>
        <v>0</v>
      </c>
      <c r="G31" s="23" t="s">
        <v>12</v>
      </c>
      <c r="H31" s="21">
        <v>0.5</v>
      </c>
      <c r="I31" s="22">
        <f>Matériaux!M29</f>
        <v>0</v>
      </c>
      <c r="J31" s="21">
        <f>Tableau4[[#This Row],[Prix TTC/ g et ml]]*Tableau4[[#This Row],[Quantité/g ou ml]]</f>
        <v>0</v>
      </c>
      <c r="M31" s="23" t="s">
        <v>12</v>
      </c>
      <c r="N31" s="21">
        <v>0.5</v>
      </c>
      <c r="O31" s="22">
        <f>Matériaux!Q29</f>
        <v>0</v>
      </c>
      <c r="P31" s="21">
        <f>Tableau47[[#This Row],[Prix TTC/ g et ml]]*Tableau47[[#This Row],[Quantité/g ou ml]]</f>
        <v>0</v>
      </c>
    </row>
    <row r="32" spans="2:20" x14ac:dyDescent="0.2">
      <c r="B32" s="2" t="s">
        <v>13</v>
      </c>
      <c r="C32">
        <v>0</v>
      </c>
      <c r="D32" s="3">
        <f>Matériaux!M30</f>
        <v>1.8</v>
      </c>
      <c r="E32" s="18">
        <f>Tableau3[[#This Row],[Quantité/g ou ml]]*Tableau3[[#This Row],[Prix TTC/g et ml]]</f>
        <v>0</v>
      </c>
      <c r="G32" s="17" t="s">
        <v>13</v>
      </c>
      <c r="H32">
        <v>0</v>
      </c>
      <c r="I32" s="18">
        <f>Matériaux!M30</f>
        <v>1.8</v>
      </c>
      <c r="J32">
        <f>Tableau4[[#This Row],[Prix TTC/ g et ml]]*Tableau4[[#This Row],[Quantité/g ou ml]]</f>
        <v>0</v>
      </c>
      <c r="M32" s="17" t="s">
        <v>13</v>
      </c>
      <c r="N32">
        <v>0</v>
      </c>
      <c r="O32" s="18">
        <f>Matériaux!Q30</f>
        <v>0</v>
      </c>
      <c r="P32">
        <f>Tableau47[[#This Row],[Prix TTC/ g et ml]]*Tableau47[[#This Row],[Quantité/g ou ml]]</f>
        <v>0</v>
      </c>
    </row>
    <row r="33" spans="2:16" x14ac:dyDescent="0.2">
      <c r="B33" s="2" t="s">
        <v>14</v>
      </c>
      <c r="C33">
        <v>0</v>
      </c>
      <c r="D33" s="3">
        <f>Matériaux!M31</f>
        <v>1.8</v>
      </c>
      <c r="E33" s="18">
        <f>Tableau3[[#This Row],[Quantité/g ou ml]]*Tableau3[[#This Row],[Prix TTC/g et ml]]</f>
        <v>0</v>
      </c>
      <c r="G33" s="17" t="s">
        <v>14</v>
      </c>
      <c r="H33">
        <v>0</v>
      </c>
      <c r="I33" s="18">
        <f>Matériaux!M31</f>
        <v>1.8</v>
      </c>
      <c r="J33">
        <f>Tableau4[[#This Row],[Prix TTC/ g et ml]]*Tableau4[[#This Row],[Quantité/g ou ml]]</f>
        <v>0</v>
      </c>
      <c r="M33" s="17" t="s">
        <v>14</v>
      </c>
      <c r="N33">
        <v>0</v>
      </c>
      <c r="O33" s="18">
        <f>Matériaux!Q31</f>
        <v>0</v>
      </c>
      <c r="P33">
        <f>Tableau47[[#This Row],[Prix TTC/ g et ml]]*Tableau47[[#This Row],[Quantité/g ou ml]]</f>
        <v>0</v>
      </c>
    </row>
    <row r="34" spans="2:16" x14ac:dyDescent="0.2">
      <c r="B34" s="23" t="s">
        <v>15</v>
      </c>
      <c r="C34" s="21">
        <v>0.5</v>
      </c>
      <c r="D34" s="63">
        <f>Matériaux!M32</f>
        <v>1.8</v>
      </c>
      <c r="E34" s="22">
        <f>Tableau3[[#This Row],[Quantité/g ou ml]]*Tableau3[[#This Row],[Prix TTC/g et ml]]</f>
        <v>0.9</v>
      </c>
      <c r="G34" s="23" t="s">
        <v>15</v>
      </c>
      <c r="H34" s="21">
        <v>0.5</v>
      </c>
      <c r="I34" s="22">
        <f>Matériaux!M32</f>
        <v>1.8</v>
      </c>
      <c r="J34" s="21">
        <f>Tableau4[[#This Row],[Prix TTC/ g et ml]]*Tableau4[[#This Row],[Quantité/g ou ml]]</f>
        <v>0.9</v>
      </c>
      <c r="M34" s="23" t="s">
        <v>15</v>
      </c>
      <c r="N34" s="21">
        <v>0.5</v>
      </c>
      <c r="O34" s="22">
        <f>Matériaux!Q32</f>
        <v>0</v>
      </c>
      <c r="P34" s="21">
        <f>Tableau47[[#This Row],[Prix TTC/ g et ml]]*Tableau47[[#This Row],[Quantité/g ou ml]]</f>
        <v>0</v>
      </c>
    </row>
    <row r="35" spans="2:16" x14ac:dyDescent="0.2">
      <c r="B35" s="2" t="s">
        <v>16</v>
      </c>
      <c r="C35">
        <v>0</v>
      </c>
      <c r="D35" s="3">
        <f>Matériaux!M34</f>
        <v>1.8</v>
      </c>
      <c r="E35" s="18">
        <f>Tableau3[[#This Row],[Quantité/g ou ml]]*Tableau3[[#This Row],[Prix TTC/g et ml]]</f>
        <v>0</v>
      </c>
      <c r="G35" s="17" t="s">
        <v>16</v>
      </c>
      <c r="H35">
        <v>0</v>
      </c>
      <c r="I35" s="18">
        <f>Matériaux!M34</f>
        <v>1.8</v>
      </c>
      <c r="J35">
        <f>Tableau4[[#This Row],[Prix TTC/ g et ml]]*Tableau4[[#This Row],[Quantité/g ou ml]]</f>
        <v>0</v>
      </c>
      <c r="M35" s="17" t="s">
        <v>16</v>
      </c>
      <c r="N35">
        <v>0</v>
      </c>
      <c r="O35" s="18">
        <f>Matériaux!Q33</f>
        <v>0</v>
      </c>
      <c r="P35">
        <f>Tableau47[[#This Row],[Prix TTC/ g et ml]]*Tableau47[[#This Row],[Quantité/g ou ml]]</f>
        <v>0</v>
      </c>
    </row>
    <row r="36" spans="2:16" x14ac:dyDescent="0.2">
      <c r="B36" s="2" t="s">
        <v>17</v>
      </c>
      <c r="C36">
        <v>0</v>
      </c>
      <c r="D36" s="3">
        <f>Matériaux!M35</f>
        <v>1.8</v>
      </c>
      <c r="E36" s="18">
        <f>Tableau3[[#This Row],[Quantité/g ou ml]]*Tableau3[[#This Row],[Prix TTC/g et ml]]</f>
        <v>0</v>
      </c>
      <c r="G36" s="17" t="s">
        <v>17</v>
      </c>
      <c r="H36">
        <v>0</v>
      </c>
      <c r="I36" s="18">
        <f>Matériaux!M35</f>
        <v>1.8</v>
      </c>
      <c r="J36">
        <f>Tableau4[[#This Row],[Prix TTC/ g et ml]]*Tableau4[[#This Row],[Quantité/g ou ml]]</f>
        <v>0</v>
      </c>
      <c r="M36" s="17" t="s">
        <v>17</v>
      </c>
      <c r="N36">
        <v>0</v>
      </c>
      <c r="O36" s="18">
        <f>Matériaux!Q34</f>
        <v>0</v>
      </c>
      <c r="P36">
        <f>Tableau47[[#This Row],[Prix TTC/ g et ml]]*Tableau47[[#This Row],[Quantité/g ou ml]]</f>
        <v>0</v>
      </c>
    </row>
    <row r="37" spans="2:16" x14ac:dyDescent="0.2">
      <c r="B37" s="2" t="s">
        <v>18</v>
      </c>
      <c r="C37">
        <v>0</v>
      </c>
      <c r="D37" s="3" t="e">
        <f>Matériaux!#REF!</f>
        <v>#REF!</v>
      </c>
      <c r="E37" s="18" t="e">
        <f>Tableau3[[#This Row],[Quantité/g ou ml]]*Tableau3[[#This Row],[Prix TTC/g et ml]]</f>
        <v>#REF!</v>
      </c>
      <c r="G37" s="23" t="s">
        <v>18</v>
      </c>
      <c r="H37" s="21">
        <v>2</v>
      </c>
      <c r="I37" s="22" t="e">
        <f>Matériaux!#REF!</f>
        <v>#REF!</v>
      </c>
      <c r="J37" s="21" t="e">
        <f>Tableau4[[#This Row],[Prix TTC/ g et ml]]*Tableau4[[#This Row],[Quantité/g ou ml]]</f>
        <v>#REF!</v>
      </c>
      <c r="M37" s="23" t="s">
        <v>18</v>
      </c>
      <c r="N37" s="21">
        <v>2</v>
      </c>
      <c r="O37" s="22">
        <f>Matériaux!Q52</f>
        <v>0</v>
      </c>
      <c r="P37" s="21">
        <f>Tableau47[[#This Row],[Prix TTC/ g et ml]]*Tableau47[[#This Row],[Quantité/g ou ml]]</f>
        <v>0</v>
      </c>
    </row>
    <row r="38" spans="2:16" x14ac:dyDescent="0.2">
      <c r="B38" s="23" t="s">
        <v>30</v>
      </c>
      <c r="C38" s="21">
        <v>15</v>
      </c>
      <c r="D38" s="63">
        <f>Matériaux!M66</f>
        <v>8.9999999999999993E-3</v>
      </c>
      <c r="E38" s="22">
        <f>Tableau3[[#This Row],[Quantité/g ou ml]]*Tableau3[[#This Row],[Prix TTC/g et ml]]</f>
        <v>0.13499999999999998</v>
      </c>
      <c r="G38" s="23" t="s">
        <v>30</v>
      </c>
      <c r="H38" s="21">
        <v>350</v>
      </c>
      <c r="I38" s="22">
        <f>Matériaux!M66</f>
        <v>8.9999999999999993E-3</v>
      </c>
      <c r="J38" s="21">
        <f>Tableau4[[#This Row],[Prix TTC/ g et ml]]*Tableau4[[#This Row],[Quantité/g ou ml]]</f>
        <v>3.15</v>
      </c>
      <c r="M38" s="23" t="s">
        <v>30</v>
      </c>
      <c r="N38" s="21">
        <v>350</v>
      </c>
      <c r="O38" s="22">
        <f>Matériaux!Q55</f>
        <v>0</v>
      </c>
      <c r="P38" s="21">
        <f>Tableau47[[#This Row],[Prix TTC/ g et ml]]*Tableau47[[#This Row],[Quantité/g ou ml]]</f>
        <v>0</v>
      </c>
    </row>
    <row r="39" spans="2:16" ht="41.25" x14ac:dyDescent="0.2">
      <c r="B39" s="2" t="s">
        <v>19</v>
      </c>
      <c r="C39">
        <v>0</v>
      </c>
      <c r="D39" s="3">
        <f ca="1">Matériaux!M67</f>
        <v>0</v>
      </c>
      <c r="E39" s="18">
        <f ca="1">Tableau3[[#This Row],[Quantité/g ou ml]]*Tableau3[[#This Row],[Prix TTC/g et ml]]</f>
        <v>0</v>
      </c>
      <c r="G39" s="23" t="s">
        <v>19</v>
      </c>
      <c r="H39" s="21">
        <v>25</v>
      </c>
      <c r="I39" s="22">
        <f ca="1">Matériaux!M67</f>
        <v>0</v>
      </c>
      <c r="J39" s="21">
        <f ca="1">Tableau4[[#This Row],[Prix TTC/ g et ml]]*Tableau4[[#This Row],[Quantité/g ou ml]]</f>
        <v>0</v>
      </c>
      <c r="M39" s="23" t="s">
        <v>19</v>
      </c>
      <c r="N39" s="21">
        <v>25</v>
      </c>
      <c r="O39" s="22">
        <f>Matériaux!Q56</f>
        <v>0</v>
      </c>
      <c r="P39" s="21">
        <f>Tableau47[[#This Row],[Prix TTC/ g et ml]]*Tableau47[[#This Row],[Quantité/g ou ml]]</f>
        <v>0</v>
      </c>
    </row>
    <row r="40" spans="2:16" x14ac:dyDescent="0.2">
      <c r="B40" s="2" t="s">
        <v>37</v>
      </c>
      <c r="C40">
        <v>0</v>
      </c>
      <c r="D40" s="3" t="e">
        <f>Matériaux!M27</f>
        <v>#DIV/0!</v>
      </c>
      <c r="E40" s="18" t="e">
        <f>Tableau3[[#This Row],[Quantité/g ou ml]]*Tableau3[[#This Row],[Prix TTC/g et ml]]</f>
        <v>#DIV/0!</v>
      </c>
      <c r="G40" s="23" t="s">
        <v>37</v>
      </c>
      <c r="H40" s="21"/>
      <c r="I40" s="22" t="e">
        <f>Matériaux!M27</f>
        <v>#DIV/0!</v>
      </c>
      <c r="J40" s="25" t="e">
        <f>Tableau4[[#This Row],[Prix TTC/ g et ml]]*Tableau4[[#This Row],[Quantité/g ou ml]]</f>
        <v>#DIV/0!</v>
      </c>
      <c r="M40" s="23" t="s">
        <v>37</v>
      </c>
      <c r="N40" s="21"/>
      <c r="O40" s="22">
        <f>Matériaux!Q27</f>
        <v>0</v>
      </c>
      <c r="P40" s="25">
        <f>Tableau47[[#This Row],[Prix TTC/ g et ml]]*Tableau47[[#This Row],[Quantité/g ou ml]]</f>
        <v>0</v>
      </c>
    </row>
    <row r="41" spans="2:16" x14ac:dyDescent="0.2">
      <c r="B41" s="11" t="s">
        <v>25</v>
      </c>
      <c r="E41" s="19" t="e">
        <f>SUBTOTAL(109,Tableau3[Total])</f>
        <v>#REF!</v>
      </c>
      <c r="G41" s="14" t="s">
        <v>25</v>
      </c>
      <c r="J41" s="13" t="e">
        <f>SUBTOTAL(109,Tableau4[Total])</f>
        <v>#REF!</v>
      </c>
      <c r="M41" s="14" t="s">
        <v>25</v>
      </c>
      <c r="P41" s="13" t="e">
        <f>SUBTOTAL(109,Tableau47[Total])</f>
        <v>#REF!</v>
      </c>
    </row>
    <row r="44" spans="2:16" x14ac:dyDescent="0.2">
      <c r="B44" s="11" t="s">
        <v>39</v>
      </c>
      <c r="C44" t="s">
        <v>1</v>
      </c>
      <c r="D44" s="3" t="s">
        <v>42</v>
      </c>
      <c r="E44" t="s">
        <v>25</v>
      </c>
    </row>
    <row r="45" spans="2:16" x14ac:dyDescent="0.2">
      <c r="B45" s="11" t="s">
        <v>40</v>
      </c>
    </row>
    <row r="46" spans="2:16" x14ac:dyDescent="0.2">
      <c r="B46" s="11" t="s">
        <v>41</v>
      </c>
    </row>
    <row r="47" spans="2:16" x14ac:dyDescent="0.2">
      <c r="B47" s="11" t="s">
        <v>25</v>
      </c>
      <c r="D47"/>
      <c r="E47" s="13">
        <f>SUBTOTAL(109,Tableau9[Total])</f>
        <v>0</v>
      </c>
    </row>
    <row r="49" spans="2:9" x14ac:dyDescent="0.2">
      <c r="B49" s="11" t="s">
        <v>43</v>
      </c>
      <c r="C49" t="s">
        <v>51</v>
      </c>
      <c r="D49" s="3" t="s">
        <v>52</v>
      </c>
      <c r="E49" t="s">
        <v>25</v>
      </c>
    </row>
    <row r="50" spans="2:9" x14ac:dyDescent="0.2">
      <c r="B50" t="s">
        <v>44</v>
      </c>
      <c r="C50" s="3"/>
      <c r="D50"/>
    </row>
    <row r="51" spans="2:9" x14ac:dyDescent="0.2">
      <c r="B51" s="11" t="s">
        <v>50</v>
      </c>
    </row>
    <row r="52" spans="2:9" x14ac:dyDescent="0.2">
      <c r="B52" t="s">
        <v>25</v>
      </c>
      <c r="D52"/>
      <c r="E52" s="13">
        <f>SUBTOTAL(109,Tableau17[Total])</f>
        <v>0</v>
      </c>
    </row>
    <row r="55" spans="2:9" x14ac:dyDescent="0.2">
      <c r="B55" s="11" t="s">
        <v>45</v>
      </c>
      <c r="C55" t="s">
        <v>49</v>
      </c>
      <c r="D55" s="2" t="s">
        <v>53</v>
      </c>
      <c r="E55" s="2" t="s">
        <v>25</v>
      </c>
      <c r="F55" s="3"/>
      <c r="G55"/>
      <c r="I55" s="10"/>
    </row>
    <row r="56" spans="2:9" x14ac:dyDescent="0.2">
      <c r="B56" s="11" t="s">
        <v>46</v>
      </c>
      <c r="D56"/>
      <c r="F56" s="3"/>
      <c r="G56"/>
      <c r="I56" s="10"/>
    </row>
    <row r="57" spans="2:9" x14ac:dyDescent="0.2">
      <c r="B57" s="11" t="s">
        <v>47</v>
      </c>
      <c r="D57"/>
      <c r="F57" s="3"/>
      <c r="G57"/>
      <c r="I57" s="10"/>
    </row>
    <row r="58" spans="2:9" x14ac:dyDescent="0.2">
      <c r="B58" s="11" t="s">
        <v>48</v>
      </c>
      <c r="D58"/>
      <c r="F58" s="3"/>
      <c r="G58"/>
      <c r="I58" s="10"/>
    </row>
    <row r="59" spans="2:9" x14ac:dyDescent="0.2">
      <c r="B59" s="11" t="s">
        <v>25</v>
      </c>
      <c r="D59"/>
      <c r="E59" s="26">
        <f>SUBTOTAL(109,Tableau13[Total])</f>
        <v>0</v>
      </c>
      <c r="F59" s="3"/>
      <c r="G59"/>
      <c r="I59" s="10"/>
    </row>
  </sheetData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AEAED-453C-F749-AAA4-F5137D30E94D}">
  <dimension ref="A1"/>
  <sheetViews>
    <sheetView topLeftCell="A4" zoomScaleNormal="150" zoomScaleSheetLayoutView="100" workbookViewId="0">
      <selection activeCell="B4" sqref="B4:B58"/>
    </sheetView>
  </sheetViews>
  <sheetFormatPr defaultRowHeight="15" x14ac:dyDescent="0.2"/>
  <sheetData>
    <row r="1" spans="1:1" x14ac:dyDescent="0.2">
      <c r="A1" t="s">
        <v>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9C320-076B-EA45-86C0-81CDEB7ED22D}">
  <dimension ref="B3:P62"/>
  <sheetViews>
    <sheetView topLeftCell="A64" zoomScaleNormal="150" zoomScaleSheetLayoutView="100" workbookViewId="0">
      <selection activeCell="D9" sqref="D9"/>
    </sheetView>
  </sheetViews>
  <sheetFormatPr defaultRowHeight="15" x14ac:dyDescent="0.2"/>
  <cols>
    <col min="2" max="2" width="32.28515625" customWidth="1"/>
    <col min="3" max="3" width="10.76171875" bestFit="1" customWidth="1"/>
    <col min="4" max="4" width="11.8359375" customWidth="1"/>
    <col min="8" max="8" width="18.83203125" customWidth="1"/>
    <col min="9" max="9" width="13.71875" bestFit="1" customWidth="1"/>
    <col min="10" max="10" width="16.6796875" customWidth="1"/>
    <col min="11" max="11" width="12.10546875" customWidth="1"/>
    <col min="13" max="13" width="20.4453125" customWidth="1"/>
    <col min="14" max="14" width="11.02734375" customWidth="1"/>
    <col min="15" max="15" width="12.23828125" customWidth="1"/>
  </cols>
  <sheetData>
    <row r="3" spans="2:16" ht="15.75" thickBot="1" x14ac:dyDescent="0.25">
      <c r="B3" s="12" t="s">
        <v>209</v>
      </c>
      <c r="H3" s="127" t="s">
        <v>210</v>
      </c>
      <c r="M3" s="12" t="s">
        <v>214</v>
      </c>
    </row>
    <row r="4" spans="2:16" ht="15.75" thickTop="1" x14ac:dyDescent="0.2">
      <c r="H4" cm="1">
        <f t="array" ref="H4">Tableau11[Total au kg]/1000</f>
        <v>1.2088696034782609</v>
      </c>
    </row>
    <row r="6" spans="2:16" x14ac:dyDescent="0.2">
      <c r="B6" s="123" t="s">
        <v>0</v>
      </c>
      <c r="C6" t="s">
        <v>1</v>
      </c>
      <c r="D6" t="s">
        <v>207</v>
      </c>
      <c r="E6" t="s">
        <v>25</v>
      </c>
      <c r="H6" t="s">
        <v>208</v>
      </c>
      <c r="I6" t="s">
        <v>51</v>
      </c>
      <c r="J6" t="s">
        <v>212</v>
      </c>
      <c r="K6" t="s">
        <v>213</v>
      </c>
      <c r="M6" s="96" t="s">
        <v>0</v>
      </c>
      <c r="N6" t="s">
        <v>1</v>
      </c>
      <c r="O6" t="s">
        <v>215</v>
      </c>
      <c r="P6" t="s">
        <v>25</v>
      </c>
    </row>
    <row r="7" spans="2:16" x14ac:dyDescent="0.2">
      <c r="B7" s="2" t="s">
        <v>2</v>
      </c>
      <c r="D7" s="3">
        <f>Matériaux!N18</f>
        <v>7.7880000000000005E-2</v>
      </c>
      <c r="E7">
        <f>Tableau2[[#This Row],[Quantité]]*Tableau2[[#This Row],[Prix TTC/g]]</f>
        <v>0</v>
      </c>
      <c r="H7">
        <v>0</v>
      </c>
      <c r="I7">
        <v>0</v>
      </c>
      <c r="J7">
        <f>Tableau2[[#Totals],[Total]]</f>
        <v>1208.8696034782608</v>
      </c>
      <c r="K7">
        <f>SUM(Tableau11[[#All],[Temps fabrication ]:[Coût savon ]])</f>
        <v>1208.8696034782608</v>
      </c>
      <c r="M7" s="128" t="s">
        <v>2</v>
      </c>
      <c r="O7" s="3">
        <f>Matériaux!N18</f>
        <v>7.7880000000000005E-2</v>
      </c>
    </row>
    <row r="8" spans="2:16" x14ac:dyDescent="0.2">
      <c r="B8" s="2" t="s">
        <v>3</v>
      </c>
      <c r="D8" s="3">
        <f>Matériaux!N19</f>
        <v>4.3380000000000002E-2</v>
      </c>
      <c r="E8">
        <f>Tableau2[[#This Row],[Quantité]]*Tableau2[[#This Row],[Prix TTC/g]]</f>
        <v>0</v>
      </c>
      <c r="M8" s="129" t="s">
        <v>3</v>
      </c>
      <c r="O8" s="3">
        <f>Matériaux!N19</f>
        <v>4.3380000000000002E-2</v>
      </c>
    </row>
    <row r="9" spans="2:16" x14ac:dyDescent="0.2">
      <c r="B9" s="2" t="s">
        <v>4</v>
      </c>
      <c r="D9" s="3">
        <f>Matériaux!N20</f>
        <v>4.0050000000000002E-2</v>
      </c>
      <c r="E9">
        <f>Tableau2[[#This Row],[Quantité]]*Tableau2[[#This Row],[Prix TTC/g]]</f>
        <v>0</v>
      </c>
      <c r="M9" s="128" t="s">
        <v>4</v>
      </c>
      <c r="O9" s="3">
        <f>Matériaux!N20</f>
        <v>4.0050000000000002E-2</v>
      </c>
    </row>
    <row r="10" spans="2:16" x14ac:dyDescent="0.2">
      <c r="B10" s="2" t="s">
        <v>78</v>
      </c>
      <c r="D10" s="3">
        <v>0</v>
      </c>
      <c r="E10">
        <f>Tableau2[[#This Row],[Quantité]]*Tableau2[[#This Row],[Prix TTC/g]]</f>
        <v>0</v>
      </c>
      <c r="M10" s="129" t="s">
        <v>78</v>
      </c>
      <c r="O10" s="3">
        <v>0</v>
      </c>
    </row>
    <row r="11" spans="2:16" x14ac:dyDescent="0.2">
      <c r="B11" s="2" t="s">
        <v>83</v>
      </c>
      <c r="C11">
        <v>107</v>
      </c>
      <c r="D11" s="3">
        <f>Matériaux!N22</f>
        <v>6.4079999999999998E-2</v>
      </c>
      <c r="E11">
        <f>Tableau2[[#This Row],[Quantité]]*Tableau2[[#This Row],[Prix TTC/g]]</f>
        <v>6.85656</v>
      </c>
      <c r="M11" s="128" t="s">
        <v>83</v>
      </c>
      <c r="O11" s="3">
        <f>Matériaux!N22</f>
        <v>6.4079999999999998E-2</v>
      </c>
    </row>
    <row r="12" spans="2:16" x14ac:dyDescent="0.2">
      <c r="B12" s="2" t="s">
        <v>5</v>
      </c>
      <c r="D12" s="3">
        <f>Matériaux!N23</f>
        <v>4.7980000000000002E-2</v>
      </c>
      <c r="E12">
        <f>Tableau2[[#This Row],[Quantité]]*Tableau2[[#This Row],[Prix TTC/g]]</f>
        <v>0</v>
      </c>
      <c r="M12" s="129" t="s">
        <v>5</v>
      </c>
      <c r="O12" s="3">
        <f>Matériaux!N23</f>
        <v>4.7980000000000002E-2</v>
      </c>
    </row>
    <row r="13" spans="2:16" x14ac:dyDescent="0.2">
      <c r="B13" s="2" t="s">
        <v>6</v>
      </c>
      <c r="D13" s="3">
        <f>Matériaux!N24</f>
        <v>0.50259999999999994</v>
      </c>
      <c r="E13">
        <f>Tableau2[[#This Row],[Quantité]]*Tableau2[[#This Row],[Prix TTC/g]]</f>
        <v>0</v>
      </c>
      <c r="M13" s="128" t="s">
        <v>6</v>
      </c>
      <c r="O13" s="3">
        <f>Matériaux!N24</f>
        <v>0.50259999999999994</v>
      </c>
    </row>
    <row r="14" spans="2:16" x14ac:dyDescent="0.2">
      <c r="B14" s="2" t="s">
        <v>7</v>
      </c>
      <c r="D14" s="3">
        <f>Matériaux!N25</f>
        <v>0.41599999999999998</v>
      </c>
      <c r="E14">
        <f>Tableau2[[#This Row],[Quantité]]*Tableau2[[#This Row],[Prix TTC/g]]</f>
        <v>0</v>
      </c>
      <c r="M14" s="129" t="s">
        <v>7</v>
      </c>
      <c r="O14" s="3">
        <f>Matériaux!N25</f>
        <v>0.41599999999999998</v>
      </c>
    </row>
    <row r="15" spans="2:16" x14ac:dyDescent="0.2">
      <c r="B15" s="2" t="s">
        <v>11</v>
      </c>
      <c r="D15" s="3">
        <f ca="1">Matériaux!N26</f>
        <v>0</v>
      </c>
      <c r="E15">
        <f ca="1">Tableau2[[#This Row],[Quantité]]*Tableau2[[#This Row],[Prix TTC/g]]</f>
        <v>0</v>
      </c>
      <c r="M15" s="128" t="s">
        <v>11</v>
      </c>
      <c r="O15" s="3">
        <f ca="1">Matériaux!N26</f>
        <v>0</v>
      </c>
    </row>
    <row r="16" spans="2:16" x14ac:dyDescent="0.2">
      <c r="B16" s="2" t="s">
        <v>36</v>
      </c>
      <c r="D16" s="3">
        <v>0</v>
      </c>
      <c r="E16">
        <f>Tableau2[[#This Row],[Quantité]]*Tableau2[[#This Row],[Prix TTC/g]]</f>
        <v>0</v>
      </c>
      <c r="M16" s="129" t="s">
        <v>36</v>
      </c>
      <c r="O16" s="3">
        <v>0</v>
      </c>
    </row>
    <row r="17" spans="2:15" x14ac:dyDescent="0.2">
      <c r="B17" s="2" t="s">
        <v>9</v>
      </c>
      <c r="D17" s="3">
        <f ca="1">Matériaux!N28</f>
        <v>0</v>
      </c>
      <c r="E17">
        <f ca="1">Tableau2[[#This Row],[Quantité]]*Tableau2[[#This Row],[Prix TTC/g]]</f>
        <v>0</v>
      </c>
      <c r="M17" s="128" t="s">
        <v>9</v>
      </c>
      <c r="O17" s="3">
        <f ca="1">Matériaux!N28</f>
        <v>0</v>
      </c>
    </row>
    <row r="18" spans="2:15" x14ac:dyDescent="0.2">
      <c r="B18" s="2" t="s">
        <v>14</v>
      </c>
      <c r="D18" s="3">
        <v>0</v>
      </c>
      <c r="E18">
        <f>Tableau2[[#This Row],[Quantité]]*Tableau2[[#This Row],[Prix TTC/g]]</f>
        <v>0</v>
      </c>
      <c r="M18" s="129" t="s">
        <v>14</v>
      </c>
      <c r="O18" s="3">
        <v>0</v>
      </c>
    </row>
    <row r="19" spans="2:15" x14ac:dyDescent="0.2">
      <c r="B19" s="2" t="s">
        <v>16</v>
      </c>
      <c r="D19" s="3">
        <f>Matériaux!N30</f>
        <v>1.8</v>
      </c>
      <c r="E19">
        <f>Tableau2[[#This Row],[Quantité]]*Tableau2[[#This Row],[Prix TTC/g]]</f>
        <v>0</v>
      </c>
      <c r="M19" s="128" t="s">
        <v>16</v>
      </c>
      <c r="O19" s="3">
        <f>Matériaux!N30</f>
        <v>1.8</v>
      </c>
    </row>
    <row r="20" spans="2:15" x14ac:dyDescent="0.2">
      <c r="B20" s="2" t="s">
        <v>17</v>
      </c>
      <c r="D20" s="3">
        <f>Matériaux!N31</f>
        <v>1.8</v>
      </c>
      <c r="E20">
        <f>Tableau2[[#This Row],[Quantité]]*Tableau2[[#This Row],[Prix TTC/g]]</f>
        <v>0</v>
      </c>
      <c r="M20" s="129" t="s">
        <v>17</v>
      </c>
      <c r="O20" s="3">
        <f>Matériaux!N31</f>
        <v>1.8</v>
      </c>
    </row>
    <row r="21" spans="2:15" x14ac:dyDescent="0.2">
      <c r="B21" s="86" t="s">
        <v>174</v>
      </c>
      <c r="D21" s="3">
        <f>Matériaux!N32</f>
        <v>1.8</v>
      </c>
      <c r="E21">
        <f>Tableau2[[#This Row],[Quantité]]*Tableau2[[#This Row],[Prix TTC/g]]</f>
        <v>0</v>
      </c>
      <c r="M21" s="128" t="s">
        <v>174</v>
      </c>
      <c r="O21" s="3">
        <f>Matériaux!N32</f>
        <v>1.8</v>
      </c>
    </row>
    <row r="22" spans="2:15" x14ac:dyDescent="0.2">
      <c r="B22" s="86" t="s">
        <v>175</v>
      </c>
      <c r="D22" s="3">
        <f>Matériaux!N33</f>
        <v>1.8</v>
      </c>
      <c r="E22">
        <f>Tableau2[[#This Row],[Quantité]]*Tableau2[[#This Row],[Prix TTC/g]]</f>
        <v>0</v>
      </c>
      <c r="M22" s="129" t="s">
        <v>175</v>
      </c>
      <c r="O22" s="3">
        <f>Matériaux!N33</f>
        <v>1.8</v>
      </c>
    </row>
    <row r="23" spans="2:15" x14ac:dyDescent="0.2">
      <c r="B23" s="86" t="s">
        <v>15</v>
      </c>
      <c r="D23" s="3">
        <f>Matériaux!N34</f>
        <v>1.8</v>
      </c>
      <c r="E23">
        <f>Tableau2[[#This Row],[Quantité]]*Tableau2[[#This Row],[Prix TTC/g]]</f>
        <v>0</v>
      </c>
      <c r="M23" s="128" t="s">
        <v>15</v>
      </c>
      <c r="O23" s="3">
        <f>Matériaux!N34</f>
        <v>1.8</v>
      </c>
    </row>
    <row r="24" spans="2:15" x14ac:dyDescent="0.2">
      <c r="B24" s="86" t="s">
        <v>17</v>
      </c>
      <c r="D24" s="3">
        <f>Matériaux!N35</f>
        <v>1.8</v>
      </c>
      <c r="E24">
        <f>Tableau2[[#This Row],[Quantité]]*Tableau2[[#This Row],[Prix TTC/g]]</f>
        <v>0</v>
      </c>
      <c r="M24" s="129" t="s">
        <v>17</v>
      </c>
      <c r="O24" s="3">
        <f>Matériaux!N35</f>
        <v>1.8</v>
      </c>
    </row>
    <row r="25" spans="2:15" x14ac:dyDescent="0.2">
      <c r="B25" s="2" t="s">
        <v>15</v>
      </c>
      <c r="D25" s="3">
        <f>Matériaux!N36</f>
        <v>3.0999999999999996</v>
      </c>
      <c r="E25">
        <f>Tableau2[[#This Row],[Quantité]]*Tableau2[[#This Row],[Prix TTC/g]]</f>
        <v>0</v>
      </c>
      <c r="M25" s="128" t="s">
        <v>15</v>
      </c>
      <c r="O25" s="3">
        <f>Matériaux!N36</f>
        <v>3.0999999999999996</v>
      </c>
    </row>
    <row r="26" spans="2:15" x14ac:dyDescent="0.2">
      <c r="B26" s="2" t="s">
        <v>15</v>
      </c>
      <c r="D26" s="3">
        <f>Matériaux!N37</f>
        <v>15.8</v>
      </c>
      <c r="E26">
        <f>Tableau2[[#This Row],[Quantité]]*Tableau2[[#This Row],[Prix TTC/g]]</f>
        <v>0</v>
      </c>
      <c r="M26" s="129" t="s">
        <v>15</v>
      </c>
      <c r="O26" s="3">
        <f>Matériaux!N37</f>
        <v>15.8</v>
      </c>
    </row>
    <row r="27" spans="2:15" x14ac:dyDescent="0.2">
      <c r="B27" s="2" t="s">
        <v>17</v>
      </c>
      <c r="D27" s="3">
        <f>Matériaux!N38</f>
        <v>19.133333333333333</v>
      </c>
      <c r="E27">
        <f>Tableau2[[#This Row],[Quantité]]*Tableau2[[#This Row],[Prix TTC/g]]</f>
        <v>0</v>
      </c>
      <c r="M27" s="128" t="s">
        <v>17</v>
      </c>
      <c r="O27" s="3">
        <f>Matériaux!N38</f>
        <v>19.133333333333333</v>
      </c>
    </row>
    <row r="28" spans="2:15" x14ac:dyDescent="0.2">
      <c r="B28" s="86" t="s">
        <v>175</v>
      </c>
      <c r="D28" s="3">
        <f>Matériaux!N39</f>
        <v>20.799999999999997</v>
      </c>
      <c r="E28">
        <f>Tableau2[[#This Row],[Quantité]]*Tableau2[[#This Row],[Prix TTC/g]]</f>
        <v>0</v>
      </c>
      <c r="M28" s="129" t="s">
        <v>175</v>
      </c>
      <c r="O28" s="3">
        <f>Matériaux!N39</f>
        <v>20.799999999999997</v>
      </c>
    </row>
    <row r="29" spans="2:15" x14ac:dyDescent="0.2">
      <c r="B29" s="86" t="s">
        <v>188</v>
      </c>
      <c r="D29" s="3">
        <f>Matériaux!N40</f>
        <v>22.466666666666669</v>
      </c>
      <c r="E29">
        <f>Tableau2[[#This Row],[Quantité]]*Tableau2[[#This Row],[Prix TTC/g]]</f>
        <v>0</v>
      </c>
      <c r="M29" s="128" t="s">
        <v>188</v>
      </c>
      <c r="O29" s="3">
        <f>Matériaux!N40</f>
        <v>22.466666666666669</v>
      </c>
    </row>
    <row r="30" spans="2:15" x14ac:dyDescent="0.2">
      <c r="B30" s="86" t="s">
        <v>174</v>
      </c>
      <c r="D30" s="3">
        <f>Matériaux!N41</f>
        <v>27.466666666666665</v>
      </c>
      <c r="E30">
        <f>Tableau2[[#This Row],[Quantité]]*Tableau2[[#This Row],[Prix TTC/g]]</f>
        <v>0</v>
      </c>
      <c r="M30" s="129" t="s">
        <v>174</v>
      </c>
      <c r="O30" s="3">
        <f>Matériaux!N41</f>
        <v>27.466666666666665</v>
      </c>
    </row>
    <row r="31" spans="2:15" x14ac:dyDescent="0.2">
      <c r="B31" s="86" t="s">
        <v>188</v>
      </c>
      <c r="D31" s="3">
        <f>Matériaux!N42</f>
        <v>20</v>
      </c>
      <c r="E31">
        <f>Tableau2[[#This Row],[Quantité]]*Tableau2[[#This Row],[Prix TTC/g]]</f>
        <v>0</v>
      </c>
      <c r="M31" s="128" t="s">
        <v>188</v>
      </c>
      <c r="O31" s="3">
        <f>Matériaux!N42</f>
        <v>20</v>
      </c>
    </row>
    <row r="32" spans="2:15" x14ac:dyDescent="0.2">
      <c r="B32" s="2" t="s">
        <v>13</v>
      </c>
      <c r="D32" s="3">
        <f>Matériaux!N43</f>
        <v>22.5</v>
      </c>
      <c r="E32">
        <f>Tableau2[[#This Row],[Quantité]]*Tableau2[[#This Row],[Prix TTC/g]]</f>
        <v>0</v>
      </c>
      <c r="M32" s="129" t="s">
        <v>13</v>
      </c>
      <c r="O32" s="3">
        <f>Matériaux!N43</f>
        <v>22.5</v>
      </c>
    </row>
    <row r="33" spans="2:15" x14ac:dyDescent="0.2">
      <c r="B33" s="2" t="s">
        <v>12</v>
      </c>
      <c r="D33" s="3">
        <v>0</v>
      </c>
      <c r="E33">
        <f>Tableau2[[#This Row],[Quantité]]*Tableau2[[#This Row],[Prix TTC/g]]</f>
        <v>0</v>
      </c>
      <c r="M33" s="128" t="s">
        <v>12</v>
      </c>
      <c r="O33" s="3">
        <v>0</v>
      </c>
    </row>
    <row r="34" spans="2:15" x14ac:dyDescent="0.2">
      <c r="B34" s="2" t="s">
        <v>10</v>
      </c>
      <c r="D34" s="3">
        <f>Matériaux!N45</f>
        <v>0.27500000000000002</v>
      </c>
      <c r="E34">
        <f>Tableau2[[#This Row],[Quantité]]*Tableau2[[#This Row],[Prix TTC/g]]</f>
        <v>0</v>
      </c>
      <c r="M34" s="129" t="s">
        <v>10</v>
      </c>
      <c r="O34" s="3">
        <f>Matériaux!N45</f>
        <v>0.27500000000000002</v>
      </c>
    </row>
    <row r="35" spans="2:15" x14ac:dyDescent="0.2">
      <c r="B35" s="2" t="s">
        <v>79</v>
      </c>
      <c r="D35" s="3">
        <f>Matériaux!N46</f>
        <v>2.5</v>
      </c>
      <c r="E35">
        <f>Tableau2[[#This Row],[Quantité]]*Tableau2[[#This Row],[Prix TTC/g]]</f>
        <v>0</v>
      </c>
      <c r="M35" s="128" t="s">
        <v>79</v>
      </c>
      <c r="O35" s="3">
        <f>Matériaux!N46</f>
        <v>2.5</v>
      </c>
    </row>
    <row r="36" spans="2:15" x14ac:dyDescent="0.2">
      <c r="B36" s="86" t="s">
        <v>178</v>
      </c>
      <c r="D36" s="3">
        <f>Matériaux!N47</f>
        <v>4.51</v>
      </c>
      <c r="E36">
        <f>Tableau2[[#This Row],[Quantité]]*Tableau2[[#This Row],[Prix TTC/g]]</f>
        <v>0</v>
      </c>
      <c r="M36" s="129" t="s">
        <v>178</v>
      </c>
      <c r="O36" s="3">
        <f>Matériaux!N47</f>
        <v>4.51</v>
      </c>
    </row>
    <row r="37" spans="2:15" x14ac:dyDescent="0.2">
      <c r="B37" s="86" t="s">
        <v>80</v>
      </c>
      <c r="C37">
        <v>613</v>
      </c>
      <c r="D37" s="3">
        <f>Matériaux!N48</f>
        <v>1.9608695652173913</v>
      </c>
      <c r="E37">
        <f>Tableau2[[#This Row],[Quantité]]*Tableau2[[#This Row],[Prix TTC/g]]</f>
        <v>1202.0130434782609</v>
      </c>
      <c r="M37" s="128" t="s">
        <v>80</v>
      </c>
      <c r="O37" s="3">
        <f>Matériaux!N48</f>
        <v>1.9608695652173913</v>
      </c>
    </row>
    <row r="38" spans="2:15" x14ac:dyDescent="0.2">
      <c r="B38" s="2" t="s">
        <v>80</v>
      </c>
      <c r="D38" s="3">
        <v>0</v>
      </c>
      <c r="E38">
        <f>Tableau2[[#This Row],[Quantité]]*Tableau2[[#This Row],[Prix TTC/g]]</f>
        <v>0</v>
      </c>
      <c r="M38" s="129" t="s">
        <v>80</v>
      </c>
      <c r="O38" s="3">
        <v>0</v>
      </c>
    </row>
    <row r="39" spans="2:15" x14ac:dyDescent="0.2">
      <c r="B39" s="86" t="s">
        <v>182</v>
      </c>
      <c r="D39" s="3">
        <f>Matériaux!N50</f>
        <v>1.35</v>
      </c>
      <c r="E39">
        <f>Tableau2[[#This Row],[Quantité]]*Tableau2[[#This Row],[Prix TTC/g]]</f>
        <v>0</v>
      </c>
      <c r="M39" s="128" t="s">
        <v>182</v>
      </c>
      <c r="O39" s="3">
        <f>Matériaux!N50</f>
        <v>1.35</v>
      </c>
    </row>
    <row r="40" spans="2:15" x14ac:dyDescent="0.2">
      <c r="B40" s="86" t="s">
        <v>183</v>
      </c>
      <c r="D40" s="3">
        <f>Matériaux!N51</f>
        <v>4.7</v>
      </c>
      <c r="E40">
        <f>Tableau2[[#This Row],[Quantité]]*Tableau2[[#This Row],[Prix TTC/g]]</f>
        <v>0</v>
      </c>
      <c r="M40" s="129" t="s">
        <v>183</v>
      </c>
      <c r="O40" s="3">
        <f>Matériaux!N51</f>
        <v>4.7</v>
      </c>
    </row>
    <row r="41" spans="2:15" x14ac:dyDescent="0.2">
      <c r="B41" s="86" t="s">
        <v>183</v>
      </c>
      <c r="D41" s="3">
        <f>Matériaux!N52</f>
        <v>7.0666666666666664</v>
      </c>
      <c r="E41">
        <f>Tableau2[[#This Row],[Quantité]]*Tableau2[[#This Row],[Prix TTC/g]]</f>
        <v>0</v>
      </c>
      <c r="M41" s="128" t="s">
        <v>183</v>
      </c>
      <c r="O41" s="3">
        <f>Matériaux!N52</f>
        <v>7.0666666666666664</v>
      </c>
    </row>
    <row r="42" spans="2:15" x14ac:dyDescent="0.2">
      <c r="B42" s="86" t="s">
        <v>184</v>
      </c>
      <c r="D42" s="3">
        <f>Matériaux!N53</f>
        <v>2.35</v>
      </c>
      <c r="E42">
        <f>Tableau2[[#This Row],[Quantité]]*Tableau2[[#This Row],[Prix TTC/g]]</f>
        <v>0</v>
      </c>
      <c r="M42" s="129" t="s">
        <v>184</v>
      </c>
      <c r="O42" s="3">
        <f>Matériaux!N53</f>
        <v>2.35</v>
      </c>
    </row>
    <row r="43" spans="2:15" x14ac:dyDescent="0.2">
      <c r="B43" s="86" t="s">
        <v>194</v>
      </c>
      <c r="D43" s="3">
        <f>Matériaux!N54</f>
        <v>1.7</v>
      </c>
      <c r="E43">
        <f>Tableau2[[#This Row],[Quantité]]*Tableau2[[#This Row],[Prix TTC/g]]</f>
        <v>0</v>
      </c>
      <c r="M43" s="128" t="s">
        <v>194</v>
      </c>
      <c r="O43" s="3">
        <f>Matériaux!N54</f>
        <v>1.7</v>
      </c>
    </row>
    <row r="44" spans="2:15" x14ac:dyDescent="0.2">
      <c r="B44" s="86" t="s">
        <v>194</v>
      </c>
      <c r="D44" s="3">
        <f>Matériaux!N55</f>
        <v>7.0666666666666664</v>
      </c>
      <c r="E44">
        <f>Tableau2[[#This Row],[Quantité]]*Tableau2[[#This Row],[Prix TTC/g]]</f>
        <v>0</v>
      </c>
      <c r="M44" s="129" t="s">
        <v>194</v>
      </c>
      <c r="O44" s="3">
        <f>Matériaux!N55</f>
        <v>7.0666666666666664</v>
      </c>
    </row>
    <row r="45" spans="2:15" x14ac:dyDescent="0.2">
      <c r="B45" s="86" t="s">
        <v>199</v>
      </c>
      <c r="D45" s="3">
        <f>Matériaux!N56</f>
        <v>7.0666666666666664</v>
      </c>
      <c r="E45">
        <f>Tableau2[[#This Row],[Quantité]]*Tableau2[[#This Row],[Prix TTC/g]]</f>
        <v>0</v>
      </c>
      <c r="M45" s="128" t="s">
        <v>199</v>
      </c>
      <c r="O45" s="3">
        <f>Matériaux!N56</f>
        <v>7.0666666666666664</v>
      </c>
    </row>
    <row r="46" spans="2:15" x14ac:dyDescent="0.2">
      <c r="B46" s="86" t="s">
        <v>200</v>
      </c>
      <c r="D46" s="3">
        <f>Matériaux!N57</f>
        <v>7.0666666666666664</v>
      </c>
      <c r="E46">
        <f>Tableau2[[#This Row],[Quantité]]*Tableau2[[#This Row],[Prix TTC/g]]</f>
        <v>0</v>
      </c>
      <c r="M46" s="129" t="s">
        <v>200</v>
      </c>
      <c r="O46" s="3">
        <f>Matériaux!N57</f>
        <v>7.0666666666666664</v>
      </c>
    </row>
    <row r="47" spans="2:15" x14ac:dyDescent="0.2">
      <c r="B47" s="86" t="s">
        <v>204</v>
      </c>
      <c r="D47" s="3">
        <f>Matériaux!N58</f>
        <v>4.51</v>
      </c>
      <c r="E47">
        <f>Tableau2[[#This Row],[Quantité]]*Tableau2[[#This Row],[Prix TTC/g]]</f>
        <v>0</v>
      </c>
      <c r="M47" s="128" t="s">
        <v>204</v>
      </c>
      <c r="O47" s="3">
        <f>Matériaux!N58</f>
        <v>4.51</v>
      </c>
    </row>
    <row r="48" spans="2:15" x14ac:dyDescent="0.2">
      <c r="B48" s="86" t="s">
        <v>205</v>
      </c>
      <c r="D48" s="3">
        <f>Matériaux!N59</f>
        <v>4.51</v>
      </c>
      <c r="E48">
        <f>Tableau2[[#This Row],[Quantité]]*Tableau2[[#This Row],[Prix TTC/g]]</f>
        <v>0</v>
      </c>
      <c r="M48" s="129" t="s">
        <v>205</v>
      </c>
      <c r="O48" s="3">
        <f>Matériaux!N59</f>
        <v>4.51</v>
      </c>
    </row>
    <row r="49" spans="2:15" x14ac:dyDescent="0.2">
      <c r="B49" s="86" t="s">
        <v>216</v>
      </c>
      <c r="D49" s="3">
        <f>Matériaux!N61</f>
        <v>3.16</v>
      </c>
      <c r="E49">
        <f>Tableau2[[#This Row],[Quantité]]*Tableau2[[#This Row],[Prix TTC/g]]</f>
        <v>0</v>
      </c>
      <c r="M49" s="128" t="s">
        <v>176</v>
      </c>
      <c r="O49" s="3">
        <f>Matériaux!N61</f>
        <v>3.16</v>
      </c>
    </row>
    <row r="50" spans="2:15" x14ac:dyDescent="0.2">
      <c r="B50" s="86" t="s">
        <v>176</v>
      </c>
      <c r="D50" s="3">
        <f>Matériaux!N62</f>
        <v>2.5</v>
      </c>
      <c r="E50">
        <f>Tableau2[[#This Row],[Quantité]]*Tableau2[[#This Row],[Prix TTC/g]]</f>
        <v>0</v>
      </c>
      <c r="M50" s="129" t="s">
        <v>185</v>
      </c>
      <c r="O50" s="3">
        <f>Matériaux!N62</f>
        <v>2.5</v>
      </c>
    </row>
    <row r="51" spans="2:15" x14ac:dyDescent="0.2">
      <c r="B51" s="86" t="s">
        <v>185</v>
      </c>
      <c r="D51" s="3">
        <f>Matériaux!N63</f>
        <v>2.3800000000000002E-2</v>
      </c>
      <c r="E51">
        <f>Tableau2[[#This Row],[Quantité]]*Tableau2[[#This Row],[Prix TTC/g]]</f>
        <v>0</v>
      </c>
      <c r="M51" s="128" t="s">
        <v>187</v>
      </c>
      <c r="O51" s="3">
        <f>Matériaux!N63</f>
        <v>2.3800000000000002E-2</v>
      </c>
    </row>
    <row r="52" spans="2:15" x14ac:dyDescent="0.2">
      <c r="B52" s="86" t="s">
        <v>187</v>
      </c>
      <c r="D52" s="3">
        <v>0</v>
      </c>
      <c r="E52">
        <f>Tableau2[[#This Row],[Quantité]]*Tableau2[[#This Row],[Prix TTC/g]]</f>
        <v>0</v>
      </c>
      <c r="M52" s="129" t="s">
        <v>190</v>
      </c>
      <c r="O52" s="3">
        <v>0</v>
      </c>
    </row>
    <row r="53" spans="2:15" x14ac:dyDescent="0.2">
      <c r="B53" s="86" t="s">
        <v>190</v>
      </c>
      <c r="D53" s="3">
        <v>0</v>
      </c>
      <c r="E53">
        <f>Tableau2[[#This Row],[Quantité]]*Tableau2[[#This Row],[Prix TTC/g]]</f>
        <v>0</v>
      </c>
      <c r="M53" s="128" t="s">
        <v>192</v>
      </c>
      <c r="O53" s="3">
        <v>0</v>
      </c>
    </row>
    <row r="54" spans="2:15" x14ac:dyDescent="0.2">
      <c r="B54" s="86" t="s">
        <v>192</v>
      </c>
      <c r="D54" s="3">
        <v>0</v>
      </c>
      <c r="E54">
        <f>Tableau2[[#This Row],[Quantité]]*Tableau2[[#This Row],[Prix TTC/g]]</f>
        <v>0</v>
      </c>
      <c r="M54" s="129" t="s">
        <v>30</v>
      </c>
      <c r="O54" s="3">
        <f>Matériaux!N66</f>
        <v>8.9999999999999993E-3</v>
      </c>
    </row>
    <row r="55" spans="2:15" ht="27.75" x14ac:dyDescent="0.2">
      <c r="B55" s="2" t="s">
        <v>30</v>
      </c>
      <c r="C55">
        <v>247</v>
      </c>
      <c r="D55" s="3">
        <f xml:space="preserve"> Matériaux!N66</f>
        <v>8.9999999999999993E-3</v>
      </c>
      <c r="E55">
        <f>Tableau2[[#This Row],[Quantité]]*Tableau2[[#This Row],[Prix TTC/g]]</f>
        <v>2.2229999999999999</v>
      </c>
      <c r="M55" s="128" t="s">
        <v>19</v>
      </c>
      <c r="O55" s="3">
        <f ca="1">Matériaux!N67</f>
        <v>0</v>
      </c>
    </row>
    <row r="56" spans="2:15" x14ac:dyDescent="0.2">
      <c r="B56" s="2" t="s">
        <v>19</v>
      </c>
      <c r="D56" s="3">
        <f ca="1">Matériaux!N67</f>
        <v>0</v>
      </c>
      <c r="E56">
        <f ca="1">Tableau2[[#This Row],[Quantité]]*Tableau2[[#This Row],[Prix TTC/g]]</f>
        <v>0</v>
      </c>
      <c r="M56" s="129" t="s">
        <v>59</v>
      </c>
      <c r="O56" s="3">
        <v>0</v>
      </c>
    </row>
    <row r="57" spans="2:15" x14ac:dyDescent="0.2">
      <c r="B57" s="2" t="s">
        <v>59</v>
      </c>
      <c r="D57" s="3">
        <v>0</v>
      </c>
      <c r="E57">
        <v>0</v>
      </c>
      <c r="M57" s="128" t="s">
        <v>58</v>
      </c>
      <c r="O57" s="3">
        <v>0</v>
      </c>
    </row>
    <row r="58" spans="2:15" x14ac:dyDescent="0.2">
      <c r="B58" s="2" t="s">
        <v>58</v>
      </c>
      <c r="D58" s="3">
        <f>Matériaux!N70</f>
        <v>0.27877999999999997</v>
      </c>
      <c r="E58">
        <f>Tableau2[[#This Row],[Quantité]]*Tableau2[[#This Row],[Prix TTC/g]]</f>
        <v>0</v>
      </c>
      <c r="M58" s="129" t="s">
        <v>69</v>
      </c>
      <c r="O58" s="3">
        <f>Matériaux!N70</f>
        <v>0.27877999999999997</v>
      </c>
    </row>
    <row r="59" spans="2:15" x14ac:dyDescent="0.2">
      <c r="B59" s="2" t="s">
        <v>69</v>
      </c>
      <c r="D59" s="3">
        <f>Matériaux!N70</f>
        <v>0.27877999999999997</v>
      </c>
      <c r="E59">
        <f>Tableau2[[#This Row],[Quantité]]*Tableau2[[#This Row],[Prix TTC/g]]</f>
        <v>0</v>
      </c>
      <c r="M59" s="128" t="s">
        <v>81</v>
      </c>
      <c r="O59" s="3">
        <v>0</v>
      </c>
    </row>
    <row r="60" spans="2:15" x14ac:dyDescent="0.2">
      <c r="B60" s="2" t="s">
        <v>81</v>
      </c>
      <c r="D60" s="3">
        <f>Matériaux!N72</f>
        <v>0</v>
      </c>
      <c r="E60">
        <f>Tableau2[[#This Row],[Quantité]]*Tableau2[[#This Row],[Prix TTC/g]]</f>
        <v>0</v>
      </c>
      <c r="M60" s="129"/>
      <c r="O60" s="3">
        <f>Matériaux!N72</f>
        <v>0</v>
      </c>
    </row>
    <row r="61" spans="2:15" x14ac:dyDescent="0.2">
      <c r="B61" s="124"/>
      <c r="C61" s="91"/>
      <c r="D61" s="125"/>
      <c r="E61" s="126">
        <f xml:space="preserve"> E11+E37+E54</f>
        <v>1208.8696034782608</v>
      </c>
    </row>
    <row r="62" spans="2:15" x14ac:dyDescent="0.2">
      <c r="D62" s="127" t="s">
        <v>211</v>
      </c>
      <c r="E62" s="127">
        <f>Tableau2[[#Totals],[Total]]/1000</f>
        <v>1.2088696034782609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73867-0CD9-084F-BA00-0005FB83EF3F}">
  <dimension ref="A1:K52"/>
  <sheetViews>
    <sheetView zoomScaleNormal="150" zoomScaleSheetLayoutView="100" workbookViewId="0">
      <selection activeCell="L10" sqref="L10"/>
    </sheetView>
  </sheetViews>
  <sheetFormatPr defaultRowHeight="15" x14ac:dyDescent="0.2"/>
  <cols>
    <col min="2" max="2" width="30.66796875" bestFit="1" customWidth="1"/>
    <col min="5" max="5" width="30.66796875" bestFit="1" customWidth="1"/>
    <col min="9" max="10" width="14.390625" customWidth="1"/>
  </cols>
  <sheetData>
    <row r="1" spans="1:11" x14ac:dyDescent="0.2">
      <c r="A1" t="s">
        <v>132</v>
      </c>
    </row>
    <row r="4" spans="1:11" ht="21" x14ac:dyDescent="0.3">
      <c r="B4" s="140" t="s">
        <v>133</v>
      </c>
      <c r="C4" s="140"/>
      <c r="D4" s="140"/>
      <c r="E4" s="140"/>
      <c r="F4" s="140"/>
    </row>
    <row r="5" spans="1:11" x14ac:dyDescent="0.2">
      <c r="B5" s="141" t="s">
        <v>134</v>
      </c>
      <c r="C5" s="141"/>
      <c r="D5" s="64"/>
      <c r="E5" s="64"/>
      <c r="F5" s="64"/>
    </row>
    <row r="6" spans="1:11" ht="56.25" customHeight="1" x14ac:dyDescent="0.2">
      <c r="B6" s="141" t="s">
        <v>135</v>
      </c>
      <c r="C6" s="141"/>
      <c r="D6" s="141"/>
      <c r="E6" s="141"/>
      <c r="F6" s="141"/>
    </row>
    <row r="7" spans="1:11" ht="54.75" customHeight="1" x14ac:dyDescent="0.2">
      <c r="B7" s="141" t="s">
        <v>136</v>
      </c>
      <c r="C7" s="141"/>
      <c r="D7" s="64"/>
      <c r="E7" s="64"/>
      <c r="F7" s="64"/>
    </row>
    <row r="8" spans="1:11" ht="54.75" customHeight="1" x14ac:dyDescent="0.2">
      <c r="B8" s="97"/>
      <c r="C8" s="97"/>
      <c r="D8" s="64"/>
      <c r="E8" s="64"/>
      <c r="F8" s="64"/>
    </row>
    <row r="9" spans="1:11" x14ac:dyDescent="0.2">
      <c r="B9" s="64" t="s">
        <v>137</v>
      </c>
      <c r="C9" s="69">
        <v>0.2</v>
      </c>
      <c r="D9" s="64"/>
      <c r="E9" s="64"/>
      <c r="F9" s="64"/>
    </row>
    <row r="10" spans="1:11" ht="27.75" customHeight="1" x14ac:dyDescent="0.2">
      <c r="B10" s="139" t="s">
        <v>138</v>
      </c>
      <c r="C10" s="139"/>
      <c r="D10" s="64"/>
      <c r="E10" s="139" t="s">
        <v>139</v>
      </c>
      <c r="F10" s="139"/>
      <c r="J10" t="s">
        <v>159</v>
      </c>
      <c r="K10" t="s">
        <v>163</v>
      </c>
    </row>
    <row r="11" spans="1:11" x14ac:dyDescent="0.2">
      <c r="B11" s="64"/>
      <c r="C11" s="64"/>
      <c r="D11" s="64"/>
      <c r="E11" s="64" t="s">
        <v>140</v>
      </c>
      <c r="F11" s="70">
        <v>10</v>
      </c>
      <c r="I11" t="s">
        <v>160</v>
      </c>
    </row>
    <row r="12" spans="1:11" x14ac:dyDescent="0.2">
      <c r="B12" s="64" t="s">
        <v>140</v>
      </c>
      <c r="C12" s="70">
        <v>10</v>
      </c>
      <c r="D12" s="64"/>
      <c r="E12" s="64" t="s">
        <v>141</v>
      </c>
      <c r="F12" s="71">
        <v>0.2</v>
      </c>
      <c r="I12" t="s">
        <v>161</v>
      </c>
    </row>
    <row r="13" spans="1:11" x14ac:dyDescent="0.2">
      <c r="B13" s="64" t="s">
        <v>142</v>
      </c>
      <c r="C13" s="70">
        <v>12</v>
      </c>
      <c r="D13" s="64"/>
      <c r="E13" s="64" t="s">
        <v>142</v>
      </c>
      <c r="F13" s="70">
        <v>6</v>
      </c>
      <c r="I13" t="s">
        <v>162</v>
      </c>
    </row>
    <row r="14" spans="1:11" x14ac:dyDescent="0.2">
      <c r="B14" s="72" t="s">
        <v>143</v>
      </c>
      <c r="C14" s="64"/>
      <c r="D14" s="64"/>
      <c r="E14" s="72" t="s">
        <v>143</v>
      </c>
      <c r="F14" s="64"/>
      <c r="I14" t="s">
        <v>65</v>
      </c>
    </row>
    <row r="15" spans="1:11" x14ac:dyDescent="0.2">
      <c r="B15" s="65" t="s">
        <v>144</v>
      </c>
      <c r="C15" s="73">
        <v>-0.2</v>
      </c>
      <c r="D15" s="64"/>
      <c r="E15" s="65" t="s">
        <v>144</v>
      </c>
      <c r="F15" s="73">
        <v>0.25</v>
      </c>
    </row>
    <row r="16" spans="1:11" x14ac:dyDescent="0.2">
      <c r="B16" s="66" t="s">
        <v>145</v>
      </c>
      <c r="C16" s="74">
        <v>-0.17</v>
      </c>
      <c r="D16" s="64"/>
      <c r="E16" s="66" t="s">
        <v>145</v>
      </c>
      <c r="F16" s="74">
        <v>0.33</v>
      </c>
    </row>
    <row r="17" spans="2:6" x14ac:dyDescent="0.2">
      <c r="B17" s="67" t="s">
        <v>146</v>
      </c>
      <c r="C17" s="75">
        <v>0.83</v>
      </c>
      <c r="D17" s="64"/>
      <c r="E17" s="67" t="s">
        <v>146</v>
      </c>
      <c r="F17" s="75">
        <v>1.33</v>
      </c>
    </row>
    <row r="18" spans="2:6" x14ac:dyDescent="0.2">
      <c r="B18" s="67"/>
      <c r="C18" s="75"/>
      <c r="D18" s="64"/>
      <c r="E18" s="66" t="s">
        <v>147</v>
      </c>
      <c r="F18" s="76">
        <v>8</v>
      </c>
    </row>
    <row r="19" spans="2:6" x14ac:dyDescent="0.2">
      <c r="B19" s="68" t="s">
        <v>148</v>
      </c>
      <c r="C19" s="77"/>
      <c r="D19" s="64"/>
      <c r="E19" s="68" t="s">
        <v>148</v>
      </c>
      <c r="F19" s="77">
        <v>9.6</v>
      </c>
    </row>
    <row r="20" spans="2:6" x14ac:dyDescent="0.2">
      <c r="B20" s="98"/>
      <c r="C20" s="98"/>
      <c r="D20" s="64"/>
      <c r="E20" s="98"/>
      <c r="F20" s="98"/>
    </row>
    <row r="21" spans="2:6" ht="58.5" customHeight="1" x14ac:dyDescent="0.2">
      <c r="B21" s="139" t="s">
        <v>149</v>
      </c>
      <c r="C21" s="139"/>
      <c r="D21" s="64"/>
      <c r="E21" s="139" t="s">
        <v>150</v>
      </c>
      <c r="F21" s="139"/>
    </row>
    <row r="22" spans="2:6" x14ac:dyDescent="0.2">
      <c r="B22" s="64" t="s">
        <v>142</v>
      </c>
      <c r="C22" s="70">
        <v>6</v>
      </c>
      <c r="D22" s="64"/>
      <c r="E22" s="64" t="s">
        <v>142</v>
      </c>
      <c r="F22" s="70">
        <v>6</v>
      </c>
    </row>
    <row r="23" spans="2:6" x14ac:dyDescent="0.2">
      <c r="B23" s="64" t="s">
        <v>151</v>
      </c>
      <c r="C23" s="69">
        <v>0.4</v>
      </c>
      <c r="D23" s="64"/>
      <c r="E23" s="64" t="s">
        <v>152</v>
      </c>
      <c r="F23" s="70">
        <v>1.67</v>
      </c>
    </row>
    <row r="24" spans="2:6" x14ac:dyDescent="0.2">
      <c r="B24" s="72" t="s">
        <v>143</v>
      </c>
      <c r="C24" s="64"/>
      <c r="D24" s="64"/>
      <c r="E24" s="72" t="s">
        <v>143</v>
      </c>
      <c r="F24" s="64"/>
    </row>
    <row r="25" spans="2:6" x14ac:dyDescent="0.2">
      <c r="B25" s="65" t="s">
        <v>140</v>
      </c>
      <c r="C25" s="78">
        <v>10</v>
      </c>
      <c r="D25" s="64"/>
      <c r="E25" s="65" t="s">
        <v>140</v>
      </c>
      <c r="F25" s="78">
        <v>10</v>
      </c>
    </row>
    <row r="26" spans="2:6" x14ac:dyDescent="0.2">
      <c r="B26" s="67" t="s">
        <v>146</v>
      </c>
      <c r="C26" s="75">
        <v>1.67</v>
      </c>
      <c r="D26" s="64"/>
      <c r="E26" s="67" t="s">
        <v>153</v>
      </c>
      <c r="F26" s="79">
        <v>0.4</v>
      </c>
    </row>
    <row r="27" spans="2:6" x14ac:dyDescent="0.2">
      <c r="B27" s="67" t="s">
        <v>145</v>
      </c>
      <c r="C27" s="79">
        <v>0.67</v>
      </c>
      <c r="D27" s="64"/>
      <c r="E27" s="67"/>
      <c r="F27" s="75"/>
    </row>
    <row r="28" spans="2:6" x14ac:dyDescent="0.2">
      <c r="B28" s="68" t="s">
        <v>148</v>
      </c>
      <c r="C28" s="77">
        <v>12</v>
      </c>
      <c r="D28" s="64"/>
      <c r="E28" s="68" t="s">
        <v>148</v>
      </c>
      <c r="F28" s="77">
        <v>12</v>
      </c>
    </row>
    <row r="29" spans="2:6" ht="57.75" customHeight="1" x14ac:dyDescent="0.2">
      <c r="B29" s="139" t="s">
        <v>154</v>
      </c>
      <c r="C29" s="139"/>
      <c r="D29" s="64"/>
      <c r="E29" s="139" t="s">
        <v>155</v>
      </c>
      <c r="F29" s="139"/>
    </row>
    <row r="30" spans="2:6" x14ac:dyDescent="0.2">
      <c r="B30" s="64" t="s">
        <v>140</v>
      </c>
      <c r="C30" s="70">
        <v>10</v>
      </c>
      <c r="D30" s="64"/>
      <c r="E30" s="64" t="s">
        <v>140</v>
      </c>
      <c r="F30" s="70">
        <v>10</v>
      </c>
    </row>
    <row r="31" spans="2:6" x14ac:dyDescent="0.2">
      <c r="B31" s="64" t="s">
        <v>151</v>
      </c>
      <c r="C31" s="69">
        <v>0.4</v>
      </c>
      <c r="D31" s="64"/>
      <c r="E31" s="64" t="s">
        <v>152</v>
      </c>
      <c r="F31" s="70">
        <v>1.67</v>
      </c>
    </row>
    <row r="32" spans="2:6" x14ac:dyDescent="0.2">
      <c r="B32" s="72" t="s">
        <v>143</v>
      </c>
      <c r="C32" s="64"/>
      <c r="D32" s="64"/>
      <c r="E32" s="72" t="s">
        <v>143</v>
      </c>
      <c r="F32" s="64"/>
    </row>
    <row r="33" spans="2:6" x14ac:dyDescent="0.2">
      <c r="B33" s="65" t="s">
        <v>142</v>
      </c>
      <c r="C33" s="78">
        <v>6</v>
      </c>
      <c r="D33" s="64"/>
      <c r="E33" s="65" t="s">
        <v>142</v>
      </c>
      <c r="F33" s="78">
        <v>6</v>
      </c>
    </row>
    <row r="34" spans="2:6" x14ac:dyDescent="0.2">
      <c r="B34" s="67" t="s">
        <v>146</v>
      </c>
      <c r="C34" s="75">
        <v>1.67</v>
      </c>
      <c r="D34" s="64"/>
      <c r="E34" s="67" t="s">
        <v>153</v>
      </c>
      <c r="F34" s="79">
        <v>0.4</v>
      </c>
    </row>
    <row r="35" spans="2:6" x14ac:dyDescent="0.2">
      <c r="B35" s="67" t="s">
        <v>145</v>
      </c>
      <c r="C35" s="79">
        <v>0.67</v>
      </c>
      <c r="D35" s="64"/>
      <c r="E35" s="67"/>
      <c r="F35" s="75"/>
    </row>
    <row r="36" spans="2:6" x14ac:dyDescent="0.2">
      <c r="B36" s="68" t="s">
        <v>148</v>
      </c>
      <c r="C36" s="77">
        <v>12</v>
      </c>
      <c r="D36" s="64"/>
      <c r="E36" s="68" t="s">
        <v>148</v>
      </c>
      <c r="F36" s="77">
        <v>12</v>
      </c>
    </row>
    <row r="37" spans="2:6" ht="61.5" customHeight="1" x14ac:dyDescent="0.2">
      <c r="B37" s="139" t="s">
        <v>156</v>
      </c>
      <c r="C37" s="139"/>
      <c r="D37" s="64"/>
      <c r="E37" s="64"/>
      <c r="F37" s="64"/>
    </row>
    <row r="38" spans="2:6" x14ac:dyDescent="0.2">
      <c r="B38" s="64" t="s">
        <v>142</v>
      </c>
      <c r="C38" s="70">
        <v>6</v>
      </c>
      <c r="D38" s="64"/>
      <c r="E38" s="64"/>
      <c r="F38" s="64"/>
    </row>
    <row r="39" spans="2:6" x14ac:dyDescent="0.2">
      <c r="B39" s="64" t="s">
        <v>157</v>
      </c>
      <c r="C39" s="69">
        <v>0.67</v>
      </c>
      <c r="D39" s="64"/>
      <c r="E39" s="64"/>
      <c r="F39" s="64"/>
    </row>
    <row r="40" spans="2:6" x14ac:dyDescent="0.2">
      <c r="B40" s="72" t="s">
        <v>143</v>
      </c>
      <c r="C40" s="64"/>
      <c r="D40" s="64"/>
      <c r="E40" s="64"/>
      <c r="F40" s="64"/>
    </row>
    <row r="41" spans="2:6" x14ac:dyDescent="0.2">
      <c r="B41" s="65" t="s">
        <v>140</v>
      </c>
      <c r="C41" s="78">
        <v>10</v>
      </c>
      <c r="D41" s="64"/>
      <c r="E41" s="64"/>
      <c r="F41" s="64"/>
    </row>
    <row r="42" spans="2:6" x14ac:dyDescent="0.2">
      <c r="B42" s="67" t="s">
        <v>153</v>
      </c>
      <c r="C42" s="79">
        <v>0.4</v>
      </c>
      <c r="D42" s="64"/>
      <c r="E42" s="64"/>
      <c r="F42" s="64"/>
    </row>
    <row r="43" spans="2:6" x14ac:dyDescent="0.2">
      <c r="B43" s="67" t="s">
        <v>146</v>
      </c>
      <c r="C43" s="75">
        <v>1.67</v>
      </c>
      <c r="D43" s="64"/>
      <c r="E43" s="64"/>
      <c r="F43" s="64"/>
    </row>
    <row r="44" spans="2:6" x14ac:dyDescent="0.2">
      <c r="B44" s="68" t="s">
        <v>148</v>
      </c>
      <c r="C44" s="77">
        <v>12</v>
      </c>
      <c r="D44" s="64"/>
      <c r="E44" s="64"/>
      <c r="F44" s="64"/>
    </row>
    <row r="45" spans="2:6" ht="44.25" customHeight="1" x14ac:dyDescent="0.2">
      <c r="B45" s="139" t="s">
        <v>158</v>
      </c>
      <c r="C45" s="139"/>
      <c r="D45" s="64"/>
      <c r="E45" s="64"/>
      <c r="F45" s="64"/>
    </row>
    <row r="46" spans="2:6" x14ac:dyDescent="0.2">
      <c r="B46" s="64" t="s">
        <v>140</v>
      </c>
      <c r="C46" s="70">
        <v>10</v>
      </c>
      <c r="D46" s="64"/>
      <c r="E46" s="64"/>
      <c r="F46" s="64"/>
    </row>
    <row r="47" spans="2:6" x14ac:dyDescent="0.2">
      <c r="B47" s="64" t="s">
        <v>157</v>
      </c>
      <c r="C47" s="69">
        <v>0.67</v>
      </c>
      <c r="D47" s="64"/>
      <c r="E47" s="64"/>
      <c r="F47" s="64"/>
    </row>
    <row r="48" spans="2:6" x14ac:dyDescent="0.2">
      <c r="B48" s="72" t="s">
        <v>143</v>
      </c>
      <c r="C48" s="64"/>
      <c r="D48" s="64"/>
      <c r="E48" s="64"/>
      <c r="F48" s="64"/>
    </row>
    <row r="49" spans="2:6" x14ac:dyDescent="0.2">
      <c r="B49" s="65" t="s">
        <v>142</v>
      </c>
      <c r="C49" s="78">
        <v>6</v>
      </c>
      <c r="D49" s="64"/>
      <c r="E49" s="64"/>
      <c r="F49" s="64"/>
    </row>
    <row r="50" spans="2:6" x14ac:dyDescent="0.2">
      <c r="B50" s="67" t="s">
        <v>153</v>
      </c>
      <c r="C50" s="79">
        <v>0.4</v>
      </c>
      <c r="D50" s="64"/>
      <c r="E50" s="64"/>
      <c r="F50" s="64"/>
    </row>
    <row r="51" spans="2:6" x14ac:dyDescent="0.2">
      <c r="B51" s="67" t="s">
        <v>146</v>
      </c>
      <c r="C51" s="75">
        <v>1.67</v>
      </c>
      <c r="D51" s="64"/>
      <c r="E51" s="64"/>
      <c r="F51" s="64"/>
    </row>
    <row r="52" spans="2:6" x14ac:dyDescent="0.2">
      <c r="B52" s="68" t="s">
        <v>148</v>
      </c>
      <c r="C52" s="77">
        <v>12</v>
      </c>
      <c r="D52" s="64"/>
      <c r="E52" s="64"/>
      <c r="F52" s="64"/>
    </row>
  </sheetData>
  <mergeCells count="12">
    <mergeCell ref="B45:C45"/>
    <mergeCell ref="B4:F4"/>
    <mergeCell ref="B5:C5"/>
    <mergeCell ref="B6:F6"/>
    <mergeCell ref="B7:C7"/>
    <mergeCell ref="B10:C10"/>
    <mergeCell ref="E10:F10"/>
    <mergeCell ref="B21:C21"/>
    <mergeCell ref="E21:F21"/>
    <mergeCell ref="B29:C29"/>
    <mergeCell ref="E29:F29"/>
    <mergeCell ref="B37:C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Matériaux</vt:lpstr>
      <vt:lpstr>Atelier linge</vt:lpstr>
      <vt:lpstr>Atelier cuisine </vt:lpstr>
      <vt:lpstr>Atelier surface</vt:lpstr>
      <vt:lpstr>Atelier Abeille</vt:lpstr>
      <vt:lpstr>Atelier WC</vt:lpstr>
      <vt:lpstr>Tawashi</vt:lpstr>
      <vt:lpstr>Savon ménager</vt:lpstr>
      <vt:lpstr>Calcul des marges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blot.marie@yahoo.fr</dc:creator>
  <dcterms:created xsi:type="dcterms:W3CDTF">2021-01-12T07:53:03Z</dcterms:created>
</cp:coreProperties>
</file>