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0" yWindow="-120" windowWidth="20730" windowHeight="11760"/>
  </bookViews>
  <sheets>
    <sheet name="identite" sheetId="1" r:id="rId1"/>
    <sheet name="notet1" sheetId="2" r:id="rId2"/>
    <sheet name="notet2" sheetId="30" r:id="rId3"/>
    <sheet name="notet3" sheetId="31" r:id="rId4"/>
    <sheet name="listealpha" sheetId="5" r:id="rId5"/>
    <sheet name="accueil" sheetId="26" r:id="rId6"/>
    <sheet name="sta1" sheetId="27" r:id="rId7"/>
    <sheet name="sta2" sheetId="35" r:id="rId8"/>
    <sheet name="sta3" sheetId="36" r:id="rId9"/>
  </sheets>
  <definedNames>
    <definedName name="_xlnm._FilterDatabase" localSheetId="0" hidden="1">identite!$B$4:$L$9</definedName>
    <definedName name="_xlnm.Criteria" localSheetId="4">listealpha!$F$4:$F$5</definedName>
    <definedName name="filtre" localSheetId="2">Tableau5[]</definedName>
    <definedName name="filtre" localSheetId="3">Tableau5[]</definedName>
    <definedName name="filtre" localSheetId="7">Tableau5[]</definedName>
    <definedName name="filtre" localSheetId="8">Tableau5[]</definedName>
    <definedName name="filtre">Tableau5[]</definedName>
    <definedName name="Genre" localSheetId="2">Tableau6[[#All],[Sexe]]</definedName>
    <definedName name="Genre" localSheetId="3">Tableau6[[#All],[Sexe]]</definedName>
    <definedName name="Genre" localSheetId="7">Tableau6[[#All],[Sexe]]</definedName>
    <definedName name="Genre" localSheetId="8">Tableau6[[#All],[Sexe]]</definedName>
    <definedName name="Genre">Tableau6[[#All],[Sexe]]</definedName>
  </definedNames>
  <calcPr calcId="144525" calcMode="manual"/>
</workbook>
</file>

<file path=xl/calcChain.xml><?xml version="1.0" encoding="utf-8"?>
<calcChain xmlns="http://schemas.openxmlformats.org/spreadsheetml/2006/main">
  <c r="D5" i="36" l="1"/>
  <c r="C5" i="36"/>
  <c r="E8" i="36"/>
  <c r="D8" i="36" a="1"/>
  <c r="D8" i="36" s="1"/>
  <c r="C8" i="36" a="1"/>
  <c r="C8" i="36"/>
  <c r="E7" i="36"/>
  <c r="D7" i="36" a="1"/>
  <c r="D7" i="36" s="1"/>
  <c r="C7" i="36" a="1"/>
  <c r="C7" i="36" s="1"/>
  <c r="E6" i="36"/>
  <c r="D6" i="36"/>
  <c r="C6" i="36"/>
  <c r="D4" i="36"/>
  <c r="C4" i="36"/>
  <c r="C8" i="35" l="1"/>
  <c r="C7" i="35"/>
  <c r="C6" i="35"/>
  <c r="C5" i="35"/>
  <c r="E8" i="35"/>
  <c r="E7" i="35"/>
  <c r="E6" i="35"/>
  <c r="D8" i="35"/>
  <c r="D7" i="35"/>
  <c r="D6" i="35"/>
  <c r="D5" i="35"/>
  <c r="D4" i="35"/>
  <c r="C4" i="35"/>
  <c r="D9" i="36"/>
  <c r="C9" i="36"/>
  <c r="E4" i="36"/>
  <c r="D9" i="35"/>
  <c r="C9" i="35"/>
  <c r="E5" i="35"/>
  <c r="E4" i="35"/>
  <c r="E9" i="35" l="1"/>
  <c r="E5" i="36"/>
  <c r="E9" i="36" s="1"/>
  <c r="D5" i="27"/>
  <c r="R5" i="31" l="1"/>
  <c r="S5" i="31" s="1"/>
  <c r="R5" i="30"/>
  <c r="S5" i="30" s="1"/>
  <c r="T5" i="31"/>
  <c r="T5" i="30"/>
  <c r="D6" i="27" l="1"/>
  <c r="R5" i="2"/>
  <c r="S5" i="2" s="1"/>
  <c r="D4" i="27"/>
  <c r="C4" i="27"/>
  <c r="T5" i="2"/>
  <c r="E4" i="27" l="1"/>
  <c r="E6" i="27"/>
  <c r="C6" i="27"/>
  <c r="D9" i="27"/>
  <c r="C5" i="27"/>
  <c r="C9" i="27" s="1"/>
  <c r="E8" i="27"/>
  <c r="C8" i="27" a="1"/>
  <c r="C8" i="27" s="1"/>
  <c r="D7" i="27" a="1"/>
  <c r="D7" i="27" s="1"/>
  <c r="D8" i="27" a="1"/>
  <c r="D8" i="27" s="1"/>
  <c r="C7" i="27" a="1"/>
  <c r="C7" i="27" s="1"/>
  <c r="E5" i="27"/>
  <c r="E9" i="27" s="1"/>
  <c r="E7" i="27"/>
</calcChain>
</file>

<file path=xl/sharedStrings.xml><?xml version="1.0" encoding="utf-8"?>
<sst xmlns="http://schemas.openxmlformats.org/spreadsheetml/2006/main" count="176" uniqueCount="92">
  <si>
    <t>Matricule</t>
  </si>
  <si>
    <t>Sexe</t>
  </si>
  <si>
    <t>Nom</t>
  </si>
  <si>
    <t>Prénom(s)</t>
  </si>
  <si>
    <t>Date</t>
  </si>
  <si>
    <t>Lieu</t>
  </si>
  <si>
    <t>Père</t>
  </si>
  <si>
    <t>Mère</t>
  </si>
  <si>
    <t>Domicile</t>
  </si>
  <si>
    <t>Téléphone</t>
  </si>
  <si>
    <t>email</t>
  </si>
  <si>
    <t>Rédac</t>
  </si>
  <si>
    <t>Dict</t>
  </si>
  <si>
    <t>Prés</t>
  </si>
  <si>
    <t>Et text</t>
  </si>
  <si>
    <t>HG</t>
  </si>
  <si>
    <t>Opér</t>
  </si>
  <si>
    <t>Scien</t>
  </si>
  <si>
    <t>Prob</t>
  </si>
  <si>
    <t>Dessin</t>
  </si>
  <si>
    <t>Lect</t>
  </si>
  <si>
    <t>R/C</t>
  </si>
  <si>
    <t>Eps</t>
  </si>
  <si>
    <t>Total</t>
  </si>
  <si>
    <t>Moye</t>
  </si>
  <si>
    <t>Rang</t>
  </si>
  <si>
    <t>Masculin</t>
  </si>
  <si>
    <t>SAWADOGO</t>
  </si>
  <si>
    <t>Féminin</t>
  </si>
  <si>
    <t>T. Paul</t>
  </si>
  <si>
    <t>Poedogo</t>
  </si>
  <si>
    <t>Salif</t>
  </si>
  <si>
    <t>Samiratou</t>
  </si>
  <si>
    <t>Tengendogo</t>
  </si>
  <si>
    <t xml:space="preserve">14 20 14 32 </t>
  </si>
  <si>
    <t>sawtappo7@gmail.com</t>
  </si>
  <si>
    <t>SORE</t>
  </si>
  <si>
    <t>Abdoulaye</t>
  </si>
  <si>
    <t>16-04-2001</t>
  </si>
  <si>
    <t>Manessa</t>
  </si>
  <si>
    <t>Karim</t>
  </si>
  <si>
    <t>Talato</t>
  </si>
  <si>
    <t xml:space="preserve">14 78 25 34 </t>
  </si>
  <si>
    <t/>
  </si>
  <si>
    <r>
      <t xml:space="preserve">MOT  DE PASSE PARAMETRE ECOLE = </t>
    </r>
    <r>
      <rPr>
        <sz val="14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    cest a dire feuiille acceuil  cellule A1</t>
    </r>
  </si>
  <si>
    <t>BRUNO</t>
  </si>
  <si>
    <t>Youky</t>
  </si>
  <si>
    <t>29-10-2020</t>
  </si>
  <si>
    <t>Lyon</t>
  </si>
  <si>
    <t>Ppp</t>
  </si>
  <si>
    <t>Mmm</t>
  </si>
  <si>
    <t>14 Rue</t>
  </si>
  <si>
    <t xml:space="preserve">06 11 11 11 </t>
  </si>
  <si>
    <t>bbbb@gmail.com</t>
  </si>
  <si>
    <t>J'ai renommé acceuil   accueil</t>
  </si>
  <si>
    <t>en macro aussi</t>
  </si>
  <si>
    <t>PARAMETRE ECOLE ET CLASSE</t>
  </si>
  <si>
    <t>CEB</t>
  </si>
  <si>
    <t>ECOLE</t>
  </si>
  <si>
    <t>CLASSE</t>
  </si>
  <si>
    <t>ANNNE SOLAIRE</t>
  </si>
  <si>
    <t>coefficient</t>
  </si>
  <si>
    <t>Tous</t>
  </si>
  <si>
    <t>Dapélogo II</t>
  </si>
  <si>
    <t>Gademtenga bilingue</t>
  </si>
  <si>
    <t>CM2</t>
  </si>
  <si>
    <t>2021-2022</t>
  </si>
  <si>
    <t>Teegwende Appo</t>
  </si>
  <si>
    <t>12-08-2000</t>
  </si>
  <si>
    <t>Bobo Dioulassa</t>
  </si>
  <si>
    <t>Modeste</t>
  </si>
  <si>
    <t>Gladis</t>
  </si>
  <si>
    <t>Ouafgadougou</t>
  </si>
  <si>
    <t xml:space="preserve">44 22 44 22 </t>
  </si>
  <si>
    <t>jjjjjjjjj</t>
  </si>
  <si>
    <t>Ont composé</t>
  </si>
  <si>
    <t>ont eut la moyenne</t>
  </si>
  <si>
    <t>moyenne de la classe</t>
  </si>
  <si>
    <t>G</t>
  </si>
  <si>
    <t>F</t>
  </si>
  <si>
    <t>T</t>
  </si>
  <si>
    <t xml:space="preserve">KINDA </t>
  </si>
  <si>
    <t>Jerome</t>
  </si>
  <si>
    <t>14-02-2004</t>
  </si>
  <si>
    <t>Rouko</t>
  </si>
  <si>
    <t>Paul</t>
  </si>
  <si>
    <t>Pauline</t>
  </si>
  <si>
    <t>Kongoussi</t>
  </si>
  <si>
    <t xml:space="preserve">11 11 11 11 </t>
  </si>
  <si>
    <t>Plus faible moyenne</t>
  </si>
  <si>
    <t>Taux de reussite</t>
  </si>
  <si>
    <t>meilleur 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</si>
</sst>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sz val="14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Protection="1">
      <protection locked="0"/>
    </xf>
    <xf numFmtId="14" fontId="1" fillId="0" borderId="0" xfId="0" applyNumberFormat="1" applyFont="1" applyAlignment="1">
      <alignment horizontal="center" vertical="center"/>
    </xf>
    <xf numFmtId="0" fontId="0" fillId="2" borderId="0" xfId="0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0" borderId="1" xfId="0" applyFill="1" applyBorder="1"/>
    <xf numFmtId="2" fontId="1" fillId="0" borderId="0" xfId="0" applyNumberFormat="1" applyFont="1"/>
    <xf numFmtId="0" fontId="1" fillId="0" borderId="0" xfId="0" applyNumberFormat="1" applyFont="1"/>
    <xf numFmtId="0" fontId="0" fillId="0" borderId="1" xfId="0" applyNumberFormat="1" applyBorder="1"/>
    <xf numFmtId="0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vertical="center"/>
    </xf>
    <xf numFmtId="1" fontId="0" fillId="0" borderId="1" xfId="0" applyNumberFormat="1" applyBorder="1" applyAlignment="1">
      <alignment horizontal="center"/>
    </xf>
    <xf numFmtId="43" fontId="0" fillId="0" borderId="1" xfId="1" applyFon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2" fontId="0" fillId="0" borderId="1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</cellXfs>
  <cellStyles count="2">
    <cellStyle name="Milliers" xfId="1" builtinId="3"/>
    <cellStyle name="Normal" xfId="0" builtinId="0"/>
  </cellStyles>
  <dxfs count="85"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rgb="FF000000"/>
        <name val="Cambria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rgb="FF000000"/>
        <name val="Cambria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1028700</xdr:colOff>
      <xdr:row>0</xdr:row>
      <xdr:rowOff>76200</xdr:rowOff>
    </xdr:from>
    <xdr:to>
      <xdr:col>7</xdr:col>
      <xdr:colOff>1562100</xdr:colOff>
      <xdr:row>2</xdr:row>
      <xdr:rowOff>95250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B93B4D40-F1D1-4BE0-80BB-EC6F237F237D}"/>
            </a:ext>
          </a:extLst>
        </xdr:cNvPr>
        <xdr:cNvSpPr/>
      </xdr:nvSpPr>
      <xdr:spPr>
        <a:xfrm>
          <a:off x="6772275" y="76200"/>
          <a:ext cx="1733550" cy="44767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MENUS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7</xdr:col>
      <xdr:colOff>666750</xdr:colOff>
      <xdr:row>6</xdr:row>
      <xdr:rowOff>28575</xdr:rowOff>
    </xdr:to>
    <xdr:sp macro="[0]!formulaire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ABDFD19B-0526-465C-BA34-0EFCEE346E50}"/>
            </a:ext>
          </a:extLst>
        </xdr:cNvPr>
        <xdr:cNvSpPr/>
      </xdr:nvSpPr>
      <xdr:spPr>
        <a:xfrm>
          <a:off x="3810000" y="381000"/>
          <a:ext cx="2190750" cy="790575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MENUS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identite" displayName="tidentite" ref="B4:L9" totalsRowShown="0" headerRowDxfId="84" dataDxfId="83">
  <tableColumns count="11">
    <tableColumn id="1" name="Matricule" dataDxfId="82"/>
    <tableColumn id="2" name="Sexe" dataDxfId="81"/>
    <tableColumn id="3" name="Nom" dataDxfId="80"/>
    <tableColumn id="4" name="Prénom(s)" dataDxfId="79"/>
    <tableColumn id="5" name="Date" dataDxfId="78"/>
    <tableColumn id="6" name="Lieu" dataDxfId="77"/>
    <tableColumn id="7" name="Père" dataDxfId="76"/>
    <tableColumn id="8" name="Mère" dataDxfId="75"/>
    <tableColumn id="9" name="Domicile" dataDxfId="74"/>
    <tableColumn id="10" name="Téléphone" dataDxfId="73"/>
    <tableColumn id="11" name="email" dataDxfId="7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I1:I2" totalsRowShown="0" headerRowDxfId="71" dataDxfId="70">
  <autoFilter ref="I1:I2"/>
  <tableColumns count="1">
    <tableColumn id="1" name="Sexe" dataDxfId="69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2" name="tnote1" displayName="tnote1" ref="B4:T5" totalsRowShown="0" headerRowDxfId="68" dataDxfId="67">
  <autoFilter ref="B4:T5"/>
  <tableColumns count="19">
    <tableColumn id="1" name="Matricule" dataDxfId="66"/>
    <tableColumn id="19" name="Sexe" dataDxfId="65"/>
    <tableColumn id="2" name="Nom" dataDxfId="64"/>
    <tableColumn id="3" name="Prénom(s)" dataDxfId="63"/>
    <tableColumn id="4" name="Rédac" dataDxfId="62"/>
    <tableColumn id="5" name="Dict" dataDxfId="61"/>
    <tableColumn id="6" name="Prés" dataDxfId="60"/>
    <tableColumn id="7" name="Et text" dataDxfId="59"/>
    <tableColumn id="8" name="HG" dataDxfId="58"/>
    <tableColumn id="9" name="Scien" dataDxfId="57"/>
    <tableColumn id="10" name="Opér" dataDxfId="56"/>
    <tableColumn id="11" name="Prob" dataDxfId="55"/>
    <tableColumn id="12" name="Dessin" dataDxfId="54"/>
    <tableColumn id="13" name="Lect" dataDxfId="53"/>
    <tableColumn id="14" name="R/C" dataDxfId="52"/>
    <tableColumn id="15" name="Eps" dataDxfId="51"/>
    <tableColumn id="16" name="Total" dataDxfId="50">
      <calculatedColumnFormula>tnote1[Rédac]+tnote1[Dict]+tnote1[Prés]+tnote1[Et text]+tnote1[HG]+tnote1[Scien]+tnote1[Opér]+tnote1[Prob]+tnote1[Dessin]+tnote1[Lect]+tnote1[R/C]+tnote1[Eps]</calculatedColumnFormula>
    </tableColumn>
    <tableColumn id="17" name="Moye" dataDxfId="49">
      <calculatedColumnFormula>tnote1[Total]/$B$2</calculatedColumnFormula>
    </tableColumn>
    <tableColumn id="18" name="Rang">
      <calculatedColumnFormula>IFERROR(RANK(S5,INDIRECT("$S$5:$S"&amp;MATCH(9^9,S:S,1))) &amp; IF(COUNTIF(INDIRECT("$S$5:$S"&amp;MATCH(9^9,S:S,1)),S5)&gt;1,"e ex","e"),"")</calculatedColumnFormula>
    </tableColumn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3" name="tnote2" displayName="tnote2" ref="B4:T5" totalsRowShown="0" dataDxfId="48">
  <autoFilter ref="B4:T5"/>
  <tableColumns count="19">
    <tableColumn id="1" name="Matricule" dataDxfId="47"/>
    <tableColumn id="19" name="Sexe" dataDxfId="46"/>
    <tableColumn id="2" name="Nom" dataDxfId="45"/>
    <tableColumn id="3" name="Prénom(s)" dataDxfId="44"/>
    <tableColumn id="4" name="Rédac" dataDxfId="43"/>
    <tableColumn id="5" name="Dict" dataDxfId="42"/>
    <tableColumn id="6" name="Prés" dataDxfId="41"/>
    <tableColumn id="7" name="Et text" dataDxfId="40"/>
    <tableColumn id="8" name="HG" dataDxfId="39"/>
    <tableColumn id="9" name="Scien" dataDxfId="38"/>
    <tableColumn id="10" name="Opér" dataDxfId="37"/>
    <tableColumn id="11" name="Prob" dataDxfId="36"/>
    <tableColumn id="12" name="Dessin" dataDxfId="35"/>
    <tableColumn id="13" name="Lect" dataDxfId="34"/>
    <tableColumn id="14" name="R/C" dataDxfId="33"/>
    <tableColumn id="15" name="Eps" dataDxfId="32"/>
    <tableColumn id="16" name="Total">
      <calculatedColumnFormula>tnote2[Rédac]+tnote2[Dict]+tnote2[Prés]+tnote2[Et text]+tnote2[HG]+tnote2[Scien]+tnote2[Opér]+tnote2[Prob]+tnote2[Dessin]+tnote2[Lect]+tnote2[R/C]+tnote2[Eps]</calculatedColumnFormula>
    </tableColumn>
    <tableColumn id="17" name="Moye" dataDxfId="31">
      <calculatedColumnFormula>IFERROR(tnote2[Total]/$B$2,"")</calculatedColumnFormula>
    </tableColumn>
    <tableColumn id="18" name="Rang" dataDxfId="30">
      <calculatedColumnFormula>IFERROR(RANK(S5,INDIRECT("$S$5:$S"&amp;MATCH(9^9,S:S,1))) &amp; IF(COUNTIF(INDIRECT("$S$5:$S"&amp;MATCH(9^9,S:S,1)),S5)&gt;1,"e ex","e"),"")</calculatedColumnFormula>
    </tableColumn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4" name="tnote3" displayName="tnote3" ref="B4:T5" totalsRowShown="0" dataDxfId="29">
  <autoFilter ref="B4:T5"/>
  <tableColumns count="19">
    <tableColumn id="1" name="Matricule" dataDxfId="28"/>
    <tableColumn id="19" name="Sexe" dataDxfId="27"/>
    <tableColumn id="2" name="Nom" dataDxfId="26"/>
    <tableColumn id="3" name="Prénom(s)" dataDxfId="25"/>
    <tableColumn id="4" name="Rédac" dataDxfId="24"/>
    <tableColumn id="5" name="Dict" dataDxfId="23"/>
    <tableColumn id="6" name="Prés" dataDxfId="22"/>
    <tableColumn id="7" name="Et text" dataDxfId="21"/>
    <tableColumn id="8" name="HG" dataDxfId="20"/>
    <tableColumn id="9" name="Scien" dataDxfId="19"/>
    <tableColumn id="10" name="Opér" dataDxfId="18"/>
    <tableColumn id="11" name="Prob" dataDxfId="17"/>
    <tableColumn id="12" name="Dessin" dataDxfId="16"/>
    <tableColumn id="13" name="Lect" dataDxfId="15"/>
    <tableColumn id="14" name="R/C" dataDxfId="14"/>
    <tableColumn id="15" name="Eps" dataDxfId="13"/>
    <tableColumn id="16" name="Total" dataDxfId="12">
      <calculatedColumnFormula>tnote3[Rédac]+tnote3[Dict]+tnote3[Prés]+tnote3[Et text]+tnote3[HG]+tnote3[Scien]+tnote3[Opér]+tnote3[Prob]+tnote3[Dessin]+tnote3[Lect]+tnote3[R/C]+tnote3[Eps]</calculatedColumnFormula>
    </tableColumn>
    <tableColumn id="17" name="Moye" dataDxfId="11">
      <calculatedColumnFormula>IFERROR(tnote3[Total]/$B$2,"")</calculatedColumnFormula>
    </tableColumn>
    <tableColumn id="18" name="Rang" dataDxfId="10">
      <calculatedColumnFormula>IFERROR(RANK(S5,INDIRECT("$S$5:$S"&amp;MATCH(9^9,S:S,1))) &amp; IF(COUNTIF(INDIRECT("$S$5:$S"&amp;MATCH(9^9,S:S,1)),S5)&gt;1,"e ex","e"),"")</calculatedColumnFormula>
    </tableColumn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C12:H13" insertRow="1" totalsRowShown="0" headerRowDxfId="9" dataDxfId="8">
  <autoFilter ref="C12:H13"/>
  <tableColumns count="6">
    <tableColumn id="1" name="Matricule" dataDxfId="7"/>
    <tableColumn id="2" name="Sexe" dataDxfId="6"/>
    <tableColumn id="3" name="Nom" dataDxfId="5"/>
    <tableColumn id="4" name="Prénom(s)" dataDxfId="4"/>
    <tableColumn id="5" name="Date"/>
    <tableColumn id="6" name="Lieu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6" name="Tableau6" displayName="Tableau6" ref="F4:F5" totalsRowShown="0" headerRowDxfId="3" dataDxfId="2" tableBorderDxfId="1">
  <autoFilter ref="F4:F5"/>
  <tableColumns count="1">
    <tableColumn id="1" name="Sex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9"/>
  <sheetViews>
    <sheetView tabSelected="1" workbookViewId="0">
      <selection activeCell="E17" sqref="E17"/>
    </sheetView>
  </sheetViews>
  <sheetFormatPr baseColWidth="10" defaultRowHeight="15" x14ac:dyDescent="0.25"/>
  <cols>
    <col min="2" max="2" width="11.85546875" style="1" bestFit="1" customWidth="1"/>
    <col min="3" max="3" width="10.28515625" style="1" bestFit="1" customWidth="1"/>
    <col min="4" max="4" width="14.140625" style="1" bestFit="1" customWidth="1"/>
    <col min="5" max="5" width="24.7109375" style="1" bestFit="1" customWidth="1"/>
    <col min="6" max="6" width="13.7109375" style="1" customWidth="1"/>
    <col min="7" max="7" width="18" style="1" bestFit="1" customWidth="1"/>
    <col min="8" max="8" width="29.28515625" style="1" bestFit="1" customWidth="1"/>
    <col min="9" max="9" width="29" style="1" bestFit="1" customWidth="1"/>
    <col min="10" max="10" width="19.42578125" style="1" bestFit="1" customWidth="1"/>
    <col min="11" max="11" width="12.85546875" style="1" bestFit="1" customWidth="1"/>
    <col min="12" max="12" width="31.140625" style="1" bestFit="1" customWidth="1"/>
  </cols>
  <sheetData>
    <row r="1" spans="2:12" ht="18.75" x14ac:dyDescent="0.25">
      <c r="D1" s="1" t="s">
        <v>44</v>
      </c>
      <c r="I1" s="1" t="s">
        <v>1</v>
      </c>
    </row>
    <row r="2" spans="2:12" x14ac:dyDescent="0.25">
      <c r="I2" s="1" t="s">
        <v>26</v>
      </c>
    </row>
    <row r="4" spans="2:12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10</v>
      </c>
    </row>
    <row r="5" spans="2:12" ht="15.75" x14ac:dyDescent="0.25">
      <c r="B5" s="2">
        <v>11</v>
      </c>
      <c r="C5" s="2" t="s">
        <v>26</v>
      </c>
      <c r="D5" s="2" t="s">
        <v>27</v>
      </c>
      <c r="E5" s="2" t="s">
        <v>29</v>
      </c>
      <c r="F5" s="5">
        <v>36501</v>
      </c>
      <c r="G5" s="2" t="s">
        <v>30</v>
      </c>
      <c r="H5" s="2" t="s">
        <v>31</v>
      </c>
      <c r="I5" s="2" t="s">
        <v>32</v>
      </c>
      <c r="J5" s="2" t="s">
        <v>33</v>
      </c>
      <c r="K5" s="2" t="s">
        <v>34</v>
      </c>
      <c r="L5" s="2" t="s">
        <v>35</v>
      </c>
    </row>
    <row r="6" spans="2:12" ht="15.75" x14ac:dyDescent="0.25">
      <c r="B6" s="2">
        <v>44</v>
      </c>
      <c r="C6" s="2" t="s">
        <v>26</v>
      </c>
      <c r="D6" s="2" t="s">
        <v>36</v>
      </c>
      <c r="E6" s="2" t="s">
        <v>37</v>
      </c>
      <c r="F6" s="2" t="s">
        <v>38</v>
      </c>
      <c r="G6" s="2" t="s">
        <v>39</v>
      </c>
      <c r="H6" s="2" t="s">
        <v>40</v>
      </c>
      <c r="I6" s="2" t="s">
        <v>41</v>
      </c>
      <c r="J6" s="2" t="s">
        <v>39</v>
      </c>
      <c r="K6" s="2" t="s">
        <v>42</v>
      </c>
      <c r="L6" s="2" t="s">
        <v>43</v>
      </c>
    </row>
    <row r="7" spans="2:12" ht="15.75" x14ac:dyDescent="0.25">
      <c r="B7" s="2">
        <v>12</v>
      </c>
      <c r="C7" s="2" t="s">
        <v>26</v>
      </c>
      <c r="D7" s="2" t="s">
        <v>45</v>
      </c>
      <c r="E7" s="2" t="s">
        <v>46</v>
      </c>
      <c r="F7" s="2" t="s">
        <v>47</v>
      </c>
      <c r="G7" s="2" t="s">
        <v>48</v>
      </c>
      <c r="H7" s="2" t="s">
        <v>49</v>
      </c>
      <c r="I7" s="2" t="s">
        <v>50</v>
      </c>
      <c r="J7" s="2" t="s">
        <v>51</v>
      </c>
      <c r="K7" s="2" t="s">
        <v>52</v>
      </c>
      <c r="L7" s="2" t="s">
        <v>53</v>
      </c>
    </row>
    <row r="8" spans="2:12" ht="15.75" x14ac:dyDescent="0.25">
      <c r="B8" s="2">
        <v>400</v>
      </c>
      <c r="C8" s="2" t="s">
        <v>26</v>
      </c>
      <c r="D8" s="2" t="s">
        <v>27</v>
      </c>
      <c r="E8" s="2" t="s">
        <v>67</v>
      </c>
      <c r="F8" s="2" t="s">
        <v>68</v>
      </c>
      <c r="G8" s="2" t="s">
        <v>69</v>
      </c>
      <c r="H8" s="2" t="s">
        <v>70</v>
      </c>
      <c r="I8" s="2" t="s">
        <v>71</v>
      </c>
      <c r="J8" s="2" t="s">
        <v>72</v>
      </c>
      <c r="K8" s="2" t="s">
        <v>73</v>
      </c>
      <c r="L8" s="2" t="s">
        <v>74</v>
      </c>
    </row>
    <row r="9" spans="2:12" ht="15.75" x14ac:dyDescent="0.25">
      <c r="B9" s="2">
        <v>200</v>
      </c>
      <c r="C9" s="2" t="s">
        <v>28</v>
      </c>
      <c r="D9" s="2" t="s">
        <v>81</v>
      </c>
      <c r="E9" s="2" t="s">
        <v>82</v>
      </c>
      <c r="F9" s="2" t="s">
        <v>83</v>
      </c>
      <c r="G9" s="2" t="s">
        <v>84</v>
      </c>
      <c r="H9" s="2" t="s">
        <v>85</v>
      </c>
      <c r="I9" s="2" t="s">
        <v>86</v>
      </c>
      <c r="J9" s="2" t="s">
        <v>87</v>
      </c>
      <c r="K9" s="2" t="s">
        <v>88</v>
      </c>
      <c r="L9" s="2" t="s">
        <v>43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T5"/>
  <sheetViews>
    <sheetView workbookViewId="0">
      <selection activeCell="C9" sqref="C9"/>
    </sheetView>
  </sheetViews>
  <sheetFormatPr baseColWidth="10" defaultRowHeight="15" x14ac:dyDescent="0.25"/>
  <cols>
    <col min="1" max="1" width="11.42578125" style="14"/>
    <col min="2" max="2" width="11.85546875" style="14" bestFit="1" customWidth="1"/>
    <col min="3" max="3" width="11.85546875" style="14" customWidth="1"/>
    <col min="4" max="4" width="18.28515625" style="14" bestFit="1" customWidth="1"/>
    <col min="5" max="5" width="23.85546875" style="14" bestFit="1" customWidth="1"/>
    <col min="6" max="6" width="8.5703125" style="14" bestFit="1" customWidth="1"/>
    <col min="7" max="20" width="10.7109375" style="14" customWidth="1"/>
    <col min="21" max="16384" width="11.42578125" style="14"/>
  </cols>
  <sheetData>
    <row r="2" spans="1:20" hidden="1" x14ac:dyDescent="0.25">
      <c r="A2" s="13" t="s">
        <v>61</v>
      </c>
      <c r="B2" s="13">
        <v>16</v>
      </c>
    </row>
    <row r="4" spans="1:20" x14ac:dyDescent="0.25">
      <c r="B4" s="14" t="s">
        <v>0</v>
      </c>
      <c r="C4" s="14" t="s">
        <v>1</v>
      </c>
      <c r="D4" s="14" t="s">
        <v>2</v>
      </c>
      <c r="E4" s="14" t="s">
        <v>3</v>
      </c>
      <c r="F4" s="14" t="s">
        <v>11</v>
      </c>
      <c r="G4" s="14" t="s">
        <v>12</v>
      </c>
      <c r="H4" s="14" t="s">
        <v>13</v>
      </c>
      <c r="I4" s="14" t="s">
        <v>14</v>
      </c>
      <c r="J4" s="14" t="s">
        <v>15</v>
      </c>
      <c r="K4" s="14" t="s">
        <v>17</v>
      </c>
      <c r="L4" s="14" t="s">
        <v>16</v>
      </c>
      <c r="M4" s="14" t="s">
        <v>18</v>
      </c>
      <c r="N4" s="14" t="s">
        <v>19</v>
      </c>
      <c r="O4" s="14" t="s">
        <v>20</v>
      </c>
      <c r="P4" s="14" t="s">
        <v>21</v>
      </c>
      <c r="Q4" s="14" t="s">
        <v>22</v>
      </c>
      <c r="R4" s="14" t="s">
        <v>23</v>
      </c>
      <c r="S4" s="14" t="s">
        <v>24</v>
      </c>
      <c r="T4" s="14" t="s">
        <v>25</v>
      </c>
    </row>
    <row r="5" spans="1:20" ht="15.75" x14ac:dyDescent="0.25">
      <c r="B5" s="12">
        <v>11</v>
      </c>
      <c r="C5" s="12" t="s">
        <v>26</v>
      </c>
      <c r="D5" s="12" t="s">
        <v>27</v>
      </c>
      <c r="E5" s="12" t="s">
        <v>29</v>
      </c>
      <c r="F5" s="12">
        <v>1</v>
      </c>
      <c r="G5" s="12">
        <v>2</v>
      </c>
      <c r="H5" s="12">
        <v>3</v>
      </c>
      <c r="I5" s="12">
        <v>4</v>
      </c>
      <c r="J5" s="12">
        <v>10</v>
      </c>
      <c r="K5" s="12">
        <v>2</v>
      </c>
      <c r="L5" s="12">
        <v>3</v>
      </c>
      <c r="M5" s="12">
        <v>25</v>
      </c>
      <c r="N5" s="12">
        <v>10.75</v>
      </c>
      <c r="O5" s="12">
        <v>2</v>
      </c>
      <c r="P5" s="12">
        <v>3</v>
      </c>
      <c r="Q5" s="12"/>
      <c r="R5" s="12">
        <f>tnote1[Rédac]+tnote1[Dict]+tnote1[Prés]+tnote1[Et text]+tnote1[HG]+tnote1[Scien]+tnote1[Opér]+tnote1[Prob]+tnote1[Dessin]+tnote1[Lect]+tnote1[R/C]+tnote1[Eps]</f>
        <v>65.75</v>
      </c>
      <c r="S5" s="11">
        <f>tnote1[Total]/$B$2</f>
        <v>4.109375</v>
      </c>
      <c r="T5" s="15" t="str">
        <f ca="1">IFERROR(RANK(S5,INDIRECT("$S$5:$S"&amp;MATCH(9^9,S:S,1))) &amp; IF(COUNTIF(INDIRECT("$S$5:$S"&amp;MATCH(9^9,S:S,1)),S5)&gt;1,"e ex","e"),"")</f>
        <v>1e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T5"/>
  <sheetViews>
    <sheetView workbookViewId="0">
      <selection activeCell="S5" sqref="S5"/>
    </sheetView>
  </sheetViews>
  <sheetFormatPr baseColWidth="10" defaultRowHeight="15" x14ac:dyDescent="0.25"/>
  <cols>
    <col min="2" max="2" width="11.85546875" bestFit="1" customWidth="1"/>
    <col min="3" max="3" width="11.85546875" customWidth="1"/>
    <col min="4" max="4" width="18.28515625" bestFit="1" customWidth="1"/>
    <col min="5" max="5" width="23.85546875" bestFit="1" customWidth="1"/>
    <col min="6" max="6" width="8.5703125" bestFit="1" customWidth="1"/>
    <col min="7" max="20" width="10.7109375" customWidth="1"/>
  </cols>
  <sheetData>
    <row r="2" spans="1:20" hidden="1" x14ac:dyDescent="0.25">
      <c r="A2" s="7" t="s">
        <v>61</v>
      </c>
      <c r="B2" s="7">
        <v>16</v>
      </c>
    </row>
    <row r="4" spans="1:20" x14ac:dyDescent="0.25">
      <c r="B4" t="s">
        <v>0</v>
      </c>
      <c r="C4" t="s">
        <v>1</v>
      </c>
      <c r="D4" t="s">
        <v>2</v>
      </c>
      <c r="E4" t="s">
        <v>3</v>
      </c>
      <c r="F4" t="s">
        <v>11</v>
      </c>
      <c r="G4" t="s">
        <v>12</v>
      </c>
      <c r="H4" t="s">
        <v>13</v>
      </c>
      <c r="I4" t="s">
        <v>14</v>
      </c>
      <c r="J4" t="s">
        <v>15</v>
      </c>
      <c r="K4" t="s">
        <v>17</v>
      </c>
      <c r="L4" t="s">
        <v>16</v>
      </c>
      <c r="M4" t="s">
        <v>18</v>
      </c>
      <c r="N4" t="s">
        <v>19</v>
      </c>
      <c r="O4" t="s">
        <v>20</v>
      </c>
      <c r="P4" t="s">
        <v>21</v>
      </c>
      <c r="Q4" t="s">
        <v>22</v>
      </c>
      <c r="R4" t="s">
        <v>23</v>
      </c>
      <c r="S4" t="s">
        <v>24</v>
      </c>
      <c r="T4" t="s">
        <v>25</v>
      </c>
    </row>
    <row r="5" spans="1:20" ht="15.75" x14ac:dyDescent="0.25">
      <c r="B5" s="3"/>
      <c r="C5" s="3"/>
      <c r="D5" s="3"/>
      <c r="E5" s="3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5">
        <f>tnote2[Rédac]+tnote2[Dict]+tnote2[Prés]+tnote2[Et text]+tnote2[HG]+tnote2[Scien]+tnote2[Opér]+tnote2[Prob]+tnote2[Dessin]+tnote2[Lect]+tnote2[R/C]+tnote2[Eps]</f>
        <v>0</v>
      </c>
      <c r="S5" s="11">
        <f>IFERROR(tnote2[Total]/$B$2,"")</f>
        <v>0</v>
      </c>
      <c r="T5" s="3" t="str">
        <f ca="1">IFERROR(RANK(S5,INDIRECT("$S$5:$S"&amp;MATCH(9^9,S:S,1))) &amp; IF(COUNTIF(INDIRECT("$S$5:$S"&amp;MATCH(9^9,S:S,1)),S5)&gt;1,"e ex","e"),"")</f>
        <v>1e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T5"/>
  <sheetViews>
    <sheetView topLeftCell="P1" workbookViewId="0">
      <selection activeCell="T5" sqref="T5"/>
    </sheetView>
  </sheetViews>
  <sheetFormatPr baseColWidth="10" defaultRowHeight="15" x14ac:dyDescent="0.25"/>
  <cols>
    <col min="2" max="2" width="11.85546875" bestFit="1" customWidth="1"/>
    <col min="3" max="3" width="11.85546875" customWidth="1"/>
    <col min="4" max="4" width="18.28515625" bestFit="1" customWidth="1"/>
    <col min="5" max="5" width="23.85546875" bestFit="1" customWidth="1"/>
    <col min="6" max="6" width="8.5703125" bestFit="1" customWidth="1"/>
    <col min="7" max="20" width="10.7109375" customWidth="1"/>
  </cols>
  <sheetData>
    <row r="2" spans="1:20" hidden="1" x14ac:dyDescent="0.25">
      <c r="A2" s="7" t="s">
        <v>61</v>
      </c>
      <c r="B2" s="7">
        <v>16</v>
      </c>
    </row>
    <row r="4" spans="1:20" x14ac:dyDescent="0.25">
      <c r="B4" t="s">
        <v>0</v>
      </c>
      <c r="C4" t="s">
        <v>1</v>
      </c>
      <c r="D4" t="s">
        <v>2</v>
      </c>
      <c r="E4" t="s">
        <v>3</v>
      </c>
      <c r="F4" t="s">
        <v>11</v>
      </c>
      <c r="G4" t="s">
        <v>12</v>
      </c>
      <c r="H4" t="s">
        <v>13</v>
      </c>
      <c r="I4" t="s">
        <v>14</v>
      </c>
      <c r="J4" t="s">
        <v>15</v>
      </c>
      <c r="K4" t="s">
        <v>17</v>
      </c>
      <c r="L4" t="s">
        <v>16</v>
      </c>
      <c r="M4" t="s">
        <v>18</v>
      </c>
      <c r="N4" t="s">
        <v>19</v>
      </c>
      <c r="O4" t="s">
        <v>20</v>
      </c>
      <c r="P4" t="s">
        <v>21</v>
      </c>
      <c r="Q4" t="s">
        <v>22</v>
      </c>
      <c r="R4" t="s">
        <v>23</v>
      </c>
      <c r="S4" t="s">
        <v>24</v>
      </c>
      <c r="T4" t="s">
        <v>25</v>
      </c>
    </row>
    <row r="5" spans="1:20" ht="15.75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>
        <f>tnote3[Rédac]+tnote3[Dict]+tnote3[Prés]+tnote3[Et text]+tnote3[HG]+tnote3[Scien]+tnote3[Opér]+tnote3[Prob]+tnote3[Dessin]+tnote3[Lect]+tnote3[R/C]+tnote3[Eps]</f>
        <v>0</v>
      </c>
      <c r="S5" s="17">
        <f>IFERROR(tnote3[Total]/$B$2,"")</f>
        <v>0</v>
      </c>
      <c r="T5" s="3" t="str">
        <f ca="1">IFERROR(RANK(S5,INDIRECT("$S$5:$S"&amp;MATCH(9^9,S:S,1))) &amp; IF(COUNTIF(INDIRECT("$S$5:$S"&amp;MATCH(9^9,S:S,1)),S5)&gt;1,"e ex","e"),"")</f>
        <v>1e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4:H12"/>
  <sheetViews>
    <sheetView workbookViewId="0">
      <selection activeCell="G5" sqref="G5"/>
    </sheetView>
  </sheetViews>
  <sheetFormatPr baseColWidth="10" defaultRowHeight="15" x14ac:dyDescent="0.25"/>
  <cols>
    <col min="3" max="4" width="15.7109375" style="1" customWidth="1"/>
    <col min="5" max="5" width="18.7109375" style="1" customWidth="1"/>
    <col min="6" max="6" width="30.7109375" style="1" customWidth="1"/>
    <col min="7" max="7" width="25.140625" customWidth="1"/>
  </cols>
  <sheetData>
    <row r="4" spans="2:8" ht="15.75" thickBot="1" x14ac:dyDescent="0.3">
      <c r="F4" s="1" t="s">
        <v>1</v>
      </c>
    </row>
    <row r="5" spans="2:8" ht="20.100000000000001" customHeight="1" x14ac:dyDescent="0.25">
      <c r="F5" s="9" t="s">
        <v>62</v>
      </c>
    </row>
    <row r="8" spans="2:8" x14ac:dyDescent="0.25">
      <c r="B8" t="s">
        <v>26</v>
      </c>
      <c r="C8" s="1" t="s">
        <v>28</v>
      </c>
      <c r="D8" s="1" t="s">
        <v>62</v>
      </c>
    </row>
    <row r="12" spans="2:8" x14ac:dyDescent="0.25">
      <c r="C12" s="1" t="s">
        <v>0</v>
      </c>
      <c r="D12" s="1" t="s">
        <v>1</v>
      </c>
      <c r="E12" s="1" t="s">
        <v>2</v>
      </c>
      <c r="F12" s="1" t="s">
        <v>3</v>
      </c>
      <c r="G12" t="s">
        <v>4</v>
      </c>
      <c r="H12" t="s">
        <v>5</v>
      </c>
    </row>
  </sheetData>
  <dataValidations count="1">
    <dataValidation type="list" allowBlank="1" showInputMessage="1" showErrorMessage="1" sqref="F5">
      <formula1>$B$8:$D$8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M21"/>
  <sheetViews>
    <sheetView workbookViewId="0">
      <selection activeCell="I13" sqref="I13"/>
    </sheetView>
  </sheetViews>
  <sheetFormatPr baseColWidth="10" defaultRowHeight="15" x14ac:dyDescent="0.25"/>
  <cols>
    <col min="12" max="12" width="18.85546875" customWidth="1"/>
    <col min="13" max="13" width="28.7109375" customWidth="1"/>
  </cols>
  <sheetData>
    <row r="1" spans="1:13" x14ac:dyDescent="0.25">
      <c r="A1" s="4">
        <v>2</v>
      </c>
      <c r="L1" s="23" t="s">
        <v>56</v>
      </c>
      <c r="M1" s="23"/>
    </row>
    <row r="2" spans="1:13" x14ac:dyDescent="0.25">
      <c r="A2" s="4">
        <v>6</v>
      </c>
      <c r="L2" s="23"/>
      <c r="M2" s="23"/>
    </row>
    <row r="3" spans="1:13" x14ac:dyDescent="0.25">
      <c r="A3">
        <v>3</v>
      </c>
    </row>
    <row r="4" spans="1:13" x14ac:dyDescent="0.25">
      <c r="L4" s="7" t="s">
        <v>57</v>
      </c>
      <c r="M4" s="8" t="s">
        <v>63</v>
      </c>
    </row>
    <row r="6" spans="1:13" x14ac:dyDescent="0.25">
      <c r="L6" s="7" t="s">
        <v>58</v>
      </c>
      <c r="M6" s="8" t="s">
        <v>64</v>
      </c>
    </row>
    <row r="8" spans="1:13" x14ac:dyDescent="0.25">
      <c r="L8" s="7" t="s">
        <v>59</v>
      </c>
      <c r="M8" s="8" t="s">
        <v>65</v>
      </c>
    </row>
    <row r="10" spans="1:13" x14ac:dyDescent="0.25">
      <c r="D10" s="6" t="s">
        <v>54</v>
      </c>
      <c r="E10" s="6"/>
      <c r="F10" s="6"/>
      <c r="L10" s="7" t="s">
        <v>60</v>
      </c>
      <c r="M10" s="8" t="s">
        <v>66</v>
      </c>
    </row>
    <row r="11" spans="1:13" x14ac:dyDescent="0.25">
      <c r="D11" s="6" t="s">
        <v>55</v>
      </c>
      <c r="E11" s="6"/>
      <c r="F11" s="6"/>
    </row>
    <row r="12" spans="1:13" x14ac:dyDescent="0.25">
      <c r="D12" s="6"/>
      <c r="E12" s="6"/>
      <c r="F12" s="6"/>
    </row>
    <row r="20" spans="2:10" x14ac:dyDescent="0.25">
      <c r="B20" s="22" t="s">
        <v>44</v>
      </c>
      <c r="C20" s="22"/>
      <c r="D20" s="22"/>
      <c r="E20" s="22"/>
      <c r="F20" s="22"/>
      <c r="G20" s="22"/>
      <c r="H20" s="22"/>
      <c r="I20" s="22"/>
      <c r="J20" s="22"/>
    </row>
    <row r="21" spans="2:10" x14ac:dyDescent="0.25">
      <c r="B21" s="22"/>
      <c r="C21" s="22"/>
      <c r="D21" s="22"/>
      <c r="E21" s="22"/>
      <c r="F21" s="22"/>
      <c r="G21" s="22"/>
      <c r="H21" s="22"/>
      <c r="I21" s="22"/>
      <c r="J21" s="22"/>
    </row>
  </sheetData>
  <mergeCells count="2">
    <mergeCell ref="B20:J21"/>
    <mergeCell ref="L1:M2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E9"/>
  <sheetViews>
    <sheetView workbookViewId="0">
      <selection activeCell="D5" sqref="D5"/>
    </sheetView>
  </sheetViews>
  <sheetFormatPr baseColWidth="10" defaultRowHeight="15" x14ac:dyDescent="0.25"/>
  <cols>
    <col min="2" max="2" width="20" bestFit="1" customWidth="1"/>
    <col min="3" max="5" width="11.42578125" style="16"/>
  </cols>
  <sheetData>
    <row r="3" spans="2:5" ht="24.95" customHeight="1" x14ac:dyDescent="0.25">
      <c r="C3" s="8" t="s">
        <v>78</v>
      </c>
      <c r="D3" s="8" t="s">
        <v>79</v>
      </c>
      <c r="E3" s="8" t="s">
        <v>80</v>
      </c>
    </row>
    <row r="4" spans="2:5" ht="24.95" customHeight="1" x14ac:dyDescent="0.25">
      <c r="B4" s="7" t="s">
        <v>75</v>
      </c>
      <c r="C4" s="18">
        <f>IFERROR(COUNTIF(tnote1[Sexe],"Masculin"),"")</f>
        <v>1</v>
      </c>
      <c r="D4" s="18">
        <f>IFERROR(COUNTIF(tnote1[Sexe],"Féminin"),"")</f>
        <v>0</v>
      </c>
      <c r="E4" s="18">
        <f>IFERROR(C4+D4,"")</f>
        <v>1</v>
      </c>
    </row>
    <row r="5" spans="2:5" ht="24.95" customHeight="1" x14ac:dyDescent="0.25">
      <c r="B5" s="7" t="s">
        <v>76</v>
      </c>
      <c r="C5" s="18">
        <f>IFERROR(COUNTIFS(notet1!C5:C5,"Masculin",notet1!S5:S5,"&gt;=5"),"")</f>
        <v>0</v>
      </c>
      <c r="D5" s="18">
        <f>IFERROR(COUNTIFS(notet1!D5:D5,"Féminin",notet1!T5:T5,"&gt;=5"),"")</f>
        <v>0</v>
      </c>
      <c r="E5" s="18">
        <f>IFERROR(C5+D5,"")</f>
        <v>0</v>
      </c>
    </row>
    <row r="6" spans="2:5" ht="24.95" customHeight="1" x14ac:dyDescent="0.25">
      <c r="B6" s="7" t="s">
        <v>77</v>
      </c>
      <c r="C6" s="19">
        <f>IFERROR(AVERAGEIFS(tnote1[Moye],tnote1[Sexe],"Masculin"),"")</f>
        <v>4.109375</v>
      </c>
      <c r="D6" s="19" t="str">
        <f>IFERROR(AVERAGEIFS(tnote1[Moye],tnote1[Sexe],"Féminin"),"0")</f>
        <v>0</v>
      </c>
      <c r="E6" s="19">
        <f>IFERROR(AVERAGE(tnote1[Moye]),"")</f>
        <v>4.109375</v>
      </c>
    </row>
    <row r="7" spans="2:5" ht="24.95" customHeight="1" x14ac:dyDescent="0.25">
      <c r="B7" s="7" t="s">
        <v>91</v>
      </c>
      <c r="C7" s="19">
        <f t="array" ref="C7">MAX(IF(tnote1[Sexe]="Masculin",tnote1[Moye]))</f>
        <v>4.109375</v>
      </c>
      <c r="D7" s="19">
        <f t="array" ref="D7">MAX(IF(tnote1[Sexe]="Féminin",tnote1[Moye]))</f>
        <v>0</v>
      </c>
      <c r="E7" s="21">
        <f>IFERROR(MAX(tnote1[Moye]),"")</f>
        <v>4.109375</v>
      </c>
    </row>
    <row r="8" spans="2:5" ht="24.95" customHeight="1" x14ac:dyDescent="0.25">
      <c r="B8" s="7" t="s">
        <v>89</v>
      </c>
      <c r="C8" s="19">
        <f t="array" ref="C8">MIN(IF(tnote1[Sexe]="Masculin",tnote1[Moye]))</f>
        <v>4.109375</v>
      </c>
      <c r="D8" s="19">
        <f t="array" ref="D8">MIN(IF(tnote1[Sexe]="Féminin",tnote1[Moye]))</f>
        <v>0</v>
      </c>
      <c r="E8" s="21">
        <f>IFERROR(MIN(tnote1[Moye]),"")</f>
        <v>4.109375</v>
      </c>
    </row>
    <row r="9" spans="2:5" ht="24.95" customHeight="1" x14ac:dyDescent="0.25">
      <c r="B9" s="10" t="s">
        <v>90</v>
      </c>
      <c r="C9" s="20">
        <f>IFERROR(C5/C4,"0")</f>
        <v>0</v>
      </c>
      <c r="D9" s="20" t="str">
        <f>IFERROR(D5/D4,"0")</f>
        <v>0</v>
      </c>
      <c r="E9" s="20">
        <f>IFERROR(E5/E4,"0")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3:E9"/>
  <sheetViews>
    <sheetView workbookViewId="0">
      <selection activeCell="H7" sqref="H7"/>
    </sheetView>
  </sheetViews>
  <sheetFormatPr baseColWidth="10" defaultRowHeight="15" x14ac:dyDescent="0.25"/>
  <cols>
    <col min="2" max="2" width="20" bestFit="1" customWidth="1"/>
    <col min="3" max="5" width="11.42578125" style="16"/>
  </cols>
  <sheetData>
    <row r="3" spans="2:5" ht="24.95" customHeight="1" x14ac:dyDescent="0.25">
      <c r="C3" s="8" t="s">
        <v>78</v>
      </c>
      <c r="D3" s="8" t="s">
        <v>79</v>
      </c>
      <c r="E3" s="8" t="s">
        <v>80</v>
      </c>
    </row>
    <row r="4" spans="2:5" ht="24.95" customHeight="1" x14ac:dyDescent="0.25">
      <c r="B4" s="7" t="s">
        <v>75</v>
      </c>
      <c r="C4" s="18">
        <f>IFERROR(COUNTIF(tnote2[Sexe],"Masculin"),"")</f>
        <v>0</v>
      </c>
      <c r="D4" s="18">
        <f>IFERROR(COUNTIF(tnote2[Sexe],"Féminin"),"")</f>
        <v>0</v>
      </c>
      <c r="E4" s="18">
        <f>IFERROR(C4+D4,"")</f>
        <v>0</v>
      </c>
    </row>
    <row r="5" spans="2:5" ht="24.95" customHeight="1" x14ac:dyDescent="0.25">
      <c r="B5" s="7" t="s">
        <v>76</v>
      </c>
      <c r="C5" s="18">
        <f>IFERROR(COUNTIFS(notet2!C5:C5,"Masculin",notet2!S5:S5,"&gt;=5"),"")</f>
        <v>0</v>
      </c>
      <c r="D5" s="18">
        <f>IFERROR(COUNTIFS(notet2!D5:D5,"Féminin",notet2!T5:T5,"&gt;=5"),"")</f>
        <v>0</v>
      </c>
      <c r="E5" s="18">
        <f>IFERROR(C5+D5,"")</f>
        <v>0</v>
      </c>
    </row>
    <row r="6" spans="2:5" ht="24.95" customHeight="1" x14ac:dyDescent="0.25">
      <c r="B6" s="7" t="s">
        <v>77</v>
      </c>
      <c r="C6" s="19" t="str">
        <f>IFERROR(AVERAGEIFS(tnote2[Moye],tnote2[Sexe],"Masculin"),"")</f>
        <v/>
      </c>
      <c r="D6" s="19" t="str">
        <f>IFERROR(AVERAGEIFS(tnote2[Moye],tnote2[Sexe],"Féminin"),"0")</f>
        <v>0</v>
      </c>
      <c r="E6" s="19">
        <f>IFERROR(AVERAGE(tnote2[Moye]),"")</f>
        <v>0</v>
      </c>
    </row>
    <row r="7" spans="2:5" ht="24.95" customHeight="1" x14ac:dyDescent="0.25">
      <c r="B7" s="7" t="s">
        <v>91</v>
      </c>
      <c r="C7" s="19">
        <f>MAX(IF(tnote2[Sexe]="Masculin",tnote2[Moye]))</f>
        <v>0</v>
      </c>
      <c r="D7" s="19">
        <f>MAX(IF(tnote2[Sexe]="Féminin",tnote2[Moye]))</f>
        <v>0</v>
      </c>
      <c r="E7" s="21">
        <f>IFERROR(MAX(tnote2[Moye]),"")</f>
        <v>0</v>
      </c>
    </row>
    <row r="8" spans="2:5" ht="24.95" customHeight="1" x14ac:dyDescent="0.25">
      <c r="B8" s="7" t="s">
        <v>89</v>
      </c>
      <c r="C8" s="19">
        <f>MIN(IF(tnote2[Sexe]="Masculin",tnote2[Moye]))</f>
        <v>0</v>
      </c>
      <c r="D8" s="19">
        <f>MIN(IF(tnote2[Sexe]="Féminin",tnote2[Moye]))</f>
        <v>0</v>
      </c>
      <c r="E8" s="21">
        <f>IFERROR(MIN(tnote2[Moye]),"")</f>
        <v>0</v>
      </c>
    </row>
    <row r="9" spans="2:5" ht="24.95" customHeight="1" x14ac:dyDescent="0.25">
      <c r="B9" s="10" t="s">
        <v>90</v>
      </c>
      <c r="C9" s="20" t="str">
        <f>IFERROR(C5/C4,"0")</f>
        <v>0</v>
      </c>
      <c r="D9" s="20" t="str">
        <f>IFERROR(D5/D4,"0")</f>
        <v>0</v>
      </c>
      <c r="E9" s="20" t="str">
        <f>IFERROR(E5/E4,"0")</f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3:E9"/>
  <sheetViews>
    <sheetView workbookViewId="0">
      <selection activeCell="B18" sqref="B18"/>
    </sheetView>
  </sheetViews>
  <sheetFormatPr baseColWidth="10" defaultRowHeight="15" x14ac:dyDescent="0.25"/>
  <cols>
    <col min="2" max="2" width="20" bestFit="1" customWidth="1"/>
    <col min="3" max="5" width="11.42578125" style="16"/>
  </cols>
  <sheetData>
    <row r="3" spans="2:5" ht="24.95" customHeight="1" x14ac:dyDescent="0.25">
      <c r="C3" s="8" t="s">
        <v>78</v>
      </c>
      <c r="D3" s="8" t="s">
        <v>79</v>
      </c>
      <c r="E3" s="8" t="s">
        <v>80</v>
      </c>
    </row>
    <row r="4" spans="2:5" ht="24.95" customHeight="1" x14ac:dyDescent="0.25">
      <c r="B4" s="7" t="s">
        <v>75</v>
      </c>
      <c r="C4" s="18">
        <f>IFERROR(COUNTIF(tnote3[Sexe],"Masculin"),"")</f>
        <v>0</v>
      </c>
      <c r="D4" s="18">
        <f>IFERROR(COUNTIF(tnote3[Sexe],"Féminin"),"")</f>
        <v>0</v>
      </c>
      <c r="E4" s="18">
        <f>IFERROR(C4+D4,"")</f>
        <v>0</v>
      </c>
    </row>
    <row r="5" spans="2:5" ht="24.95" customHeight="1" x14ac:dyDescent="0.25">
      <c r="B5" s="7" t="s">
        <v>76</v>
      </c>
      <c r="C5" s="18">
        <f>IFERROR(COUNTIFS(notet3!C5:C5,"Masculin",notet3!S5:S5,"&gt;=5"),"")</f>
        <v>0</v>
      </c>
      <c r="D5" s="18">
        <f>IFERROR(COUNTIFS(notet3!D5:D5,"Féminin",notet3!T5:T5,"&gt;=5"),"")</f>
        <v>0</v>
      </c>
      <c r="E5" s="18">
        <f>IFERROR(C5+D5,"")</f>
        <v>0</v>
      </c>
    </row>
    <row r="6" spans="2:5" ht="24.95" customHeight="1" x14ac:dyDescent="0.25">
      <c r="B6" s="7" t="s">
        <v>77</v>
      </c>
      <c r="C6" s="19" t="str">
        <f>IFERROR(AVERAGEIFS(tnote3[Moye],tnote3[Sexe],"Masculin"),"")</f>
        <v/>
      </c>
      <c r="D6" s="19" t="str">
        <f>IFERROR(AVERAGEIFS(tnote3[Moye],tnote3[Sexe],"Féminin"),"0")</f>
        <v>0</v>
      </c>
      <c r="E6" s="19">
        <f>IFERROR(AVERAGE(tnote3[Moye]),"")</f>
        <v>0</v>
      </c>
    </row>
    <row r="7" spans="2:5" ht="24.95" customHeight="1" x14ac:dyDescent="0.25">
      <c r="B7" s="7" t="s">
        <v>91</v>
      </c>
      <c r="C7" s="19">
        <f t="array" ref="C7">MAX(IF(tnote3[Sexe]="Masculin",tnote3[Moye]))</f>
        <v>0</v>
      </c>
      <c r="D7" s="19">
        <f t="array" ref="D7">MAX(IF(tnote3[Sexe]="Féminin",tnote3[Moye]))</f>
        <v>0</v>
      </c>
      <c r="E7" s="21">
        <f>IFERROR(MAX(tnote3[Moye]),"")</f>
        <v>0</v>
      </c>
    </row>
    <row r="8" spans="2:5" ht="24.95" customHeight="1" x14ac:dyDescent="0.25">
      <c r="B8" s="7" t="s">
        <v>89</v>
      </c>
      <c r="C8" s="19">
        <f t="array" ref="C8">MIN(IF(tnote3[Sexe]="Masculin",tnote3[Moye]))</f>
        <v>0</v>
      </c>
      <c r="D8" s="19">
        <f t="array" ref="D8">MIN(IF(tnote3[Sexe]="Féminin",tnote3[Moye]))</f>
        <v>0</v>
      </c>
      <c r="E8" s="21">
        <f>IFERROR(MIN(tnote3[Moye]),"")</f>
        <v>0</v>
      </c>
    </row>
    <row r="9" spans="2:5" ht="24.95" customHeight="1" x14ac:dyDescent="0.25">
      <c r="B9" s="10" t="s">
        <v>90</v>
      </c>
      <c r="C9" s="20" t="str">
        <f>IFERROR(C5/C4,"0")</f>
        <v>0</v>
      </c>
      <c r="D9" s="20" t="str">
        <f>IFERROR(D5/D4,"0")</f>
        <v>0</v>
      </c>
      <c r="E9" s="20" t="str">
        <f>IFERROR(E5/E4,"0")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11</vt:i4>
      </vt:variant>
    </vt:vector>
  </HeadingPairs>
  <TitlesOfParts>
    <vt:vector size="20" baseType="lpstr">
      <vt:lpstr>identite</vt:lpstr>
      <vt:lpstr>notet1</vt:lpstr>
      <vt:lpstr>notet2</vt:lpstr>
      <vt:lpstr>notet3</vt:lpstr>
      <vt:lpstr>listealpha</vt:lpstr>
      <vt:lpstr>accueil</vt:lpstr>
      <vt:lpstr>sta1</vt:lpstr>
      <vt:lpstr>sta2</vt:lpstr>
      <vt:lpstr>sta3</vt:lpstr>
      <vt:lpstr>listealpha!Criteres</vt:lpstr>
      <vt:lpstr>notet2!filtre</vt:lpstr>
      <vt:lpstr>notet3!filtre</vt:lpstr>
      <vt:lpstr>'sta2'!filtre</vt:lpstr>
      <vt:lpstr>'sta3'!filtre</vt:lpstr>
      <vt:lpstr>filtre</vt:lpstr>
      <vt:lpstr>notet2!Genre</vt:lpstr>
      <vt:lpstr>notet3!Genre</vt:lpstr>
      <vt:lpstr>'sta2'!Genre</vt:lpstr>
      <vt:lpstr>'sta3'!Genre</vt:lpstr>
      <vt:lpstr>Genre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2021-07-17T17:41:48Z</cp:lastPrinted>
  <dcterms:created xsi:type="dcterms:W3CDTF">2021-07-16T10:27:00Z</dcterms:created>
  <dcterms:modified xsi:type="dcterms:W3CDTF">2021-08-01T10:37:44Z</dcterms:modified>
</cp:coreProperties>
</file>