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500" windowWidth="12300" windowHeight="5865" activeTab="1"/>
  </bookViews>
  <sheets>
    <sheet name="Grille de saisie CA" sheetId="1" r:id="rId1"/>
    <sheet name="Coût d'un élève" sheetId="3" r:id="rId2"/>
  </sheets>
  <externalReferences>
    <externalReference r:id="rId3"/>
  </externalReferences>
  <definedNames>
    <definedName name="Année" localSheetId="1">'Coût d''un élève'!$L$4:$V$4</definedName>
    <definedName name="ANNEE_CLE_REPARTITION">OFFSET('Grille de saisie CA'!$E$34,,,1,COUNTA('Grille de saisie CA'!$34:$34)-1)</definedName>
    <definedName name="CA_2006">'Grille de saisie CA'!$E$4</definedName>
    <definedName name="CA_2007">'Grille de saisie CA'!$F$4</definedName>
    <definedName name="CA_2008">'Grille de saisie CA'!$G$4</definedName>
    <definedName name="CA_2009">'Grille de saisie CA'!$H$4</definedName>
    <definedName name="CA_2010">'Grille de saisie CA'!$I$4</definedName>
    <definedName name="CA_2011">'Grille de saisie CA'!$J$4</definedName>
    <definedName name="CA_2012">'Grille de saisie CA'!$K$4</definedName>
    <definedName name="CA_2013">'Grille de saisie CA'!$L$4</definedName>
    <definedName name="CA_2014">'Grille de saisie CA'!$M$4</definedName>
    <definedName name="CA_2015">'Grille de saisie CA'!$N$4</definedName>
    <definedName name="CA_2016">'Grille de saisie CA'!$O$4</definedName>
    <definedName name="CA_2017">'Grille de saisie CA'!$P$4</definedName>
    <definedName name="CA_2018">'Grille de saisie CA'!$Q$4</definedName>
    <definedName name="CA_2019">'Grille de saisie CA'!$R$4</definedName>
    <definedName name="CA_2020">'Grille de saisie CA'!$S$4</definedName>
    <definedName name="CA_2021">'Grille de saisie CA'!$T$4</definedName>
    <definedName name="CA_2022">'Grille de saisie CA'!$U$4</definedName>
    <definedName name="CA_2023">'Grille de saisie CA'!$V$4</definedName>
    <definedName name="CA_2024">'Grille de saisie CA'!$W$4</definedName>
    <definedName name="CA_2025">'Grille de saisie CA'!$X$4</definedName>
    <definedName name="CA_2026">'Grille de saisie CA'!$Y$4</definedName>
    <definedName name="CDE_classes_environnement" localSheetId="1">'Coût d''un élève'!$L$27:$V$27</definedName>
    <definedName name="CDE_crédits_libres" localSheetId="1">'Coût d''un élève'!$L$24:$V$24</definedName>
    <definedName name="Clé_de_répartition_des_charges_indirectes">OFFSET(ANNEE_CLE_REPARTITION,3,,)</definedName>
    <definedName name="Coût_élève_chamagnieu" localSheetId="1">'Coût d''un élève'!$L$26:$V$26</definedName>
    <definedName name="Educateurs_sportifs" localSheetId="1">'Coût d''un élève'!$L$28:$V$28</definedName>
    <definedName name="Effectifs_élémentaire" localSheetId="1">'Coût d''un élève'!$L$6:$V$6</definedName>
    <definedName name="Effectifs_maternelles" localSheetId="1">'Coût d''un élève'!$L$7:$V$7</definedName>
    <definedName name="Part_dépenses_education">OFFSET(ANNEE_CLE_REPARTITION,1,,1,)</definedName>
  </definedNames>
  <calcPr calcId="145621"/>
</workbook>
</file>

<file path=xl/calcChain.xml><?xml version="1.0" encoding="utf-8"?>
<calcChain xmlns="http://schemas.openxmlformats.org/spreadsheetml/2006/main">
  <c r="S32" i="1" l="1"/>
  <c r="P27" i="3" l="1"/>
  <c r="S28" i="1" l="1"/>
  <c r="S22" i="1"/>
  <c r="S13" i="1"/>
  <c r="S6" i="1"/>
  <c r="S9" i="1" s="1"/>
  <c r="S15" i="1" s="1"/>
  <c r="S35" i="1" l="1"/>
  <c r="O27" i="3"/>
  <c r="O8" i="3"/>
  <c r="N22" i="3" l="1"/>
  <c r="Q35" i="3" l="1"/>
  <c r="R35" i="3"/>
  <c r="S35" i="3"/>
  <c r="T35" i="3"/>
  <c r="U35" i="3"/>
  <c r="V35" i="3"/>
  <c r="E8" i="3" l="1"/>
  <c r="D21" i="3" s="1"/>
  <c r="M8" i="3"/>
  <c r="M9" i="3" s="1"/>
  <c r="N8" i="3"/>
  <c r="N9" i="3" s="1"/>
  <c r="O9" i="3"/>
  <c r="P8" i="3"/>
  <c r="P9" i="3" s="1"/>
  <c r="Q8" i="3"/>
  <c r="Q9" i="3" s="1"/>
  <c r="R8" i="3"/>
  <c r="R9" i="3" s="1"/>
  <c r="S8" i="3"/>
  <c r="S9" i="3" s="1"/>
  <c r="T8" i="3"/>
  <c r="T9" i="3" s="1"/>
  <c r="U8" i="3"/>
  <c r="U9" i="3" s="1"/>
  <c r="V8" i="3"/>
  <c r="V9" i="3" s="1"/>
  <c r="L8" i="3"/>
  <c r="L9" i="3" s="1"/>
  <c r="L22" i="3" s="1"/>
  <c r="N5" i="3"/>
  <c r="O5" i="3"/>
  <c r="P5" i="3"/>
  <c r="Q5" i="3"/>
  <c r="R5" i="3"/>
  <c r="S5" i="3"/>
  <c r="T5" i="3"/>
  <c r="U5" i="3"/>
  <c r="V5" i="3"/>
  <c r="M5" i="3"/>
  <c r="E36" i="3"/>
  <c r="E17" i="3"/>
  <c r="E31" i="3"/>
  <c r="E16" i="3"/>
  <c r="E29" i="3"/>
  <c r="E12" i="3"/>
  <c r="E38" i="3"/>
  <c r="E11" i="3"/>
  <c r="V22" i="3" l="1"/>
  <c r="R22" i="3"/>
  <c r="U22" i="3"/>
  <c r="Q22" i="3"/>
  <c r="T22" i="3"/>
  <c r="P22" i="3"/>
  <c r="S22" i="3"/>
  <c r="O22" i="3"/>
  <c r="D42" i="3"/>
  <c r="M22" i="3"/>
  <c r="D14" i="3"/>
  <c r="D19" i="3"/>
  <c r="D25" i="3"/>
  <c r="D39" i="3"/>
  <c r="D37" i="3"/>
  <c r="F23" i="3"/>
  <c r="F22" i="3"/>
  <c r="D6" i="3"/>
  <c r="U34" i="3"/>
  <c r="V34" i="3"/>
  <c r="Q34" i="3"/>
  <c r="R34" i="3"/>
  <c r="S34" i="3"/>
  <c r="O34" i="3"/>
  <c r="P34" i="3"/>
  <c r="N34" i="3"/>
  <c r="T34" i="3"/>
  <c r="M34" i="3"/>
  <c r="P35" i="3" l="1"/>
  <c r="O35" i="3"/>
  <c r="M35" i="3"/>
  <c r="N35" i="3"/>
  <c r="F21" i="3"/>
  <c r="F44" i="3"/>
  <c r="F42" i="3"/>
  <c r="F25" i="3"/>
  <c r="C42" i="3"/>
  <c r="E40" i="3" l="1"/>
  <c r="F37" i="3"/>
  <c r="E18" i="3"/>
  <c r="F19" i="3" s="1"/>
  <c r="E13" i="3"/>
  <c r="E32" i="3"/>
  <c r="F39" i="3"/>
  <c r="F14" i="3" l="1"/>
  <c r="F26" i="3" s="1"/>
  <c r="F40" i="3"/>
  <c r="L34" i="3"/>
  <c r="L35" i="3" l="1"/>
  <c r="D33" i="3"/>
  <c r="F33" i="3" s="1"/>
  <c r="F34" i="3" l="1"/>
  <c r="F43" i="3" s="1"/>
  <c r="F45" i="3" s="1"/>
</calcChain>
</file>

<file path=xl/comments1.xml><?xml version="1.0" encoding="utf-8"?>
<comments xmlns="http://schemas.openxmlformats.org/spreadsheetml/2006/main">
  <authors>
    <author>Monnet Pierre</author>
  </authors>
  <commentList>
    <comment ref="S6" authorId="0">
      <text>
        <r>
          <rPr>
            <sz val="9"/>
            <color indexed="81"/>
            <rFont val="Tahoma"/>
            <family val="2"/>
          </rPr>
          <t>on reprend le chiffre de maternelles, incluant les fluides</t>
        </r>
      </text>
    </comment>
  </commentList>
</comments>
</file>

<file path=xl/comments2.xml><?xml version="1.0" encoding="utf-8"?>
<comments xmlns="http://schemas.openxmlformats.org/spreadsheetml/2006/main">
  <authors>
    <author>Tirard-Gatel Julien</author>
  </authors>
  <commentList>
    <comment ref="G5" authorId="0">
      <text>
        <r>
          <rPr>
            <sz val="9"/>
            <color indexed="81"/>
            <rFont val="Tahoma"/>
            <family val="2"/>
          </rPr>
          <t xml:space="preserve">
Sélectionner l'année scolaire dans la liste déroulante
</t>
        </r>
      </text>
    </comment>
  </commentList>
</comments>
</file>

<file path=xl/sharedStrings.xml><?xml version="1.0" encoding="utf-8"?>
<sst xmlns="http://schemas.openxmlformats.org/spreadsheetml/2006/main" count="149" uniqueCount="101">
  <si>
    <t>Charges directes</t>
  </si>
  <si>
    <t>011 - Charges à caractère général</t>
  </si>
  <si>
    <t>20</t>
  </si>
  <si>
    <t>213</t>
  </si>
  <si>
    <t>Dépenses de personnel</t>
  </si>
  <si>
    <t>Total Charges directes</t>
  </si>
  <si>
    <t>Charges indirectes</t>
  </si>
  <si>
    <t>020</t>
  </si>
  <si>
    <t>Total Charges indirectes</t>
  </si>
  <si>
    <t>Total dépenses de fonctionnement</t>
  </si>
  <si>
    <t>Dépenses d'investissement</t>
  </si>
  <si>
    <t>2183 - Matériel de bureau et informatique</t>
  </si>
  <si>
    <t>2184 - Mobilier</t>
  </si>
  <si>
    <t>Total Dépenses d'investissement</t>
  </si>
  <si>
    <t xml:space="preserve">Dépenses réelles de fonctionnement </t>
  </si>
  <si>
    <t>Dépenses réelles de fonctionnement hors 020 (Total B)</t>
  </si>
  <si>
    <t>Compte administratif (€)</t>
  </si>
  <si>
    <t>Observations</t>
  </si>
  <si>
    <t>DEPENSES DIRECTES DE FONCTIONNEMENT</t>
  </si>
  <si>
    <t>Charges à caractère général (011)</t>
  </si>
  <si>
    <t>Sous-Fonction 20</t>
  </si>
  <si>
    <t>Sous-Fonction 213</t>
  </si>
  <si>
    <t>S/ Total (A)</t>
  </si>
  <si>
    <t>A x</t>
  </si>
  <si>
    <t>Charge de personnel (012)</t>
  </si>
  <si>
    <t>S/ Total (B)</t>
  </si>
  <si>
    <t>B x</t>
  </si>
  <si>
    <t>16,02 % = % moyen 2004 et 2007</t>
  </si>
  <si>
    <t>Caisse des écoles</t>
  </si>
  <si>
    <t>Compte "65736.1 - Crédits libres"</t>
  </si>
  <si>
    <t>Compte "65736.3 - Classes environnement"</t>
  </si>
  <si>
    <t>100% affecté</t>
  </si>
  <si>
    <t>Educateurs sportifs hors surveillance piscine</t>
  </si>
  <si>
    <t>30,16 € (moyenne 2004/2007) x effectif élémentaire</t>
  </si>
  <si>
    <t>Total dépenses directes de fonctionnement (B)</t>
  </si>
  <si>
    <t>DEPENSES INDIRECTES DE FONCTIONNEMENT</t>
  </si>
  <si>
    <t>Charges à caractère général</t>
  </si>
  <si>
    <t>Sous-Fonction 020</t>
  </si>
  <si>
    <t>Charge de personnel</t>
  </si>
  <si>
    <t>S/ Total (1)</t>
  </si>
  <si>
    <t>(1) x</t>
  </si>
  <si>
    <t>Total dépenses indirectes de fonctionnement (C)</t>
  </si>
  <si>
    <t>INVESTISSEMENT EN MATERIEL BUREAU et INF</t>
  </si>
  <si>
    <t>Matériel de bureau et informatique (2)</t>
  </si>
  <si>
    <t>(2) x</t>
  </si>
  <si>
    <t>60,19 % = % moyen 2004 et 2007</t>
  </si>
  <si>
    <t>Mobilier (3)</t>
  </si>
  <si>
    <t>(3) x</t>
  </si>
  <si>
    <t>34,37 % = % moyen 2004 et 2007</t>
  </si>
  <si>
    <t>S/total (D)</t>
  </si>
  <si>
    <t>ENTRETIEN LOCATIF (E)</t>
  </si>
  <si>
    <t>13 € (montant fixe) x effectif élémentaire</t>
  </si>
  <si>
    <t>Total général des dépenses = B + C + D + E</t>
  </si>
  <si>
    <t>Nombre d'élèves</t>
  </si>
  <si>
    <t>Coût par élève</t>
  </si>
  <si>
    <t>2015/2016</t>
  </si>
  <si>
    <t>Total</t>
  </si>
  <si>
    <t>% élémentaire / total</t>
  </si>
  <si>
    <t>Coût / élève Chamagnieu</t>
  </si>
  <si>
    <t>CDE - Classes environnement</t>
  </si>
  <si>
    <t xml:space="preserve">Educateurs sportifs </t>
  </si>
  <si>
    <t>Dépenses  de fonctionnement (020)</t>
  </si>
  <si>
    <t>Dépenses de fonctionnement</t>
  </si>
  <si>
    <t xml:space="preserve"> </t>
  </si>
  <si>
    <t>2017/2018</t>
  </si>
  <si>
    <t>2018/2019</t>
  </si>
  <si>
    <t>Clé - Matériel informatique</t>
  </si>
  <si>
    <t>Clé Mobilier</t>
  </si>
  <si>
    <t>Clé Charges de personnel directes</t>
  </si>
  <si>
    <t>Clés de répartitions fixes</t>
  </si>
  <si>
    <t>Clé de répartition variables</t>
  </si>
  <si>
    <t>Dépenses de fonctionnement indirectes</t>
  </si>
  <si>
    <t>DETAIL DU CALCUL</t>
  </si>
  <si>
    <t>TABLEAU RECAPITULATIF</t>
  </si>
  <si>
    <t>Montant total des dépenses</t>
  </si>
  <si>
    <t>2016/2017</t>
  </si>
  <si>
    <t>Au vu des effectifs de l'année scolaire</t>
  </si>
  <si>
    <t>Année Scolaire</t>
  </si>
  <si>
    <t>Sur la base du Compte Administratif</t>
  </si>
  <si>
    <t>Nb élèves en élémentaire</t>
  </si>
  <si>
    <t>Nb élèves en maternelles</t>
  </si>
  <si>
    <t>CLES DE REPARTITION</t>
  </si>
  <si>
    <t>forfait par élève en élémentaire (CDE - crédits libres)</t>
  </si>
  <si>
    <t>ANNEE SCOLAIRE</t>
  </si>
  <si>
    <t>2019/2020</t>
  </si>
  <si>
    <t>2020/2021</t>
  </si>
  <si>
    <t>2021/2022</t>
  </si>
  <si>
    <t>2022/2023</t>
  </si>
  <si>
    <t>2023/2024</t>
  </si>
  <si>
    <t>2024/2025</t>
  </si>
  <si>
    <t>2025/2026</t>
  </si>
  <si>
    <t>2026/2027</t>
  </si>
  <si>
    <t>Montants en €</t>
  </si>
  <si>
    <t>Année scolaire</t>
  </si>
  <si>
    <t>Clé Entretien locatif (évolut° en fct° de l'ILAT)</t>
  </si>
  <si>
    <t>Effectifs élementaires :</t>
  </si>
  <si>
    <t>Dépenses réelles de fonctionnement 20 et 213 (Total A)</t>
  </si>
  <si>
    <t>Part de l'éducation dans les dépenses de fonctionnement (total A / Total B)</t>
  </si>
  <si>
    <t>A saisir</t>
  </si>
  <si>
    <t>Classes découverte</t>
  </si>
  <si>
    <t>CALCUL DES DEPENSES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</si>
</sst>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%"/>
    <numFmt numFmtId="165" formatCode="#,##0\ &quot;€&quot;"/>
    <numFmt numFmtId="166" formatCode="_-* #,##0.00\ [$€-40C]_-;\-* #,##0.00\ [$€-40C]_-;_-* &quot;-&quot;??\ [$€-40C]_-;_-@_-"/>
    <numFmt numFmtId="167" formatCode="_(* #,##0.00_);_(* \(#,##0.00\);_(* &quot;-&quot;??_);_(@_)"/>
  </numFmts>
  <fonts count="30" x14ac:knownFonts="1">
    <font>
      <sz val="10"/>
      <name val="Arial"/>
    </font>
    <font>
      <b/>
      <i/>
      <sz val="10"/>
      <name val="Arial"/>
      <family val="2"/>
    </font>
    <font>
      <sz val="10"/>
      <name val="Arial"/>
      <family val="2"/>
    </font>
    <font>
      <sz val="9"/>
      <color indexed="63"/>
      <name val="Arial"/>
      <family val="2"/>
    </font>
    <font>
      <u/>
      <sz val="16"/>
      <color indexed="63"/>
      <name val="Arial"/>
      <family val="2"/>
    </font>
    <font>
      <b/>
      <sz val="9"/>
      <color indexed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b/>
      <sz val="9"/>
      <color indexed="63"/>
      <name val="Arial"/>
      <family val="2"/>
    </font>
    <font>
      <sz val="9"/>
      <color indexed="81"/>
      <name val="Tahoma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b/>
      <sz val="10"/>
      <color theme="0"/>
      <name val="Arial"/>
      <family val="2"/>
    </font>
    <font>
      <b/>
      <sz val="9"/>
      <color rgb="FF00B050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9"/>
      <color indexed="63"/>
      <name val="Arial"/>
      <family val="2"/>
    </font>
    <font>
      <sz val="10"/>
      <color rgb="FFFF0000"/>
      <name val="Arial"/>
      <family val="2"/>
    </font>
    <font>
      <b/>
      <i/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167" fontId="29" fillId="0" borderId="0" applyFont="0" applyFill="0" applyBorder="0" applyAlignment="0" applyProtection="0"/>
  </cellStyleXfs>
  <cellXfs count="157">
    <xf numFmtId="0" fontId="0" fillId="0" borderId="0" xfId="0"/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Alignment="1">
      <alignment vertical="center"/>
    </xf>
    <xf numFmtId="1" fontId="5" fillId="3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/>
    </xf>
    <xf numFmtId="49" fontId="10" fillId="2" borderId="0" xfId="0" applyNumberFormat="1" applyFont="1" applyFill="1" applyAlignment="1">
      <alignment vertical="center"/>
    </xf>
    <xf numFmtId="49" fontId="6" fillId="2" borderId="0" xfId="0" applyNumberFormat="1" applyFont="1" applyFill="1" applyAlignment="1">
      <alignment vertical="center"/>
    </xf>
    <xf numFmtId="164" fontId="3" fillId="2" borderId="1" xfId="0" applyNumberFormat="1" applyFont="1" applyFill="1" applyBorder="1" applyAlignment="1">
      <alignment horizontal="right"/>
    </xf>
    <xf numFmtId="0" fontId="13" fillId="0" borderId="3" xfId="0" applyFont="1" applyBorder="1"/>
    <xf numFmtId="0" fontId="13" fillId="0" borderId="4" xfId="0" applyFont="1" applyBorder="1"/>
    <xf numFmtId="0" fontId="13" fillId="0" borderId="12" xfId="0" applyFont="1" applyBorder="1"/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7" xfId="0" applyFont="1" applyBorder="1"/>
    <xf numFmtId="0" fontId="13" fillId="0" borderId="0" xfId="0" applyFont="1" applyBorder="1"/>
    <xf numFmtId="0" fontId="13" fillId="0" borderId="8" xfId="0" applyFont="1" applyBorder="1"/>
    <xf numFmtId="43" fontId="13" fillId="0" borderId="12" xfId="0" applyNumberFormat="1" applyFont="1" applyBorder="1"/>
    <xf numFmtId="0" fontId="13" fillId="0" borderId="0" xfId="0" applyFont="1" applyBorder="1" applyAlignment="1">
      <alignment horizontal="left" indent="3"/>
    </xf>
    <xf numFmtId="0" fontId="13" fillId="0" borderId="8" xfId="0" applyFont="1" applyBorder="1" applyAlignment="1">
      <alignment horizontal="left" indent="3"/>
    </xf>
    <xf numFmtId="41" fontId="13" fillId="0" borderId="12" xfId="0" applyNumberFormat="1" applyFont="1" applyBorder="1"/>
    <xf numFmtId="0" fontId="13" fillId="0" borderId="8" xfId="0" applyFont="1" applyBorder="1" applyAlignment="1">
      <alignment horizontal="right"/>
    </xf>
    <xf numFmtId="41" fontId="13" fillId="0" borderId="14" xfId="0" applyNumberFormat="1" applyFont="1" applyBorder="1"/>
    <xf numFmtId="0" fontId="13" fillId="0" borderId="0" xfId="0" applyFont="1" applyBorder="1" applyAlignment="1">
      <alignment horizontal="right"/>
    </xf>
    <xf numFmtId="41" fontId="13" fillId="0" borderId="13" xfId="0" applyNumberFormat="1" applyFont="1" applyBorder="1"/>
    <xf numFmtId="0" fontId="13" fillId="0" borderId="0" xfId="0" applyFont="1"/>
    <xf numFmtId="0" fontId="13" fillId="0" borderId="9" xfId="0" applyFont="1" applyBorder="1"/>
    <xf numFmtId="41" fontId="13" fillId="0" borderId="10" xfId="0" applyNumberFormat="1" applyFont="1" applyFill="1" applyBorder="1" applyAlignment="1">
      <alignment horizontal="right"/>
    </xf>
    <xf numFmtId="0" fontId="14" fillId="0" borderId="5" xfId="0" applyFont="1" applyBorder="1"/>
    <xf numFmtId="0" fontId="14" fillId="0" borderId="16" xfId="0" applyFont="1" applyBorder="1" applyAlignment="1"/>
    <xf numFmtId="0" fontId="14" fillId="0" borderId="6" xfId="0" applyFont="1" applyBorder="1" applyAlignment="1">
      <alignment horizontal="right"/>
    </xf>
    <xf numFmtId="41" fontId="14" fillId="0" borderId="14" xfId="0" applyNumberFormat="1" applyFont="1" applyBorder="1"/>
    <xf numFmtId="0" fontId="15" fillId="0" borderId="12" xfId="0" applyFont="1" applyBorder="1" applyAlignment="1">
      <alignment horizontal="center"/>
    </xf>
    <xf numFmtId="0" fontId="14" fillId="0" borderId="0" xfId="0" applyFont="1" applyBorder="1" applyAlignment="1">
      <alignment horizontal="right"/>
    </xf>
    <xf numFmtId="0" fontId="14" fillId="0" borderId="8" xfId="0" applyFont="1" applyBorder="1" applyAlignment="1">
      <alignment horizontal="right"/>
    </xf>
    <xf numFmtId="41" fontId="13" fillId="0" borderId="11" xfId="0" applyNumberFormat="1" applyFont="1" applyBorder="1"/>
    <xf numFmtId="0" fontId="13" fillId="0" borderId="15" xfId="0" applyFont="1" applyBorder="1" applyAlignment="1">
      <alignment horizontal="center"/>
    </xf>
    <xf numFmtId="0" fontId="14" fillId="0" borderId="2" xfId="0" applyFont="1" applyBorder="1"/>
    <xf numFmtId="41" fontId="14" fillId="0" borderId="4" xfId="0" applyNumberFormat="1" applyFont="1" applyBorder="1" applyAlignment="1">
      <alignment horizontal="right"/>
    </xf>
    <xf numFmtId="41" fontId="14" fillId="0" borderId="6" xfId="0" applyNumberFormat="1" applyFont="1" applyBorder="1"/>
    <xf numFmtId="0" fontId="14" fillId="0" borderId="7" xfId="0" applyFont="1" applyBorder="1"/>
    <xf numFmtId="41" fontId="14" fillId="0" borderId="4" xfId="0" applyNumberFormat="1" applyFont="1" applyBorder="1"/>
    <xf numFmtId="0" fontId="13" fillId="0" borderId="10" xfId="0" applyFont="1" applyBorder="1"/>
    <xf numFmtId="0" fontId="14" fillId="0" borderId="11" xfId="0" applyFont="1" applyBorder="1" applyAlignment="1">
      <alignment horizontal="right"/>
    </xf>
    <xf numFmtId="43" fontId="14" fillId="0" borderId="6" xfId="0" applyNumberFormat="1" applyFont="1" applyBorder="1"/>
    <xf numFmtId="4" fontId="10" fillId="2" borderId="0" xfId="0" applyNumberFormat="1" applyFont="1" applyFill="1" applyAlignment="1">
      <alignment vertical="center"/>
    </xf>
    <xf numFmtId="4" fontId="8" fillId="2" borderId="1" xfId="0" applyNumberFormat="1" applyFont="1" applyFill="1" applyBorder="1" applyAlignment="1">
      <alignment horizontal="right" vertical="center"/>
    </xf>
    <xf numFmtId="4" fontId="9" fillId="4" borderId="1" xfId="0" applyNumberFormat="1" applyFont="1" applyFill="1" applyBorder="1" applyAlignment="1">
      <alignment horizontal="right" vertical="center"/>
    </xf>
    <xf numFmtId="4" fontId="9" fillId="5" borderId="1" xfId="0" applyNumberFormat="1" applyFont="1" applyFill="1" applyBorder="1" applyAlignment="1">
      <alignment horizontal="right" vertical="center"/>
    </xf>
    <xf numFmtId="44" fontId="13" fillId="8" borderId="11" xfId="0" applyNumberFormat="1" applyFont="1" applyFill="1" applyBorder="1" applyAlignment="1">
      <alignment horizontal="right"/>
    </xf>
    <xf numFmtId="0" fontId="2" fillId="0" borderId="0" xfId="0" applyFont="1"/>
    <xf numFmtId="10" fontId="13" fillId="7" borderId="8" xfId="0" applyNumberFormat="1" applyFont="1" applyFill="1" applyBorder="1" applyAlignment="1">
      <alignment horizontal="right"/>
    </xf>
    <xf numFmtId="41" fontId="13" fillId="9" borderId="12" xfId="0" applyNumberFormat="1" applyFont="1" applyFill="1" applyBorder="1"/>
    <xf numFmtId="0" fontId="0" fillId="8" borderId="14" xfId="0" applyFill="1" applyBorder="1" applyAlignment="1">
      <alignment horizontal="center" vertical="center"/>
    </xf>
    <xf numFmtId="41" fontId="13" fillId="10" borderId="12" xfId="0" applyNumberFormat="1" applyFont="1" applyFill="1" applyBorder="1"/>
    <xf numFmtId="0" fontId="13" fillId="10" borderId="8" xfId="0" applyFont="1" applyFill="1" applyBorder="1"/>
    <xf numFmtId="0" fontId="13" fillId="9" borderId="8" xfId="0" applyFont="1" applyFill="1" applyBorder="1" applyAlignment="1">
      <alignment horizontal="left" indent="3"/>
    </xf>
    <xf numFmtId="41" fontId="13" fillId="10" borderId="14" xfId="0" applyNumberFormat="1" applyFont="1" applyFill="1" applyBorder="1"/>
    <xf numFmtId="0" fontId="17" fillId="0" borderId="12" xfId="0" applyFont="1" applyBorder="1" applyAlignment="1">
      <alignment horizontal="center"/>
    </xf>
    <xf numFmtId="41" fontId="17" fillId="9" borderId="15" xfId="0" applyNumberFormat="1" applyFont="1" applyFill="1" applyBorder="1"/>
    <xf numFmtId="10" fontId="13" fillId="13" borderId="8" xfId="0" applyNumberFormat="1" applyFont="1" applyFill="1" applyBorder="1" applyAlignment="1">
      <alignment horizontal="right"/>
    </xf>
    <xf numFmtId="0" fontId="19" fillId="12" borderId="14" xfId="0" applyFont="1" applyFill="1" applyBorder="1" applyAlignment="1">
      <alignment horizontal="center" vertical="center"/>
    </xf>
    <xf numFmtId="10" fontId="0" fillId="11" borderId="12" xfId="0" applyNumberFormat="1" applyFill="1" applyBorder="1" applyAlignment="1"/>
    <xf numFmtId="165" fontId="0" fillId="11" borderId="12" xfId="0" applyNumberFormat="1" applyFill="1" applyBorder="1" applyAlignment="1"/>
    <xf numFmtId="0" fontId="0" fillId="0" borderId="12" xfId="0" applyBorder="1"/>
    <xf numFmtId="10" fontId="0" fillId="11" borderId="12" xfId="1" applyNumberFormat="1" applyFont="1" applyFill="1" applyBorder="1" applyAlignment="1"/>
    <xf numFmtId="0" fontId="2" fillId="11" borderId="7" xfId="0" applyFont="1" applyFill="1" applyBorder="1" applyAlignment="1"/>
    <xf numFmtId="0" fontId="2" fillId="11" borderId="8" xfId="0" applyFont="1" applyFill="1" applyBorder="1" applyAlignment="1"/>
    <xf numFmtId="0" fontId="0" fillId="11" borderId="8" xfId="0" applyFill="1" applyBorder="1" applyAlignment="1"/>
    <xf numFmtId="0" fontId="0" fillId="13" borderId="12" xfId="0" applyFill="1" applyBorder="1"/>
    <xf numFmtId="44" fontId="20" fillId="0" borderId="15" xfId="2" applyFont="1" applyBorder="1"/>
    <xf numFmtId="41" fontId="13" fillId="11" borderId="12" xfId="0" applyNumberFormat="1" applyFont="1" applyFill="1" applyBorder="1"/>
    <xf numFmtId="41" fontId="13" fillId="14" borderId="12" xfId="0" applyNumberFormat="1" applyFont="1" applyFill="1" applyBorder="1"/>
    <xf numFmtId="42" fontId="13" fillId="13" borderId="11" xfId="0" applyNumberFormat="1" applyFont="1" applyFill="1" applyBorder="1" applyAlignment="1">
      <alignment horizontal="right"/>
    </xf>
    <xf numFmtId="0" fontId="13" fillId="9" borderId="0" xfId="0" applyFont="1" applyFill="1" applyBorder="1" applyAlignment="1">
      <alignment horizontal="left" indent="1"/>
    </xf>
    <xf numFmtId="0" fontId="13" fillId="15" borderId="0" xfId="0" applyFont="1" applyFill="1" applyBorder="1" applyAlignment="1">
      <alignment horizontal="left" indent="1"/>
    </xf>
    <xf numFmtId="41" fontId="13" fillId="15" borderId="8" xfId="0" applyNumberFormat="1" applyFont="1" applyFill="1" applyBorder="1"/>
    <xf numFmtId="41" fontId="13" fillId="15" borderId="12" xfId="0" applyNumberFormat="1" applyFont="1" applyFill="1" applyBorder="1"/>
    <xf numFmtId="0" fontId="2" fillId="15" borderId="9" xfId="0" applyFont="1" applyFill="1" applyBorder="1"/>
    <xf numFmtId="0" fontId="12" fillId="6" borderId="2" xfId="0" applyFont="1" applyFill="1" applyBorder="1" applyAlignment="1">
      <alignment vertical="center"/>
    </xf>
    <xf numFmtId="0" fontId="12" fillId="6" borderId="4" xfId="0" applyFont="1" applyFill="1" applyBorder="1" applyAlignment="1">
      <alignment vertical="center"/>
    </xf>
    <xf numFmtId="0" fontId="20" fillId="0" borderId="14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right" vertical="center"/>
    </xf>
    <xf numFmtId="0" fontId="13" fillId="14" borderId="8" xfId="0" applyFont="1" applyFill="1" applyBorder="1"/>
    <xf numFmtId="0" fontId="13" fillId="0" borderId="7" xfId="0" applyFont="1" applyBorder="1" applyAlignment="1"/>
    <xf numFmtId="0" fontId="2" fillId="15" borderId="11" xfId="0" applyFont="1" applyFill="1" applyBorder="1"/>
    <xf numFmtId="166" fontId="0" fillId="15" borderId="15" xfId="0" applyNumberFormat="1" applyFill="1" applyBorder="1"/>
    <xf numFmtId="0" fontId="14" fillId="0" borderId="8" xfId="0" applyFont="1" applyBorder="1" applyAlignment="1">
      <alignment horizontal="left" vertical="center"/>
    </xf>
    <xf numFmtId="41" fontId="14" fillId="0" borderId="12" xfId="0" applyNumberFormat="1" applyFont="1" applyBorder="1"/>
    <xf numFmtId="0" fontId="12" fillId="0" borderId="0" xfId="0" applyFont="1" applyFill="1" applyBorder="1" applyAlignment="1">
      <alignment vertical="center"/>
    </xf>
    <xf numFmtId="0" fontId="0" fillId="0" borderId="0" xfId="0" applyFill="1"/>
    <xf numFmtId="0" fontId="22" fillId="6" borderId="10" xfId="0" applyFont="1" applyFill="1" applyBorder="1" applyAlignment="1">
      <alignment horizontal="left" vertical="center"/>
    </xf>
    <xf numFmtId="0" fontId="23" fillId="16" borderId="9" xfId="0" applyFont="1" applyFill="1" applyBorder="1" applyAlignment="1">
      <alignment horizontal="center"/>
    </xf>
    <xf numFmtId="0" fontId="13" fillId="0" borderId="8" xfId="0" applyFont="1" applyBorder="1" applyAlignment="1">
      <alignment vertical="center"/>
    </xf>
    <xf numFmtId="10" fontId="24" fillId="0" borderId="8" xfId="0" applyNumberFormat="1" applyFont="1" applyBorder="1" applyAlignment="1">
      <alignment horizontal="right"/>
    </xf>
    <xf numFmtId="0" fontId="24" fillId="0" borderId="11" xfId="0" applyFont="1" applyBorder="1" applyAlignment="1">
      <alignment horizontal="left"/>
    </xf>
    <xf numFmtId="10" fontId="24" fillId="0" borderId="15" xfId="0" applyNumberFormat="1" applyFont="1" applyBorder="1" applyAlignment="1">
      <alignment horizontal="center"/>
    </xf>
    <xf numFmtId="0" fontId="13" fillId="8" borderId="0" xfId="0" applyFont="1" applyFill="1" applyBorder="1"/>
    <xf numFmtId="41" fontId="13" fillId="8" borderId="15" xfId="0" applyNumberFormat="1" applyFont="1" applyFill="1" applyBorder="1"/>
    <xf numFmtId="41" fontId="13" fillId="8" borderId="12" xfId="0" applyNumberFormat="1" applyFont="1" applyFill="1" applyBorder="1"/>
    <xf numFmtId="0" fontId="13" fillId="11" borderId="7" xfId="0" applyFont="1" applyFill="1" applyBorder="1"/>
    <xf numFmtId="44" fontId="0" fillId="15" borderId="8" xfId="2" applyFont="1" applyFill="1" applyBorder="1"/>
    <xf numFmtId="0" fontId="25" fillId="14" borderId="7" xfId="0" applyFont="1" applyFill="1" applyBorder="1"/>
    <xf numFmtId="0" fontId="2" fillId="13" borderId="7" xfId="0" applyFont="1" applyFill="1" applyBorder="1" applyAlignment="1"/>
    <xf numFmtId="0" fontId="2" fillId="13" borderId="8" xfId="0" applyFont="1" applyFill="1" applyBorder="1" applyAlignment="1"/>
    <xf numFmtId="0" fontId="2" fillId="7" borderId="2" xfId="0" applyFont="1" applyFill="1" applyBorder="1" applyAlignment="1">
      <alignment vertical="center"/>
    </xf>
    <xf numFmtId="0" fontId="2" fillId="7" borderId="4" xfId="0" applyFont="1" applyFill="1" applyBorder="1" applyAlignment="1">
      <alignment vertical="center"/>
    </xf>
    <xf numFmtId="0" fontId="20" fillId="7" borderId="13" xfId="0" applyFont="1" applyFill="1" applyBorder="1" applyAlignment="1">
      <alignment vertical="center"/>
    </xf>
    <xf numFmtId="0" fontId="26" fillId="11" borderId="7" xfId="0" applyFont="1" applyFill="1" applyBorder="1" applyAlignment="1"/>
    <xf numFmtId="0" fontId="2" fillId="8" borderId="6" xfId="0" applyFont="1" applyFill="1" applyBorder="1" applyAlignment="1"/>
    <xf numFmtId="0" fontId="2" fillId="9" borderId="6" xfId="0" applyFont="1" applyFill="1" applyBorder="1" applyAlignment="1"/>
    <xf numFmtId="0" fontId="2" fillId="10" borderId="6" xfId="0" applyFont="1" applyFill="1" applyBorder="1" applyAlignment="1"/>
    <xf numFmtId="0" fontId="26" fillId="8" borderId="5" xfId="0" applyFont="1" applyFill="1" applyBorder="1" applyAlignment="1"/>
    <xf numFmtId="0" fontId="26" fillId="9" borderId="5" xfId="0" applyFont="1" applyFill="1" applyBorder="1" applyAlignment="1"/>
    <xf numFmtId="0" fontId="26" fillId="10" borderId="5" xfId="0" applyFont="1" applyFill="1" applyBorder="1" applyAlignment="1"/>
    <xf numFmtId="0" fontId="13" fillId="10" borderId="0" xfId="0" applyFont="1" applyFill="1" applyBorder="1" applyAlignment="1">
      <alignment horizontal="left" indent="1"/>
    </xf>
    <xf numFmtId="164" fontId="27" fillId="2" borderId="1" xfId="0" applyNumberFormat="1" applyFont="1" applyFill="1" applyBorder="1" applyAlignment="1">
      <alignment horizontal="right"/>
    </xf>
    <xf numFmtId="166" fontId="28" fillId="15" borderId="15" xfId="0" applyNumberFormat="1" applyFont="1" applyFill="1" applyBorder="1"/>
    <xf numFmtId="166" fontId="2" fillId="15" borderId="15" xfId="0" applyNumberFormat="1" applyFont="1" applyFill="1" applyBorder="1"/>
    <xf numFmtId="41" fontId="0" fillId="0" borderId="0" xfId="0" applyNumberFormat="1"/>
    <xf numFmtId="41" fontId="15" fillId="9" borderId="15" xfId="0" applyNumberFormat="1" applyFont="1" applyFill="1" applyBorder="1"/>
    <xf numFmtId="0" fontId="28" fillId="0" borderId="0" xfId="0" applyFont="1"/>
    <xf numFmtId="49" fontId="6" fillId="5" borderId="1" xfId="0" applyNumberFormat="1" applyFont="1" applyFill="1" applyBorder="1" applyAlignment="1">
      <alignment horizontal="left"/>
    </xf>
    <xf numFmtId="49" fontId="4" fillId="2" borderId="0" xfId="0" applyNumberFormat="1" applyFont="1" applyFill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left" vertical="center"/>
    </xf>
    <xf numFmtId="49" fontId="6" fillId="4" borderId="1" xfId="0" applyNumberFormat="1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left"/>
    </xf>
    <xf numFmtId="49" fontId="3" fillId="2" borderId="0" xfId="0" applyNumberFormat="1" applyFont="1" applyFill="1" applyAlignment="1">
      <alignment vertical="center"/>
    </xf>
    <xf numFmtId="49" fontId="6" fillId="2" borderId="0" xfId="0" applyNumberFormat="1" applyFont="1" applyFill="1" applyAlignment="1">
      <alignment vertical="center"/>
    </xf>
    <xf numFmtId="0" fontId="20" fillId="11" borderId="13" xfId="0" applyFont="1" applyFill="1" applyBorder="1" applyAlignment="1">
      <alignment horizontal="center" vertical="center"/>
    </xf>
    <xf numFmtId="0" fontId="20" fillId="11" borderId="12" xfId="0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horizontal="right" vertical="center"/>
    </xf>
    <xf numFmtId="0" fontId="12" fillId="16" borderId="2" xfId="0" applyFont="1" applyFill="1" applyBorder="1" applyAlignment="1">
      <alignment horizontal="right" vertical="center"/>
    </xf>
    <xf numFmtId="0" fontId="12" fillId="16" borderId="3" xfId="0" applyFont="1" applyFill="1" applyBorder="1" applyAlignment="1">
      <alignment horizontal="right" vertical="center"/>
    </xf>
    <xf numFmtId="0" fontId="12" fillId="16" borderId="7" xfId="0" applyFont="1" applyFill="1" applyBorder="1" applyAlignment="1">
      <alignment horizontal="right" vertical="center"/>
    </xf>
    <xf numFmtId="0" fontId="12" fillId="16" borderId="0" xfId="0" applyFont="1" applyFill="1" applyBorder="1" applyAlignment="1">
      <alignment horizontal="right" vertical="center"/>
    </xf>
    <xf numFmtId="0" fontId="12" fillId="16" borderId="9" xfId="0" applyFont="1" applyFill="1" applyBorder="1" applyAlignment="1">
      <alignment horizontal="right" vertical="center"/>
    </xf>
    <xf numFmtId="0" fontId="12" fillId="16" borderId="10" xfId="0" applyFont="1" applyFill="1" applyBorder="1" applyAlignment="1">
      <alignment horizontal="right" vertical="center"/>
    </xf>
    <xf numFmtId="0" fontId="12" fillId="16" borderId="4" xfId="0" applyFont="1" applyFill="1" applyBorder="1" applyAlignment="1">
      <alignment horizontal="left" vertical="center"/>
    </xf>
    <xf numFmtId="0" fontId="12" fillId="16" borderId="8" xfId="0" applyFont="1" applyFill="1" applyBorder="1" applyAlignment="1">
      <alignment horizontal="left" vertical="center"/>
    </xf>
    <xf numFmtId="0" fontId="12" fillId="16" borderId="11" xfId="0" applyFont="1" applyFill="1" applyBorder="1" applyAlignment="1">
      <alignment horizontal="left" vertical="center"/>
    </xf>
    <xf numFmtId="0" fontId="23" fillId="16" borderId="13" xfId="0" applyFont="1" applyFill="1" applyBorder="1" applyAlignment="1">
      <alignment horizontal="center" vertical="center" wrapText="1"/>
    </xf>
    <xf numFmtId="0" fontId="23" fillId="16" borderId="12" xfId="0" applyFont="1" applyFill="1" applyBorder="1" applyAlignment="1">
      <alignment horizontal="center" vertical="center" wrapText="1"/>
    </xf>
    <xf numFmtId="0" fontId="12" fillId="16" borderId="2" xfId="0" applyFont="1" applyFill="1" applyBorder="1" applyAlignment="1">
      <alignment horizontal="center" vertical="center" wrapText="1"/>
    </xf>
    <xf numFmtId="0" fontId="12" fillId="16" borderId="7" xfId="0" applyFont="1" applyFill="1" applyBorder="1" applyAlignment="1">
      <alignment horizontal="center" vertical="center" wrapText="1"/>
    </xf>
    <xf numFmtId="0" fontId="12" fillId="16" borderId="9" xfId="0" applyFont="1" applyFill="1" applyBorder="1" applyAlignment="1">
      <alignment horizontal="center" vertical="center" wrapText="1"/>
    </xf>
    <xf numFmtId="0" fontId="12" fillId="16" borderId="13" xfId="0" applyFont="1" applyFill="1" applyBorder="1" applyAlignment="1">
      <alignment horizontal="center" vertical="center" wrapText="1"/>
    </xf>
    <xf numFmtId="0" fontId="12" fillId="16" borderId="12" xfId="0" applyFont="1" applyFill="1" applyBorder="1" applyAlignment="1">
      <alignment horizontal="center" vertical="center" wrapText="1"/>
    </xf>
    <xf numFmtId="0" fontId="12" fillId="16" borderId="15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0" fillId="0" borderId="15" xfId="0" applyFont="1" applyBorder="1" applyAlignment="1">
      <alignment horizontal="left"/>
    </xf>
    <xf numFmtId="0" fontId="16" fillId="6" borderId="5" xfId="0" applyFont="1" applyFill="1" applyBorder="1" applyAlignment="1">
      <alignment horizontal="left" vertical="center"/>
    </xf>
    <xf numFmtId="0" fontId="16" fillId="6" borderId="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" fillId="0" borderId="13" xfId="0" applyFont="1" applyBorder="1" applyAlignment="1">
      <alignment horizontal="left"/>
    </xf>
    <xf numFmtId="0" fontId="0" fillId="0" borderId="13" xfId="0" applyBorder="1" applyAlignment="1">
      <alignment horizontal="left"/>
    </xf>
  </cellXfs>
  <cellStyles count="4">
    <cellStyle name="Milliers 2" xfId="3"/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lleurbanne.fr\dfsburo\VdvTransvers\_DGEERP\ecoles%20priv&#233;es%20dossier%20contentieux\remise%20&#224;%20plat%20elem%20et%20mater%20-%20hiver%202021\2020-Matrice%20Maternelle_06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de saisie CA"/>
      <sheetName val="Matrice"/>
      <sheetName val="Clés de répartition"/>
      <sheetName val="Référence"/>
      <sheetName val="Ressouces humaines"/>
      <sheetName val="Clé n3"/>
      <sheetName val="Dépenses fluide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6">
          <cell r="K16">
            <v>549100.7350000001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35"/>
  <sheetViews>
    <sheetView showGridLines="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3" sqref="B3"/>
    </sheetView>
  </sheetViews>
  <sheetFormatPr baseColWidth="10" defaultColWidth="9.140625" defaultRowHeight="12.75" x14ac:dyDescent="0.2"/>
  <cols>
    <col min="1" max="1" width="19.42578125" customWidth="1"/>
    <col min="2" max="2" width="23.5703125" customWidth="1"/>
    <col min="3" max="3" width="33.42578125" customWidth="1"/>
    <col min="4" max="4" width="5.7109375" customWidth="1"/>
    <col min="5" max="15" width="12.140625" customWidth="1"/>
    <col min="16" max="19" width="11.7109375" bestFit="1" customWidth="1"/>
  </cols>
  <sheetData>
    <row r="1" spans="1:25" s="1" customFormat="1" ht="8.65" customHeight="1" x14ac:dyDescent="0.2"/>
    <row r="2" spans="1:25" s="1" customFormat="1" ht="30.95" customHeight="1" x14ac:dyDescent="0.2">
      <c r="B2" s="122" t="s">
        <v>100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</row>
    <row r="3" spans="1:25" s="1" customFormat="1" ht="19.899999999999999" customHeight="1" x14ac:dyDescent="0.2"/>
    <row r="4" spans="1:25" s="1" customFormat="1" ht="23.45" customHeight="1" x14ac:dyDescent="0.2">
      <c r="B4" s="2"/>
      <c r="C4" s="2"/>
      <c r="D4" s="2"/>
      <c r="E4" s="3">
        <v>2006</v>
      </c>
      <c r="F4" s="3">
        <v>2007</v>
      </c>
      <c r="G4" s="3">
        <v>2008</v>
      </c>
      <c r="H4" s="3">
        <v>2009</v>
      </c>
      <c r="I4" s="3">
        <v>2010</v>
      </c>
      <c r="J4" s="3">
        <v>2011</v>
      </c>
      <c r="K4" s="3">
        <v>2012</v>
      </c>
      <c r="L4" s="3">
        <v>2013</v>
      </c>
      <c r="M4" s="3">
        <v>2014</v>
      </c>
      <c r="N4" s="3">
        <v>2015</v>
      </c>
      <c r="O4" s="3">
        <v>2016</v>
      </c>
      <c r="P4" s="3">
        <v>2017</v>
      </c>
      <c r="Q4" s="3">
        <v>2018</v>
      </c>
      <c r="R4" s="3">
        <v>2019</v>
      </c>
      <c r="S4" s="3">
        <v>2020</v>
      </c>
      <c r="T4" s="3">
        <v>2021</v>
      </c>
      <c r="U4" s="3">
        <v>2022</v>
      </c>
      <c r="V4" s="3">
        <v>2023</v>
      </c>
      <c r="W4" s="3">
        <v>2024</v>
      </c>
      <c r="X4" s="3">
        <v>2025</v>
      </c>
      <c r="Y4" s="3">
        <v>2026</v>
      </c>
    </row>
    <row r="5" spans="1:25" s="1" customFormat="1" ht="19.5" customHeight="1" x14ac:dyDescent="0.2">
      <c r="A5" s="1">
        <v>1</v>
      </c>
      <c r="B5" s="123" t="s">
        <v>0</v>
      </c>
      <c r="C5" s="124" t="s">
        <v>1</v>
      </c>
      <c r="D5" s="4" t="s">
        <v>2</v>
      </c>
      <c r="E5" s="45">
        <v>53456.22</v>
      </c>
      <c r="F5" s="45">
        <v>38565.79</v>
      </c>
      <c r="G5" s="45">
        <v>31934.21</v>
      </c>
      <c r="H5" s="45">
        <v>68468.91</v>
      </c>
      <c r="I5" s="45">
        <v>52071.249999999993</v>
      </c>
      <c r="J5" s="45">
        <v>34788.899999999994</v>
      </c>
      <c r="K5" s="45">
        <v>29916.910000000003</v>
      </c>
      <c r="L5" s="45">
        <v>74062.749999999985</v>
      </c>
      <c r="M5" s="45">
        <v>49095.53</v>
      </c>
      <c r="N5" s="45">
        <v>52519.22</v>
      </c>
      <c r="O5" s="45">
        <v>74504.88</v>
      </c>
      <c r="P5" s="45">
        <v>112289.24</v>
      </c>
      <c r="Q5" s="45">
        <v>101407.25</v>
      </c>
      <c r="R5" s="45">
        <v>115163.87</v>
      </c>
      <c r="S5" s="45">
        <v>115163.87</v>
      </c>
      <c r="T5" s="45"/>
      <c r="U5" s="45"/>
      <c r="V5" s="45"/>
      <c r="W5" s="45"/>
      <c r="X5" s="45"/>
      <c r="Y5" s="45"/>
    </row>
    <row r="6" spans="1:25" s="1" customFormat="1" ht="19.5" customHeight="1" x14ac:dyDescent="0.2">
      <c r="A6" s="1">
        <v>2</v>
      </c>
      <c r="B6" s="123"/>
      <c r="C6" s="124"/>
      <c r="D6" s="4" t="s">
        <v>3</v>
      </c>
      <c r="E6" s="45">
        <v>2528292.2699999996</v>
      </c>
      <c r="F6" s="45">
        <v>2368948.3200000003</v>
      </c>
      <c r="G6" s="45">
        <v>2608591.6399999992</v>
      </c>
      <c r="H6" s="45">
        <v>2517421.1599999997</v>
      </c>
      <c r="I6" s="45">
        <v>2490162.3900000011</v>
      </c>
      <c r="J6" s="45">
        <v>2403174.1800000002</v>
      </c>
      <c r="K6" s="45">
        <v>2840584.22</v>
      </c>
      <c r="L6" s="45">
        <v>2835303.54</v>
      </c>
      <c r="M6" s="45">
        <v>2497660.2399999998</v>
      </c>
      <c r="N6" s="45">
        <v>3108310.9200000004</v>
      </c>
      <c r="O6" s="45">
        <v>2765104.5799999996</v>
      </c>
      <c r="P6" s="45">
        <v>2310999.23</v>
      </c>
      <c r="Q6" s="45">
        <v>2232178.15</v>
      </c>
      <c r="R6" s="45">
        <v>2330204.6700000004</v>
      </c>
      <c r="S6" s="45">
        <f>2330204.67-'[1]Dépenses fluides'!$K$16</f>
        <v>1781103.9349999998</v>
      </c>
      <c r="T6" s="45"/>
      <c r="U6" s="45"/>
      <c r="V6" s="45"/>
      <c r="W6" s="45"/>
      <c r="X6" s="45"/>
      <c r="Y6" s="45"/>
    </row>
    <row r="7" spans="1:25" s="1" customFormat="1" ht="19.5" customHeight="1" x14ac:dyDescent="0.2">
      <c r="A7" s="1">
        <v>3</v>
      </c>
      <c r="B7" s="123"/>
      <c r="C7" s="124" t="s">
        <v>4</v>
      </c>
      <c r="D7" s="4" t="s">
        <v>2</v>
      </c>
      <c r="E7" s="45">
        <v>9203046.0600000005</v>
      </c>
      <c r="F7" s="45">
        <v>10494024.570000002</v>
      </c>
      <c r="G7" s="45">
        <v>10939421.780000001</v>
      </c>
      <c r="H7" s="45">
        <v>11039187.809999997</v>
      </c>
      <c r="I7" s="45">
        <v>11469076.729999999</v>
      </c>
      <c r="J7" s="45">
        <v>12233799.639999999</v>
      </c>
      <c r="K7" s="45">
        <v>12845386.769999998</v>
      </c>
      <c r="L7" s="45">
        <v>13125729.23</v>
      </c>
      <c r="M7" s="45">
        <v>13727219.15</v>
      </c>
      <c r="N7" s="45">
        <v>14644083.300000001</v>
      </c>
      <c r="O7" s="45">
        <v>15225640.1</v>
      </c>
      <c r="P7" s="45">
        <v>16684252.709999999</v>
      </c>
      <c r="Q7" s="45">
        <v>16440256.600000001</v>
      </c>
      <c r="R7" s="45">
        <v>16952344.09</v>
      </c>
      <c r="S7" s="45">
        <v>16952344.09</v>
      </c>
      <c r="T7" s="45"/>
      <c r="U7" s="45"/>
      <c r="V7" s="45"/>
      <c r="W7" s="45"/>
      <c r="X7" s="45"/>
      <c r="Y7" s="45"/>
    </row>
    <row r="8" spans="1:25" s="1" customFormat="1" ht="19.5" customHeight="1" x14ac:dyDescent="0.2">
      <c r="A8" s="1">
        <v>4</v>
      </c>
      <c r="B8" s="123"/>
      <c r="C8" s="124"/>
      <c r="D8" s="4" t="s">
        <v>3</v>
      </c>
      <c r="E8" s="45">
        <v>1685060.07</v>
      </c>
      <c r="F8" s="45">
        <v>1536993</v>
      </c>
      <c r="G8" s="45">
        <v>1497170.16</v>
      </c>
      <c r="H8" s="45">
        <v>1491506.7899999998</v>
      </c>
      <c r="I8" s="45">
        <v>1259836.3500000001</v>
      </c>
      <c r="J8" s="45">
        <v>1208.44</v>
      </c>
      <c r="K8" s="45">
        <v>845.01</v>
      </c>
      <c r="L8" s="45">
        <v>830.08</v>
      </c>
      <c r="M8" s="45">
        <v>15392.51</v>
      </c>
      <c r="N8" s="45">
        <v>11208.04</v>
      </c>
      <c r="O8" s="45">
        <v>14921.16</v>
      </c>
      <c r="P8" s="45">
        <v>4328.47</v>
      </c>
      <c r="Q8" s="45">
        <v>4795.6000000000004</v>
      </c>
      <c r="R8" s="45">
        <v>5172.74</v>
      </c>
      <c r="S8" s="45">
        <v>5172.74</v>
      </c>
      <c r="T8" s="45"/>
      <c r="U8" s="45"/>
      <c r="V8" s="45"/>
      <c r="W8" s="45"/>
      <c r="X8" s="45"/>
      <c r="Y8" s="45"/>
    </row>
    <row r="9" spans="1:25" s="1" customFormat="1" ht="19.5" customHeight="1" x14ac:dyDescent="0.2">
      <c r="A9" s="1">
        <v>5</v>
      </c>
      <c r="B9" s="125" t="s">
        <v>5</v>
      </c>
      <c r="C9" s="125"/>
      <c r="D9" s="125"/>
      <c r="E9" s="46">
        <v>13469854.620000001</v>
      </c>
      <c r="F9" s="46">
        <v>14438531.680000003</v>
      </c>
      <c r="G9" s="46">
        <v>15077117.790000001</v>
      </c>
      <c r="H9" s="46">
        <v>15116584.669999996</v>
      </c>
      <c r="I9" s="46">
        <v>15271146.719999999</v>
      </c>
      <c r="J9" s="46">
        <v>14672971.159999998</v>
      </c>
      <c r="K9" s="46">
        <v>15716732.909999998</v>
      </c>
      <c r="L9" s="46">
        <v>16035925.6</v>
      </c>
      <c r="M9" s="46">
        <v>16289367.43</v>
      </c>
      <c r="N9" s="46">
        <v>17816121.48</v>
      </c>
      <c r="O9" s="46">
        <v>18080170.719999999</v>
      </c>
      <c r="P9" s="46">
        <v>19111869.649999999</v>
      </c>
      <c r="Q9" s="46">
        <v>18778637.600000001</v>
      </c>
      <c r="R9" s="46">
        <v>19402885.369999997</v>
      </c>
      <c r="S9" s="46">
        <f>SUM(S4:S8)</f>
        <v>18855804.634999998</v>
      </c>
      <c r="T9" s="46"/>
      <c r="U9" s="46"/>
      <c r="V9" s="46"/>
      <c r="W9" s="46"/>
      <c r="X9" s="46"/>
      <c r="Y9" s="46"/>
    </row>
    <row r="10" spans="1:25" s="1" customFormat="1" ht="11.25" customHeight="1" x14ac:dyDescent="0.2">
      <c r="A10" s="1">
        <v>6</v>
      </c>
      <c r="B10" s="5"/>
      <c r="C10" s="5"/>
      <c r="D10" s="5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pans="1:25" s="1" customFormat="1" ht="19.5" customHeight="1" x14ac:dyDescent="0.2">
      <c r="A11" s="1">
        <v>7</v>
      </c>
      <c r="B11" s="123" t="s">
        <v>6</v>
      </c>
      <c r="C11" s="4" t="s">
        <v>1</v>
      </c>
      <c r="D11" s="4" t="s">
        <v>7</v>
      </c>
      <c r="E11" s="45">
        <v>3489455.3800000013</v>
      </c>
      <c r="F11" s="45">
        <v>3645567.05</v>
      </c>
      <c r="G11" s="45">
        <v>3748220.9000000004</v>
      </c>
      <c r="H11" s="45">
        <v>4049839.5899999994</v>
      </c>
      <c r="I11" s="45">
        <v>4186235.8800000008</v>
      </c>
      <c r="J11" s="45">
        <v>4605148.9500000011</v>
      </c>
      <c r="K11" s="45">
        <v>4945880.4499999993</v>
      </c>
      <c r="L11" s="45">
        <v>5366931.58</v>
      </c>
      <c r="M11" s="45">
        <v>5684797.54</v>
      </c>
      <c r="N11" s="45">
        <v>5220634.2600000016</v>
      </c>
      <c r="O11" s="45">
        <v>5370991.1500000004</v>
      </c>
      <c r="P11" s="45">
        <v>5811251.2700000005</v>
      </c>
      <c r="Q11" s="45">
        <v>5954660.4800000004</v>
      </c>
      <c r="R11" s="45">
        <v>6156044.1099999985</v>
      </c>
      <c r="S11" s="45">
        <v>6156044.1099999985</v>
      </c>
      <c r="T11" s="45"/>
      <c r="U11" s="45"/>
      <c r="V11" s="45"/>
      <c r="W11" s="45"/>
      <c r="X11" s="45"/>
      <c r="Y11" s="45"/>
    </row>
    <row r="12" spans="1:25" s="1" customFormat="1" ht="19.5" customHeight="1" x14ac:dyDescent="0.2">
      <c r="A12" s="1">
        <v>8</v>
      </c>
      <c r="B12" s="123"/>
      <c r="C12" s="4" t="s">
        <v>4</v>
      </c>
      <c r="D12" s="4" t="s">
        <v>7</v>
      </c>
      <c r="E12" s="45">
        <v>11017499.08</v>
      </c>
      <c r="F12" s="45">
        <v>11662253.270000001</v>
      </c>
      <c r="G12" s="45">
        <v>12198412.460000003</v>
      </c>
      <c r="H12" s="45">
        <v>12626748.749999998</v>
      </c>
      <c r="I12" s="45">
        <v>13116927.33</v>
      </c>
      <c r="J12" s="45">
        <v>15033982.870000001</v>
      </c>
      <c r="K12" s="45">
        <v>15416497.629999999</v>
      </c>
      <c r="L12" s="45">
        <v>16079290.109999999</v>
      </c>
      <c r="M12" s="45">
        <v>16745010.559999997</v>
      </c>
      <c r="N12" s="45">
        <v>16754443.82</v>
      </c>
      <c r="O12" s="45">
        <v>17215548.419999998</v>
      </c>
      <c r="P12" s="45">
        <v>18091025.109999999</v>
      </c>
      <c r="Q12" s="45">
        <v>17825617.48</v>
      </c>
      <c r="R12" s="45">
        <v>17741533.450000003</v>
      </c>
      <c r="S12" s="45">
        <v>17741533.450000003</v>
      </c>
      <c r="T12" s="45"/>
      <c r="U12" s="45"/>
      <c r="V12" s="45"/>
      <c r="W12" s="45"/>
      <c r="X12" s="45"/>
      <c r="Y12" s="45"/>
    </row>
    <row r="13" spans="1:25" s="1" customFormat="1" ht="19.5" customHeight="1" x14ac:dyDescent="0.2">
      <c r="A13" s="1">
        <v>9</v>
      </c>
      <c r="B13" s="125" t="s">
        <v>8</v>
      </c>
      <c r="C13" s="125"/>
      <c r="D13" s="125"/>
      <c r="E13" s="46">
        <v>14506954.460000001</v>
      </c>
      <c r="F13" s="46">
        <v>15307820.32</v>
      </c>
      <c r="G13" s="46">
        <v>15946633.360000003</v>
      </c>
      <c r="H13" s="46">
        <v>16676588.339999998</v>
      </c>
      <c r="I13" s="46">
        <v>17303163.210000001</v>
      </c>
      <c r="J13" s="46">
        <v>19639131.82</v>
      </c>
      <c r="K13" s="46">
        <v>20362378.079999998</v>
      </c>
      <c r="L13" s="46">
        <v>21446221.689999998</v>
      </c>
      <c r="M13" s="46">
        <v>22429808.099999998</v>
      </c>
      <c r="N13" s="46">
        <v>21975078.080000002</v>
      </c>
      <c r="O13" s="46">
        <v>22586539.57</v>
      </c>
      <c r="P13" s="46">
        <v>23902276.379999999</v>
      </c>
      <c r="Q13" s="46">
        <v>23780277.960000001</v>
      </c>
      <c r="R13" s="46">
        <v>23897577.560000002</v>
      </c>
      <c r="S13" s="46">
        <f>SUM(S11:S12)</f>
        <v>23897577.560000002</v>
      </c>
      <c r="T13" s="46"/>
      <c r="U13" s="46"/>
      <c r="V13" s="46"/>
      <c r="W13" s="46"/>
      <c r="X13" s="46"/>
      <c r="Y13" s="46"/>
    </row>
    <row r="14" spans="1:25" s="1" customFormat="1" ht="11.25" customHeight="1" x14ac:dyDescent="0.2">
      <c r="A14" s="1">
        <v>10</v>
      </c>
      <c r="B14" s="5"/>
      <c r="C14" s="5"/>
      <c r="D14" s="5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</row>
    <row r="15" spans="1:25" s="1" customFormat="1" ht="19.5" customHeight="1" x14ac:dyDescent="0.2">
      <c r="A15" s="1">
        <v>11</v>
      </c>
      <c r="B15" s="121" t="s">
        <v>9</v>
      </c>
      <c r="C15" s="121"/>
      <c r="D15" s="121"/>
      <c r="E15" s="47">
        <v>27976809.080000006</v>
      </c>
      <c r="F15" s="47">
        <v>29746352.000000007</v>
      </c>
      <c r="G15" s="47">
        <v>31023751.150000006</v>
      </c>
      <c r="H15" s="47">
        <v>31793173.00999999</v>
      </c>
      <c r="I15" s="47">
        <v>32574309.93</v>
      </c>
      <c r="J15" s="47">
        <v>34312102.980000004</v>
      </c>
      <c r="K15" s="47">
        <v>36079110.989999995</v>
      </c>
      <c r="L15" s="47">
        <v>37482147.289999999</v>
      </c>
      <c r="M15" s="47">
        <v>38719175.529999994</v>
      </c>
      <c r="N15" s="47">
        <v>39791199.560000002</v>
      </c>
      <c r="O15" s="47">
        <v>40666710.289999992</v>
      </c>
      <c r="P15" s="47">
        <v>43014146.030000001</v>
      </c>
      <c r="Q15" s="47">
        <v>42558915.560000002</v>
      </c>
      <c r="R15" s="47">
        <v>43300462.93</v>
      </c>
      <c r="S15" s="47">
        <f>S9+S13</f>
        <v>42753382.195</v>
      </c>
      <c r="T15" s="47"/>
      <c r="U15" s="47"/>
      <c r="V15" s="47"/>
      <c r="W15" s="47"/>
      <c r="X15" s="47"/>
      <c r="Y15" s="47"/>
    </row>
    <row r="16" spans="1:25" s="1" customFormat="1" ht="19.899999999999999" customHeight="1" x14ac:dyDescent="0.2">
      <c r="A16" s="1">
        <v>12</v>
      </c>
    </row>
    <row r="17" spans="1:25" s="1" customFormat="1" ht="23.45" customHeight="1" x14ac:dyDescent="0.2">
      <c r="A17" s="1">
        <v>13</v>
      </c>
      <c r="B17" s="2"/>
      <c r="C17" s="2"/>
      <c r="D17" s="2"/>
      <c r="E17" s="3">
        <v>2006</v>
      </c>
      <c r="F17" s="3">
        <v>2007</v>
      </c>
      <c r="G17" s="3">
        <v>2008</v>
      </c>
      <c r="H17" s="3">
        <v>2009</v>
      </c>
      <c r="I17" s="3">
        <v>2010</v>
      </c>
      <c r="J17" s="3">
        <v>2011</v>
      </c>
      <c r="K17" s="3">
        <v>2012</v>
      </c>
      <c r="L17" s="3">
        <v>2013</v>
      </c>
      <c r="M17" s="3">
        <v>2014</v>
      </c>
      <c r="N17" s="3">
        <v>2015</v>
      </c>
      <c r="O17" s="3">
        <v>2016</v>
      </c>
      <c r="P17" s="3">
        <v>2017</v>
      </c>
      <c r="Q17" s="3">
        <v>2018</v>
      </c>
      <c r="R17" s="3">
        <v>2019</v>
      </c>
      <c r="S17" s="3">
        <v>2020</v>
      </c>
      <c r="T17" s="3"/>
      <c r="U17" s="3"/>
      <c r="V17" s="3"/>
      <c r="W17" s="3"/>
      <c r="X17" s="3"/>
      <c r="Y17" s="3"/>
    </row>
    <row r="18" spans="1:25" s="1" customFormat="1" ht="19.5" customHeight="1" x14ac:dyDescent="0.2">
      <c r="A18" s="1">
        <v>14</v>
      </c>
      <c r="B18" s="123" t="s">
        <v>10</v>
      </c>
      <c r="C18" s="124" t="s">
        <v>11</v>
      </c>
      <c r="D18" s="4" t="s">
        <v>2</v>
      </c>
      <c r="E18" s="45">
        <v>0</v>
      </c>
      <c r="F18" s="45">
        <v>0</v>
      </c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</row>
    <row r="19" spans="1:25" s="1" customFormat="1" ht="19.5" customHeight="1" x14ac:dyDescent="0.2">
      <c r="A19" s="1">
        <v>15</v>
      </c>
      <c r="B19" s="123"/>
      <c r="C19" s="124"/>
      <c r="D19" s="4" t="s">
        <v>3</v>
      </c>
      <c r="E19" s="45">
        <v>15714.24</v>
      </c>
      <c r="F19" s="45">
        <v>25409.4</v>
      </c>
      <c r="G19" s="45">
        <v>46955.27</v>
      </c>
      <c r="H19" s="45">
        <v>76531.790000000008</v>
      </c>
      <c r="I19" s="45">
        <v>94511.98</v>
      </c>
      <c r="J19" s="45">
        <v>99104.2</v>
      </c>
      <c r="K19" s="45">
        <v>100143.21</v>
      </c>
      <c r="L19" s="45">
        <v>68059.360000000001</v>
      </c>
      <c r="M19" s="45">
        <v>167168.07</v>
      </c>
      <c r="N19" s="45">
        <v>68898.490000000005</v>
      </c>
      <c r="O19" s="45">
        <v>184257.97</v>
      </c>
      <c r="P19" s="45">
        <v>371108.21</v>
      </c>
      <c r="Q19" s="45">
        <v>185548.02</v>
      </c>
      <c r="R19" s="45">
        <v>227611.63</v>
      </c>
      <c r="S19" s="45">
        <v>227611.63</v>
      </c>
      <c r="T19" s="45"/>
      <c r="U19" s="45"/>
      <c r="V19" s="45"/>
      <c r="W19" s="45"/>
      <c r="X19" s="45"/>
      <c r="Y19" s="45"/>
    </row>
    <row r="20" spans="1:25" s="1" customFormat="1" ht="19.5" customHeight="1" x14ac:dyDescent="0.2">
      <c r="A20" s="1">
        <v>16</v>
      </c>
      <c r="B20" s="123"/>
      <c r="C20" s="124" t="s">
        <v>12</v>
      </c>
      <c r="D20" s="4" t="s">
        <v>2</v>
      </c>
      <c r="E20" s="45">
        <v>0</v>
      </c>
      <c r="F20" s="45">
        <v>0</v>
      </c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spans="1:25" s="1" customFormat="1" ht="19.5" customHeight="1" x14ac:dyDescent="0.2">
      <c r="A21" s="1">
        <v>17</v>
      </c>
      <c r="B21" s="123"/>
      <c r="C21" s="124"/>
      <c r="D21" s="4" t="s">
        <v>3</v>
      </c>
      <c r="E21" s="45">
        <v>202034.6</v>
      </c>
      <c r="F21" s="45">
        <v>241332.18</v>
      </c>
      <c r="G21" s="45">
        <v>82680.87</v>
      </c>
      <c r="H21" s="45">
        <v>276907.05</v>
      </c>
      <c r="I21" s="45">
        <v>115386.98</v>
      </c>
      <c r="J21" s="45">
        <v>124794.74</v>
      </c>
      <c r="K21" s="45">
        <v>187400.8</v>
      </c>
      <c r="L21" s="45">
        <v>138079.83000000002</v>
      </c>
      <c r="M21" s="45">
        <v>276410.42</v>
      </c>
      <c r="N21" s="45">
        <v>184646.73</v>
      </c>
      <c r="O21" s="45">
        <v>249925.6</v>
      </c>
      <c r="P21" s="45">
        <v>151205.97</v>
      </c>
      <c r="Q21" s="45">
        <v>348518.24</v>
      </c>
      <c r="R21" s="45">
        <v>569252.57999999996</v>
      </c>
      <c r="S21" s="45">
        <v>569252.57999999996</v>
      </c>
      <c r="T21" s="45"/>
      <c r="U21" s="45"/>
      <c r="V21" s="45"/>
      <c r="W21" s="45"/>
      <c r="X21" s="45"/>
      <c r="Y21" s="45"/>
    </row>
    <row r="22" spans="1:25" s="1" customFormat="1" ht="19.5" customHeight="1" x14ac:dyDescent="0.2">
      <c r="A22" s="1">
        <v>18</v>
      </c>
      <c r="B22" s="121" t="s">
        <v>13</v>
      </c>
      <c r="C22" s="121"/>
      <c r="D22" s="121"/>
      <c r="E22" s="47">
        <v>217748.84</v>
      </c>
      <c r="F22" s="47">
        <v>266741.58</v>
      </c>
      <c r="G22" s="47">
        <v>129636.14</v>
      </c>
      <c r="H22" s="47">
        <v>353438.84</v>
      </c>
      <c r="I22" s="47">
        <v>209898.96</v>
      </c>
      <c r="J22" s="47">
        <v>223898.94</v>
      </c>
      <c r="K22" s="47">
        <v>287544.01</v>
      </c>
      <c r="L22" s="47">
        <v>206139.19</v>
      </c>
      <c r="M22" s="47">
        <v>443578.49</v>
      </c>
      <c r="N22" s="47">
        <v>253545.22000000003</v>
      </c>
      <c r="O22" s="47">
        <v>434183.57</v>
      </c>
      <c r="P22" s="47">
        <v>522314.18000000005</v>
      </c>
      <c r="Q22" s="47">
        <v>534066.26</v>
      </c>
      <c r="R22" s="47">
        <v>796864.21</v>
      </c>
      <c r="S22" s="47">
        <f>SUM(S18:S21)</f>
        <v>796864.21</v>
      </c>
      <c r="T22" s="47"/>
      <c r="U22" s="47"/>
      <c r="V22" s="47"/>
      <c r="W22" s="47"/>
      <c r="X22" s="47"/>
      <c r="Y22" s="47"/>
    </row>
    <row r="23" spans="1:25" s="1" customFormat="1" ht="11.25" customHeight="1" x14ac:dyDescent="0.2">
      <c r="A23" s="1">
        <v>19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s="1" customFormat="1" ht="19.899999999999999" customHeight="1" x14ac:dyDescent="0.2">
      <c r="A24" s="1">
        <v>20</v>
      </c>
    </row>
    <row r="25" spans="1:25" s="1" customFormat="1" ht="23.45" customHeight="1" x14ac:dyDescent="0.2">
      <c r="A25" s="1">
        <v>21</v>
      </c>
      <c r="B25" s="127"/>
      <c r="C25" s="127"/>
      <c r="D25" s="2"/>
      <c r="E25" s="3">
        <v>2006</v>
      </c>
      <c r="F25" s="3">
        <v>2007</v>
      </c>
      <c r="G25" s="3">
        <v>2008</v>
      </c>
      <c r="H25" s="3">
        <v>2009</v>
      </c>
      <c r="I25" s="3">
        <v>2010</v>
      </c>
      <c r="J25" s="3">
        <v>2011</v>
      </c>
      <c r="K25" s="3">
        <v>2012</v>
      </c>
      <c r="L25" s="3">
        <v>2013</v>
      </c>
      <c r="M25" s="3">
        <v>2014</v>
      </c>
      <c r="N25" s="3">
        <v>2015</v>
      </c>
      <c r="O25" s="3">
        <v>2016</v>
      </c>
      <c r="P25" s="3">
        <v>2017</v>
      </c>
      <c r="Q25" s="3">
        <v>2018</v>
      </c>
      <c r="R25" s="3">
        <v>2019</v>
      </c>
      <c r="S25" s="3">
        <v>2020</v>
      </c>
      <c r="T25" s="3"/>
      <c r="U25" s="3"/>
      <c r="V25" s="3"/>
      <c r="W25" s="3"/>
      <c r="X25" s="3"/>
      <c r="Y25" s="3"/>
    </row>
    <row r="26" spans="1:25" s="1" customFormat="1" ht="19.5" customHeight="1" x14ac:dyDescent="0.2">
      <c r="A26" s="1">
        <v>22</v>
      </c>
      <c r="B26" s="126" t="s">
        <v>14</v>
      </c>
      <c r="C26" s="126"/>
      <c r="D26" s="4" t="s">
        <v>2</v>
      </c>
      <c r="E26" s="45">
        <v>9256502.2800000012</v>
      </c>
      <c r="F26" s="45">
        <v>10532590.360000001</v>
      </c>
      <c r="G26" s="45">
        <v>10971355.99</v>
      </c>
      <c r="H26" s="45">
        <v>11107656.719999997</v>
      </c>
      <c r="I26" s="45">
        <v>11521147.979999999</v>
      </c>
      <c r="J26" s="45">
        <v>12268588.539999999</v>
      </c>
      <c r="K26" s="45">
        <v>12875303.679999998</v>
      </c>
      <c r="L26" s="45">
        <v>13199791.98</v>
      </c>
      <c r="M26" s="45">
        <v>13776314.68</v>
      </c>
      <c r="N26" s="45">
        <v>14696602.52</v>
      </c>
      <c r="O26" s="45">
        <v>15300144.98</v>
      </c>
      <c r="P26" s="45">
        <v>16796541.949999999</v>
      </c>
      <c r="Q26" s="45">
        <v>16541663.85</v>
      </c>
      <c r="R26" s="45">
        <v>17067507.960000001</v>
      </c>
      <c r="S26" s="45">
        <v>17067507.960000001</v>
      </c>
      <c r="T26" s="45"/>
      <c r="U26" s="45"/>
      <c r="V26" s="45"/>
      <c r="W26" s="45"/>
      <c r="X26" s="45"/>
      <c r="Y26" s="45"/>
    </row>
    <row r="27" spans="1:25" s="1" customFormat="1" ht="19.5" customHeight="1" x14ac:dyDescent="0.2">
      <c r="A27" s="1">
        <v>23</v>
      </c>
      <c r="B27" s="126" t="s">
        <v>14</v>
      </c>
      <c r="C27" s="126"/>
      <c r="D27" s="4" t="s">
        <v>3</v>
      </c>
      <c r="E27" s="45">
        <v>4938625.5900000008</v>
      </c>
      <c r="F27" s="45">
        <v>4674002.6199999992</v>
      </c>
      <c r="G27" s="45">
        <v>4964825.8600000003</v>
      </c>
      <c r="H27" s="45">
        <v>4927403.5200000005</v>
      </c>
      <c r="I27" s="45">
        <v>4722642.9400000013</v>
      </c>
      <c r="J27" s="45">
        <v>3356200.62</v>
      </c>
      <c r="K27" s="45">
        <v>3811053.0899999989</v>
      </c>
      <c r="L27" s="45">
        <v>3809210.83</v>
      </c>
      <c r="M27" s="45">
        <v>3542279.6999999988</v>
      </c>
      <c r="N27" s="45">
        <v>4167567.28</v>
      </c>
      <c r="O27" s="45">
        <v>3777053.89</v>
      </c>
      <c r="P27" s="45">
        <v>3290910.3400000008</v>
      </c>
      <c r="Q27" s="45">
        <v>5661488.3699999992</v>
      </c>
      <c r="R27" s="45">
        <v>3558935.810000001</v>
      </c>
      <c r="S27" s="45">
        <v>3558935.810000001</v>
      </c>
      <c r="T27" s="45"/>
      <c r="U27" s="45"/>
      <c r="V27" s="45"/>
      <c r="W27" s="45"/>
      <c r="X27" s="45"/>
      <c r="Y27" s="45"/>
    </row>
    <row r="28" spans="1:25" s="1" customFormat="1" ht="19.5" customHeight="1" x14ac:dyDescent="0.2">
      <c r="A28" s="1">
        <v>24</v>
      </c>
      <c r="B28" s="121" t="s">
        <v>96</v>
      </c>
      <c r="C28" s="121"/>
      <c r="D28" s="121"/>
      <c r="E28" s="47">
        <v>14195127.870000001</v>
      </c>
      <c r="F28" s="47">
        <v>15206592.98</v>
      </c>
      <c r="G28" s="47">
        <v>15936181.850000001</v>
      </c>
      <c r="H28" s="47">
        <v>16035060.239999998</v>
      </c>
      <c r="I28" s="47">
        <v>16243790.92</v>
      </c>
      <c r="J28" s="47">
        <v>15624789.16</v>
      </c>
      <c r="K28" s="47">
        <v>16686356.769999996</v>
      </c>
      <c r="L28" s="47">
        <v>17009002.810000002</v>
      </c>
      <c r="M28" s="47">
        <v>17318594.379999999</v>
      </c>
      <c r="N28" s="47">
        <v>18864169.800000001</v>
      </c>
      <c r="O28" s="47">
        <v>19077198.870000001</v>
      </c>
      <c r="P28" s="47">
        <v>20087452.289999999</v>
      </c>
      <c r="Q28" s="47">
        <v>22203152.219999999</v>
      </c>
      <c r="R28" s="47">
        <v>20626443.770000003</v>
      </c>
      <c r="S28" s="47">
        <f>SUM(S26:S27)</f>
        <v>20626443.770000003</v>
      </c>
      <c r="T28" s="47"/>
      <c r="U28" s="47"/>
      <c r="V28" s="47"/>
      <c r="W28" s="47"/>
      <c r="X28" s="47"/>
      <c r="Y28" s="47"/>
    </row>
    <row r="29" spans="1:25" s="1" customFormat="1" ht="18" customHeight="1" x14ac:dyDescent="0.2">
      <c r="A29" s="1">
        <v>25</v>
      </c>
      <c r="B29" s="128"/>
      <c r="C29" s="128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s="1" customFormat="1" ht="19.5" customHeight="1" x14ac:dyDescent="0.2">
      <c r="A30" s="1">
        <v>26</v>
      </c>
      <c r="B30" s="126" t="s">
        <v>62</v>
      </c>
      <c r="C30" s="126"/>
      <c r="D30" s="126"/>
      <c r="E30" s="45">
        <v>92723349.73999998</v>
      </c>
      <c r="F30" s="45">
        <v>99177805.279999912</v>
      </c>
      <c r="G30" s="45">
        <v>99965960.909999996</v>
      </c>
      <c r="H30" s="45">
        <v>102188379.82999995</v>
      </c>
      <c r="I30" s="45">
        <v>105603811.6499998</v>
      </c>
      <c r="J30" s="45">
        <v>113415894.86000009</v>
      </c>
      <c r="K30" s="45">
        <v>116334370.21999991</v>
      </c>
      <c r="L30" s="45">
        <v>122454248.49999999</v>
      </c>
      <c r="M30" s="45">
        <v>130511367.50999957</v>
      </c>
      <c r="N30" s="45">
        <v>133121820.83999987</v>
      </c>
      <c r="O30" s="45">
        <v>127442340.40000017</v>
      </c>
      <c r="P30" s="45">
        <v>132084007.18999995</v>
      </c>
      <c r="Q30" s="45">
        <v>138469539.5600003</v>
      </c>
      <c r="R30" s="45">
        <v>140395133.13000003</v>
      </c>
      <c r="S30" s="45">
        <v>140395133.13000003</v>
      </c>
      <c r="T30" s="45"/>
      <c r="U30" s="45"/>
      <c r="V30" s="45"/>
      <c r="W30" s="45"/>
      <c r="X30" s="45"/>
      <c r="Y30" s="45"/>
    </row>
    <row r="31" spans="1:25" s="1" customFormat="1" ht="19.5" customHeight="1" x14ac:dyDescent="0.2">
      <c r="A31" s="1">
        <v>27</v>
      </c>
      <c r="B31" s="126" t="s">
        <v>61</v>
      </c>
      <c r="C31" s="126"/>
      <c r="D31" s="126"/>
      <c r="E31" s="45">
        <v>15152255.299999997</v>
      </c>
      <c r="F31" s="45">
        <v>15888882.120000005</v>
      </c>
      <c r="G31" s="45">
        <v>16576743.999999998</v>
      </c>
      <c r="H31" s="45">
        <v>17335205.649999995</v>
      </c>
      <c r="I31" s="45">
        <v>18413812.339999992</v>
      </c>
      <c r="J31" s="45">
        <v>22543112.470000003</v>
      </c>
      <c r="K31" s="45">
        <v>21276381.829999991</v>
      </c>
      <c r="L31" s="45">
        <v>23982856.830000013</v>
      </c>
      <c r="M31" s="45">
        <v>30217179.91</v>
      </c>
      <c r="N31" s="45">
        <v>22684576.360000003</v>
      </c>
      <c r="O31" s="45">
        <v>23487113.780000012</v>
      </c>
      <c r="P31" s="45">
        <v>24758973.190000001</v>
      </c>
      <c r="Q31" s="45">
        <v>24461245.249999993</v>
      </c>
      <c r="R31" s="45">
        <v>24542940.940000009</v>
      </c>
      <c r="S31" s="45">
        <v>24542940.940000009</v>
      </c>
      <c r="T31" s="45"/>
      <c r="U31" s="45"/>
      <c r="V31" s="45"/>
      <c r="W31" s="45"/>
      <c r="X31" s="45"/>
      <c r="Y31" s="45"/>
    </row>
    <row r="32" spans="1:25" s="1" customFormat="1" ht="19.5" customHeight="1" x14ac:dyDescent="0.2">
      <c r="A32" s="1">
        <v>28</v>
      </c>
      <c r="B32" s="121" t="s">
        <v>15</v>
      </c>
      <c r="C32" s="121"/>
      <c r="D32" s="121"/>
      <c r="E32" s="47">
        <v>77571094.439999983</v>
      </c>
      <c r="F32" s="47">
        <v>83288923.160000011</v>
      </c>
      <c r="G32" s="47">
        <v>83389216.909999996</v>
      </c>
      <c r="H32" s="47">
        <v>84853174.180000022</v>
      </c>
      <c r="I32" s="47">
        <v>87189999.309999987</v>
      </c>
      <c r="J32" s="47">
        <v>90872782.390000001</v>
      </c>
      <c r="K32" s="47">
        <v>95057988.39000003</v>
      </c>
      <c r="L32" s="47">
        <v>98471391.670000017</v>
      </c>
      <c r="M32" s="47">
        <v>100294187.60000001</v>
      </c>
      <c r="N32" s="47">
        <v>110437244.48</v>
      </c>
      <c r="O32" s="47">
        <v>103955226.62000002</v>
      </c>
      <c r="P32" s="47">
        <v>107325034.00000004</v>
      </c>
      <c r="Q32" s="47">
        <v>114008294.30999999</v>
      </c>
      <c r="R32" s="47">
        <v>115852192.19000006</v>
      </c>
      <c r="S32" s="47">
        <f>S30-S31</f>
        <v>115852192.19000001</v>
      </c>
      <c r="T32" s="47"/>
      <c r="U32" s="47"/>
      <c r="V32" s="47"/>
      <c r="W32" s="47"/>
      <c r="X32" s="47"/>
      <c r="Y32" s="47"/>
    </row>
    <row r="33" spans="1:25" s="1" customFormat="1" ht="19.899999999999999" customHeight="1" x14ac:dyDescent="0.2">
      <c r="A33" s="1">
        <v>29</v>
      </c>
    </row>
    <row r="34" spans="1:25" s="1" customFormat="1" ht="23.45" customHeight="1" x14ac:dyDescent="0.2">
      <c r="A34" s="1">
        <v>30</v>
      </c>
      <c r="B34" s="127"/>
      <c r="C34" s="127"/>
      <c r="D34" s="127"/>
      <c r="E34" s="3">
        <v>2006</v>
      </c>
      <c r="F34" s="3">
        <v>2007</v>
      </c>
      <c r="G34" s="3">
        <v>2008</v>
      </c>
      <c r="H34" s="3">
        <v>2009</v>
      </c>
      <c r="I34" s="3">
        <v>2010</v>
      </c>
      <c r="J34" s="3">
        <v>2011</v>
      </c>
      <c r="K34" s="3">
        <v>2012</v>
      </c>
      <c r="L34" s="3">
        <v>2013</v>
      </c>
      <c r="M34" s="3">
        <v>2014</v>
      </c>
      <c r="N34" s="3">
        <v>2015</v>
      </c>
      <c r="O34" s="3">
        <v>2016</v>
      </c>
      <c r="P34" s="3">
        <v>2017</v>
      </c>
      <c r="Q34" s="3">
        <v>2018</v>
      </c>
      <c r="R34" s="3">
        <v>2019</v>
      </c>
      <c r="S34" s="3">
        <v>2020</v>
      </c>
      <c r="T34" s="3"/>
      <c r="U34" s="3"/>
      <c r="V34" s="3"/>
      <c r="W34" s="3"/>
      <c r="X34" s="3"/>
      <c r="Y34" s="3"/>
    </row>
    <row r="35" spans="1:25" s="1" customFormat="1" ht="19.5" customHeight="1" x14ac:dyDescent="0.2">
      <c r="A35" s="1">
        <v>31</v>
      </c>
      <c r="B35" s="121" t="s">
        <v>97</v>
      </c>
      <c r="C35" s="121"/>
      <c r="D35" s="121"/>
      <c r="E35" s="7">
        <v>0.18299507016727357</v>
      </c>
      <c r="F35" s="7">
        <v>0.18257641476271427</v>
      </c>
      <c r="G35" s="7">
        <v>0.19110602594097442</v>
      </c>
      <c r="H35" s="7">
        <v>0.18897419448310371</v>
      </c>
      <c r="I35" s="7">
        <v>0.18630337250314633</v>
      </c>
      <c r="J35" s="7">
        <v>0.17194135305489902</v>
      </c>
      <c r="K35" s="7">
        <v>0.17553871118690093</v>
      </c>
      <c r="L35" s="7">
        <v>0.17273039937326196</v>
      </c>
      <c r="M35" s="7">
        <v>0.17267794669289488</v>
      </c>
      <c r="N35" s="7">
        <v>0.17081347772504654</v>
      </c>
      <c r="O35" s="7">
        <v>0.18351360956323215</v>
      </c>
      <c r="P35" s="115">
        <v>0.18716464874355401</v>
      </c>
      <c r="Q35" s="7">
        <v>0.19475032368809414</v>
      </c>
      <c r="R35" s="7">
        <v>0.17804103124930254</v>
      </c>
      <c r="S35" s="7">
        <f>S28/S32</f>
        <v>0.17804103124930259</v>
      </c>
      <c r="T35" s="7"/>
      <c r="U35" s="7"/>
      <c r="V35" s="7"/>
      <c r="W35" s="7"/>
      <c r="X35" s="7"/>
      <c r="Y35" s="7"/>
    </row>
  </sheetData>
  <mergeCells count="22">
    <mergeCell ref="B25:C25"/>
    <mergeCell ref="B26:C26"/>
    <mergeCell ref="B27:C27"/>
    <mergeCell ref="B28:D28"/>
    <mergeCell ref="B29:C29"/>
    <mergeCell ref="B30:D30"/>
    <mergeCell ref="B31:D31"/>
    <mergeCell ref="B32:D32"/>
    <mergeCell ref="B34:D34"/>
    <mergeCell ref="B35:D35"/>
    <mergeCell ref="B22:D22"/>
    <mergeCell ref="B2:P2"/>
    <mergeCell ref="B5:B8"/>
    <mergeCell ref="C5:C6"/>
    <mergeCell ref="C7:C8"/>
    <mergeCell ref="B9:D9"/>
    <mergeCell ref="B11:B12"/>
    <mergeCell ref="B13:D13"/>
    <mergeCell ref="B15:D15"/>
    <mergeCell ref="B18:B21"/>
    <mergeCell ref="C18:C19"/>
    <mergeCell ref="C20:C21"/>
  </mergeCells>
  <pageMargins left="0.19685039370078741" right="0.19685039370078741" top="0.98425196850393704" bottom="0.98425196850393704" header="0.51181102362204722" footer="0.51181102362204722"/>
  <pageSetup paperSize="8" scale="66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6"/>
  <sheetViews>
    <sheetView showGridLines="0" tabSelected="1" topLeftCell="H19" zoomScaleNormal="100" workbookViewId="0">
      <selection activeCell="D25" sqref="D25"/>
    </sheetView>
  </sheetViews>
  <sheetFormatPr baseColWidth="10" defaultRowHeight="12.75" x14ac:dyDescent="0.2"/>
  <cols>
    <col min="1" max="1" width="10.7109375" customWidth="1"/>
    <col min="3" max="3" width="30.42578125" customWidth="1"/>
    <col min="4" max="4" width="10.85546875" customWidth="1"/>
    <col min="5" max="5" width="25.28515625" customWidth="1"/>
    <col min="6" max="6" width="14.7109375" customWidth="1"/>
    <col min="7" max="7" width="48" bestFit="1" customWidth="1"/>
    <col min="11" max="11" width="47.28515625" customWidth="1"/>
    <col min="13" max="13" width="11.85546875" bestFit="1" customWidth="1"/>
  </cols>
  <sheetData>
    <row r="1" spans="1:22" ht="20.25" x14ac:dyDescent="0.3">
      <c r="B1" s="149" t="s">
        <v>72</v>
      </c>
      <c r="C1" s="149"/>
      <c r="D1" s="149"/>
      <c r="E1" s="149"/>
      <c r="F1" s="149"/>
      <c r="G1" s="149"/>
    </row>
    <row r="2" spans="1:22" x14ac:dyDescent="0.2">
      <c r="N2" s="120"/>
    </row>
    <row r="3" spans="1:22" ht="24.75" customHeight="1" x14ac:dyDescent="0.2">
      <c r="J3" s="153" t="s">
        <v>77</v>
      </c>
      <c r="K3" s="153"/>
      <c r="L3" s="80" t="s">
        <v>75</v>
      </c>
      <c r="M3" s="80" t="s">
        <v>64</v>
      </c>
      <c r="N3" s="80" t="s">
        <v>65</v>
      </c>
      <c r="O3" s="80" t="s">
        <v>84</v>
      </c>
      <c r="P3" s="80" t="s">
        <v>85</v>
      </c>
      <c r="Q3" s="80" t="s">
        <v>86</v>
      </c>
      <c r="R3" s="80" t="s">
        <v>87</v>
      </c>
      <c r="S3" s="80" t="s">
        <v>88</v>
      </c>
      <c r="T3" s="80" t="s">
        <v>89</v>
      </c>
      <c r="U3" s="80" t="s">
        <v>90</v>
      </c>
      <c r="V3" s="80" t="s">
        <v>91</v>
      </c>
    </row>
    <row r="4" spans="1:22" ht="20.25" customHeight="1" x14ac:dyDescent="0.2">
      <c r="B4" s="88"/>
      <c r="C4" s="88"/>
      <c r="D4" s="88"/>
      <c r="J4" s="78"/>
      <c r="K4" s="79" t="s">
        <v>78</v>
      </c>
      <c r="L4" s="60">
        <v>2016</v>
      </c>
      <c r="M4" s="60">
        <v>2017</v>
      </c>
      <c r="N4" s="60">
        <v>2018</v>
      </c>
      <c r="O4" s="60">
        <v>2019</v>
      </c>
      <c r="P4" s="60">
        <v>2020</v>
      </c>
      <c r="Q4" s="60">
        <v>2021</v>
      </c>
      <c r="R4" s="60">
        <v>2022</v>
      </c>
      <c r="S4" s="60">
        <v>2023</v>
      </c>
      <c r="T4" s="60">
        <v>2024</v>
      </c>
      <c r="U4" s="60">
        <v>2025</v>
      </c>
      <c r="V4" s="60">
        <v>2026</v>
      </c>
    </row>
    <row r="5" spans="1:22" ht="20.25" x14ac:dyDescent="0.2">
      <c r="A5" s="89"/>
      <c r="B5" s="131" t="s">
        <v>83</v>
      </c>
      <c r="C5" s="131"/>
      <c r="D5" s="131"/>
      <c r="E5" s="131"/>
      <c r="F5" s="131"/>
      <c r="G5" s="90" t="s">
        <v>85</v>
      </c>
      <c r="J5" s="83"/>
      <c r="K5" s="92" t="s">
        <v>76</v>
      </c>
      <c r="L5" s="81" t="s">
        <v>55</v>
      </c>
      <c r="M5" s="81" t="str">
        <f t="shared" ref="M5" si="0">L3</f>
        <v>2016/2017</v>
      </c>
      <c r="N5" s="81" t="str">
        <f t="shared" ref="N5:V5" si="1">M3</f>
        <v>2017/2018</v>
      </c>
      <c r="O5" s="81" t="str">
        <f t="shared" si="1"/>
        <v>2018/2019</v>
      </c>
      <c r="P5" s="81" t="str">
        <f t="shared" si="1"/>
        <v>2019/2020</v>
      </c>
      <c r="Q5" s="81" t="str">
        <f t="shared" si="1"/>
        <v>2020/2021</v>
      </c>
      <c r="R5" s="81" t="str">
        <f t="shared" si="1"/>
        <v>2021/2022</v>
      </c>
      <c r="S5" s="81" t="str">
        <f t="shared" si="1"/>
        <v>2022/2023</v>
      </c>
      <c r="T5" s="81" t="str">
        <f t="shared" si="1"/>
        <v>2023/2024</v>
      </c>
      <c r="U5" s="81" t="str">
        <f t="shared" si="1"/>
        <v>2024/2025</v>
      </c>
      <c r="V5" s="81" t="str">
        <f t="shared" si="1"/>
        <v>2025/2026</v>
      </c>
    </row>
    <row r="6" spans="1:22" x14ac:dyDescent="0.2">
      <c r="B6" s="132" t="s">
        <v>95</v>
      </c>
      <c r="C6" s="133"/>
      <c r="D6" s="138">
        <f>SUMPRODUCT((L3:V3=G5)*(L6:V6))</f>
        <v>7665</v>
      </c>
      <c r="E6" s="141" t="s">
        <v>16</v>
      </c>
      <c r="F6" s="143" t="s">
        <v>92</v>
      </c>
      <c r="G6" s="146" t="s">
        <v>17</v>
      </c>
      <c r="J6" s="101" t="s">
        <v>98</v>
      </c>
      <c r="K6" s="82" t="s">
        <v>79</v>
      </c>
      <c r="L6" s="71">
        <v>7450</v>
      </c>
      <c r="M6" s="71">
        <v>7464</v>
      </c>
      <c r="N6" s="71">
        <v>7578</v>
      </c>
      <c r="O6" s="71">
        <v>7578</v>
      </c>
      <c r="P6" s="71">
        <v>7665</v>
      </c>
      <c r="Q6" s="71"/>
      <c r="R6" s="71"/>
      <c r="S6" s="71"/>
      <c r="T6" s="71"/>
      <c r="U6" s="71"/>
      <c r="V6" s="71"/>
    </row>
    <row r="7" spans="1:22" x14ac:dyDescent="0.2">
      <c r="B7" s="134"/>
      <c r="C7" s="135"/>
      <c r="D7" s="139"/>
      <c r="E7" s="142"/>
      <c r="F7" s="144"/>
      <c r="G7" s="147"/>
      <c r="J7" s="107" t="s">
        <v>98</v>
      </c>
      <c r="K7" s="15" t="s">
        <v>80</v>
      </c>
      <c r="L7" s="70">
        <v>5793</v>
      </c>
      <c r="M7" s="70">
        <v>5635</v>
      </c>
      <c r="N7" s="70">
        <v>5598</v>
      </c>
      <c r="O7" s="70">
        <v>5598</v>
      </c>
      <c r="P7" s="70">
        <v>5655</v>
      </c>
      <c r="Q7" s="70"/>
      <c r="R7" s="70"/>
      <c r="S7" s="70"/>
      <c r="T7" s="70"/>
      <c r="U7" s="70"/>
      <c r="V7" s="70"/>
    </row>
    <row r="8" spans="1:22" x14ac:dyDescent="0.2">
      <c r="B8" s="136"/>
      <c r="C8" s="137"/>
      <c r="D8" s="140"/>
      <c r="E8" s="91">
        <f>VALUE(LEFT(G5,4))</f>
        <v>2020</v>
      </c>
      <c r="F8" s="145"/>
      <c r="G8" s="148"/>
      <c r="J8" s="39"/>
      <c r="K8" s="86" t="s">
        <v>56</v>
      </c>
      <c r="L8" s="87">
        <f>L6+L7</f>
        <v>13243</v>
      </c>
      <c r="M8" s="87">
        <f t="shared" ref="M8:V8" si="2">M6+M7</f>
        <v>13099</v>
      </c>
      <c r="N8" s="87">
        <f t="shared" si="2"/>
        <v>13176</v>
      </c>
      <c r="O8" s="87">
        <f t="shared" ref="O8" si="3">O6+O7</f>
        <v>13176</v>
      </c>
      <c r="P8" s="87">
        <f t="shared" si="2"/>
        <v>13320</v>
      </c>
      <c r="Q8" s="87">
        <f t="shared" si="2"/>
        <v>0</v>
      </c>
      <c r="R8" s="87">
        <f t="shared" si="2"/>
        <v>0</v>
      </c>
      <c r="S8" s="87">
        <f t="shared" si="2"/>
        <v>0</v>
      </c>
      <c r="T8" s="87">
        <f t="shared" si="2"/>
        <v>0</v>
      </c>
      <c r="U8" s="87">
        <f t="shared" si="2"/>
        <v>0</v>
      </c>
      <c r="V8" s="87">
        <f t="shared" si="2"/>
        <v>0</v>
      </c>
    </row>
    <row r="9" spans="1:22" x14ac:dyDescent="0.2">
      <c r="B9" s="36" t="s">
        <v>18</v>
      </c>
      <c r="C9" s="8"/>
      <c r="D9" s="9"/>
      <c r="E9" s="10"/>
      <c r="F9" s="11"/>
      <c r="G9" s="12"/>
      <c r="J9" s="25"/>
      <c r="K9" s="94" t="s">
        <v>57</v>
      </c>
      <c r="L9" s="95">
        <f t="shared" ref="L9:V9" si="4">IF(L8=0,"0",L6/L8)</f>
        <v>0.56256135316771128</v>
      </c>
      <c r="M9" s="95">
        <f t="shared" si="4"/>
        <v>0.56981448965569892</v>
      </c>
      <c r="N9" s="95">
        <f t="shared" si="4"/>
        <v>0.57513661202185795</v>
      </c>
      <c r="O9" s="95">
        <f t="shared" si="4"/>
        <v>0.57513661202185795</v>
      </c>
      <c r="P9" s="95">
        <f t="shared" si="4"/>
        <v>0.5754504504504504</v>
      </c>
      <c r="Q9" s="95" t="str">
        <f t="shared" si="4"/>
        <v>0</v>
      </c>
      <c r="R9" s="95" t="str">
        <f t="shared" si="4"/>
        <v>0</v>
      </c>
      <c r="S9" s="95" t="str">
        <f t="shared" si="4"/>
        <v>0</v>
      </c>
      <c r="T9" s="95" t="str">
        <f t="shared" si="4"/>
        <v>0</v>
      </c>
      <c r="U9" s="95" t="str">
        <f t="shared" si="4"/>
        <v>0</v>
      </c>
      <c r="V9" s="95" t="str">
        <f t="shared" si="4"/>
        <v>0</v>
      </c>
    </row>
    <row r="10" spans="1:22" ht="12.75" customHeight="1" x14ac:dyDescent="0.2">
      <c r="B10" s="13"/>
      <c r="C10" s="14" t="s">
        <v>19</v>
      </c>
      <c r="D10" s="15"/>
      <c r="E10" s="10"/>
      <c r="F10" s="16"/>
      <c r="G10" s="11"/>
    </row>
    <row r="11" spans="1:22" x14ac:dyDescent="0.2">
      <c r="A11">
        <v>1</v>
      </c>
      <c r="B11" s="13"/>
      <c r="C11" s="17" t="s">
        <v>20</v>
      </c>
      <c r="D11" s="18"/>
      <c r="E11" s="19">
        <f ca="1">OFFSET(INDIRECT("CA_"&amp;E$8),A11,,1,1)</f>
        <v>115163.87</v>
      </c>
      <c r="F11" s="19"/>
      <c r="G11" s="11"/>
    </row>
    <row r="12" spans="1:22" x14ac:dyDescent="0.2">
      <c r="A12">
        <v>2</v>
      </c>
      <c r="B12" s="13"/>
      <c r="C12" s="17" t="s">
        <v>21</v>
      </c>
      <c r="D12" s="18"/>
      <c r="E12" s="19">
        <f ca="1">OFFSET(INDIRECT("CA_"&amp;E$8),A12,,1,1)</f>
        <v>1781103.9349999998</v>
      </c>
      <c r="F12" s="19"/>
      <c r="G12" s="11"/>
      <c r="J12" s="154" t="s">
        <v>81</v>
      </c>
      <c r="K12" s="154"/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4"/>
    </row>
    <row r="13" spans="1:22" x14ac:dyDescent="0.2">
      <c r="B13" s="13"/>
      <c r="C13" s="14"/>
      <c r="D13" s="20" t="s">
        <v>22</v>
      </c>
      <c r="E13" s="30">
        <f ca="1">E11+E12</f>
        <v>1896267.8049999997</v>
      </c>
      <c r="F13" s="19"/>
      <c r="G13" s="11"/>
    </row>
    <row r="14" spans="1:22" x14ac:dyDescent="0.2">
      <c r="B14" s="13"/>
      <c r="C14" s="22" t="s">
        <v>23</v>
      </c>
      <c r="D14" s="93">
        <f>SUMPRODUCT((L4:V4=E8)*($L$9:$V$9))</f>
        <v>0.5754504504504504</v>
      </c>
      <c r="E14" s="23"/>
      <c r="F14" s="19">
        <f ca="1">E13*D14</f>
        <v>1091208.1625619368</v>
      </c>
      <c r="G14" s="11"/>
      <c r="L14" s="129" t="s">
        <v>75</v>
      </c>
      <c r="M14" s="129" t="s">
        <v>64</v>
      </c>
      <c r="N14" s="129" t="s">
        <v>65</v>
      </c>
      <c r="O14" s="129" t="s">
        <v>84</v>
      </c>
      <c r="P14" s="129" t="s">
        <v>85</v>
      </c>
      <c r="Q14" s="129" t="s">
        <v>86</v>
      </c>
      <c r="R14" s="129" t="s">
        <v>87</v>
      </c>
      <c r="S14" s="129" t="s">
        <v>88</v>
      </c>
      <c r="T14" s="129" t="s">
        <v>89</v>
      </c>
      <c r="U14" s="129" t="s">
        <v>90</v>
      </c>
      <c r="V14" s="129" t="s">
        <v>91</v>
      </c>
    </row>
    <row r="15" spans="1:22" x14ac:dyDescent="0.2">
      <c r="B15" s="13"/>
      <c r="C15" s="14" t="s">
        <v>24</v>
      </c>
      <c r="D15" s="15"/>
      <c r="E15" s="19"/>
      <c r="F15" s="19"/>
      <c r="G15" s="11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</row>
    <row r="16" spans="1:22" x14ac:dyDescent="0.2">
      <c r="A16">
        <v>3</v>
      </c>
      <c r="B16" s="13"/>
      <c r="C16" s="17" t="s">
        <v>20</v>
      </c>
      <c r="D16" s="18"/>
      <c r="E16" s="19">
        <f ca="1">OFFSET(INDIRECT("CA_"&amp;E$8),A16,,1,1)</f>
        <v>16952344.09</v>
      </c>
      <c r="F16" s="19"/>
      <c r="G16" s="11"/>
      <c r="J16" s="104"/>
      <c r="K16" s="105" t="s">
        <v>69</v>
      </c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</row>
    <row r="17" spans="1:22" x14ac:dyDescent="0.2">
      <c r="A17">
        <v>4</v>
      </c>
      <c r="B17" s="13"/>
      <c r="C17" s="17" t="s">
        <v>21</v>
      </c>
      <c r="D17" s="18"/>
      <c r="E17" s="19">
        <f ca="1">OFFSET(INDIRECT("CA_"&amp;E$8),A17,,1,1)</f>
        <v>5172.74</v>
      </c>
      <c r="F17" s="19"/>
      <c r="G17" s="11"/>
      <c r="J17" s="107" t="s">
        <v>98</v>
      </c>
      <c r="K17" s="66" t="s">
        <v>68</v>
      </c>
      <c r="L17" s="61">
        <v>0.16020000000000001</v>
      </c>
      <c r="M17" s="61">
        <v>0.16020000000000001</v>
      </c>
      <c r="N17" s="61">
        <v>0.16020000000000001</v>
      </c>
      <c r="O17" s="61">
        <v>0.16020000000000001</v>
      </c>
      <c r="P17" s="61">
        <v>0.16020000000000001</v>
      </c>
      <c r="Q17" s="61">
        <v>0.16020000000000001</v>
      </c>
      <c r="R17" s="61">
        <v>0.16020000000000001</v>
      </c>
      <c r="S17" s="61">
        <v>0.16020000000000001</v>
      </c>
      <c r="T17" s="61">
        <v>0.16020000000000001</v>
      </c>
      <c r="U17" s="61">
        <v>0.16020000000000001</v>
      </c>
      <c r="V17" s="61">
        <v>0.16020000000000001</v>
      </c>
    </row>
    <row r="18" spans="1:22" x14ac:dyDescent="0.2">
      <c r="B18" s="13"/>
      <c r="C18" s="24"/>
      <c r="D18" s="22" t="s">
        <v>25</v>
      </c>
      <c r="E18" s="30">
        <f ca="1">SUM(E16:E17)</f>
        <v>16957516.829999998</v>
      </c>
      <c r="F18" s="19"/>
      <c r="G18" s="11"/>
      <c r="J18" s="107" t="s">
        <v>98</v>
      </c>
      <c r="K18" s="66" t="s">
        <v>66</v>
      </c>
      <c r="L18" s="61">
        <v>0.60189999999999999</v>
      </c>
      <c r="M18" s="61">
        <v>0.60189999999999999</v>
      </c>
      <c r="N18" s="61">
        <v>0.60189999999999999</v>
      </c>
      <c r="O18" s="61">
        <v>0.60189999999999999</v>
      </c>
      <c r="P18" s="61">
        <v>0.60189999999999999</v>
      </c>
      <c r="Q18" s="61">
        <v>0.60189999999999999</v>
      </c>
      <c r="R18" s="61">
        <v>0.60189999999999999</v>
      </c>
      <c r="S18" s="61">
        <v>0.60189999999999999</v>
      </c>
      <c r="T18" s="61">
        <v>0.60189999999999999</v>
      </c>
      <c r="U18" s="61">
        <v>0.60189999999999999</v>
      </c>
      <c r="V18" s="61">
        <v>0.60189999999999999</v>
      </c>
    </row>
    <row r="19" spans="1:22" x14ac:dyDescent="0.2">
      <c r="B19" s="13"/>
      <c r="C19" s="22" t="s">
        <v>26</v>
      </c>
      <c r="D19" s="50">
        <f>SUMPRODUCT((L4:V4=E8)*(L17:V17))</f>
        <v>0.16020000000000001</v>
      </c>
      <c r="E19" s="23"/>
      <c r="F19" s="19">
        <f ca="1">E18*D19</f>
        <v>2716594.1961659999</v>
      </c>
      <c r="G19" s="11" t="s">
        <v>27</v>
      </c>
      <c r="J19" s="107" t="s">
        <v>98</v>
      </c>
      <c r="K19" s="66" t="s">
        <v>67</v>
      </c>
      <c r="L19" s="61">
        <v>0.34370000000000001</v>
      </c>
      <c r="M19" s="61">
        <v>0.34370000000000001</v>
      </c>
      <c r="N19" s="61">
        <v>0.34370000000000001</v>
      </c>
      <c r="O19" s="61">
        <v>0.34370000000000001</v>
      </c>
      <c r="P19" s="61">
        <v>0.34370000000000001</v>
      </c>
      <c r="Q19" s="61">
        <v>0.34370000000000001</v>
      </c>
      <c r="R19" s="61">
        <v>0.34370000000000001</v>
      </c>
      <c r="S19" s="61">
        <v>0.34370000000000001</v>
      </c>
      <c r="T19" s="61">
        <v>0.34370000000000001</v>
      </c>
      <c r="U19" s="61">
        <v>0.34370000000000001</v>
      </c>
      <c r="V19" s="61">
        <v>0.34370000000000001</v>
      </c>
    </row>
    <row r="20" spans="1:22" x14ac:dyDescent="0.2">
      <c r="B20" s="13"/>
      <c r="C20" s="14" t="s">
        <v>28</v>
      </c>
      <c r="D20" s="15"/>
      <c r="E20" s="19"/>
      <c r="F20" s="19"/>
      <c r="G20" s="11"/>
      <c r="J20" s="65"/>
      <c r="K20" s="67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</row>
    <row r="21" spans="1:22" x14ac:dyDescent="0.2">
      <c r="B21" s="13"/>
      <c r="C21" s="74" t="s">
        <v>29</v>
      </c>
      <c r="D21" s="100">
        <f>SUMPRODUCT((L4:V4=E8)*(L24:V24))</f>
        <v>12.5</v>
      </c>
      <c r="E21" s="75"/>
      <c r="F21" s="76">
        <f>D21*D6</f>
        <v>95812.5</v>
      </c>
      <c r="G21" s="57" t="s">
        <v>63</v>
      </c>
      <c r="J21" s="102"/>
      <c r="K21" s="103" t="s">
        <v>70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</row>
    <row r="22" spans="1:22" x14ac:dyDescent="0.2">
      <c r="B22" s="13"/>
      <c r="C22" s="73" t="s">
        <v>30</v>
      </c>
      <c r="D22" s="55"/>
      <c r="E22" s="51"/>
      <c r="F22" s="51">
        <f>SUMPRODUCT((Année=E8)*(CDE_classes_environnement))</f>
        <v>71400</v>
      </c>
      <c r="G22" s="57" t="s">
        <v>31</v>
      </c>
      <c r="J22" s="65"/>
      <c r="K22" s="66" t="s">
        <v>71</v>
      </c>
      <c r="L22" s="64">
        <f t="shared" ref="L22:V22" ca="1" si="5">SUMPRODUCT((ANNEE_CLE_REPARTITION=L4)*(Part_dépenses_education))*L9</f>
        <v>0.10323766452058292</v>
      </c>
      <c r="M22" s="64">
        <f t="shared" ca="1" si="5"/>
        <v>0.10664912880539638</v>
      </c>
      <c r="N22" s="64">
        <f ca="1">SUMPRODUCT((ANNEE_CLE_REPARTITION=N4)*(Part_dépenses_education))*N9</f>
        <v>0.11200804135613066</v>
      </c>
      <c r="O22" s="64">
        <f t="shared" ca="1" si="5"/>
        <v>0.1023979155136016</v>
      </c>
      <c r="P22" s="64">
        <f t="shared" ca="1" si="5"/>
        <v>0.10245379163107389</v>
      </c>
      <c r="Q22" s="64">
        <f t="shared" ca="1" si="5"/>
        <v>0</v>
      </c>
      <c r="R22" s="64">
        <f t="shared" ca="1" si="5"/>
        <v>0</v>
      </c>
      <c r="S22" s="64">
        <f t="shared" ca="1" si="5"/>
        <v>0</v>
      </c>
      <c r="T22" s="64">
        <f t="shared" ca="1" si="5"/>
        <v>0</v>
      </c>
      <c r="U22" s="64">
        <f t="shared" ca="1" si="5"/>
        <v>0</v>
      </c>
      <c r="V22" s="64">
        <f t="shared" ca="1" si="5"/>
        <v>0</v>
      </c>
    </row>
    <row r="23" spans="1:22" x14ac:dyDescent="0.2">
      <c r="B23" s="99"/>
      <c r="C23" s="114" t="s">
        <v>32</v>
      </c>
      <c r="D23" s="54"/>
      <c r="E23" s="53"/>
      <c r="F23" s="53">
        <f>SUMPRODUCT((Année=$E$8)*(Educateurs_sportifs))</f>
        <v>120000</v>
      </c>
      <c r="G23" s="31"/>
      <c r="J23" s="107" t="s">
        <v>98</v>
      </c>
      <c r="K23" s="66" t="s">
        <v>94</v>
      </c>
      <c r="L23" s="62">
        <v>13</v>
      </c>
      <c r="M23" s="62">
        <v>13</v>
      </c>
      <c r="N23" s="62">
        <v>13</v>
      </c>
      <c r="O23" s="62">
        <v>13</v>
      </c>
      <c r="P23" s="62">
        <v>13</v>
      </c>
      <c r="Q23" s="62">
        <v>13</v>
      </c>
      <c r="R23" s="62">
        <v>13</v>
      </c>
      <c r="S23" s="62">
        <v>13</v>
      </c>
      <c r="T23" s="62">
        <v>13</v>
      </c>
      <c r="U23" s="62">
        <v>13</v>
      </c>
      <c r="V23" s="62">
        <v>13</v>
      </c>
    </row>
    <row r="24" spans="1:22" x14ac:dyDescent="0.2">
      <c r="B24" s="13"/>
      <c r="C24" s="14"/>
      <c r="D24" s="15"/>
      <c r="E24" s="19"/>
      <c r="F24" s="19"/>
      <c r="G24" s="11"/>
      <c r="J24" s="77"/>
      <c r="K24" s="84" t="s">
        <v>82</v>
      </c>
      <c r="L24" s="85">
        <v>12.5</v>
      </c>
      <c r="M24" s="85">
        <v>12.5</v>
      </c>
      <c r="N24" s="117">
        <v>12.5</v>
      </c>
      <c r="O24" s="116">
        <v>12.5</v>
      </c>
      <c r="P24" s="116">
        <v>12.5</v>
      </c>
      <c r="Q24" s="116"/>
      <c r="R24" s="116"/>
      <c r="S24" s="116"/>
      <c r="T24" s="116"/>
      <c r="U24" s="116"/>
      <c r="V24" s="116"/>
    </row>
    <row r="25" spans="1:22" x14ac:dyDescent="0.2">
      <c r="B25" s="25"/>
      <c r="C25" s="96" t="s">
        <v>99</v>
      </c>
      <c r="D25" s="48">
        <f>SUMPRODUCT((L4:V4=E8)*($L$26:$V$26))</f>
        <v>30.16</v>
      </c>
      <c r="E25" s="97"/>
      <c r="F25" s="98">
        <f>D25*D6</f>
        <v>231176.4</v>
      </c>
      <c r="G25" s="11" t="s">
        <v>33</v>
      </c>
    </row>
    <row r="26" spans="1:22" x14ac:dyDescent="0.2">
      <c r="B26" s="27"/>
      <c r="C26" s="28" t="s">
        <v>34</v>
      </c>
      <c r="D26" s="29"/>
      <c r="E26" s="30"/>
      <c r="F26" s="30">
        <f ca="1">SUM(F9:F25)</f>
        <v>4326191.258727937</v>
      </c>
      <c r="G26" s="11"/>
      <c r="J26" s="111" t="s">
        <v>98</v>
      </c>
      <c r="K26" s="108" t="s">
        <v>58</v>
      </c>
      <c r="L26" s="52">
        <v>30.16</v>
      </c>
      <c r="M26" s="52">
        <v>30.16</v>
      </c>
      <c r="N26" s="52">
        <v>30.16</v>
      </c>
      <c r="O26" s="52">
        <v>30.16</v>
      </c>
      <c r="P26" s="52">
        <v>30.16</v>
      </c>
      <c r="Q26" s="52">
        <v>30.16</v>
      </c>
      <c r="R26" s="52">
        <v>30.16</v>
      </c>
      <c r="S26" s="52">
        <v>30.16</v>
      </c>
      <c r="T26" s="52">
        <v>30.16</v>
      </c>
      <c r="U26" s="52">
        <v>30.16</v>
      </c>
      <c r="V26" s="52">
        <v>30.16</v>
      </c>
    </row>
    <row r="27" spans="1:22" x14ac:dyDescent="0.2">
      <c r="B27" s="39" t="s">
        <v>35</v>
      </c>
      <c r="C27" s="14"/>
      <c r="D27" s="15"/>
      <c r="E27" s="19"/>
      <c r="F27" s="19"/>
      <c r="G27" s="11"/>
      <c r="J27" s="112" t="s">
        <v>98</v>
      </c>
      <c r="K27" s="109" t="s">
        <v>59</v>
      </c>
      <c r="L27" s="58">
        <v>60000</v>
      </c>
      <c r="M27" s="58">
        <v>60000</v>
      </c>
      <c r="N27" s="58">
        <v>69400</v>
      </c>
      <c r="O27" s="119">
        <f>64000+7400</f>
        <v>71400</v>
      </c>
      <c r="P27" s="119">
        <f>64000+7400</f>
        <v>71400</v>
      </c>
      <c r="Q27" s="58"/>
      <c r="R27" s="58"/>
      <c r="S27" s="58"/>
      <c r="T27" s="58"/>
      <c r="U27" s="58"/>
      <c r="V27" s="58"/>
    </row>
    <row r="28" spans="1:22" x14ac:dyDescent="0.2">
      <c r="B28" s="13"/>
      <c r="C28" s="14" t="s">
        <v>36</v>
      </c>
      <c r="D28" s="15"/>
      <c r="E28" s="19"/>
      <c r="F28" s="19"/>
      <c r="G28" s="11"/>
      <c r="J28" s="113" t="s">
        <v>98</v>
      </c>
      <c r="K28" s="110" t="s">
        <v>60</v>
      </c>
      <c r="L28" s="56">
        <v>120000</v>
      </c>
      <c r="M28" s="56">
        <v>120000</v>
      </c>
      <c r="N28" s="56">
        <v>120000</v>
      </c>
      <c r="O28" s="56">
        <v>120000</v>
      </c>
      <c r="P28" s="56">
        <v>120000</v>
      </c>
      <c r="Q28" s="56">
        <v>120000</v>
      </c>
      <c r="R28" s="56">
        <v>120000</v>
      </c>
      <c r="S28" s="56">
        <v>120000</v>
      </c>
      <c r="T28" s="56">
        <v>120000</v>
      </c>
      <c r="U28" s="56">
        <v>120000</v>
      </c>
      <c r="V28" s="56">
        <v>120000</v>
      </c>
    </row>
    <row r="29" spans="1:22" x14ac:dyDescent="0.2">
      <c r="A29">
        <v>7</v>
      </c>
      <c r="B29" s="13"/>
      <c r="C29" s="17" t="s">
        <v>37</v>
      </c>
      <c r="D29" s="18"/>
      <c r="E29" s="19">
        <f ca="1">OFFSET(INDIRECT("CA_"&amp;E$8),A29,,1,1)</f>
        <v>6156044.1099999985</v>
      </c>
      <c r="F29" s="19"/>
      <c r="G29" s="11"/>
    </row>
    <row r="30" spans="1:22" x14ac:dyDescent="0.2">
      <c r="B30" s="13"/>
      <c r="C30" s="14" t="s">
        <v>38</v>
      </c>
      <c r="D30" s="15"/>
      <c r="E30" s="19"/>
      <c r="F30" s="19"/>
      <c r="G30" s="11"/>
    </row>
    <row r="31" spans="1:22" ht="20.25" x14ac:dyDescent="0.3">
      <c r="A31">
        <v>8</v>
      </c>
      <c r="B31" s="13"/>
      <c r="C31" s="17" t="s">
        <v>37</v>
      </c>
      <c r="D31" s="18"/>
      <c r="E31" s="19">
        <f ca="1">OFFSET(INDIRECT("CA_"&amp;E$8),A31,,1,1)</f>
        <v>17741533.450000003</v>
      </c>
      <c r="F31" s="19"/>
      <c r="G31" s="11"/>
      <c r="J31" s="149" t="s">
        <v>73</v>
      </c>
      <c r="K31" s="149"/>
      <c r="L31" s="149"/>
      <c r="M31" s="149"/>
    </row>
    <row r="32" spans="1:22" x14ac:dyDescent="0.2">
      <c r="B32" s="13"/>
      <c r="C32" s="14"/>
      <c r="D32" s="20" t="s">
        <v>39</v>
      </c>
      <c r="E32" s="21">
        <f ca="1">SUM(E27:E31)</f>
        <v>23897577.560000002</v>
      </c>
      <c r="F32" s="19"/>
      <c r="G32" s="31"/>
    </row>
    <row r="33" spans="1:22" x14ac:dyDescent="0.2">
      <c r="B33" s="13"/>
      <c r="C33" s="22" t="s">
        <v>40</v>
      </c>
      <c r="D33" s="59">
        <f ca="1">SUMPRODUCT((L4:V4=E8)*(L22:V22))</f>
        <v>0.10245379163107389</v>
      </c>
      <c r="E33" s="23"/>
      <c r="F33" s="19">
        <f ca="1">E32*D33</f>
        <v>2448397.4318196676</v>
      </c>
      <c r="G33" s="11"/>
      <c r="J33" s="151" t="s">
        <v>93</v>
      </c>
      <c r="K33" s="152"/>
      <c r="L33" s="60" t="s">
        <v>75</v>
      </c>
      <c r="M33" s="60" t="s">
        <v>64</v>
      </c>
      <c r="N33" s="60" t="s">
        <v>65</v>
      </c>
      <c r="O33" s="60" t="s">
        <v>84</v>
      </c>
      <c r="P33" s="60" t="s">
        <v>85</v>
      </c>
      <c r="Q33" s="60" t="s">
        <v>86</v>
      </c>
      <c r="R33" s="60" t="s">
        <v>87</v>
      </c>
      <c r="S33" s="60" t="s">
        <v>88</v>
      </c>
      <c r="T33" s="60" t="s">
        <v>89</v>
      </c>
      <c r="U33" s="60" t="s">
        <v>90</v>
      </c>
      <c r="V33" s="60" t="s">
        <v>91</v>
      </c>
    </row>
    <row r="34" spans="1:22" x14ac:dyDescent="0.2">
      <c r="B34" s="27"/>
      <c r="C34" s="28" t="s">
        <v>41</v>
      </c>
      <c r="D34" s="29"/>
      <c r="E34" s="30"/>
      <c r="F34" s="30">
        <f ca="1">SUM(F33)</f>
        <v>2448397.4318196676</v>
      </c>
      <c r="G34" s="11"/>
      <c r="J34" s="155" t="s">
        <v>74</v>
      </c>
      <c r="K34" s="156"/>
      <c r="L34" s="23">
        <f ca="1">(OFFSET(INDIRECT("CA_"&amp;L4),$A$11,,1,1)+OFFSET(INDIRECT("CA_"&amp;L4),$A$12,,1,1))*L9+(OFFSET(INDIRECT("CA_"&amp;L$4),$A$16,,1,1)+OFFSET(INDIRECT("CA_"&amp;L$4),$A$17,,1,1))*L17+(OFFSET(INDIRECT("CA_"&amp;L$4),$A$29,,1,1)+OFFSET(INDIRECT("CA_"&amp;L$4),$A$31,,1,1))*L22+L24*L6+L27+L28+L26*L6+OFFSET(INDIRECT("CA_"&amp;L$4),$A$36,,1,1)*L18+OFFSET(INDIRECT("CA_"&amp;L$4),$A$38,,1,1)*L19+L23*L6</f>
        <v>7162245.3498089658</v>
      </c>
      <c r="M34" s="23">
        <f ca="1">(OFFSET(INDIRECT("CA_"&amp;M4),$A$11,,1,1)+OFFSET(INDIRECT("CA_"&amp;M4),$A$12,,1,1))*M9+(OFFSET(INDIRECT("CA_"&amp;M$4),$A$16,,1,1)+OFFSET(INDIRECT("CA_"&amp;M$4),$A$17,,1,1))*M17+(OFFSET(INDIRECT("CA_"&amp;M$4),$A$29,,1,1)+OFFSET(INDIRECT("CA_"&amp;M$4),$A$31,,1,1))*M22+M24*M6+M27+M28+M26*M6+OFFSET(INDIRECT("CA_"&amp;M$4),$A$36,,1,1)*M18+OFFSET(INDIRECT("CA_"&amp;M$4),$A$38,,1,1)*M19+M23*M6</f>
        <v>7474278.3037383929</v>
      </c>
      <c r="N34" s="23">
        <f ca="1">(OFFSET(INDIRECT("CA_"&amp;N4),$A$11,,1,1)+OFFSET(INDIRECT("CA_"&amp;N4),$A$12,,1,1))*N9+(OFFSET(INDIRECT("CA_"&amp;N$4),$A$16,,1,1)+OFFSET(INDIRECT("CA_"&amp;N$4),$A$17,,1,1))*N17+(OFFSET(INDIRECT("CA_"&amp;N$4),$A$29,,1,1)+OFFSET(INDIRECT("CA_"&amp;N$4),$A$31,,1,1))*N22+N24*N6+N27+N28+N26*N6+OFFSET(INDIRECT("CA_"&amp;N$4),$A$36,,1,1)*N18+OFFSET(INDIRECT("CA_"&amp;N$4),$A$38,,1,1)*N19+N23*N6</f>
        <v>7482868.6727896351</v>
      </c>
      <c r="O34" s="23">
        <f ca="1">(OFFSET(INDIRECT("CA_"&amp;O4),$A$11,,1,1)+OFFSET(INDIRECT("CA_"&amp;O4),$A$12,,1,1))*O9+(OFFSET(INDIRECT("CA_"&amp;O$4),$A$16,,1,1)+OFFSET(INDIRECT("CA_"&amp;O$4),$A$17,,1,1))*O17+(OFFSET(INDIRECT("CA_"&amp;O$4),$A$29,,1,1)+OFFSET(INDIRECT("CA_"&amp;O$4),$A$31,,1,1))*O22+O24*O6+O27+O28+O26*O6+OFFSET(INDIRECT("CA_"&amp;O$4),$A$36,,1,1)*O18+OFFSET(INDIRECT("CA_"&amp;O$4),$A$38,,1,1)*O19+O23*O6</f>
        <v>7515920.3332180595</v>
      </c>
      <c r="P34" s="23">
        <f ca="1">(OFFSET(INDIRECT("CA_"&amp;P4),$A$11,,1,1)+OFFSET(INDIRECT("CA_"&amp;P4),$A$12,,1,1))*P9+(OFFSET(INDIRECT("CA_"&amp;P$4),$A$16,,1,1)+OFFSET(INDIRECT("CA_"&amp;P$4),$A$17,,1,1))*P17+(OFFSET(INDIRECT("CA_"&amp;P$4),$A$29,,1,1)+OFFSET(INDIRECT("CA_"&amp;P$4),$A$31,,1,1))*P22+P24*P6+P27+P28+P26*P6</f>
        <v>6774588.6905476041</v>
      </c>
      <c r="Q34" s="23">
        <f ca="1">(OFFSET(INDIRECT("CA_"&amp;Q4),$A$11,,1,1)+OFFSET(INDIRECT("CA_"&amp;Q4),$A$12,,1,1))*Q9+(OFFSET(INDIRECT("CA_"&amp;Q$4),$A$16,,1,1)+OFFSET(INDIRECT("CA_"&amp;Q$4),$A$17,,1,1))*Q17+(OFFSET(INDIRECT("CA_"&amp;Q$4),$A$29,,1,1)+OFFSET(INDIRECT("CA_"&amp;Q$4),$A$31,,1,1))*Q22+Q24*Q6+Q27+Q28+Q26*Q6+OFFSET(INDIRECT("CA_"&amp;Q$4),$A$36,,1,1)*Q18+OFFSET(INDIRECT("CA_"&amp;Q$4),$A$38,,1,1)*Q19+Q23*Q6</f>
        <v>120000</v>
      </c>
      <c r="R34" s="23">
        <f ca="1">(OFFSET(INDIRECT("CA_"&amp;R4),$A$11,,1,1)+OFFSET(INDIRECT("CA_"&amp;R4),$A$12,,1,1))*R9+(OFFSET(INDIRECT("CA_"&amp;R$4),$A$16,,1,1)+OFFSET(INDIRECT("CA_"&amp;R$4),$A$17,,1,1))*R17+(OFFSET(INDIRECT("CA_"&amp;R$4),$A$29,,1,1)+OFFSET(INDIRECT("CA_"&amp;R$4),$A$31,,1,1))*R22+R24*R6+R27+R28+R26*R6+OFFSET(INDIRECT("CA_"&amp;R$4),$A$36,,1,1)*R18+OFFSET(INDIRECT("CA_"&amp;R$4),$A$38,,1,1)*R19+R23*R6</f>
        <v>120000</v>
      </c>
      <c r="S34" s="23">
        <f ca="1">(OFFSET(INDIRECT("CA_"&amp;S4),$A$11,,1,1)+OFFSET(INDIRECT("CA_"&amp;S4),$A$12,,1,1))*S9+(OFFSET(INDIRECT("CA_"&amp;S$4),$A$16,,1,1)+OFFSET(INDIRECT("CA_"&amp;S$4),$A$17,,1,1))*S17+(OFFSET(INDIRECT("CA_"&amp;S$4),$A$29,,1,1)+OFFSET(INDIRECT("CA_"&amp;S$4),$A$31,,1,1))*S22+S24*S6+S27+S28+S26*S6</f>
        <v>120000</v>
      </c>
      <c r="T34" s="23">
        <f ca="1">(OFFSET(INDIRECT("CA_"&amp;T4),$A$11,,1,1)+OFFSET(INDIRECT("CA_"&amp;T4),$A$12,,1,1))*T9+(OFFSET(INDIRECT("CA_"&amp;T$4),$A$16,,1,1)+OFFSET(INDIRECT("CA_"&amp;T$4),$A$17,,1,1))*T17+(OFFSET(INDIRECT("CA_"&amp;T$4),$A$29,,1,1)+OFFSET(INDIRECT("CA_"&amp;T$4),$A$31,,1,1))*T22+T24*T6+T27+T28+T26*T6+OFFSET(INDIRECT("CA_"&amp;T$4),$A$36,,1,1)*T18+OFFSET(INDIRECT("CA_"&amp;T$4),$A$38,,1,1)*T19+T23*T6</f>
        <v>120000</v>
      </c>
      <c r="U34" s="23">
        <f ca="1">(OFFSET(INDIRECT("CA_"&amp;U4),$A$11,,1,1)+OFFSET(INDIRECT("CA_"&amp;U4),$A$12,,1,1))*U9+(OFFSET(INDIRECT("CA_"&amp;U$4),$A$16,,1,1)+OFFSET(INDIRECT("CA_"&amp;U$4),$A$17,,1,1))*U17+(OFFSET(INDIRECT("CA_"&amp;U$4),$A$29,,1,1)+OFFSET(INDIRECT("CA_"&amp;U$4),$A$31,,1,1))*U22+U24*U6+U27+U28+U26*U6+OFFSET(INDIRECT("CA_"&amp;U$4),$A$36,,1,1)*U18+OFFSET(INDIRECT("CA_"&amp;U$4),$A$38,,1,1)*U19+U23*U6</f>
        <v>120000</v>
      </c>
      <c r="V34" s="23">
        <f ca="1">(OFFSET(INDIRECT("CA_"&amp;V4),$A$11,,1,1)+OFFSET(INDIRECT("CA_"&amp;V4),$A$12,,1,1))*V9+(OFFSET(INDIRECT("CA_"&amp;V$4),$A$16,,1,1)+OFFSET(INDIRECT("CA_"&amp;V$4),$A$17,,1,1))*V17+(OFFSET(INDIRECT("CA_"&amp;V$4),$A$29,,1,1)+OFFSET(INDIRECT("CA_"&amp;V$4),$A$31,,1,1))*V22+V24*V6+V27+V28+V26*V6</f>
        <v>120000</v>
      </c>
    </row>
    <row r="35" spans="1:22" x14ac:dyDescent="0.2">
      <c r="B35" s="39" t="s">
        <v>42</v>
      </c>
      <c r="C35" s="14"/>
      <c r="D35" s="15"/>
      <c r="E35" s="19"/>
      <c r="F35" s="19"/>
      <c r="G35" s="11"/>
      <c r="J35" s="150" t="s">
        <v>54</v>
      </c>
      <c r="K35" s="150"/>
      <c r="L35" s="69">
        <f ca="1">L34/L6</f>
        <v>961.37521473945844</v>
      </c>
      <c r="M35" s="69">
        <f ca="1">IF(M6=0,0,M34/M6)</f>
        <v>1001.3770503400848</v>
      </c>
      <c r="N35" s="69">
        <f ca="1">IF(N6=0,0,N34/N6)</f>
        <v>987.44638067955066</v>
      </c>
      <c r="O35" s="69">
        <f t="shared" ref="O35:V35" ca="1" si="6">IF(O6=0,0,O34/O6)</f>
        <v>991.80790884376609</v>
      </c>
      <c r="P35" s="69">
        <f t="shared" ca="1" si="6"/>
        <v>883.83414097163779</v>
      </c>
      <c r="Q35" s="69">
        <f t="shared" si="6"/>
        <v>0</v>
      </c>
      <c r="R35" s="69">
        <f t="shared" si="6"/>
        <v>0</v>
      </c>
      <c r="S35" s="69">
        <f t="shared" si="6"/>
        <v>0</v>
      </c>
      <c r="T35" s="69">
        <f t="shared" si="6"/>
        <v>0</v>
      </c>
      <c r="U35" s="69">
        <f t="shared" si="6"/>
        <v>0</v>
      </c>
      <c r="V35" s="69">
        <f t="shared" si="6"/>
        <v>0</v>
      </c>
    </row>
    <row r="36" spans="1:22" x14ac:dyDescent="0.2">
      <c r="A36">
        <v>15</v>
      </c>
      <c r="B36" s="13"/>
      <c r="C36" s="14" t="s">
        <v>43</v>
      </c>
      <c r="D36" s="15"/>
      <c r="E36" s="19">
        <f ca="1">OFFSET(INDIRECT("CA_"&amp;E$8),A36,,1,1)</f>
        <v>227611.63</v>
      </c>
      <c r="F36" s="19"/>
      <c r="G36" s="11"/>
    </row>
    <row r="37" spans="1:22" x14ac:dyDescent="0.2">
      <c r="B37" s="13"/>
      <c r="C37" s="22" t="s">
        <v>44</v>
      </c>
      <c r="D37" s="50">
        <f>SUMPRODUCT((L4:V4=E8)*(L18:$V$18))</f>
        <v>0.60189999999999999</v>
      </c>
      <c r="E37" s="19"/>
      <c r="F37" s="19">
        <f ca="1">E36*D37</f>
        <v>136999.44009700001</v>
      </c>
      <c r="G37" s="11" t="s">
        <v>45</v>
      </c>
    </row>
    <row r="38" spans="1:22" x14ac:dyDescent="0.2">
      <c r="A38">
        <v>17</v>
      </c>
      <c r="B38" s="13"/>
      <c r="C38" s="14" t="s">
        <v>46</v>
      </c>
      <c r="D38" s="15"/>
      <c r="E38" s="19">
        <f ca="1">OFFSET(INDIRECT("CA_"&amp;E$8),A38,,1,1)</f>
        <v>569252.57999999996</v>
      </c>
      <c r="F38" s="19"/>
      <c r="G38" s="11"/>
    </row>
    <row r="39" spans="1:22" x14ac:dyDescent="0.2">
      <c r="B39" s="13"/>
      <c r="C39" s="22" t="s">
        <v>47</v>
      </c>
      <c r="D39" s="50">
        <f>SUMPRODUCT((L4:V4=E8)*($L$19:$V$19))</f>
        <v>0.34370000000000001</v>
      </c>
      <c r="E39" s="19"/>
      <c r="F39" s="19">
        <f ca="1">E38*D39</f>
        <v>195652.11174599998</v>
      </c>
      <c r="G39" s="11" t="s">
        <v>48</v>
      </c>
    </row>
    <row r="40" spans="1:22" x14ac:dyDescent="0.2">
      <c r="B40" s="13"/>
      <c r="C40" s="32" t="s">
        <v>49</v>
      </c>
      <c r="D40" s="33"/>
      <c r="E40" s="30">
        <f ca="1">SUM(E36:E38)</f>
        <v>796864.21</v>
      </c>
      <c r="F40" s="30">
        <f ca="1">SUM(F35:F39)</f>
        <v>332651.55184299999</v>
      </c>
      <c r="G40" s="11"/>
      <c r="M40" s="118"/>
    </row>
    <row r="41" spans="1:22" x14ac:dyDescent="0.2">
      <c r="B41" s="39" t="s">
        <v>50</v>
      </c>
      <c r="C41" s="14"/>
      <c r="D41" s="15"/>
      <c r="E41" s="19"/>
      <c r="F41" s="19"/>
      <c r="G41" s="11"/>
    </row>
    <row r="42" spans="1:22" x14ac:dyDescent="0.2">
      <c r="B42" s="25"/>
      <c r="C42" s="26" t="str">
        <f>C25</f>
        <v>Classes découverte</v>
      </c>
      <c r="D42" s="72">
        <f>SUMPRODUCT((L4:V4=E8)*(L23:V23))</f>
        <v>13</v>
      </c>
      <c r="E42" s="34"/>
      <c r="F42" s="34">
        <f>+D42*D6</f>
        <v>99645</v>
      </c>
      <c r="G42" s="35" t="s">
        <v>51</v>
      </c>
    </row>
    <row r="43" spans="1:22" x14ac:dyDescent="0.2">
      <c r="B43" s="36"/>
      <c r="C43" s="8"/>
      <c r="D43" s="8"/>
      <c r="E43" s="37" t="s">
        <v>52</v>
      </c>
      <c r="F43" s="38">
        <f ca="1">F26+F34+F40+F42</f>
        <v>7206885.2423906038</v>
      </c>
      <c r="G43" s="24"/>
    </row>
    <row r="44" spans="1:22" x14ac:dyDescent="0.2">
      <c r="B44" s="39"/>
      <c r="C44" s="14"/>
      <c r="D44" s="14"/>
      <c r="E44" s="33" t="s">
        <v>53</v>
      </c>
      <c r="F44" s="40">
        <f>+D6</f>
        <v>7665</v>
      </c>
      <c r="G44" s="24"/>
    </row>
    <row r="45" spans="1:22" x14ac:dyDescent="0.2">
      <c r="B45" s="25"/>
      <c r="C45" s="41"/>
      <c r="D45" s="41"/>
      <c r="E45" s="42" t="s">
        <v>54</v>
      </c>
      <c r="F45" s="43">
        <f ca="1">F43/F44</f>
        <v>940.23290833536907</v>
      </c>
      <c r="G45" s="24"/>
    </row>
    <row r="46" spans="1:22" x14ac:dyDescent="0.2">
      <c r="F46" s="49" t="s">
        <v>63</v>
      </c>
    </row>
  </sheetData>
  <mergeCells count="24">
    <mergeCell ref="B1:G1"/>
    <mergeCell ref="J31:M31"/>
    <mergeCell ref="L14:L15"/>
    <mergeCell ref="M14:M15"/>
    <mergeCell ref="J35:K35"/>
    <mergeCell ref="J33:K33"/>
    <mergeCell ref="J3:K3"/>
    <mergeCell ref="J12:V12"/>
    <mergeCell ref="J34:K34"/>
    <mergeCell ref="N14:N15"/>
    <mergeCell ref="O14:O15"/>
    <mergeCell ref="P14:P15"/>
    <mergeCell ref="Q14:Q15"/>
    <mergeCell ref="R14:R15"/>
    <mergeCell ref="S14:S15"/>
    <mergeCell ref="T14:T15"/>
    <mergeCell ref="U14:U15"/>
    <mergeCell ref="V14:V15"/>
    <mergeCell ref="B5:F5"/>
    <mergeCell ref="B6:C8"/>
    <mergeCell ref="D6:D8"/>
    <mergeCell ref="E6:E7"/>
    <mergeCell ref="F6:F8"/>
    <mergeCell ref="G6:G8"/>
  </mergeCells>
  <dataValidations count="1">
    <dataValidation type="list" allowBlank="1" showInputMessage="1" showErrorMessage="1" sqref="G5:H5">
      <formula1>$L$3:$V$3</formula1>
    </dataValidation>
  </dataValidations>
  <pageMargins left="0.25" right="0.25" top="0.75" bottom="0.75" header="0.3" footer="0.3"/>
  <pageSetup paperSize="8" scale="90" orientation="landscape" r:id="rId1"/>
  <colBreaks count="1" manualBreakCount="1">
    <brk id="8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28</vt:i4>
      </vt:variant>
    </vt:vector>
  </HeadingPairs>
  <TitlesOfParts>
    <vt:vector size="30" baseType="lpstr">
      <vt:lpstr>Grille de saisie CA</vt:lpstr>
      <vt:lpstr>Coût d'un élève</vt:lpstr>
      <vt:lpstr>'Coût d''un élève'!Année</vt:lpstr>
      <vt:lpstr>CA_2006</vt:lpstr>
      <vt:lpstr>CA_2007</vt:lpstr>
      <vt:lpstr>CA_2008</vt:lpstr>
      <vt:lpstr>CA_2009</vt:lpstr>
      <vt:lpstr>CA_2010</vt:lpstr>
      <vt:lpstr>CA_2011</vt:lpstr>
      <vt:lpstr>CA_2012</vt:lpstr>
      <vt:lpstr>CA_2013</vt:lpstr>
      <vt:lpstr>CA_2014</vt:lpstr>
      <vt:lpstr>CA_2015</vt:lpstr>
      <vt:lpstr>CA_2016</vt:lpstr>
      <vt:lpstr>CA_2017</vt:lpstr>
      <vt:lpstr>CA_2018</vt:lpstr>
      <vt:lpstr>CA_2019</vt:lpstr>
      <vt:lpstr>CA_2020</vt:lpstr>
      <vt:lpstr>CA_2021</vt:lpstr>
      <vt:lpstr>CA_2022</vt:lpstr>
      <vt:lpstr>CA_2023</vt:lpstr>
      <vt:lpstr>CA_2024</vt:lpstr>
      <vt:lpstr>CA_2025</vt:lpstr>
      <vt:lpstr>CA_2026</vt:lpstr>
      <vt:lpstr>'Coût d''un élève'!CDE_classes_environnement</vt:lpstr>
      <vt:lpstr>'Coût d''un élève'!CDE_crédits_libres</vt:lpstr>
      <vt:lpstr>'Coût d''un élève'!Coût_élève_chamagnieu</vt:lpstr>
      <vt:lpstr>'Coût d''un élève'!Educateurs_sportifs</vt:lpstr>
      <vt:lpstr>'Coût d''un élève'!Effectifs_élémentaire</vt:lpstr>
      <vt:lpstr>'Coût d''un élève'!Effectifs_maternelles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Tirard-Gatel Julien</dc:creator>
  <cp:lastModifiedBy>Monnet Pierre</cp:lastModifiedBy>
  <cp:lastPrinted>2021-03-19T16:25:47Z</cp:lastPrinted>
  <dcterms:created xsi:type="dcterms:W3CDTF">2017-01-18T16:23:48Z</dcterms:created>
  <dcterms:modified xsi:type="dcterms:W3CDTF">2021-03-19T16:29:17Z</dcterms:modified>
</cp:coreProperties>
</file>