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105" yWindow="-105" windowWidth="19425" windowHeight="10425" firstSheet="1" activeTab="2"/>
  </bookViews>
  <sheets>
    <sheet name="notice" sheetId="8" r:id="rId1"/>
    <sheet name="récap option choisie" sheetId="11" r:id="rId2"/>
    <sheet name="évolution" sheetId="12" r:id="rId3"/>
    <sheet name="références" sheetId="4" r:id="rId4"/>
    <sheet name="simul. produit fiscal habitant" sheetId="6" r:id="rId5"/>
    <sheet name="simul. équilibre budget" sheetId="3" r:id="rId6"/>
    <sheet name="simul. variation différenciée" sheetId="9" r:id="rId7"/>
  </sheets>
  <externalReferences>
    <externalReference r:id="rId8"/>
  </externalReferenc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17" i="12" l="1"/>
  <c r="F17" i="12"/>
  <c r="G17" i="12"/>
  <c r="H17" i="12"/>
  <c r="I17" i="12"/>
  <c r="J17" i="12"/>
  <c r="K17" i="12"/>
  <c r="L17" i="12"/>
  <c r="E15" i="12"/>
  <c r="F15" i="12"/>
  <c r="G15" i="12"/>
  <c r="H15" i="12"/>
  <c r="I15" i="12"/>
  <c r="J15" i="12"/>
  <c r="K15" i="12"/>
  <c r="L15" i="12"/>
  <c r="D17" i="12"/>
  <c r="D15" i="12"/>
  <c r="B9" i="4" l="1"/>
  <c r="B8" i="4"/>
  <c r="B7" i="4"/>
  <c r="B34" i="9" l="1"/>
  <c r="B23" i="9"/>
  <c r="B24" i="9"/>
  <c r="B22" i="9"/>
  <c r="B32" i="3"/>
  <c r="B31" i="3"/>
  <c r="B20" i="3"/>
  <c r="B21" i="3"/>
  <c r="B19" i="3"/>
  <c r="B32" i="6"/>
  <c r="B31" i="6"/>
  <c r="B33" i="6" s="1"/>
  <c r="B20" i="6"/>
  <c r="B21" i="6"/>
  <c r="B19" i="6"/>
  <c r="D35" i="9"/>
  <c r="D34" i="9"/>
  <c r="F6" i="9"/>
  <c r="F7" i="9"/>
  <c r="F5" i="9"/>
  <c r="B6" i="9"/>
  <c r="B7" i="9"/>
  <c r="B5" i="9"/>
  <c r="F6" i="3"/>
  <c r="F7" i="3"/>
  <c r="F5" i="3"/>
  <c r="B6" i="3"/>
  <c r="B7" i="3"/>
  <c r="B5" i="3"/>
  <c r="D32" i="3"/>
  <c r="D31" i="3"/>
  <c r="D20" i="3"/>
  <c r="D21" i="3"/>
  <c r="D19" i="3"/>
  <c r="H23" i="6"/>
  <c r="H34" i="6"/>
  <c r="E40" i="4"/>
  <c r="B40" i="4"/>
  <c r="F6" i="6"/>
  <c r="F7" i="6"/>
  <c r="F5" i="6"/>
  <c r="B6" i="6"/>
  <c r="B7" i="6"/>
  <c r="B5" i="6"/>
  <c r="B35" i="9"/>
  <c r="C4" i="12"/>
  <c r="B25" i="9" l="1"/>
  <c r="B36" i="9"/>
  <c r="B22" i="3"/>
  <c r="B33" i="3"/>
  <c r="D4" i="12" l="1"/>
  <c r="E4" i="12" l="1"/>
  <c r="F4" i="12" l="1"/>
  <c r="B4" i="4" s="1"/>
  <c r="G4" i="12" l="1"/>
  <c r="H4" i="12" l="1"/>
  <c r="I4" i="12" l="1"/>
  <c r="J4" i="12" l="1"/>
  <c r="L4" i="12" l="1"/>
  <c r="K4" i="12"/>
  <c r="D9" i="12" l="1"/>
  <c r="E9" i="12" s="1"/>
  <c r="F9" i="12" s="1"/>
  <c r="G9" i="12" s="1"/>
  <c r="H9" i="12" s="1"/>
  <c r="I9" i="12" s="1"/>
  <c r="J9" i="12" s="1"/>
  <c r="K9" i="12" s="1"/>
  <c r="L9" i="12" s="1"/>
  <c r="D10" i="12"/>
  <c r="E10" i="12" s="1"/>
  <c r="F10" i="12" s="1"/>
  <c r="G10" i="12" s="1"/>
  <c r="H10" i="12" s="1"/>
  <c r="I10" i="12" s="1"/>
  <c r="J10" i="12" s="1"/>
  <c r="K10" i="12" s="1"/>
  <c r="L10" i="12" s="1"/>
  <c r="D8" i="12"/>
  <c r="D11" i="12" s="1"/>
  <c r="C11" i="12"/>
  <c r="D12" i="12" l="1"/>
  <c r="E8" i="12"/>
  <c r="F8" i="12" s="1"/>
  <c r="G8" i="12" s="1"/>
  <c r="H8" i="12" s="1"/>
  <c r="I8" i="12" s="1"/>
  <c r="J8" i="12" s="1"/>
  <c r="K8" i="12" s="1"/>
  <c r="L8" i="12" s="1"/>
  <c r="F11" i="12"/>
  <c r="F12" i="12" s="1"/>
  <c r="E11" i="12"/>
  <c r="E12" i="12" s="1"/>
  <c r="C12" i="12"/>
  <c r="E13" i="12" l="1"/>
  <c r="F13" i="12"/>
  <c r="D13" i="12"/>
  <c r="G11" i="12"/>
  <c r="G12" i="12" s="1"/>
  <c r="G13" i="12" s="1"/>
  <c r="H11" i="12" l="1"/>
  <c r="H12" i="12" s="1"/>
  <c r="H13" i="12" s="1"/>
  <c r="I11" i="12" l="1"/>
  <c r="I12" i="12" s="1"/>
  <c r="I13" i="12" s="1"/>
  <c r="H35" i="9"/>
  <c r="I35" i="9" s="1"/>
  <c r="H34" i="9"/>
  <c r="H24" i="9"/>
  <c r="E35" i="9"/>
  <c r="G35" i="9" s="1"/>
  <c r="E34" i="9"/>
  <c r="G25" i="9"/>
  <c r="D24" i="9"/>
  <c r="D23" i="9"/>
  <c r="D22" i="9"/>
  <c r="I22" i="9" s="1"/>
  <c r="G7" i="9"/>
  <c r="C7" i="9"/>
  <c r="G6" i="9"/>
  <c r="C6" i="9"/>
  <c r="G5" i="9"/>
  <c r="C5" i="9"/>
  <c r="E37" i="9" l="1"/>
  <c r="J35" i="9"/>
  <c r="L35" i="9" s="1"/>
  <c r="J11" i="12"/>
  <c r="J12" i="12" s="1"/>
  <c r="J13" i="12" s="1"/>
  <c r="J22" i="9"/>
  <c r="I24" i="9"/>
  <c r="E23" i="9"/>
  <c r="G23" i="9" s="1"/>
  <c r="E24" i="9"/>
  <c r="G34" i="9"/>
  <c r="G37" i="9" s="1"/>
  <c r="E22" i="9"/>
  <c r="E55" i="4" l="1"/>
  <c r="K11" i="12"/>
  <c r="K12" i="12" s="1"/>
  <c r="K13" i="12" s="1"/>
  <c r="L11" i="12"/>
  <c r="L12" i="12" s="1"/>
  <c r="J24" i="9"/>
  <c r="K35" i="9"/>
  <c r="M35" i="9" s="1"/>
  <c r="E26" i="9"/>
  <c r="B55" i="4" s="1"/>
  <c r="G22" i="9"/>
  <c r="G24" i="9"/>
  <c r="L13" i="12" l="1"/>
  <c r="F22" i="9"/>
  <c r="F24" i="9"/>
  <c r="G26" i="9"/>
  <c r="F23" i="9"/>
  <c r="F34" i="9"/>
  <c r="F35" i="9"/>
  <c r="F37" i="9" l="1"/>
  <c r="F26" i="9"/>
  <c r="G7" i="3" l="1"/>
  <c r="C7" i="3"/>
  <c r="G6" i="3"/>
  <c r="C6" i="3"/>
  <c r="G5" i="3"/>
  <c r="C5" i="3"/>
  <c r="K22" i="6"/>
  <c r="G7" i="6"/>
  <c r="G6" i="6"/>
  <c r="G5" i="6"/>
  <c r="C5" i="6"/>
  <c r="C6" i="6"/>
  <c r="C7" i="6"/>
  <c r="E32" i="6"/>
  <c r="E31" i="6"/>
  <c r="E34" i="6" s="1"/>
  <c r="D21" i="6"/>
  <c r="D20" i="6"/>
  <c r="D19" i="6"/>
  <c r="G22" i="3"/>
  <c r="B22" i="6" l="1"/>
  <c r="E27" i="4"/>
  <c r="G32" i="6"/>
  <c r="G31" i="6"/>
  <c r="G34" i="6" s="1"/>
  <c r="E21" i="6"/>
  <c r="G21" i="6" s="1"/>
  <c r="E20" i="6"/>
  <c r="E19" i="6"/>
  <c r="F31" i="6" l="1"/>
  <c r="F32" i="6"/>
  <c r="G20" i="6"/>
  <c r="E23" i="6"/>
  <c r="G19" i="6"/>
  <c r="B14" i="4"/>
  <c r="B10" i="4"/>
  <c r="B11" i="4" s="1"/>
  <c r="G23" i="6" l="1"/>
  <c r="F20" i="6"/>
  <c r="H20" i="6" s="1"/>
  <c r="F19" i="6"/>
  <c r="B17" i="4" s="1"/>
  <c r="F21" i="6"/>
  <c r="H21" i="6" s="1"/>
  <c r="E20" i="3"/>
  <c r="G20" i="3" s="1"/>
  <c r="E21" i="3"/>
  <c r="G21" i="3" s="1"/>
  <c r="E19" i="3"/>
  <c r="G19" i="3" s="1"/>
  <c r="E23" i="3" l="1"/>
  <c r="K23" i="6"/>
  <c r="K14" i="6" s="1"/>
  <c r="H19" i="6"/>
  <c r="K19" i="6" s="1"/>
  <c r="I20" i="6"/>
  <c r="J20" i="6" s="1"/>
  <c r="K20" i="6"/>
  <c r="I21" i="6"/>
  <c r="J21" i="6" s="1"/>
  <c r="K21" i="6"/>
  <c r="K12" i="6" l="1"/>
  <c r="I19" i="6"/>
  <c r="I23" i="6" s="1"/>
  <c r="M25" i="6" s="1"/>
  <c r="B35" i="4" s="1"/>
  <c r="J19" i="6" l="1"/>
  <c r="J23" i="6" s="1"/>
  <c r="K10" i="6" s="1"/>
  <c r="M19" i="6"/>
  <c r="L19" i="6" s="1"/>
  <c r="E12" i="6"/>
  <c r="M20" i="6"/>
  <c r="L20" i="6" s="1"/>
  <c r="M21" i="6"/>
  <c r="L21" i="6" s="1"/>
  <c r="E32" i="3"/>
  <c r="G32" i="3" s="1"/>
  <c r="E31" i="3"/>
  <c r="G31" i="3" s="1"/>
  <c r="G34" i="3" l="1"/>
  <c r="E34" i="3"/>
  <c r="E41" i="4" l="1"/>
  <c r="E48" i="4" s="1"/>
  <c r="E49" i="4" s="1"/>
  <c r="I36" i="3" s="1"/>
  <c r="B41" i="4"/>
  <c r="B48" i="4" s="1"/>
  <c r="B49" i="4" s="1"/>
  <c r="I25" i="3" s="1"/>
  <c r="F32" i="3"/>
  <c r="F31" i="3"/>
  <c r="F19" i="3"/>
  <c r="F21" i="3"/>
  <c r="F20" i="3"/>
  <c r="B27" i="4"/>
  <c r="B34" i="4" s="1"/>
  <c r="B26" i="4" s="1"/>
  <c r="E14" i="6" s="1"/>
  <c r="G23" i="3"/>
  <c r="F34" i="3" l="1"/>
  <c r="I21" i="3"/>
  <c r="E12" i="3"/>
  <c r="F23" i="3"/>
  <c r="H21" i="3" l="1"/>
  <c r="C14" i="11" s="1"/>
  <c r="C16" i="11"/>
  <c r="J21" i="3"/>
  <c r="K21" i="3" s="1"/>
  <c r="I19" i="3"/>
  <c r="I20" i="3"/>
  <c r="J20" i="3" l="1"/>
  <c r="H20" i="3"/>
  <c r="C13" i="11" s="1"/>
  <c r="J19" i="3"/>
  <c r="H19" i="3"/>
  <c r="L21" i="3"/>
  <c r="M21" i="3"/>
  <c r="K20" i="3" l="1"/>
  <c r="M20" i="3" s="1"/>
  <c r="L19" i="3"/>
  <c r="K19" i="3"/>
  <c r="M19" i="3" s="1"/>
  <c r="L20" i="3"/>
  <c r="J23" i="3"/>
  <c r="L22" i="9"/>
  <c r="L23" i="3" l="1"/>
  <c r="K10" i="3" s="1"/>
  <c r="M23" i="3"/>
  <c r="K14" i="3" s="1"/>
  <c r="K23" i="3"/>
  <c r="E14" i="3" s="1"/>
  <c r="K22" i="9"/>
  <c r="K12" i="3" l="1"/>
  <c r="M22" i="9"/>
  <c r="L24" i="9"/>
  <c r="K24" i="9" l="1"/>
  <c r="M24" i="9" s="1"/>
  <c r="H23" i="9"/>
  <c r="I23" i="9" s="1"/>
  <c r="J23" i="9" l="1"/>
  <c r="L23" i="9" s="1"/>
  <c r="L26" i="9" s="1"/>
  <c r="L13" i="9" s="1"/>
  <c r="C15" i="11"/>
  <c r="I34" i="9"/>
  <c r="J34" i="9" l="1"/>
  <c r="K34" i="9" s="1"/>
  <c r="K37" i="9" s="1"/>
  <c r="K23" i="9"/>
  <c r="M23" i="9" s="1"/>
  <c r="M26" i="9" s="1"/>
  <c r="J26" i="9"/>
  <c r="L34" i="9" l="1"/>
  <c r="J37" i="9"/>
  <c r="E62" i="4" s="1"/>
  <c r="B62" i="4"/>
  <c r="L17" i="9"/>
  <c r="L15" i="9"/>
  <c r="F15" i="9"/>
  <c r="K26" i="9"/>
  <c r="E15" i="9" s="1"/>
  <c r="C10" i="11"/>
  <c r="M34" i="9"/>
  <c r="M37" i="9" s="1"/>
  <c r="F12" i="3"/>
  <c r="L37" i="9" l="1"/>
  <c r="M13" i="9" s="1"/>
  <c r="B63" i="4"/>
  <c r="H28" i="9" s="1"/>
  <c r="L11" i="9" s="1"/>
  <c r="B54" i="4"/>
  <c r="E17" i="9" s="1"/>
  <c r="C11" i="11" s="1"/>
  <c r="M15" i="9"/>
  <c r="M17" i="9"/>
  <c r="E63" i="4"/>
  <c r="H39" i="9" s="1"/>
  <c r="M11" i="9" s="1"/>
  <c r="E54" i="4"/>
  <c r="F17" i="9" s="1"/>
  <c r="C12" i="11"/>
  <c r="I32" i="3"/>
  <c r="I31" i="3"/>
  <c r="J31" i="3" l="1"/>
  <c r="H31" i="3"/>
  <c r="J32" i="3"/>
  <c r="H32" i="3"/>
  <c r="J34" i="3" l="1"/>
  <c r="K31" i="3"/>
  <c r="M31" i="3" s="1"/>
  <c r="L32" i="3"/>
  <c r="K32" i="3"/>
  <c r="M32" i="3" s="1"/>
  <c r="L31" i="3"/>
  <c r="L34" i="3" l="1"/>
  <c r="L10" i="3" s="1"/>
  <c r="K34" i="3"/>
  <c r="M34" i="3"/>
  <c r="L14" i="3" s="1"/>
  <c r="F14" i="3" l="1"/>
  <c r="D12" i="11"/>
  <c r="L12" i="3"/>
  <c r="C21" i="6"/>
  <c r="C19" i="6"/>
  <c r="C20" i="6"/>
  <c r="C31" i="6"/>
  <c r="C32" i="6"/>
  <c r="C20" i="3"/>
  <c r="C19" i="3"/>
  <c r="C21" i="3"/>
  <c r="C31" i="3"/>
  <c r="C32" i="3"/>
  <c r="H32" i="6"/>
  <c r="K32" i="6" s="1"/>
  <c r="H31" i="6"/>
  <c r="K31" i="6" s="1"/>
  <c r="I32" i="6" l="1"/>
  <c r="J32" i="6" s="1"/>
  <c r="K34" i="6"/>
  <c r="L14" i="6" s="1"/>
  <c r="I31" i="6"/>
  <c r="J31" i="6" s="1"/>
  <c r="L12" i="6" l="1"/>
  <c r="J34" i="6"/>
  <c r="L10" i="6" s="1"/>
  <c r="I34" i="6"/>
  <c r="M36" i="6" l="1"/>
  <c r="M32" i="6" s="1"/>
  <c r="D10" i="11"/>
  <c r="E35" i="4"/>
  <c r="E34" i="4" s="1"/>
  <c r="E26" i="4" s="1"/>
  <c r="F14" i="6" s="1"/>
  <c r="D11" i="11" s="1"/>
  <c r="M31" i="6"/>
  <c r="F12" i="6"/>
  <c r="C22" i="9"/>
  <c r="C23" i="9"/>
  <c r="C24" i="9"/>
  <c r="C34" i="9"/>
  <c r="C35" i="9"/>
  <c r="L32" i="6" l="1"/>
  <c r="D14" i="11" s="1"/>
  <c r="D16" i="11"/>
  <c r="L31" i="6"/>
  <c r="D13" i="11" s="1"/>
  <c r="D15" i="11"/>
</calcChain>
</file>

<file path=xl/comments1.xml><?xml version="1.0" encoding="utf-8"?>
<comments xmlns="http://schemas.openxmlformats.org/spreadsheetml/2006/main">
  <authors>
    <author>Monnet Pierre</author>
  </authors>
  <commentList>
    <comment ref="B2" authorId="0">
      <text>
        <r>
          <rPr>
            <sz val="9"/>
            <color indexed="81"/>
            <rFont val="Tahoma"/>
            <family val="2"/>
          </rPr>
          <t>sélectionner l'année avec le menu déroulant</t>
        </r>
        <r>
          <rPr>
            <sz val="9"/>
            <color indexed="81"/>
            <rFont val="Tahoma"/>
            <charset val="1"/>
          </rPr>
          <t xml:space="preserve">
</t>
        </r>
      </text>
    </comment>
    <comment ref="B16" authorId="0">
      <text>
        <r>
          <rPr>
            <sz val="9"/>
            <color indexed="81"/>
            <rFont val="Tahoma"/>
            <family val="2"/>
          </rPr>
          <t>chiffre 2018</t>
        </r>
      </text>
    </comment>
  </commentList>
</comments>
</file>

<file path=xl/comments2.xml><?xml version="1.0" encoding="utf-8"?>
<comments xmlns="http://schemas.openxmlformats.org/spreadsheetml/2006/main">
  <authors>
    <author>Monnet Pierre</author>
  </authors>
  <commentList>
    <comment ref="E23" authorId="0">
      <text>
        <r>
          <rPr>
            <b/>
            <sz val="9"/>
            <color indexed="81"/>
            <rFont val="Tahoma"/>
            <family val="2"/>
          </rPr>
          <t>Monnet Pierre:</t>
        </r>
        <r>
          <rPr>
            <sz val="9"/>
            <color indexed="81"/>
            <rFont val="Tahoma"/>
            <family val="2"/>
          </rPr>
          <t xml:space="preserve">
2427000€ sur rapport DOB en 2019</t>
        </r>
      </text>
    </comment>
  </commentList>
</comments>
</file>

<file path=xl/sharedStrings.xml><?xml version="1.0" encoding="utf-8"?>
<sst xmlns="http://schemas.openxmlformats.org/spreadsheetml/2006/main" count="334" uniqueCount="117">
  <si>
    <t>% des bases</t>
  </si>
  <si>
    <t>sans TH</t>
  </si>
  <si>
    <t>Potentiel fiscal</t>
  </si>
  <si>
    <t>potentiel fiscal / habitant</t>
  </si>
  <si>
    <t>coefficient de variation proportionnelle</t>
  </si>
  <si>
    <t>Taxe Habitation</t>
  </si>
  <si>
    <t>Taxe fiscale sur bâti</t>
  </si>
  <si>
    <t>Taxe Fiscale sur non bâti</t>
  </si>
  <si>
    <t>Taxe habitation</t>
  </si>
  <si>
    <t>Taxe foncière bâti</t>
  </si>
  <si>
    <t>Taxe foncière non bâti</t>
  </si>
  <si>
    <t>Revenu imposable</t>
  </si>
  <si>
    <t>Revenu imposable par habitant</t>
  </si>
  <si>
    <t>Longueur de voirie</t>
  </si>
  <si>
    <t>nouveau taux</t>
  </si>
  <si>
    <t>scénario avec taxe d'habitation</t>
  </si>
  <si>
    <t>scénario sans taxe d'habitation</t>
  </si>
  <si>
    <t>TOTAUX</t>
  </si>
  <si>
    <t>Produits à taux constants</t>
  </si>
  <si>
    <t>Produit CVAE</t>
  </si>
  <si>
    <t>Total des allocations compensatrices</t>
  </si>
  <si>
    <t>DCRTP</t>
  </si>
  <si>
    <t>versement du GIR</t>
  </si>
  <si>
    <t>taxe additionnelle à la TFPNB</t>
  </si>
  <si>
    <t>TASCOM</t>
  </si>
  <si>
    <t>Produit fiscal attendu</t>
  </si>
  <si>
    <t>Produit nécessaire à l'équilibre du budget</t>
  </si>
  <si>
    <t>% recettes actuelles</t>
  </si>
  <si>
    <t>Objectif produit fiscal / habitant</t>
  </si>
  <si>
    <t>différence</t>
  </si>
  <si>
    <t>taux plafond</t>
  </si>
  <si>
    <t xml:space="preserve">Un objectif produit fiscal par habitant </t>
  </si>
  <si>
    <t xml:space="preserve">aboutit à un coefficient de variation proportionnelle de </t>
  </si>
  <si>
    <t>et représente un total de recettes supplémentaires de</t>
  </si>
  <si>
    <t>Légende</t>
  </si>
  <si>
    <t>supérieur au taux moyens national</t>
  </si>
  <si>
    <t>supérieur au taux moyens plafond</t>
  </si>
  <si>
    <t>taux ou montant à actualiser chaque année</t>
  </si>
  <si>
    <t>différence / habitant</t>
  </si>
  <si>
    <t xml:space="preserve">une différence par habitant de </t>
  </si>
  <si>
    <t xml:space="preserve">une différence par habitant (tenant compte de la suppression de la TH) de </t>
  </si>
  <si>
    <t>aboutit à un produit fiscal par habitant de</t>
  </si>
  <si>
    <t xml:space="preserve">Un total de produits nécessaires à l'équilibre du budget de </t>
  </si>
  <si>
    <t xml:space="preserve"> représente un coefficient de variation proportionnelle de </t>
  </si>
  <si>
    <t>représente un total de recettes supplémentaires de</t>
  </si>
  <si>
    <t>supérieur au taux moyens départemental ou de la strate</t>
  </si>
  <si>
    <t>produit fiscal / habitant</t>
  </si>
  <si>
    <t xml:space="preserve">et à un total de produits nécessaires à l'équilibre du budget de </t>
  </si>
  <si>
    <t>SIMULATION CALCUL TFB ET TFNB A PARTIR DU PRODUIT FISCAL PAR HABITANT</t>
  </si>
  <si>
    <t>SIMULATION CALCUL TFB ET TFNB A PARTIR DU TOTAL DES PRODUITS NECESSAIRES A L'EQUILIBRE DU BUDGET</t>
  </si>
  <si>
    <t>% augmentation du taux</t>
  </si>
  <si>
    <t>taux de varation de la TFNB &gt; à celui de la TFB</t>
  </si>
  <si>
    <t>Une variation du taux de taxe foncière sur le bâti de</t>
  </si>
  <si>
    <t>Une variation du taux de taxe foncière sur le non bâti de</t>
  </si>
  <si>
    <t>Produit fiscal moyen de la strate</t>
  </si>
  <si>
    <t xml:space="preserve">une différence par habitant (sans TH) de </t>
  </si>
  <si>
    <t>SIMULATION SELON LA METHODE DE VARIATION DIFFERENCIEE</t>
  </si>
  <si>
    <t>avec TH</t>
  </si>
  <si>
    <t>NOTICE</t>
  </si>
  <si>
    <t>Principe</t>
  </si>
  <si>
    <t>Présentation de l'outil</t>
  </si>
  <si>
    <t>Utilisation</t>
  </si>
  <si>
    <t>2.  variation proportionnelle - approche par le montant de produits nécessaires à l'équilibre du budget (onglet vert)</t>
  </si>
  <si>
    <t>Le tableau permet de calculer rapidement les impacts potentiels liés à l'évolution de la taxe foncière sur le bâti et la taxe foncière sur le non bâti selon 3 approches :</t>
  </si>
  <si>
    <t>Il y a deux catégories de données à saisir:</t>
  </si>
  <si>
    <t>Pour chaque approche, les principales valeurs sont déclinées selon 2 scénarios:</t>
  </si>
  <si>
    <t>1. un scénario "avec taxe d'habitation", qui montre les impacts qu'il y aurait eu en cas de maintien de la TH. Ce scénario donne à voir également les impcts potentiels sur les mécanismes de compensation suite à la suppression de la TH</t>
  </si>
  <si>
    <t>2. un scénario "sans taxe d'habitation", qui ne tient compte que des impacts générés par une variation des taux de taxe foncière sur le bâti et de taxe foncière sur le non bâti</t>
  </si>
  <si>
    <t>Certaines cellules comportent des mises en forme conditionnelles, pour comparer notamment les impacts des évolutions envisagées par rapport aux moyennes nationale et départementale.  
La signification des couleurs de cellules utilisées est détaillée dans la cartouche "légende" de chaque onglet de simulation</t>
  </si>
  <si>
    <t>Produit fiscal moyen estimé de la strate sans TH</t>
  </si>
  <si>
    <t>option choisie</t>
  </si>
  <si>
    <t>montant recettes fiscales selon option choisie</t>
  </si>
  <si>
    <t>total de produits nécessaires à l'équilibre du budget selon option choisie</t>
  </si>
  <si>
    <t>produit fiscal par habitant selon option choisie</t>
  </si>
  <si>
    <t>taux de taxe foncière sur le bâti selon option choisie</t>
  </si>
  <si>
    <t>taux de taxe foncière sur le non bâti selon option choisie</t>
  </si>
  <si>
    <t>% d'augmentation du taux de taxe foncière sur le bâti selon option choisie</t>
  </si>
  <si>
    <t>% d'augmentation du taux de taxe foncière sur le non bâti selon option choisie</t>
  </si>
  <si>
    <t>L'onglet "récap option choise" permet de voir sur une seule feuille les principales variables selon l'option choisie parmi les 3 proposées</t>
  </si>
  <si>
    <t>Les variables sont présentées selon 2 scénarios : avec taxe d'habitation ou sans taxe d'habitation</t>
  </si>
  <si>
    <t>Le montant de recettes fiscales de l'option choisie s'incrémente ensuite directement dans le tableau de prospective.</t>
  </si>
  <si>
    <t>Sur l'onglet "récap option choisie", cocher le bouton correspondant à l'option choisie parmi les 3 proposées (cellule C5, C6 ou C7).</t>
  </si>
  <si>
    <t>Les variables correspondantes s'incrémentent automatiquement dans cet onglet.</t>
  </si>
  <si>
    <t>bases</t>
  </si>
  <si>
    <t>taux</t>
  </si>
  <si>
    <t>Taux moyens départemental N pour N+1</t>
  </si>
  <si>
    <t>Taux moyens national N pour N+1</t>
  </si>
  <si>
    <t>Population DGF</t>
  </si>
  <si>
    <t>Bases N</t>
  </si>
  <si>
    <t>Taux N</t>
  </si>
  <si>
    <t>% évolution / an</t>
  </si>
  <si>
    <t>année</t>
  </si>
  <si>
    <t>évolution potentiel fiscal / habitant</t>
  </si>
  <si>
    <t>REFERENCES VARIATION PROPORTIONNELLE - APPROCHE PAR LE PRODUIT FISCAL PAR HABITANT</t>
  </si>
  <si>
    <t>recettes avec taux actuels</t>
  </si>
  <si>
    <t>Produit fiscal par habitant avec taux actuels</t>
  </si>
  <si>
    <t>différence avec taux actuels</t>
  </si>
  <si>
    <t>REFERENCES VARIATION PROPORTIONNELLE - APPROCHE PAR LE MONTANT DE PRODUITS NECESSAIRES A L'EQUILIBRE DU BUDGET</t>
  </si>
  <si>
    <t>% recettes avec taux actuels</t>
  </si>
  <si>
    <t>VARIATION DIFFERENCIEE - REVISION DES TAUX DE TFB ET DE TFNB</t>
  </si>
  <si>
    <t>recettes selon nouveaux taux</t>
  </si>
  <si>
    <t>recettes selon nouveau produit fiscal / habitant</t>
  </si>
  <si>
    <t>1. variation proportionnelle - approche par le produit fiscal par habitant (onglet bleu)</t>
  </si>
  <si>
    <t>3. variation différenciée : révision des taux de la taxe foncière sur le bâti et la taxe foncière sur le non bâti (onglet orange)</t>
  </si>
  <si>
    <t>2 onglets servent de base pour le calcul de l'ensemble des feuilles:</t>
  </si>
  <si>
    <t>Le nombre d'habitants indiqué est celui renseigné dans le tableau prospective. Il n'y a pas besoin de le saisir dans ce tableau.</t>
  </si>
  <si>
    <t xml:space="preserve"> - l'onglet "références" (onglet violet) : il comporte les principales informations qui vont permettre le calcul des différentes variables pour les 3 approches. </t>
  </si>
  <si>
    <t>1. les cellules surlignées en vert : ce sont les données à vérifier et/ou actualiser chaque année. Ces cellules se trouvent dans les onglets "évol. Bases fiscales" et "références"</t>
  </si>
  <si>
    <t xml:space="preserve">2. les cellules surlignées en jaune : ce sont les valeurs cibles à indiquer selon l'objectif défini. Ces cellules se trouvent dans les onglets de simulation. C'est la saisie dans ces cellules qui permet de réaliser les différentes simulations. </t>
  </si>
  <si>
    <r>
      <t xml:space="preserve"> - </t>
    </r>
    <r>
      <rPr>
        <b/>
        <sz val="10"/>
        <color rgb="FFCCC700"/>
        <rFont val="Arial"/>
        <family val="2"/>
      </rPr>
      <t xml:space="preserve">l'onglet "évol.bases fiscales" (onglet jaune) </t>
    </r>
    <r>
      <rPr>
        <sz val="10"/>
        <color rgb="FFCCC700"/>
        <rFont val="Arial"/>
        <family val="2"/>
      </rPr>
      <t>: permet de suivre l'évolution de la population et du montant des bases fiscales sur la période 2021-2030 (évolution renseignée par défaut à 0,2%). En renseignant le pourcentage d'évolution par an (ligne 6), on peut calculer automatiquement le montant des bases fiscales de l'année N+1</t>
    </r>
  </si>
  <si>
    <t xml:space="preserve">Il y a par ailleurs 3 onglets de simulation : un pour chacune des 3 approches proposées. </t>
  </si>
  <si>
    <t>Chaque onglet de simulation permet de voir, selon la valeur cible saisie, les impacts de cette valeur sur plusieurs variables (taux d'imposition pour les approches en variation proportionnelle, recettes supplémentaires générées, impact par habitant...)
Les principales valeurs apparaissent dans ces onglets, entre les lignes 9 à 14 pour les approches en variation proportionnelle, entre les lignes 10 à 17 pour l'approche en variation différenciée</t>
  </si>
  <si>
    <t>ANNEE POUR LAQUELLE LA SIMULATION EST EFFECTUEE</t>
  </si>
  <si>
    <t>montant recettes fiscales avec TH</t>
  </si>
  <si>
    <t>montant recettes fiscales sans TH</t>
  </si>
  <si>
    <t>EVOLUTION POPULATION, BASES ET RECETTES FISCALES
2021-2030</t>
  </si>
  <si>
    <t>évolution / N-1</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</si>
</sst>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 &quot;€&quot;"/>
    <numFmt numFmtId="165" formatCode="0,000&quot; hab.&quot;"/>
    <numFmt numFmtId="166" formatCode="0&quot; km&quot;"/>
    <numFmt numFmtId="167" formatCode="0.000"/>
    <numFmt numFmtId="168" formatCode="0.000000"/>
  </numFmts>
  <fonts count="35" x14ac:knownFonts="1">
    <font>
      <sz val="11"/>
      <color theme="1"/>
      <name val="Calibri"/>
      <family val="2"/>
      <scheme val="minor"/>
    </font>
    <font>
      <sz val="11"/>
      <color theme="1"/>
      <name val="Calibri"/>
      <family val="2"/>
      <scheme val="minor"/>
    </font>
    <font>
      <sz val="10.5"/>
      <color theme="1"/>
      <name val="Calibri"/>
      <family val="2"/>
      <scheme val="minor"/>
    </font>
    <font>
      <b/>
      <sz val="10.5"/>
      <color theme="1"/>
      <name val="Calibri"/>
      <family val="2"/>
      <scheme val="minor"/>
    </font>
    <font>
      <b/>
      <sz val="11"/>
      <color theme="1"/>
      <name val="Calibri"/>
      <family val="2"/>
      <scheme val="minor"/>
    </font>
    <font>
      <i/>
      <sz val="10.5"/>
      <color theme="1"/>
      <name val="Calibri"/>
      <family val="2"/>
      <scheme val="minor"/>
    </font>
    <font>
      <i/>
      <sz val="11"/>
      <color theme="1"/>
      <name val="Calibri"/>
      <family val="2"/>
      <scheme val="minor"/>
    </font>
    <font>
      <sz val="9"/>
      <color indexed="81"/>
      <name val="Tahoma"/>
      <family val="2"/>
    </font>
    <font>
      <b/>
      <sz val="9"/>
      <color indexed="81"/>
      <name val="Tahoma"/>
      <family val="2"/>
    </font>
    <font>
      <b/>
      <i/>
      <sz val="11"/>
      <color theme="1"/>
      <name val="Calibri"/>
      <family val="2"/>
      <scheme val="minor"/>
    </font>
    <font>
      <b/>
      <i/>
      <sz val="11"/>
      <color rgb="FFFF0000"/>
      <name val="Calibri"/>
      <family val="2"/>
      <scheme val="minor"/>
    </font>
    <font>
      <b/>
      <i/>
      <sz val="10.5"/>
      <color theme="1"/>
      <name val="Calibri"/>
      <family val="2"/>
      <scheme val="minor"/>
    </font>
    <font>
      <b/>
      <i/>
      <sz val="10.5"/>
      <color rgb="FFFF0000"/>
      <name val="Calibri"/>
      <family val="2"/>
      <scheme val="minor"/>
    </font>
    <font>
      <b/>
      <sz val="14"/>
      <color theme="1"/>
      <name val="Calibri"/>
      <family val="2"/>
      <scheme val="minor"/>
    </font>
    <font>
      <b/>
      <i/>
      <sz val="12"/>
      <color rgb="FFC00000"/>
      <name val="Calibri"/>
      <family val="2"/>
      <scheme val="minor"/>
    </font>
    <font>
      <b/>
      <i/>
      <sz val="11"/>
      <color rgb="FFC00000"/>
      <name val="Calibri"/>
      <family val="2"/>
      <scheme val="minor"/>
    </font>
    <font>
      <b/>
      <sz val="11"/>
      <color rgb="FFC00000"/>
      <name val="Calibri"/>
      <family val="2"/>
      <scheme val="minor"/>
    </font>
    <font>
      <sz val="11"/>
      <color rgb="FFC00000"/>
      <name val="Calibri"/>
      <family val="2"/>
      <scheme val="minor"/>
    </font>
    <font>
      <b/>
      <i/>
      <sz val="12"/>
      <color rgb="FF7030A0"/>
      <name val="Calibri"/>
      <family val="2"/>
      <scheme val="minor"/>
    </font>
    <font>
      <b/>
      <i/>
      <sz val="11"/>
      <color rgb="FF7030A0"/>
      <name val="Calibri"/>
      <family val="2"/>
      <scheme val="minor"/>
    </font>
    <font>
      <b/>
      <sz val="11"/>
      <color rgb="FF7030A0"/>
      <name val="Calibri"/>
      <family val="2"/>
      <scheme val="minor"/>
    </font>
    <font>
      <sz val="11"/>
      <color rgb="FF7030A0"/>
      <name val="Calibri"/>
      <family val="2"/>
      <scheme val="minor"/>
    </font>
    <font>
      <b/>
      <sz val="10"/>
      <name val="Arial"/>
      <family val="2"/>
    </font>
    <font>
      <b/>
      <u/>
      <sz val="10"/>
      <name val="Arial"/>
      <family val="2"/>
    </font>
    <font>
      <sz val="10.5"/>
      <name val="Calibri"/>
      <family val="2"/>
    </font>
    <font>
      <sz val="10"/>
      <name val="Arial"/>
      <family val="2"/>
    </font>
    <font>
      <b/>
      <sz val="10.5"/>
      <color rgb="FF00B0F0"/>
      <name val="Calibri"/>
      <family val="2"/>
    </font>
    <font>
      <b/>
      <sz val="10.5"/>
      <color rgb="FF00B050"/>
      <name val="Calibri"/>
      <family val="2"/>
    </font>
    <font>
      <b/>
      <sz val="10.5"/>
      <color theme="5"/>
      <name val="Calibri"/>
      <family val="2"/>
    </font>
    <font>
      <b/>
      <sz val="10"/>
      <color rgb="FF00B050"/>
      <name val="Arial"/>
      <family val="2"/>
    </font>
    <font>
      <b/>
      <sz val="10"/>
      <color rgb="FFCCC700"/>
      <name val="Arial"/>
      <family val="2"/>
    </font>
    <font>
      <b/>
      <sz val="11"/>
      <color rgb="FFFF0000"/>
      <name val="Calibri"/>
      <family val="2"/>
      <scheme val="minor"/>
    </font>
    <font>
      <sz val="10"/>
      <color rgb="FFCCC700"/>
      <name val="Arial"/>
      <family val="2"/>
    </font>
    <font>
      <b/>
      <sz val="10"/>
      <color rgb="FF7030A0"/>
      <name val="Arial"/>
      <family val="2"/>
    </font>
    <font>
      <sz val="9"/>
      <color indexed="81"/>
      <name val="Tahoma"/>
      <charset val="1"/>
    </font>
  </fonts>
  <fills count="16">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rgb="FFFF0000"/>
        <bgColor indexed="64"/>
      </patternFill>
    </fill>
    <fill>
      <patternFill patternType="solid">
        <fgColor rgb="FFFFC000"/>
        <bgColor indexed="64"/>
      </patternFill>
    </fill>
    <fill>
      <patternFill patternType="solid">
        <fgColor rgb="FF7030A0"/>
        <bgColor indexed="64"/>
      </patternFill>
    </fill>
    <fill>
      <patternFill patternType="solid">
        <fgColor rgb="FF92D050"/>
        <bgColor indexed="64"/>
      </patternFill>
    </fill>
    <fill>
      <patternFill patternType="solid">
        <fgColor theme="5"/>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8" tint="0.79998168889431442"/>
        <bgColor indexed="64"/>
      </patternFill>
    </fill>
    <fill>
      <patternFill patternType="solid">
        <fgColor theme="7" tint="0.79998168889431442"/>
        <bgColor indexed="64"/>
      </patternFill>
    </fill>
    <fill>
      <patternFill patternType="solid">
        <fgColor theme="7"/>
        <bgColor indexed="64"/>
      </patternFill>
    </fill>
    <fill>
      <patternFill patternType="solid">
        <fgColor rgb="FF00B0F0"/>
        <bgColor indexed="64"/>
      </patternFill>
    </fill>
  </fills>
  <borders count="41">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2">
    <xf numFmtId="0" fontId="0" fillId="0" borderId="0"/>
    <xf numFmtId="9" fontId="1" fillId="0" borderId="0" applyFont="0" applyFill="0" applyBorder="0" applyAlignment="0" applyProtection="0"/>
  </cellStyleXfs>
  <cellXfs count="321">
    <xf numFmtId="0" fontId="0" fillId="0" borderId="0" xfId="0"/>
    <xf numFmtId="0" fontId="0" fillId="0" borderId="0" xfId="0" applyFont="1" applyAlignment="1">
      <alignment horizontal="justify" vertical="center"/>
    </xf>
    <xf numFmtId="165" fontId="0" fillId="0" borderId="0" xfId="0" applyNumberFormat="1" applyFont="1"/>
    <xf numFmtId="0" fontId="0" fillId="0" borderId="0" xfId="0" applyFont="1"/>
    <xf numFmtId="164" fontId="2" fillId="0" borderId="0" xfId="0" applyNumberFormat="1" applyFont="1" applyAlignment="1">
      <alignment vertical="center"/>
    </xf>
    <xf numFmtId="164" fontId="2" fillId="0" borderId="0" xfId="0" applyNumberFormat="1" applyFont="1" applyAlignment="1">
      <alignment horizontal="left" vertical="center" wrapText="1"/>
    </xf>
    <xf numFmtId="164" fontId="3" fillId="0" borderId="0" xfId="0" applyNumberFormat="1" applyFont="1" applyAlignment="1">
      <alignment vertical="center"/>
    </xf>
    <xf numFmtId="10" fontId="2" fillId="0" borderId="0" xfId="0" applyNumberFormat="1" applyFont="1" applyAlignment="1">
      <alignment vertical="center"/>
    </xf>
    <xf numFmtId="9" fontId="2" fillId="0" borderId="0" xfId="1" applyFont="1" applyAlignment="1">
      <alignment vertical="center"/>
    </xf>
    <xf numFmtId="164" fontId="3" fillId="0" borderId="0" xfId="0" applyNumberFormat="1" applyFont="1" applyAlignment="1">
      <alignment horizontal="center" vertical="center"/>
    </xf>
    <xf numFmtId="167" fontId="2" fillId="0" borderId="0" xfId="0" applyNumberFormat="1" applyFont="1" applyAlignment="1">
      <alignment vertical="center"/>
    </xf>
    <xf numFmtId="0" fontId="4" fillId="0" borderId="0" xfId="0" applyFont="1" applyAlignment="1">
      <alignment horizontal="center"/>
    </xf>
    <xf numFmtId="168" fontId="2" fillId="0" borderId="3" xfId="0" applyNumberFormat="1" applyFont="1" applyBorder="1" applyAlignment="1">
      <alignment vertical="center"/>
    </xf>
    <xf numFmtId="0" fontId="6" fillId="0" borderId="0" xfId="0" applyFont="1"/>
    <xf numFmtId="0" fontId="4" fillId="0" borderId="0" xfId="0" applyFont="1"/>
    <xf numFmtId="164" fontId="5" fillId="0" borderId="0" xfId="0" applyNumberFormat="1" applyFont="1" applyAlignment="1">
      <alignment vertical="center"/>
    </xf>
    <xf numFmtId="0" fontId="0" fillId="0" borderId="0" xfId="0" applyAlignment="1">
      <alignment vertical="center"/>
    </xf>
    <xf numFmtId="10" fontId="6" fillId="0" borderId="0" xfId="1" applyNumberFormat="1" applyFont="1" applyAlignment="1">
      <alignment vertical="center"/>
    </xf>
    <xf numFmtId="164" fontId="6" fillId="0" borderId="0" xfId="0" applyNumberFormat="1" applyFont="1" applyAlignment="1">
      <alignment vertical="center"/>
    </xf>
    <xf numFmtId="0" fontId="0" fillId="0" borderId="4" xfId="0" applyFont="1" applyBorder="1" applyAlignment="1">
      <alignment vertical="center"/>
    </xf>
    <xf numFmtId="0" fontId="9" fillId="0" borderId="4" xfId="0" applyFont="1" applyBorder="1" applyAlignment="1">
      <alignment horizontal="center" vertical="center"/>
    </xf>
    <xf numFmtId="0" fontId="0" fillId="0" borderId="4" xfId="0" applyBorder="1" applyAlignment="1">
      <alignment vertical="center"/>
    </xf>
    <xf numFmtId="164" fontId="6" fillId="0" borderId="4" xfId="0" applyNumberFormat="1" applyFont="1" applyBorder="1" applyAlignment="1">
      <alignment horizontal="right" vertical="center"/>
    </xf>
    <xf numFmtId="10" fontId="6" fillId="0" borderId="4" xfId="1" applyNumberFormat="1" applyFont="1" applyBorder="1" applyAlignment="1">
      <alignment vertical="center"/>
    </xf>
    <xf numFmtId="164" fontId="6" fillId="0" borderId="4" xfId="0" applyNumberFormat="1" applyFont="1" applyBorder="1" applyAlignment="1">
      <alignment vertical="center"/>
    </xf>
    <xf numFmtId="164" fontId="3" fillId="0" borderId="4" xfId="0" applyNumberFormat="1" applyFont="1" applyBorder="1" applyAlignment="1">
      <alignment horizontal="center" vertical="center" wrapText="1"/>
    </xf>
    <xf numFmtId="164" fontId="11" fillId="0" borderId="4" xfId="0" applyNumberFormat="1" applyFont="1" applyBorder="1" applyAlignment="1">
      <alignment horizontal="center" vertical="center" wrapText="1"/>
    </xf>
    <xf numFmtId="164" fontId="2" fillId="0" borderId="4" xfId="0" applyNumberFormat="1" applyFont="1" applyBorder="1" applyAlignment="1">
      <alignment vertical="center"/>
    </xf>
    <xf numFmtId="10" fontId="2" fillId="0" borderId="4" xfId="1" applyNumberFormat="1" applyFont="1" applyBorder="1" applyAlignment="1">
      <alignment vertical="center"/>
    </xf>
    <xf numFmtId="10" fontId="3" fillId="0" borderId="4" xfId="1" applyNumberFormat="1" applyFont="1" applyBorder="1" applyAlignment="1">
      <alignment vertical="center"/>
    </xf>
    <xf numFmtId="164" fontId="5" fillId="0" borderId="4" xfId="0" applyNumberFormat="1" applyFont="1" applyBorder="1" applyAlignment="1">
      <alignment vertical="center"/>
    </xf>
    <xf numFmtId="164" fontId="3" fillId="0" borderId="4" xfId="0" applyNumberFormat="1" applyFont="1" applyBorder="1" applyAlignment="1">
      <alignment vertical="center"/>
    </xf>
    <xf numFmtId="164" fontId="2" fillId="3" borderId="4" xfId="0" applyNumberFormat="1" applyFont="1" applyFill="1" applyBorder="1" applyAlignment="1">
      <alignment vertical="center"/>
    </xf>
    <xf numFmtId="10" fontId="2" fillId="3" borderId="4" xfId="0" applyNumberFormat="1" applyFont="1" applyFill="1" applyBorder="1" applyAlignment="1">
      <alignment vertical="center"/>
    </xf>
    <xf numFmtId="164" fontId="5" fillId="3" borderId="4" xfId="0" applyNumberFormat="1" applyFont="1" applyFill="1" applyBorder="1" applyAlignment="1">
      <alignment vertical="center"/>
    </xf>
    <xf numFmtId="164" fontId="3" fillId="3" borderId="4" xfId="0" applyNumberFormat="1" applyFont="1" applyFill="1" applyBorder="1" applyAlignment="1">
      <alignment vertical="center"/>
    </xf>
    <xf numFmtId="164" fontId="11" fillId="0" borderId="4" xfId="0" applyNumberFormat="1" applyFont="1" applyBorder="1" applyAlignment="1">
      <alignment vertical="center"/>
    </xf>
    <xf numFmtId="164" fontId="3" fillId="0" borderId="5" xfId="0" applyNumberFormat="1" applyFont="1" applyBorder="1" applyAlignment="1">
      <alignment vertical="center"/>
    </xf>
    <xf numFmtId="164" fontId="2" fillId="0" borderId="6" xfId="0" applyNumberFormat="1" applyFont="1" applyBorder="1" applyAlignment="1">
      <alignment vertical="center"/>
    </xf>
    <xf numFmtId="164" fontId="5" fillId="0" borderId="6" xfId="0" applyNumberFormat="1" applyFont="1" applyBorder="1" applyAlignment="1">
      <alignment vertical="center"/>
    </xf>
    <xf numFmtId="164" fontId="2" fillId="0" borderId="7" xfId="0" applyNumberFormat="1" applyFont="1" applyBorder="1" applyAlignment="1">
      <alignment vertical="center"/>
    </xf>
    <xf numFmtId="164" fontId="2" fillId="0" borderId="8" xfId="0" applyNumberFormat="1" applyFont="1" applyBorder="1" applyAlignment="1">
      <alignment vertical="center"/>
    </xf>
    <xf numFmtId="164" fontId="2" fillId="0" borderId="0" xfId="0" applyNumberFormat="1" applyFont="1" applyBorder="1" applyAlignment="1">
      <alignment vertical="center"/>
    </xf>
    <xf numFmtId="164" fontId="5" fillId="0" borderId="0" xfId="0" applyNumberFormat="1" applyFont="1" applyBorder="1" applyAlignment="1">
      <alignment vertical="center"/>
    </xf>
    <xf numFmtId="164" fontId="2" fillId="0" borderId="9" xfId="0" applyNumberFormat="1" applyFont="1" applyBorder="1" applyAlignment="1">
      <alignment vertical="center"/>
    </xf>
    <xf numFmtId="164" fontId="3" fillId="0" borderId="10" xfId="0" applyNumberFormat="1" applyFont="1" applyBorder="1" applyAlignment="1">
      <alignment horizontal="center" vertical="center"/>
    </xf>
    <xf numFmtId="164" fontId="3" fillId="0" borderId="11" xfId="0" applyNumberFormat="1" applyFont="1" applyBorder="1" applyAlignment="1">
      <alignment horizontal="center" vertical="center" wrapText="1"/>
    </xf>
    <xf numFmtId="164" fontId="2" fillId="0" borderId="10" xfId="0" applyNumberFormat="1" applyFont="1" applyBorder="1" applyAlignment="1">
      <alignment vertical="center"/>
    </xf>
    <xf numFmtId="10" fontId="3" fillId="0" borderId="11" xfId="1" applyNumberFormat="1" applyFont="1" applyBorder="1" applyAlignment="1">
      <alignment vertical="center"/>
    </xf>
    <xf numFmtId="164" fontId="3" fillId="0" borderId="10" xfId="0" applyNumberFormat="1" applyFont="1" applyBorder="1" applyAlignment="1">
      <alignment vertical="center"/>
    </xf>
    <xf numFmtId="164" fontId="2" fillId="3" borderId="11" xfId="0" applyNumberFormat="1" applyFont="1" applyFill="1" applyBorder="1" applyAlignment="1">
      <alignment vertical="center"/>
    </xf>
    <xf numFmtId="164" fontId="3" fillId="3" borderId="10" xfId="0" applyNumberFormat="1" applyFont="1" applyFill="1" applyBorder="1" applyAlignment="1">
      <alignment vertical="center"/>
    </xf>
    <xf numFmtId="164" fontId="3" fillId="0" borderId="11" xfId="0" applyNumberFormat="1" applyFont="1" applyBorder="1" applyAlignment="1">
      <alignment vertical="center"/>
    </xf>
    <xf numFmtId="1" fontId="2" fillId="0" borderId="0" xfId="0" applyNumberFormat="1" applyFont="1" applyBorder="1" applyAlignment="1">
      <alignment vertical="center"/>
    </xf>
    <xf numFmtId="10" fontId="2" fillId="0" borderId="0" xfId="0" applyNumberFormat="1" applyFont="1" applyBorder="1" applyAlignment="1">
      <alignment vertical="center"/>
    </xf>
    <xf numFmtId="9" fontId="2" fillId="0" borderId="0" xfId="1" applyFont="1" applyBorder="1" applyAlignment="1">
      <alignment vertical="center"/>
    </xf>
    <xf numFmtId="9" fontId="5" fillId="0" borderId="0" xfId="1" applyFont="1" applyBorder="1" applyAlignment="1">
      <alignment vertical="center"/>
    </xf>
    <xf numFmtId="1" fontId="2" fillId="0" borderId="9" xfId="0" applyNumberFormat="1" applyFont="1" applyBorder="1" applyAlignment="1">
      <alignment vertical="center"/>
    </xf>
    <xf numFmtId="168" fontId="2" fillId="0" borderId="12" xfId="0" applyNumberFormat="1" applyFont="1" applyBorder="1" applyAlignment="1">
      <alignment vertical="center"/>
    </xf>
    <xf numFmtId="164" fontId="2" fillId="0" borderId="13" xfId="0" applyNumberFormat="1" applyFont="1" applyBorder="1" applyAlignment="1">
      <alignment vertical="center"/>
    </xf>
    <xf numFmtId="164" fontId="2" fillId="0" borderId="14" xfId="0" applyNumberFormat="1" applyFont="1" applyBorder="1" applyAlignment="1">
      <alignment vertical="center"/>
    </xf>
    <xf numFmtId="10" fontId="2" fillId="0" borderId="14" xfId="0" applyNumberFormat="1" applyFont="1" applyBorder="1" applyAlignment="1">
      <alignment vertical="center"/>
    </xf>
    <xf numFmtId="9" fontId="2" fillId="0" borderId="14" xfId="1" applyFont="1" applyBorder="1" applyAlignment="1">
      <alignment vertical="center"/>
    </xf>
    <xf numFmtId="9" fontId="5" fillId="0" borderId="14" xfId="1" applyFont="1" applyBorder="1" applyAlignment="1">
      <alignment vertical="center"/>
    </xf>
    <xf numFmtId="164" fontId="2" fillId="0" borderId="15" xfId="0" applyNumberFormat="1" applyFont="1" applyBorder="1" applyAlignment="1">
      <alignment vertical="center"/>
    </xf>
    <xf numFmtId="10" fontId="2" fillId="0" borderId="4" xfId="0" applyNumberFormat="1" applyFont="1" applyBorder="1" applyAlignment="1">
      <alignment vertical="center"/>
    </xf>
    <xf numFmtId="164" fontId="2" fillId="0" borderId="16" xfId="0" applyNumberFormat="1" applyFont="1" applyBorder="1" applyAlignment="1">
      <alignment vertical="center"/>
    </xf>
    <xf numFmtId="10" fontId="2" fillId="0" borderId="6" xfId="0" applyNumberFormat="1" applyFont="1" applyBorder="1" applyAlignment="1">
      <alignment vertical="center"/>
    </xf>
    <xf numFmtId="9" fontId="2" fillId="0" borderId="6" xfId="1" applyFont="1" applyBorder="1" applyAlignment="1">
      <alignment vertical="center"/>
    </xf>
    <xf numFmtId="9" fontId="5" fillId="0" borderId="6" xfId="1" applyFont="1" applyBorder="1" applyAlignment="1">
      <alignment vertical="center"/>
    </xf>
    <xf numFmtId="164" fontId="3" fillId="0" borderId="8" xfId="0" applyNumberFormat="1" applyFont="1" applyBorder="1" applyAlignment="1">
      <alignment vertical="center"/>
    </xf>
    <xf numFmtId="164" fontId="2" fillId="3" borderId="10" xfId="0" applyNumberFormat="1" applyFont="1" applyFill="1" applyBorder="1" applyAlignment="1">
      <alignment vertical="center"/>
    </xf>
    <xf numFmtId="164" fontId="2" fillId="0" borderId="11" xfId="0" applyNumberFormat="1" applyFont="1" applyBorder="1" applyAlignment="1">
      <alignment vertical="center"/>
    </xf>
    <xf numFmtId="164" fontId="5" fillId="0" borderId="14" xfId="0" applyNumberFormat="1" applyFont="1" applyBorder="1" applyAlignment="1">
      <alignment vertical="center"/>
    </xf>
    <xf numFmtId="10" fontId="6" fillId="8" borderId="4" xfId="1" applyNumberFormat="1" applyFont="1" applyFill="1" applyBorder="1" applyAlignment="1">
      <alignment vertical="center"/>
    </xf>
    <xf numFmtId="164" fontId="6" fillId="8" borderId="4" xfId="1" applyNumberFormat="1" applyFont="1" applyFill="1" applyBorder="1" applyAlignment="1">
      <alignment vertical="center"/>
    </xf>
    <xf numFmtId="164" fontId="0" fillId="0" borderId="4" xfId="0" applyNumberFormat="1" applyFont="1" applyBorder="1"/>
    <xf numFmtId="164" fontId="5" fillId="0" borderId="1" xfId="0" applyNumberFormat="1" applyFont="1" applyBorder="1" applyAlignment="1">
      <alignment vertical="center"/>
    </xf>
    <xf numFmtId="164" fontId="5" fillId="3" borderId="1" xfId="0" applyNumberFormat="1" applyFont="1" applyFill="1" applyBorder="1" applyAlignment="1">
      <alignment vertical="center"/>
    </xf>
    <xf numFmtId="164" fontId="11" fillId="0" borderId="11" xfId="0" applyNumberFormat="1" applyFont="1" applyBorder="1" applyAlignment="1">
      <alignment horizontal="center" vertical="center" wrapText="1"/>
    </xf>
    <xf numFmtId="164" fontId="5" fillId="0" borderId="11" xfId="0" applyNumberFormat="1" applyFont="1" applyBorder="1" applyAlignment="1">
      <alignment vertical="center"/>
    </xf>
    <xf numFmtId="164" fontId="5" fillId="3" borderId="11" xfId="0" applyNumberFormat="1" applyFont="1" applyFill="1" applyBorder="1" applyAlignment="1">
      <alignment vertical="center"/>
    </xf>
    <xf numFmtId="9" fontId="5" fillId="0" borderId="14" xfId="1" applyFont="1" applyBorder="1" applyAlignment="1">
      <alignment horizontal="center" vertical="center"/>
    </xf>
    <xf numFmtId="168" fontId="2" fillId="0" borderId="14" xfId="0" applyNumberFormat="1" applyFont="1" applyBorder="1" applyAlignment="1">
      <alignment vertical="center"/>
    </xf>
    <xf numFmtId="164" fontId="9" fillId="0" borderId="0" xfId="0" applyNumberFormat="1" applyFont="1" applyBorder="1" applyAlignment="1">
      <alignment vertical="center" wrapText="1"/>
    </xf>
    <xf numFmtId="164" fontId="2" fillId="0" borderId="0" xfId="0" applyNumberFormat="1" applyFont="1" applyAlignment="1">
      <alignment horizontal="right" vertical="center"/>
    </xf>
    <xf numFmtId="164" fontId="10" fillId="2" borderId="5" xfId="1" applyNumberFormat="1" applyFont="1" applyFill="1" applyBorder="1" applyAlignment="1">
      <alignment vertical="center"/>
    </xf>
    <xf numFmtId="0" fontId="0" fillId="0" borderId="0" xfId="0" applyAlignment="1">
      <alignment horizontal="right" vertical="center"/>
    </xf>
    <xf numFmtId="168" fontId="10" fillId="0" borderId="5" xfId="0" applyNumberFormat="1" applyFont="1" applyBorder="1" applyAlignment="1">
      <alignment vertical="center"/>
    </xf>
    <xf numFmtId="164" fontId="10" fillId="4" borderId="5" xfId="1" applyNumberFormat="1" applyFont="1" applyFill="1" applyBorder="1" applyAlignment="1">
      <alignment vertical="center"/>
    </xf>
    <xf numFmtId="164" fontId="12" fillId="0" borderId="5" xfId="0" applyNumberFormat="1" applyFont="1" applyBorder="1" applyAlignment="1">
      <alignment vertical="center"/>
    </xf>
    <xf numFmtId="164" fontId="12" fillId="2" borderId="5" xfId="0" applyNumberFormat="1" applyFont="1" applyFill="1" applyBorder="1" applyAlignment="1">
      <alignment vertical="center"/>
    </xf>
    <xf numFmtId="164" fontId="12" fillId="0" borderId="0" xfId="0" applyNumberFormat="1" applyFont="1" applyAlignment="1">
      <alignment vertical="center"/>
    </xf>
    <xf numFmtId="164" fontId="4" fillId="0" borderId="4" xfId="0" applyNumberFormat="1" applyFont="1" applyBorder="1"/>
    <xf numFmtId="0" fontId="9" fillId="0" borderId="0" xfId="0" applyFont="1" applyBorder="1" applyAlignment="1">
      <alignment horizontal="right" vertical="center"/>
    </xf>
    <xf numFmtId="0" fontId="9" fillId="0" borderId="0" xfId="0" applyFont="1" applyAlignment="1">
      <alignment horizontal="right" vertical="center"/>
    </xf>
    <xf numFmtId="164" fontId="11" fillId="0" borderId="0" xfId="0" applyNumberFormat="1" applyFont="1" applyAlignment="1">
      <alignment horizontal="right" vertical="center"/>
    </xf>
    <xf numFmtId="164" fontId="11" fillId="0" borderId="0" xfId="0" applyNumberFormat="1" applyFont="1" applyAlignment="1">
      <alignment horizontal="right" vertical="center" wrapText="1"/>
    </xf>
    <xf numFmtId="9" fontId="5" fillId="0" borderId="2" xfId="1" applyFont="1" applyBorder="1" applyAlignment="1">
      <alignment horizontal="center" vertical="center"/>
    </xf>
    <xf numFmtId="164" fontId="11" fillId="0" borderId="0" xfId="0" applyNumberFormat="1" applyFont="1" applyAlignment="1">
      <alignment horizontal="center" vertical="center" wrapText="1"/>
    </xf>
    <xf numFmtId="0" fontId="9" fillId="0" borderId="0" xfId="0" applyFont="1" applyAlignment="1">
      <alignment horizontal="center" vertical="center"/>
    </xf>
    <xf numFmtId="0" fontId="4" fillId="0" borderId="4" xfId="0" applyFont="1" applyBorder="1" applyAlignment="1">
      <alignment horizontal="center"/>
    </xf>
    <xf numFmtId="164" fontId="3" fillId="0" borderId="4" xfId="0" applyNumberFormat="1" applyFont="1" applyBorder="1" applyAlignment="1">
      <alignment horizontal="center"/>
    </xf>
    <xf numFmtId="10" fontId="2" fillId="8" borderId="4" xfId="1" applyNumberFormat="1" applyFont="1" applyFill="1" applyBorder="1"/>
    <xf numFmtId="0" fontId="0" fillId="0" borderId="4" xfId="0" applyBorder="1"/>
    <xf numFmtId="0" fontId="4" fillId="0" borderId="4" xfId="0" applyFont="1" applyBorder="1" applyAlignment="1">
      <alignment horizontal="justify" vertical="center"/>
    </xf>
    <xf numFmtId="166" fontId="4" fillId="0" borderId="4" xfId="0" applyNumberFormat="1" applyFont="1" applyBorder="1"/>
    <xf numFmtId="164" fontId="4" fillId="8" borderId="4" xfId="0" applyNumberFormat="1" applyFont="1" applyFill="1" applyBorder="1"/>
    <xf numFmtId="168" fontId="2" fillId="0" borderId="0" xfId="0" applyNumberFormat="1" applyFont="1" applyBorder="1" applyAlignment="1">
      <alignment vertical="center"/>
    </xf>
    <xf numFmtId="10" fontId="12" fillId="2" borderId="5" xfId="1" applyNumberFormat="1" applyFont="1" applyFill="1" applyBorder="1" applyAlignment="1">
      <alignment vertical="center"/>
    </xf>
    <xf numFmtId="164" fontId="9" fillId="0" borderId="4" xfId="0" applyNumberFormat="1" applyFont="1" applyBorder="1" applyAlignment="1">
      <alignment horizontal="right" vertical="center" wrapText="1"/>
    </xf>
    <xf numFmtId="164" fontId="4" fillId="0" borderId="0" xfId="0" applyNumberFormat="1" applyFont="1" applyBorder="1"/>
    <xf numFmtId="164" fontId="12" fillId="0" borderId="6" xfId="0" applyNumberFormat="1" applyFont="1" applyBorder="1" applyAlignment="1">
      <alignment vertical="center"/>
    </xf>
    <xf numFmtId="164" fontId="11" fillId="0" borderId="0" xfId="0" applyNumberFormat="1" applyFont="1" applyAlignment="1">
      <alignment horizontal="center" vertical="center"/>
    </xf>
    <xf numFmtId="164" fontId="11" fillId="0" borderId="0" xfId="0" applyNumberFormat="1" applyFont="1" applyBorder="1" applyAlignment="1">
      <alignment horizontal="center" vertical="center" wrapText="1"/>
    </xf>
    <xf numFmtId="164" fontId="10" fillId="4" borderId="0" xfId="1" applyNumberFormat="1" applyFont="1" applyFill="1" applyBorder="1" applyAlignment="1">
      <alignment vertical="center"/>
    </xf>
    <xf numFmtId="164" fontId="12" fillId="0" borderId="0" xfId="0" applyNumberFormat="1" applyFont="1" applyBorder="1" applyAlignment="1">
      <alignment vertical="center"/>
    </xf>
    <xf numFmtId="10" fontId="6" fillId="0" borderId="0" xfId="1" applyNumberFormat="1" applyFont="1" applyBorder="1" applyAlignment="1">
      <alignment vertical="center"/>
    </xf>
    <xf numFmtId="164" fontId="11" fillId="0" borderId="0" xfId="0" applyNumberFormat="1" applyFont="1" applyBorder="1" applyAlignment="1">
      <alignment horizontal="right" vertical="center"/>
    </xf>
    <xf numFmtId="164" fontId="6" fillId="0" borderId="0" xfId="0" applyNumberFormat="1" applyFont="1" applyBorder="1" applyAlignment="1">
      <alignment horizontal="right" vertical="center"/>
    </xf>
    <xf numFmtId="10" fontId="6" fillId="4" borderId="0" xfId="1" applyNumberFormat="1" applyFont="1" applyFill="1" applyBorder="1" applyAlignment="1">
      <alignment vertical="center"/>
    </xf>
    <xf numFmtId="164" fontId="6" fillId="0" borderId="0" xfId="0" applyNumberFormat="1" applyFont="1" applyBorder="1" applyAlignment="1">
      <alignment vertical="center"/>
    </xf>
    <xf numFmtId="10" fontId="12" fillId="2" borderId="21" xfId="1" applyNumberFormat="1" applyFont="1" applyFill="1" applyBorder="1" applyAlignment="1">
      <alignment vertical="center"/>
    </xf>
    <xf numFmtId="10" fontId="9" fillId="0" borderId="5" xfId="1" applyNumberFormat="1" applyFont="1" applyBorder="1" applyAlignment="1">
      <alignment horizontal="center" vertical="center"/>
    </xf>
    <xf numFmtId="168" fontId="10" fillId="4" borderId="5" xfId="0" applyNumberFormat="1" applyFont="1" applyFill="1" applyBorder="1" applyAlignment="1">
      <alignment vertical="center"/>
    </xf>
    <xf numFmtId="164" fontId="2" fillId="4" borderId="4" xfId="0" applyNumberFormat="1" applyFont="1" applyFill="1" applyBorder="1" applyAlignment="1">
      <alignment vertical="center"/>
    </xf>
    <xf numFmtId="10" fontId="2" fillId="4" borderId="4" xfId="1" applyNumberFormat="1" applyFont="1" applyFill="1" applyBorder="1" applyAlignment="1">
      <alignment vertical="center"/>
    </xf>
    <xf numFmtId="10" fontId="3" fillId="4" borderId="4" xfId="1" applyNumberFormat="1" applyFont="1" applyFill="1" applyBorder="1" applyAlignment="1">
      <alignment vertical="center"/>
    </xf>
    <xf numFmtId="0" fontId="22" fillId="0" borderId="5" xfId="0" applyFont="1" applyBorder="1" applyAlignment="1">
      <alignment horizontal="center" wrapText="1"/>
    </xf>
    <xf numFmtId="0" fontId="0" fillId="0" borderId="0" xfId="0" applyAlignment="1">
      <alignment wrapText="1"/>
    </xf>
    <xf numFmtId="0" fontId="23" fillId="10" borderId="27" xfId="0" applyFont="1" applyFill="1" applyBorder="1" applyAlignment="1">
      <alignment wrapText="1"/>
    </xf>
    <xf numFmtId="0" fontId="23" fillId="11" borderId="27" xfId="0" applyFont="1" applyFill="1" applyBorder="1" applyAlignment="1">
      <alignment wrapText="1"/>
    </xf>
    <xf numFmtId="0" fontId="24" fillId="11" borderId="28" xfId="0" applyFont="1" applyFill="1" applyBorder="1" applyAlignment="1">
      <alignment horizontal="justify" wrapText="1"/>
    </xf>
    <xf numFmtId="0" fontId="26" fillId="11" borderId="28" xfId="0" applyFont="1" applyFill="1" applyBorder="1" applyAlignment="1">
      <alignment horizontal="justify" wrapText="1"/>
    </xf>
    <xf numFmtId="0" fontId="27" fillId="11" borderId="28" xfId="0" applyFont="1" applyFill="1" applyBorder="1" applyAlignment="1">
      <alignment horizontal="justify" wrapText="1"/>
    </xf>
    <xf numFmtId="0" fontId="28" fillId="11" borderId="21" xfId="0" applyFont="1" applyFill="1" applyBorder="1" applyAlignment="1">
      <alignment horizontal="justify" wrapText="1"/>
    </xf>
    <xf numFmtId="0" fontId="23" fillId="12" borderId="27" xfId="0" applyFont="1" applyFill="1" applyBorder="1" applyAlignment="1">
      <alignment wrapText="1"/>
    </xf>
    <xf numFmtId="0" fontId="25" fillId="12" borderId="28" xfId="0" applyFont="1" applyFill="1" applyBorder="1" applyAlignment="1">
      <alignment wrapText="1"/>
    </xf>
    <xf numFmtId="0" fontId="25" fillId="12" borderId="21" xfId="0" applyFont="1" applyFill="1" applyBorder="1" applyAlignment="1">
      <alignment wrapText="1"/>
    </xf>
    <xf numFmtId="0" fontId="25" fillId="10" borderId="28" xfId="0" applyFont="1" applyFill="1" applyBorder="1" applyAlignment="1">
      <alignment wrapText="1"/>
    </xf>
    <xf numFmtId="0" fontId="25" fillId="10" borderId="21" xfId="0" applyFont="1" applyFill="1" applyBorder="1" applyAlignment="1">
      <alignment wrapText="1"/>
    </xf>
    <xf numFmtId="0" fontId="29" fillId="12" borderId="28" xfId="0" applyFont="1" applyFill="1" applyBorder="1" applyAlignment="1">
      <alignment wrapText="1"/>
    </xf>
    <xf numFmtId="0" fontId="30" fillId="12" borderId="28" xfId="0" applyFont="1" applyFill="1" applyBorder="1" applyAlignment="1">
      <alignment wrapText="1"/>
    </xf>
    <xf numFmtId="2" fontId="0" fillId="0" borderId="0" xfId="0" applyNumberFormat="1"/>
    <xf numFmtId="1" fontId="0" fillId="0" borderId="0" xfId="0" applyNumberFormat="1"/>
    <xf numFmtId="9" fontId="5" fillId="0" borderId="2" xfId="1" applyFont="1" applyBorder="1" applyAlignment="1">
      <alignment horizontal="center" vertical="center"/>
    </xf>
    <xf numFmtId="164" fontId="3" fillId="0" borderId="4" xfId="0" applyNumberFormat="1" applyFont="1" applyBorder="1" applyAlignment="1">
      <alignment horizontal="center" vertical="center"/>
    </xf>
    <xf numFmtId="10" fontId="2" fillId="0" borderId="0" xfId="1" applyNumberFormat="1" applyFont="1" applyAlignment="1">
      <alignment vertical="center"/>
    </xf>
    <xf numFmtId="164" fontId="11" fillId="0" borderId="1" xfId="0" applyNumberFormat="1" applyFont="1" applyBorder="1" applyAlignment="1">
      <alignment vertical="center"/>
    </xf>
    <xf numFmtId="0" fontId="0" fillId="0" borderId="9" xfId="0" applyBorder="1" applyAlignment="1">
      <alignment vertical="center"/>
    </xf>
    <xf numFmtId="0" fontId="0" fillId="0" borderId="9" xfId="0" applyBorder="1"/>
    <xf numFmtId="10" fontId="9" fillId="0" borderId="27" xfId="1" applyNumberFormat="1" applyFont="1" applyBorder="1" applyAlignment="1">
      <alignment horizontal="center" vertical="center"/>
    </xf>
    <xf numFmtId="0" fontId="9" fillId="0" borderId="32" xfId="0" applyFont="1" applyBorder="1" applyAlignment="1">
      <alignment horizontal="right"/>
    </xf>
    <xf numFmtId="0" fontId="9" fillId="0" borderId="29" xfId="0" applyFont="1" applyBorder="1" applyAlignment="1">
      <alignment horizontal="right"/>
    </xf>
    <xf numFmtId="0" fontId="9" fillId="0" borderId="33" xfId="0" applyFont="1" applyBorder="1" applyAlignment="1">
      <alignment horizontal="right"/>
    </xf>
    <xf numFmtId="10" fontId="9" fillId="0" borderId="7" xfId="1" applyNumberFormat="1" applyFont="1" applyBorder="1" applyAlignment="1">
      <alignment horizontal="center" vertical="center"/>
    </xf>
    <xf numFmtId="164" fontId="31" fillId="4" borderId="34" xfId="0" applyNumberFormat="1" applyFont="1" applyFill="1" applyBorder="1"/>
    <xf numFmtId="164" fontId="31" fillId="4" borderId="12" xfId="0" applyNumberFormat="1" applyFont="1" applyFill="1" applyBorder="1"/>
    <xf numFmtId="10" fontId="31" fillId="4" borderId="12" xfId="1" applyNumberFormat="1" applyFont="1" applyFill="1" applyBorder="1"/>
    <xf numFmtId="10" fontId="31" fillId="4" borderId="35" xfId="1" applyNumberFormat="1" applyFont="1" applyFill="1" applyBorder="1"/>
    <xf numFmtId="164" fontId="31" fillId="4" borderId="36" xfId="0" applyNumberFormat="1" applyFont="1" applyFill="1" applyBorder="1"/>
    <xf numFmtId="164" fontId="31" fillId="4" borderId="37" xfId="0" applyNumberFormat="1" applyFont="1" applyFill="1" applyBorder="1"/>
    <xf numFmtId="10" fontId="31" fillId="4" borderId="37" xfId="1" applyNumberFormat="1" applyFont="1" applyFill="1" applyBorder="1"/>
    <xf numFmtId="10" fontId="31" fillId="4" borderId="38" xfId="1" applyNumberFormat="1" applyFont="1" applyFill="1" applyBorder="1"/>
    <xf numFmtId="0" fontId="26" fillId="4" borderId="30" xfId="0" applyFont="1" applyFill="1" applyBorder="1" applyAlignment="1">
      <alignment horizontal="justify"/>
    </xf>
    <xf numFmtId="0" fontId="0" fillId="0" borderId="31" xfId="0" applyBorder="1"/>
    <xf numFmtId="0" fontId="27" fillId="4" borderId="10" xfId="0" applyFont="1" applyFill="1" applyBorder="1" applyAlignment="1">
      <alignment horizontal="justify"/>
    </xf>
    <xf numFmtId="0" fontId="0" fillId="0" borderId="11" xfId="0" applyBorder="1"/>
    <xf numFmtId="0" fontId="28" fillId="4" borderId="22" xfId="0" applyFont="1" applyFill="1" applyBorder="1" applyAlignment="1">
      <alignment horizontal="justify"/>
    </xf>
    <xf numFmtId="0" fontId="0" fillId="0" borderId="23" xfId="0" applyBorder="1"/>
    <xf numFmtId="0" fontId="9" fillId="0" borderId="39" xfId="0" applyFont="1" applyBorder="1" applyAlignment="1">
      <alignment horizontal="right"/>
    </xf>
    <xf numFmtId="0" fontId="4" fillId="0" borderId="40" xfId="0" applyFont="1" applyBorder="1" applyAlignment="1">
      <alignment horizontal="center"/>
    </xf>
    <xf numFmtId="165" fontId="0" fillId="4" borderId="4" xfId="0" applyNumberFormat="1" applyFont="1" applyFill="1" applyBorder="1"/>
    <xf numFmtId="10" fontId="0" fillId="0" borderId="0" xfId="0" applyNumberFormat="1"/>
    <xf numFmtId="165" fontId="4" fillId="4" borderId="4" xfId="0" applyNumberFormat="1" applyFont="1" applyFill="1" applyBorder="1" applyAlignment="1">
      <alignment vertical="center"/>
    </xf>
    <xf numFmtId="165" fontId="0" fillId="0" borderId="0" xfId="0" applyNumberFormat="1" applyFont="1" applyAlignment="1">
      <alignment vertical="center"/>
    </xf>
    <xf numFmtId="0" fontId="4" fillId="0" borderId="4" xfId="0" applyFont="1" applyBorder="1" applyAlignment="1">
      <alignment horizontal="center" vertical="center"/>
    </xf>
    <xf numFmtId="10" fontId="0" fillId="8" borderId="4" xfId="0" applyNumberFormat="1" applyFont="1" applyFill="1" applyBorder="1" applyAlignment="1">
      <alignment vertical="center"/>
    </xf>
    <xf numFmtId="164" fontId="0" fillId="0" borderId="4" xfId="0" applyNumberFormat="1" applyFont="1" applyBorder="1" applyAlignment="1">
      <alignment vertical="center"/>
    </xf>
    <xf numFmtId="164" fontId="0" fillId="8" borderId="4" xfId="0" applyNumberFormat="1" applyFont="1" applyFill="1" applyBorder="1" applyAlignment="1">
      <alignment vertical="center"/>
    </xf>
    <xf numFmtId="164" fontId="4" fillId="0" borderId="4" xfId="0" applyNumberFormat="1" applyFont="1" applyBorder="1" applyAlignment="1">
      <alignment vertical="center"/>
    </xf>
    <xf numFmtId="166" fontId="4" fillId="0" borderId="0" xfId="0" applyNumberFormat="1" applyFont="1" applyBorder="1"/>
    <xf numFmtId="10" fontId="6" fillId="4" borderId="4" xfId="1" applyNumberFormat="1" applyFont="1" applyFill="1" applyBorder="1" applyAlignment="1">
      <alignment vertical="center"/>
    </xf>
    <xf numFmtId="164" fontId="15" fillId="13" borderId="10" xfId="0" applyNumberFormat="1" applyFont="1" applyFill="1" applyBorder="1"/>
    <xf numFmtId="164" fontId="16" fillId="13" borderId="11" xfId="0" applyNumberFormat="1" applyFont="1" applyFill="1" applyBorder="1"/>
    <xf numFmtId="164" fontId="19" fillId="13" borderId="24" xfId="0" applyNumberFormat="1" applyFont="1" applyFill="1" applyBorder="1"/>
    <xf numFmtId="164" fontId="20" fillId="13" borderId="25" xfId="0" applyNumberFormat="1" applyFont="1" applyFill="1" applyBorder="1"/>
    <xf numFmtId="164" fontId="17" fillId="13" borderId="10" xfId="0" applyNumberFormat="1" applyFont="1" applyFill="1" applyBorder="1"/>
    <xf numFmtId="164" fontId="17" fillId="13" borderId="11" xfId="0" applyNumberFormat="1" applyFont="1" applyFill="1" applyBorder="1"/>
    <xf numFmtId="164" fontId="21" fillId="13" borderId="10" xfId="0" applyNumberFormat="1" applyFont="1" applyFill="1" applyBorder="1"/>
    <xf numFmtId="164" fontId="21" fillId="13" borderId="11" xfId="0" applyNumberFormat="1" applyFont="1" applyFill="1" applyBorder="1"/>
    <xf numFmtId="0" fontId="17" fillId="13" borderId="10" xfId="0" applyFont="1" applyFill="1" applyBorder="1"/>
    <xf numFmtId="0" fontId="21" fillId="13" borderId="10" xfId="0" applyFont="1" applyFill="1" applyBorder="1"/>
    <xf numFmtId="164" fontId="19" fillId="13" borderId="10" xfId="0" applyNumberFormat="1" applyFont="1" applyFill="1" applyBorder="1"/>
    <xf numFmtId="164" fontId="20" fillId="13" borderId="11" xfId="0" applyNumberFormat="1" applyFont="1" applyFill="1" applyBorder="1"/>
    <xf numFmtId="0" fontId="16" fillId="13" borderId="22" xfId="0" applyFont="1" applyFill="1" applyBorder="1"/>
    <xf numFmtId="168" fontId="16" fillId="13" borderId="23" xfId="0" applyNumberFormat="1" applyFont="1" applyFill="1" applyBorder="1"/>
    <xf numFmtId="0" fontId="20" fillId="13" borderId="22" xfId="0" applyFont="1" applyFill="1" applyBorder="1"/>
    <xf numFmtId="168" fontId="20" fillId="13" borderId="23" xfId="0" applyNumberFormat="1" applyFont="1" applyFill="1" applyBorder="1"/>
    <xf numFmtId="0" fontId="0" fillId="13" borderId="8" xfId="0" applyFont="1" applyFill="1" applyBorder="1"/>
    <xf numFmtId="0" fontId="0" fillId="13" borderId="0" xfId="0" applyFont="1" applyFill="1" applyBorder="1"/>
    <xf numFmtId="0" fontId="0" fillId="13" borderId="0" xfId="0" applyFill="1" applyBorder="1"/>
    <xf numFmtId="0" fontId="0" fillId="13" borderId="9" xfId="0" applyFill="1" applyBorder="1"/>
    <xf numFmtId="0" fontId="0" fillId="13" borderId="14" xfId="0" applyFill="1" applyBorder="1"/>
    <xf numFmtId="164" fontId="15" fillId="12" borderId="10" xfId="0" applyNumberFormat="1" applyFont="1" applyFill="1" applyBorder="1"/>
    <xf numFmtId="164" fontId="16" fillId="12" borderId="11" xfId="0" applyNumberFormat="1" applyFont="1" applyFill="1" applyBorder="1"/>
    <xf numFmtId="164" fontId="19" fillId="12" borderId="10" xfId="0" applyNumberFormat="1" applyFont="1" applyFill="1" applyBorder="1"/>
    <xf numFmtId="164" fontId="20" fillId="12" borderId="11" xfId="0" applyNumberFormat="1" applyFont="1" applyFill="1" applyBorder="1"/>
    <xf numFmtId="164" fontId="17" fillId="12" borderId="10" xfId="0" applyNumberFormat="1" applyFont="1" applyFill="1" applyBorder="1"/>
    <xf numFmtId="164" fontId="17" fillId="12" borderId="11" xfId="0" applyNumberFormat="1" applyFont="1" applyFill="1" applyBorder="1"/>
    <xf numFmtId="164" fontId="21" fillId="12" borderId="10" xfId="0" applyNumberFormat="1" applyFont="1" applyFill="1" applyBorder="1"/>
    <xf numFmtId="164" fontId="21" fillId="12" borderId="11" xfId="0" applyNumberFormat="1" applyFont="1" applyFill="1" applyBorder="1"/>
    <xf numFmtId="0" fontId="17" fillId="12" borderId="10" xfId="0" applyFont="1" applyFill="1" applyBorder="1"/>
    <xf numFmtId="0" fontId="21" fillId="12" borderId="10" xfId="0" applyFont="1" applyFill="1" applyBorder="1"/>
    <xf numFmtId="0" fontId="16" fillId="12" borderId="22" xfId="0" applyFont="1" applyFill="1" applyBorder="1"/>
    <xf numFmtId="168" fontId="16" fillId="12" borderId="23" xfId="0" applyNumberFormat="1" applyFont="1" applyFill="1" applyBorder="1"/>
    <xf numFmtId="0" fontId="20" fillId="12" borderId="22" xfId="0" applyFont="1" applyFill="1" applyBorder="1"/>
    <xf numFmtId="168" fontId="20" fillId="12" borderId="23" xfId="0" applyNumberFormat="1" applyFont="1" applyFill="1" applyBorder="1"/>
    <xf numFmtId="164" fontId="15" fillId="10" borderId="10" xfId="0" applyNumberFormat="1" applyFont="1" applyFill="1" applyBorder="1"/>
    <xf numFmtId="164" fontId="16" fillId="10" borderId="11" xfId="0" applyNumberFormat="1" applyFont="1" applyFill="1" applyBorder="1"/>
    <xf numFmtId="164" fontId="19" fillId="10" borderId="10" xfId="0" applyNumberFormat="1" applyFont="1" applyFill="1" applyBorder="1"/>
    <xf numFmtId="164" fontId="20" fillId="10" borderId="11" xfId="0" applyNumberFormat="1" applyFont="1" applyFill="1" applyBorder="1"/>
    <xf numFmtId="164" fontId="17" fillId="10" borderId="10" xfId="0" applyNumberFormat="1" applyFont="1" applyFill="1" applyBorder="1"/>
    <xf numFmtId="164" fontId="17" fillId="10" borderId="11" xfId="0" applyNumberFormat="1" applyFont="1" applyFill="1" applyBorder="1"/>
    <xf numFmtId="164" fontId="21" fillId="10" borderId="10" xfId="0" applyNumberFormat="1" applyFont="1" applyFill="1" applyBorder="1"/>
    <xf numFmtId="164" fontId="21" fillId="10" borderId="11" xfId="0" applyNumberFormat="1" applyFont="1" applyFill="1" applyBorder="1"/>
    <xf numFmtId="0" fontId="17" fillId="10" borderId="10" xfId="0" applyFont="1" applyFill="1" applyBorder="1"/>
    <xf numFmtId="0" fontId="21" fillId="10" borderId="10" xfId="0" applyFont="1" applyFill="1" applyBorder="1"/>
    <xf numFmtId="0" fontId="16" fillId="10" borderId="22" xfId="0" applyFont="1" applyFill="1" applyBorder="1"/>
    <xf numFmtId="168" fontId="16" fillId="10" borderId="23" xfId="0" applyNumberFormat="1" applyFont="1" applyFill="1" applyBorder="1"/>
    <xf numFmtId="0" fontId="20" fillId="10" borderId="22" xfId="0" applyFont="1" applyFill="1" applyBorder="1"/>
    <xf numFmtId="168" fontId="20" fillId="10" borderId="23" xfId="0" applyNumberFormat="1" applyFont="1" applyFill="1" applyBorder="1"/>
    <xf numFmtId="0" fontId="0" fillId="10" borderId="0" xfId="0" applyFill="1" applyBorder="1"/>
    <xf numFmtId="0" fontId="0" fillId="10" borderId="14" xfId="0" applyFill="1" applyBorder="1"/>
    <xf numFmtId="0" fontId="0" fillId="12" borderId="0" xfId="0" applyFill="1" applyBorder="1"/>
    <xf numFmtId="0" fontId="0" fillId="12" borderId="14" xfId="0" applyFill="1" applyBorder="1"/>
    <xf numFmtId="164" fontId="0" fillId="4" borderId="4" xfId="0" applyNumberFormat="1" applyFont="1" applyFill="1" applyBorder="1" applyAlignment="1">
      <alignment vertical="center"/>
    </xf>
    <xf numFmtId="0" fontId="32" fillId="10" borderId="28" xfId="0" applyFont="1" applyFill="1" applyBorder="1" applyAlignment="1">
      <alignment wrapText="1"/>
    </xf>
    <xf numFmtId="0" fontId="33" fillId="10" borderId="28" xfId="0" applyFont="1" applyFill="1" applyBorder="1" applyAlignment="1">
      <alignment wrapText="1"/>
    </xf>
    <xf numFmtId="0" fontId="18" fillId="13" borderId="18" xfId="0" applyFont="1" applyFill="1" applyBorder="1" applyAlignment="1">
      <alignment horizontal="center"/>
    </xf>
    <xf numFmtId="0" fontId="18" fillId="13" borderId="20" xfId="0" applyFont="1" applyFill="1" applyBorder="1" applyAlignment="1">
      <alignment horizontal="center"/>
    </xf>
    <xf numFmtId="164" fontId="0" fillId="4" borderId="4" xfId="0" applyNumberFormat="1" applyFont="1" applyFill="1" applyBorder="1"/>
    <xf numFmtId="164" fontId="17" fillId="8" borderId="11" xfId="0" applyNumberFormat="1" applyFont="1" applyFill="1" applyBorder="1"/>
    <xf numFmtId="164" fontId="21" fillId="8" borderId="11" xfId="0" applyNumberFormat="1" applyFont="1" applyFill="1" applyBorder="1"/>
    <xf numFmtId="0" fontId="13" fillId="0" borderId="18" xfId="0" applyFont="1" applyBorder="1" applyAlignment="1">
      <alignment horizontal="center" wrapText="1"/>
    </xf>
    <xf numFmtId="0" fontId="13" fillId="0" borderId="19" xfId="0" applyFont="1" applyBorder="1" applyAlignment="1">
      <alignment horizontal="center"/>
    </xf>
    <xf numFmtId="0" fontId="13" fillId="0" borderId="20" xfId="0" applyFont="1" applyBorder="1" applyAlignment="1">
      <alignment horizontal="center"/>
    </xf>
    <xf numFmtId="0" fontId="18" fillId="12" borderId="18" xfId="0" applyFont="1" applyFill="1" applyBorder="1" applyAlignment="1">
      <alignment horizontal="center"/>
    </xf>
    <xf numFmtId="0" fontId="18" fillId="12" borderId="20" xfId="0" applyFont="1" applyFill="1" applyBorder="1" applyAlignment="1">
      <alignment horizontal="center"/>
    </xf>
    <xf numFmtId="0" fontId="14" fillId="12" borderId="18" xfId="0" applyFont="1" applyFill="1" applyBorder="1" applyAlignment="1">
      <alignment horizontal="center"/>
    </xf>
    <xf numFmtId="0" fontId="14" fillId="12" borderId="20" xfId="0" applyFont="1" applyFill="1" applyBorder="1" applyAlignment="1">
      <alignment horizontal="center"/>
    </xf>
    <xf numFmtId="164" fontId="4" fillId="0" borderId="1" xfId="0" applyNumberFormat="1" applyFont="1" applyBorder="1" applyAlignment="1">
      <alignment horizontal="center" vertical="center"/>
    </xf>
    <xf numFmtId="164" fontId="4" fillId="0" borderId="3" xfId="0" applyNumberFormat="1" applyFont="1" applyBorder="1" applyAlignment="1">
      <alignment horizontal="center" vertical="center"/>
    </xf>
    <xf numFmtId="0" fontId="14" fillId="10" borderId="18" xfId="0" applyFont="1" applyFill="1" applyBorder="1" applyAlignment="1">
      <alignment horizontal="center"/>
    </xf>
    <xf numFmtId="0" fontId="14" fillId="10" borderId="20" xfId="0" applyFont="1" applyFill="1" applyBorder="1" applyAlignment="1">
      <alignment horizontal="center"/>
    </xf>
    <xf numFmtId="0" fontId="18" fillId="10" borderId="18" xfId="0" applyFont="1" applyFill="1" applyBorder="1" applyAlignment="1">
      <alignment horizontal="center"/>
    </xf>
    <xf numFmtId="0" fontId="18" fillId="10" borderId="20" xfId="0" applyFont="1" applyFill="1" applyBorder="1" applyAlignment="1">
      <alignment horizontal="center"/>
    </xf>
    <xf numFmtId="0" fontId="14" fillId="13" borderId="18" xfId="0" applyFont="1" applyFill="1" applyBorder="1" applyAlignment="1">
      <alignment horizontal="center"/>
    </xf>
    <xf numFmtId="0" fontId="14" fillId="13" borderId="20" xfId="0" applyFont="1" applyFill="1" applyBorder="1" applyAlignment="1">
      <alignment horizontal="center"/>
    </xf>
    <xf numFmtId="9" fontId="5" fillId="0" borderId="1" xfId="1" applyFont="1" applyBorder="1" applyAlignment="1">
      <alignment horizontal="center" vertical="center"/>
    </xf>
    <xf numFmtId="9" fontId="5" fillId="0" borderId="2" xfId="1" applyFont="1" applyBorder="1" applyAlignment="1">
      <alignment horizontal="center" vertical="center"/>
    </xf>
    <xf numFmtId="164" fontId="3" fillId="0" borderId="4" xfId="0" applyNumberFormat="1" applyFont="1" applyBorder="1" applyAlignment="1">
      <alignment horizontal="center" vertical="center"/>
    </xf>
    <xf numFmtId="164" fontId="2" fillId="6" borderId="24" xfId="0" applyNumberFormat="1" applyFont="1" applyFill="1" applyBorder="1" applyAlignment="1">
      <alignment horizontal="center" vertical="center"/>
    </xf>
    <xf numFmtId="164" fontId="2" fillId="6" borderId="17" xfId="0" applyNumberFormat="1" applyFont="1" applyFill="1" applyBorder="1" applyAlignment="1">
      <alignment horizontal="center" vertical="center"/>
    </xf>
    <xf numFmtId="164" fontId="2" fillId="6" borderId="25" xfId="0" applyNumberFormat="1" applyFont="1" applyFill="1" applyBorder="1" applyAlignment="1">
      <alignment horizontal="center" vertical="center"/>
    </xf>
    <xf numFmtId="164" fontId="3" fillId="0" borderId="18" xfId="0" applyNumberFormat="1" applyFont="1" applyBorder="1" applyAlignment="1">
      <alignment horizontal="center" vertical="center"/>
    </xf>
    <xf numFmtId="164" fontId="3" fillId="0" borderId="19" xfId="0" applyNumberFormat="1" applyFont="1" applyBorder="1" applyAlignment="1">
      <alignment horizontal="center" vertical="center"/>
    </xf>
    <xf numFmtId="164" fontId="3" fillId="0" borderId="20" xfId="0" applyNumberFormat="1" applyFont="1" applyBorder="1" applyAlignment="1">
      <alignment horizontal="center" vertical="center"/>
    </xf>
    <xf numFmtId="164" fontId="2" fillId="8" borderId="22" xfId="0" applyNumberFormat="1" applyFont="1" applyFill="1" applyBorder="1" applyAlignment="1">
      <alignment horizontal="center" vertical="center"/>
    </xf>
    <xf numFmtId="164" fontId="2" fillId="8" borderId="26" xfId="0" applyNumberFormat="1" applyFont="1" applyFill="1" applyBorder="1" applyAlignment="1">
      <alignment horizontal="center" vertical="center"/>
    </xf>
    <xf numFmtId="164" fontId="2" fillId="8" borderId="23" xfId="0" applyNumberFormat="1" applyFont="1" applyFill="1" applyBorder="1" applyAlignment="1">
      <alignment horizontal="center" vertical="center"/>
    </xf>
    <xf numFmtId="164" fontId="2" fillId="7" borderId="29" xfId="0" applyNumberFormat="1" applyFont="1" applyFill="1" applyBorder="1" applyAlignment="1">
      <alignment horizontal="center" vertical="center"/>
    </xf>
    <xf numFmtId="164" fontId="2" fillId="7" borderId="2" xfId="0" applyNumberFormat="1" applyFont="1" applyFill="1" applyBorder="1" applyAlignment="1">
      <alignment horizontal="center" vertical="center"/>
    </xf>
    <xf numFmtId="164" fontId="2" fillId="7" borderId="12" xfId="0" applyNumberFormat="1" applyFont="1" applyFill="1" applyBorder="1" applyAlignment="1">
      <alignment horizontal="center" vertical="center"/>
    </xf>
    <xf numFmtId="164" fontId="2" fillId="5" borderId="29" xfId="0" applyNumberFormat="1" applyFont="1" applyFill="1" applyBorder="1" applyAlignment="1">
      <alignment horizontal="center" vertical="center"/>
    </xf>
    <xf numFmtId="164" fontId="2" fillId="5" borderId="2" xfId="0" applyNumberFormat="1" applyFont="1" applyFill="1" applyBorder="1" applyAlignment="1">
      <alignment horizontal="center" vertical="center"/>
    </xf>
    <xf numFmtId="164" fontId="2" fillId="5" borderId="12" xfId="0" applyNumberFormat="1" applyFont="1" applyFill="1" applyBorder="1" applyAlignment="1">
      <alignment horizontal="center" vertical="center"/>
    </xf>
    <xf numFmtId="164" fontId="13" fillId="0" borderId="18" xfId="0" applyNumberFormat="1" applyFont="1" applyBorder="1" applyAlignment="1">
      <alignment horizontal="center" vertical="center"/>
    </xf>
    <xf numFmtId="164" fontId="13" fillId="0" borderId="19" xfId="0" applyNumberFormat="1" applyFont="1" applyBorder="1" applyAlignment="1">
      <alignment horizontal="center" vertical="center"/>
    </xf>
    <xf numFmtId="164" fontId="13" fillId="0" borderId="20" xfId="0" applyNumberFormat="1" applyFont="1" applyBorder="1" applyAlignment="1">
      <alignment horizontal="center" vertical="center"/>
    </xf>
    <xf numFmtId="164" fontId="11" fillId="0" borderId="0" xfId="0" applyNumberFormat="1" applyFont="1" applyAlignment="1">
      <alignment horizontal="right" vertical="center"/>
    </xf>
    <xf numFmtId="164" fontId="11" fillId="0" borderId="9" xfId="0" applyNumberFormat="1" applyFont="1" applyBorder="1" applyAlignment="1">
      <alignment horizontal="right" vertical="center"/>
    </xf>
    <xf numFmtId="164" fontId="11" fillId="0" borderId="0" xfId="0" applyNumberFormat="1" applyFont="1" applyAlignment="1">
      <alignment horizontal="right" vertical="center" wrapText="1"/>
    </xf>
    <xf numFmtId="164" fontId="11" fillId="0" borderId="9" xfId="0" applyNumberFormat="1" applyFont="1" applyBorder="1" applyAlignment="1">
      <alignment horizontal="right" vertical="center" wrapText="1"/>
    </xf>
    <xf numFmtId="0" fontId="9" fillId="0" borderId="0" xfId="0" applyFont="1" applyBorder="1" applyAlignment="1">
      <alignment horizontal="right" vertical="center"/>
    </xf>
    <xf numFmtId="0" fontId="9" fillId="0" borderId="9" xfId="0" applyFont="1" applyBorder="1" applyAlignment="1">
      <alignment horizontal="right" vertical="center"/>
    </xf>
    <xf numFmtId="0" fontId="9" fillId="0" borderId="0" xfId="0" applyFont="1" applyAlignment="1">
      <alignment horizontal="right" vertical="center"/>
    </xf>
    <xf numFmtId="164" fontId="2" fillId="6" borderId="10" xfId="0" applyNumberFormat="1" applyFont="1" applyFill="1" applyBorder="1" applyAlignment="1">
      <alignment horizontal="center" vertical="center"/>
    </xf>
    <xf numFmtId="164" fontId="2" fillId="6" borderId="4" xfId="0" applyNumberFormat="1" applyFont="1" applyFill="1" applyBorder="1" applyAlignment="1">
      <alignment horizontal="center" vertical="center"/>
    </xf>
    <xf numFmtId="164" fontId="2" fillId="6" borderId="11" xfId="0" applyNumberFormat="1" applyFont="1" applyFill="1" applyBorder="1" applyAlignment="1">
      <alignment horizontal="center" vertical="center"/>
    </xf>
    <xf numFmtId="164" fontId="2" fillId="5" borderId="10" xfId="0" applyNumberFormat="1" applyFont="1" applyFill="1" applyBorder="1" applyAlignment="1">
      <alignment horizontal="center" vertical="center"/>
    </xf>
    <xf numFmtId="164" fontId="2" fillId="5" borderId="4" xfId="0" applyNumberFormat="1" applyFont="1" applyFill="1" applyBorder="1" applyAlignment="1">
      <alignment horizontal="center" vertical="center"/>
    </xf>
    <xf numFmtId="164" fontId="2" fillId="5" borderId="11" xfId="0" applyNumberFormat="1" applyFont="1" applyFill="1" applyBorder="1" applyAlignment="1">
      <alignment horizontal="center" vertical="center"/>
    </xf>
    <xf numFmtId="164" fontId="13" fillId="0" borderId="18" xfId="0" applyNumberFormat="1" applyFont="1" applyBorder="1" applyAlignment="1">
      <alignment horizontal="center" vertical="center" wrapText="1"/>
    </xf>
    <xf numFmtId="164" fontId="3" fillId="0" borderId="16" xfId="0" applyNumberFormat="1" applyFont="1" applyBorder="1" applyAlignment="1">
      <alignment horizontal="center" vertical="center"/>
    </xf>
    <xf numFmtId="164" fontId="3" fillId="0" borderId="6" xfId="0" applyNumberFormat="1" applyFont="1" applyBorder="1" applyAlignment="1">
      <alignment horizontal="center" vertical="center"/>
    </xf>
    <xf numFmtId="164" fontId="3" fillId="0" borderId="7" xfId="0" applyNumberFormat="1" applyFont="1" applyBorder="1" applyAlignment="1">
      <alignment horizontal="center" vertical="center"/>
    </xf>
    <xf numFmtId="164" fontId="2" fillId="7" borderId="10" xfId="0" applyNumberFormat="1" applyFont="1" applyFill="1" applyBorder="1" applyAlignment="1">
      <alignment horizontal="center" vertical="center"/>
    </xf>
    <xf numFmtId="164" fontId="2" fillId="7" borderId="4" xfId="0" applyNumberFormat="1" applyFont="1" applyFill="1" applyBorder="1" applyAlignment="1">
      <alignment horizontal="center" vertical="center"/>
    </xf>
    <xf numFmtId="164" fontId="2" fillId="7" borderId="11" xfId="0" applyNumberFormat="1" applyFont="1" applyFill="1" applyBorder="1" applyAlignment="1">
      <alignment horizontal="center" vertical="center"/>
    </xf>
    <xf numFmtId="164" fontId="2" fillId="9" borderId="10" xfId="0" applyNumberFormat="1" applyFont="1" applyFill="1" applyBorder="1" applyAlignment="1">
      <alignment horizontal="center" vertical="center"/>
    </xf>
    <xf numFmtId="164" fontId="2" fillId="9" borderId="4" xfId="0" applyNumberFormat="1" applyFont="1" applyFill="1" applyBorder="1" applyAlignment="1">
      <alignment horizontal="center" vertical="center"/>
    </xf>
    <xf numFmtId="164" fontId="2" fillId="9" borderId="11" xfId="0" applyNumberFormat="1" applyFont="1" applyFill="1" applyBorder="1" applyAlignment="1">
      <alignment horizontal="center" vertical="center"/>
    </xf>
    <xf numFmtId="164" fontId="4" fillId="14" borderId="16" xfId="0" applyNumberFormat="1" applyFont="1" applyFill="1" applyBorder="1" applyAlignment="1">
      <alignment horizontal="center"/>
    </xf>
    <xf numFmtId="164" fontId="4" fillId="14" borderId="6" xfId="0" applyNumberFormat="1" applyFont="1" applyFill="1" applyBorder="1" applyAlignment="1">
      <alignment horizontal="center"/>
    </xf>
    <xf numFmtId="164" fontId="4" fillId="14" borderId="7" xfId="0" applyNumberFormat="1" applyFont="1" applyFill="1" applyBorder="1" applyAlignment="1">
      <alignment horizontal="center"/>
    </xf>
    <xf numFmtId="164" fontId="4" fillId="8" borderId="16" xfId="0" applyNumberFormat="1" applyFont="1" applyFill="1" applyBorder="1" applyAlignment="1">
      <alignment horizontal="center"/>
    </xf>
    <xf numFmtId="164" fontId="4" fillId="8" borderId="6" xfId="0" applyNumberFormat="1" applyFont="1" applyFill="1" applyBorder="1" applyAlignment="1">
      <alignment horizontal="center"/>
    </xf>
    <xf numFmtId="164" fontId="4" fillId="8" borderId="7" xfId="0" applyNumberFormat="1" applyFont="1" applyFill="1" applyBorder="1" applyAlignment="1">
      <alignment horizontal="center"/>
    </xf>
    <xf numFmtId="0" fontId="0" fillId="10" borderId="8" xfId="0" applyFill="1" applyBorder="1"/>
    <xf numFmtId="0" fontId="0" fillId="10" borderId="9" xfId="0" applyFill="1" applyBorder="1"/>
    <xf numFmtId="166" fontId="4" fillId="12" borderId="0" xfId="0" applyNumberFormat="1" applyFont="1" applyFill="1" applyBorder="1"/>
    <xf numFmtId="164" fontId="6" fillId="12" borderId="0" xfId="0" applyNumberFormat="1" applyFont="1" applyFill="1" applyBorder="1" applyAlignment="1">
      <alignment vertical="center"/>
    </xf>
    <xf numFmtId="164" fontId="4" fillId="15" borderId="16" xfId="0" applyNumberFormat="1" applyFont="1" applyFill="1" applyBorder="1" applyAlignment="1">
      <alignment horizontal="center"/>
    </xf>
    <xf numFmtId="164" fontId="4" fillId="15" borderId="6" xfId="0" applyNumberFormat="1" applyFont="1" applyFill="1" applyBorder="1" applyAlignment="1">
      <alignment horizontal="center"/>
    </xf>
    <xf numFmtId="164" fontId="4" fillId="15" borderId="7" xfId="0" applyNumberFormat="1" applyFont="1" applyFill="1" applyBorder="1" applyAlignment="1">
      <alignment horizontal="center"/>
    </xf>
    <xf numFmtId="164" fontId="4" fillId="12" borderId="8" xfId="0" applyNumberFormat="1" applyFont="1" applyFill="1" applyBorder="1"/>
    <xf numFmtId="164" fontId="6" fillId="12" borderId="9" xfId="0" applyNumberFormat="1" applyFont="1" applyFill="1" applyBorder="1" applyAlignment="1">
      <alignment vertical="center"/>
    </xf>
    <xf numFmtId="0" fontId="4" fillId="0" borderId="0" xfId="0" applyFont="1" applyAlignment="1">
      <alignment vertical="center" wrapText="1"/>
    </xf>
    <xf numFmtId="0" fontId="4" fillId="8" borderId="4" xfId="0" applyFont="1" applyFill="1" applyBorder="1" applyAlignment="1">
      <alignment horizontal="center" vertical="center"/>
    </xf>
    <xf numFmtId="0" fontId="6" fillId="0" borderId="4" xfId="0" applyFont="1" applyBorder="1" applyAlignment="1">
      <alignment vertical="center"/>
    </xf>
  </cellXfs>
  <cellStyles count="2">
    <cellStyle name="Normal" xfId="0" builtinId="0"/>
    <cellStyle name="Pourcentage" xfId="1" builtinId="5"/>
  </cellStyles>
  <dxfs count="42">
    <dxf>
      <fill>
        <patternFill>
          <bgColor theme="7" tint="-0.24994659260841701"/>
        </patternFill>
      </fill>
    </dxf>
    <dxf>
      <fill>
        <patternFill>
          <bgColor theme="7" tint="-0.24994659260841701"/>
        </patternFill>
      </fill>
    </dxf>
    <dxf>
      <fill>
        <patternFill>
          <bgColor rgb="FF7030A0"/>
        </patternFill>
      </fill>
    </dxf>
    <dxf>
      <fill>
        <patternFill>
          <bgColor rgb="FF7030A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7030A0"/>
        </patternFill>
      </fill>
    </dxf>
    <dxf>
      <fill>
        <patternFill>
          <bgColor rgb="FF7030A0"/>
        </patternFill>
      </fill>
    </dxf>
    <dxf>
      <fill>
        <patternFill>
          <bgColor rgb="FF7030A0"/>
        </patternFill>
      </fill>
    </dxf>
    <dxf>
      <fill>
        <patternFill>
          <bgColor rgb="FFFFC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7030A0"/>
        </patternFill>
      </fill>
    </dxf>
    <dxf>
      <fill>
        <patternFill>
          <bgColor rgb="FFFFC000"/>
        </patternFill>
      </fill>
    </dxf>
    <dxf>
      <fill>
        <patternFill>
          <bgColor rgb="FFFF0000"/>
        </patternFill>
      </fill>
    </dxf>
    <dxf>
      <fill>
        <patternFill>
          <bgColor rgb="FF7030A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7030A0"/>
        </patternFill>
      </fill>
    </dxf>
    <dxf>
      <fill>
        <patternFill>
          <bgColor rgb="FF7030A0"/>
        </patternFill>
      </fill>
    </dxf>
    <dxf>
      <fill>
        <patternFill>
          <bgColor rgb="FF7030A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7030A0"/>
        </patternFill>
      </fill>
    </dxf>
    <dxf>
      <fill>
        <patternFill>
          <bgColor rgb="FF7030A0"/>
        </patternFill>
      </fill>
    </dxf>
    <dxf>
      <fill>
        <patternFill>
          <bgColor rgb="FF7030A0"/>
        </patternFill>
      </fill>
    </dxf>
    <dxf>
      <fill>
        <patternFill>
          <bgColor rgb="FFFFC000"/>
        </patternFill>
      </fill>
    </dxf>
    <dxf>
      <fill>
        <patternFill>
          <bgColor rgb="FFFF0000"/>
        </patternFill>
      </fill>
    </dxf>
  </dxfs>
  <tableStyles count="0" defaultTableStyle="TableStyleMedium2" defaultPivotStyle="PivotStyleLight16"/>
  <colors>
    <mruColors>
      <color rgb="FFCCC700"/>
      <color rgb="FFF0EA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Radio" firstButton="1" fmlaLink="$C$3" lockText="1" noThreeD="1"/>
</file>

<file path=xl/ctrlProps/ctrlProp2.xml><?xml version="1.0" encoding="utf-8"?>
<formControlPr xmlns="http://schemas.microsoft.com/office/spreadsheetml/2009/9/main" objectType="Radio" checked="Checked" lockText="1" noThreeD="1"/>
</file>

<file path=xl/ctrlProps/ctrlProp3.xml><?xml version="1.0" encoding="utf-8"?>
<formControlPr xmlns="http://schemas.microsoft.com/office/spreadsheetml/2009/9/main" objectType="Radio"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190500</xdr:colOff>
          <xdr:row>4</xdr:row>
          <xdr:rowOff>0</xdr:rowOff>
        </xdr:from>
        <xdr:to>
          <xdr:col>3</xdr:col>
          <xdr:colOff>409575</xdr:colOff>
          <xdr:row>5</xdr:row>
          <xdr:rowOff>19050</xdr:rowOff>
        </xdr:to>
        <xdr:sp macro="" textlink="">
          <xdr:nvSpPr>
            <xdr:cNvPr id="15361" name="Option Button 1" hidden="1">
              <a:extLst>
                <a:ext uri="{63B3BB69-23CF-44E3-9099-C40C66FF867C}">
                  <a14:compatExt spid="_x0000_s153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190500</xdr:colOff>
          <xdr:row>5</xdr:row>
          <xdr:rowOff>76200</xdr:rowOff>
        </xdr:from>
        <xdr:to>
          <xdr:col>3</xdr:col>
          <xdr:colOff>409575</xdr:colOff>
          <xdr:row>5</xdr:row>
          <xdr:rowOff>285750</xdr:rowOff>
        </xdr:to>
        <xdr:sp macro="" textlink="">
          <xdr:nvSpPr>
            <xdr:cNvPr id="15362" name="Option Button 2" hidden="1">
              <a:extLst>
                <a:ext uri="{63B3BB69-23CF-44E3-9099-C40C66FF867C}">
                  <a14:compatExt spid="_x0000_s153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200025</xdr:colOff>
          <xdr:row>6</xdr:row>
          <xdr:rowOff>9525</xdr:rowOff>
        </xdr:from>
        <xdr:to>
          <xdr:col>3</xdr:col>
          <xdr:colOff>419100</xdr:colOff>
          <xdr:row>6</xdr:row>
          <xdr:rowOff>219075</xdr:rowOff>
        </xdr:to>
        <xdr:sp macro="" textlink="">
          <xdr:nvSpPr>
            <xdr:cNvPr id="15363" name="Option Button 3" hidden="1">
              <a:extLst>
                <a:ext uri="{63B3BB69-23CF-44E3-9099-C40C66FF867C}">
                  <a14:compatExt spid="_x0000_s15363"/>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mon/Desktop/divers/IEP/fil%20rouge/RAPPORT%20FINAL/outil%20simulation%20emprun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ice"/>
      <sheetName val="récap ratios"/>
      <sheetName val="recettes fiscales"/>
      <sheetName val="prospective"/>
      <sheetName val="dette avec nvx emprunts"/>
      <sheetName val="dette existante"/>
      <sheetName val="liste emprunts"/>
      <sheetName val="simul emprunt 1"/>
      <sheetName val="emprunt 1"/>
      <sheetName val="simul emprunt 2"/>
      <sheetName val="emprunt 2"/>
      <sheetName val="simul emprunt 3"/>
      <sheetName val="emprunt 3"/>
      <sheetName val="simul emprunt 4"/>
      <sheetName val="emprunt 4"/>
      <sheetName val="simul emprunt 5"/>
      <sheetName val="emprunt 5"/>
      <sheetName val="simul emprunt 6"/>
      <sheetName val="emprunt 6"/>
      <sheetName val="simul emprunt 7"/>
      <sheetName val="emprunt 7"/>
      <sheetName val="simul emprunt 8"/>
      <sheetName val="emprunt 8"/>
      <sheetName val="simul emprunt 9"/>
      <sheetName val="emprunt 9"/>
    </sheetNames>
    <sheetDataSet>
      <sheetData sheetId="0"/>
      <sheetData sheetId="1"/>
      <sheetData sheetId="2"/>
      <sheetData sheetId="3">
        <row r="356">
          <cell r="H356">
            <v>7930</v>
          </cell>
          <cell r="I356">
            <v>7964</v>
          </cell>
          <cell r="J356">
            <v>8006</v>
          </cell>
          <cell r="K356">
            <v>8048</v>
          </cell>
          <cell r="L356">
            <v>8082.6063999999997</v>
          </cell>
          <cell r="M356">
            <v>8117.3616075199998</v>
          </cell>
          <cell r="N356">
            <v>8152.2662624323357</v>
          </cell>
          <cell r="O356">
            <v>8187.3210073607943</v>
          </cell>
          <cell r="P356">
            <v>8222.5264876924448</v>
          </cell>
          <cell r="Q356">
            <v>8257.8833515895221</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32"/>
  <sheetViews>
    <sheetView workbookViewId="0">
      <selection activeCell="C16" sqref="C16"/>
    </sheetView>
  </sheetViews>
  <sheetFormatPr baseColWidth="10" defaultRowHeight="15" x14ac:dyDescent="0.25"/>
  <cols>
    <col min="1" max="1" width="111.42578125" style="129" customWidth="1"/>
  </cols>
  <sheetData>
    <row r="1" spans="1:1" ht="15.75" thickBot="1" x14ac:dyDescent="0.3">
      <c r="A1" s="128" t="s">
        <v>58</v>
      </c>
    </row>
    <row r="2" spans="1:1" ht="15.75" thickBot="1" x14ac:dyDescent="0.3"/>
    <row r="3" spans="1:1" x14ac:dyDescent="0.25">
      <c r="A3" s="131" t="s">
        <v>59</v>
      </c>
    </row>
    <row r="4" spans="1:1" ht="31.5" customHeight="1" x14ac:dyDescent="0.25">
      <c r="A4" s="132" t="s">
        <v>63</v>
      </c>
    </row>
    <row r="5" spans="1:1" x14ac:dyDescent="0.25">
      <c r="A5" s="133" t="s">
        <v>102</v>
      </c>
    </row>
    <row r="6" spans="1:1" x14ac:dyDescent="0.25">
      <c r="A6" s="134" t="s">
        <v>62</v>
      </c>
    </row>
    <row r="7" spans="1:1" ht="15.75" customHeight="1" thickBot="1" x14ac:dyDescent="0.3">
      <c r="A7" s="135" t="s">
        <v>103</v>
      </c>
    </row>
    <row r="8" spans="1:1" ht="15.75" thickBot="1" x14ac:dyDescent="0.3"/>
    <row r="9" spans="1:1" x14ac:dyDescent="0.25">
      <c r="A9" s="130" t="s">
        <v>60</v>
      </c>
    </row>
    <row r="10" spans="1:1" x14ac:dyDescent="0.25">
      <c r="A10" s="139" t="s">
        <v>104</v>
      </c>
    </row>
    <row r="11" spans="1:1" ht="39" x14ac:dyDescent="0.25">
      <c r="A11" s="237" t="s">
        <v>109</v>
      </c>
    </row>
    <row r="12" spans="1:1" x14ac:dyDescent="0.25">
      <c r="A12" s="237" t="s">
        <v>105</v>
      </c>
    </row>
    <row r="13" spans="1:1" ht="26.25" x14ac:dyDescent="0.25">
      <c r="A13" s="238" t="s">
        <v>106</v>
      </c>
    </row>
    <row r="14" spans="1:1" x14ac:dyDescent="0.25">
      <c r="A14" s="139"/>
    </row>
    <row r="15" spans="1:1" x14ac:dyDescent="0.25">
      <c r="A15" s="139" t="s">
        <v>110</v>
      </c>
    </row>
    <row r="16" spans="1:1" ht="51.75" x14ac:dyDescent="0.25">
      <c r="A16" s="139" t="s">
        <v>111</v>
      </c>
    </row>
    <row r="17" spans="1:1" x14ac:dyDescent="0.25">
      <c r="A17" s="139" t="s">
        <v>65</v>
      </c>
    </row>
    <row r="18" spans="1:1" ht="26.25" x14ac:dyDescent="0.25">
      <c r="A18" s="139" t="s">
        <v>66</v>
      </c>
    </row>
    <row r="19" spans="1:1" ht="26.25" x14ac:dyDescent="0.25">
      <c r="A19" s="139" t="s">
        <v>67</v>
      </c>
    </row>
    <row r="20" spans="1:1" ht="10.5" customHeight="1" x14ac:dyDescent="0.25">
      <c r="A20" s="139"/>
    </row>
    <row r="21" spans="1:1" ht="18.75" customHeight="1" x14ac:dyDescent="0.25">
      <c r="A21" s="139" t="s">
        <v>78</v>
      </c>
    </row>
    <row r="22" spans="1:1" x14ac:dyDescent="0.25">
      <c r="A22" s="139" t="s">
        <v>79</v>
      </c>
    </row>
    <row r="23" spans="1:1" ht="15.75" thickBot="1" x14ac:dyDescent="0.3">
      <c r="A23" s="140" t="s">
        <v>80</v>
      </c>
    </row>
    <row r="24" spans="1:1" ht="15.75" thickBot="1" x14ac:dyDescent="0.3"/>
    <row r="25" spans="1:1" x14ac:dyDescent="0.25">
      <c r="A25" s="136" t="s">
        <v>61</v>
      </c>
    </row>
    <row r="26" spans="1:1" x14ac:dyDescent="0.25">
      <c r="A26" s="137" t="s">
        <v>64</v>
      </c>
    </row>
    <row r="27" spans="1:1" ht="26.25" x14ac:dyDescent="0.25">
      <c r="A27" s="141" t="s">
        <v>107</v>
      </c>
    </row>
    <row r="28" spans="1:1" ht="26.25" x14ac:dyDescent="0.25">
      <c r="A28" s="142" t="s">
        <v>108</v>
      </c>
    </row>
    <row r="29" spans="1:1" ht="39" x14ac:dyDescent="0.25">
      <c r="A29" s="137" t="s">
        <v>68</v>
      </c>
    </row>
    <row r="30" spans="1:1" x14ac:dyDescent="0.25">
      <c r="A30" s="137"/>
    </row>
    <row r="31" spans="1:1" x14ac:dyDescent="0.25">
      <c r="A31" s="137" t="s">
        <v>81</v>
      </c>
    </row>
    <row r="32" spans="1:1" ht="15.75" thickBot="1" x14ac:dyDescent="0.3">
      <c r="A32" s="138" t="s">
        <v>82</v>
      </c>
    </row>
  </sheetData>
  <printOptions horizontalCentered="1" verticalCentered="1"/>
  <pageMargins left="0.70866141732283472" right="0.70866141732283472" top="0.74803149606299213" bottom="0.74803149606299213" header="0.31496062992125984" footer="0.31496062992125984"/>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FF0000"/>
  </sheetPr>
  <dimension ref="B2:D16"/>
  <sheetViews>
    <sheetView workbookViewId="0">
      <selection activeCell="H13" sqref="H13"/>
    </sheetView>
  </sheetViews>
  <sheetFormatPr baseColWidth="10" defaultRowHeight="15" x14ac:dyDescent="0.25"/>
  <cols>
    <col min="1" max="1" width="2.28515625" customWidth="1"/>
    <col min="2" max="2" width="80.85546875" customWidth="1"/>
    <col min="3" max="3" width="10.5703125" customWidth="1"/>
    <col min="4" max="4" width="11.28515625" customWidth="1"/>
  </cols>
  <sheetData>
    <row r="2" spans="2:4" ht="15.75" thickBot="1" x14ac:dyDescent="0.3"/>
    <row r="3" spans="2:4" ht="15.75" thickBot="1" x14ac:dyDescent="0.3">
      <c r="B3" s="170" t="s">
        <v>70</v>
      </c>
      <c r="C3" s="171">
        <v>2</v>
      </c>
    </row>
    <row r="4" spans="2:4" ht="15.75" thickBot="1" x14ac:dyDescent="0.3"/>
    <row r="5" spans="2:4" x14ac:dyDescent="0.25">
      <c r="B5" s="164" t="s">
        <v>102</v>
      </c>
      <c r="C5" s="165"/>
    </row>
    <row r="6" spans="2:4" ht="29.25" customHeight="1" x14ac:dyDescent="0.25">
      <c r="B6" s="166" t="s">
        <v>62</v>
      </c>
      <c r="C6" s="167"/>
    </row>
    <row r="7" spans="2:4" ht="29.25" thickBot="1" x14ac:dyDescent="0.3">
      <c r="B7" s="168" t="s">
        <v>103</v>
      </c>
      <c r="C7" s="169"/>
    </row>
    <row r="8" spans="2:4" ht="15.75" thickBot="1" x14ac:dyDescent="0.3"/>
    <row r="9" spans="2:4" ht="15.75" thickBot="1" x14ac:dyDescent="0.3">
      <c r="C9" s="151" t="s">
        <v>57</v>
      </c>
      <c r="D9" s="155" t="s">
        <v>1</v>
      </c>
    </row>
    <row r="10" spans="2:4" x14ac:dyDescent="0.25">
      <c r="B10" s="152" t="s">
        <v>71</v>
      </c>
      <c r="C10" s="160">
        <f>IF($C$3=1,'simul. produit fiscal habitant'!I23,IF($C$3=2,'simul. équilibre budget'!J23,'simul. variation différenciée'!J26))</f>
        <v>2952374.6000000006</v>
      </c>
      <c r="D10" s="156">
        <f>IF($C$3=1,'simul. produit fiscal habitant'!I34,IF($C$3=2,'simul. équilibre budget'!J34,'simul. variation différenciée'!J37))</f>
        <v>2010427.4</v>
      </c>
    </row>
    <row r="11" spans="2:4" x14ac:dyDescent="0.25">
      <c r="B11" s="153" t="s">
        <v>72</v>
      </c>
      <c r="C11" s="161">
        <f>IF($C$3=1,'simul. produit fiscal habitant'!E14,IF($C$3=2,'simul. équilibre budget'!E10,'simul. variation différenciée'!E17))</f>
        <v>7000000</v>
      </c>
      <c r="D11" s="161">
        <f>IF($C$3=1,'simul. produit fiscal habitant'!F14,IF($C$3=2,'simul. équilibre budget'!F10,'simul. variation différenciée'!F17))</f>
        <v>5200000</v>
      </c>
    </row>
    <row r="12" spans="2:4" x14ac:dyDescent="0.25">
      <c r="B12" s="153" t="s">
        <v>73</v>
      </c>
      <c r="C12" s="161">
        <f>IF($C$3=1,'simul. produit fiscal habitant'!H23,IF($C$3=2,'simul. équilibre budget'!K23,'simul. variation différenciée'!K26))</f>
        <v>370.71504269211459</v>
      </c>
      <c r="D12" s="157">
        <f>IF($C$3=1,'simul. produit fiscal habitant'!H34,IF($C$3=2,'simul. équilibre budget'!K34,'simul. variation différenciée'!K37))</f>
        <v>252.43940231039676</v>
      </c>
    </row>
    <row r="13" spans="2:4" x14ac:dyDescent="0.25">
      <c r="B13" s="153" t="s">
        <v>76</v>
      </c>
      <c r="C13" s="162">
        <f>IF($C$3=1,'simul. produit fiscal habitant'!L20,IF($C$3=2,'simul. équilibre budget'!H20,'simul. variation différenciée'!H23))</f>
        <v>0.185551963032177</v>
      </c>
      <c r="D13" s="158">
        <f>IF($C$3=1,'simul. produit fiscal habitant'!L31,IF($C$3=2,'simul. équilibre budget'!H31,'simul. variation différenciée'!H34))</f>
        <v>0.23169644022279529</v>
      </c>
    </row>
    <row r="14" spans="2:4" x14ac:dyDescent="0.25">
      <c r="B14" s="153" t="s">
        <v>77</v>
      </c>
      <c r="C14" s="162">
        <f>IF($C$3=1,'simul. produit fiscal habitant'!L21,IF($C$3=2,'simul. équilibre budget'!H21,'simul. variation différenciée'!H24))</f>
        <v>0.18555196303217683</v>
      </c>
      <c r="D14" s="158">
        <f>IF($C$3=1,'simul. produit fiscal habitant'!L32,IF($C$3=2,'simul. équilibre budget'!H32,'simul. variation différenciée'!H35))</f>
        <v>0.23169644022279534</v>
      </c>
    </row>
    <row r="15" spans="2:4" x14ac:dyDescent="0.25">
      <c r="B15" s="153" t="s">
        <v>74</v>
      </c>
      <c r="C15" s="162">
        <f>IF($C$3=1,'simul. produit fiscal habitant'!M20,IF($C$3=2,'simul. équilibre budget'!I20,'simul. variation différenciée'!I23))</f>
        <v>0.19834284341528322</v>
      </c>
      <c r="D15" s="158">
        <f>IF($C$3=1,'simul. produit fiscal habitant'!M31,IF($C$3=2,'simul. équilibre budget'!I31,'simul. variation différenciée'!I34))</f>
        <v>0.20606281444927366</v>
      </c>
    </row>
    <row r="16" spans="2:4" ht="15.75" thickBot="1" x14ac:dyDescent="0.3">
      <c r="B16" s="154" t="s">
        <v>75</v>
      </c>
      <c r="C16" s="163">
        <f>IF($C$3=1,'simul. produit fiscal habitant'!M21,IF($C$3=2,'simul. équilibre budget'!I21,'simul. variation différenciée'!I24))</f>
        <v>0.54618378936892387</v>
      </c>
      <c r="D16" s="159">
        <f>IF($C$3=1,'simul. produit fiscal habitant'!M32,IF($C$3=2,'simul. équilibre budget'!I32,'simul. variation différenciée'!I35))</f>
        <v>0.56744255001064181</v>
      </c>
    </row>
  </sheetData>
  <printOptions horizontalCentered="1" verticalCentered="1"/>
  <pageMargins left="0.70866141732283472" right="0.70866141732283472" top="0.74803149606299213" bottom="0.74803149606299213" header="0.31496062992125984" footer="0.31496062992125984"/>
  <pageSetup paperSize="9" orientation="landscape" r:id="rId1"/>
  <headerFooter>
    <oddHeader>&amp;C&amp;"-,Gras"&amp;14RECAPITULATIF DES PRINCIPALES VARIABLES SELON L'OPTION CHOISIE</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15361" r:id="rId4" name="Option Button 1">
              <controlPr defaultSize="0" autoFill="0" autoLine="0" autoPict="0">
                <anchor moveWithCells="1">
                  <from>
                    <xdr:col>2</xdr:col>
                    <xdr:colOff>190500</xdr:colOff>
                    <xdr:row>4</xdr:row>
                    <xdr:rowOff>0</xdr:rowOff>
                  </from>
                  <to>
                    <xdr:col>3</xdr:col>
                    <xdr:colOff>409575</xdr:colOff>
                    <xdr:row>5</xdr:row>
                    <xdr:rowOff>19050</xdr:rowOff>
                  </to>
                </anchor>
              </controlPr>
            </control>
          </mc:Choice>
        </mc:AlternateContent>
        <mc:AlternateContent xmlns:mc="http://schemas.openxmlformats.org/markup-compatibility/2006">
          <mc:Choice Requires="x14">
            <control shapeId="15362" r:id="rId5" name="Option Button 2">
              <controlPr defaultSize="0" autoFill="0" autoLine="0" autoPict="0">
                <anchor moveWithCells="1">
                  <from>
                    <xdr:col>2</xdr:col>
                    <xdr:colOff>190500</xdr:colOff>
                    <xdr:row>5</xdr:row>
                    <xdr:rowOff>76200</xdr:rowOff>
                  </from>
                  <to>
                    <xdr:col>3</xdr:col>
                    <xdr:colOff>409575</xdr:colOff>
                    <xdr:row>5</xdr:row>
                    <xdr:rowOff>285750</xdr:rowOff>
                  </to>
                </anchor>
              </controlPr>
            </control>
          </mc:Choice>
        </mc:AlternateContent>
        <mc:AlternateContent xmlns:mc="http://schemas.openxmlformats.org/markup-compatibility/2006">
          <mc:Choice Requires="x14">
            <control shapeId="15363" r:id="rId6" name="Option Button 3">
              <controlPr defaultSize="0" autoFill="0" autoLine="0" autoPict="0">
                <anchor moveWithCells="1">
                  <from>
                    <xdr:col>2</xdr:col>
                    <xdr:colOff>200025</xdr:colOff>
                    <xdr:row>6</xdr:row>
                    <xdr:rowOff>9525</xdr:rowOff>
                  </from>
                  <to>
                    <xdr:col>3</xdr:col>
                    <xdr:colOff>419100</xdr:colOff>
                    <xdr:row>6</xdr:row>
                    <xdr:rowOff>219075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B1:L17"/>
  <sheetViews>
    <sheetView tabSelected="1" workbookViewId="0">
      <selection activeCell="E19" sqref="E19"/>
    </sheetView>
  </sheetViews>
  <sheetFormatPr baseColWidth="10" defaultRowHeight="15" x14ac:dyDescent="0.25"/>
  <cols>
    <col min="1" max="1" width="5.5703125" customWidth="1"/>
    <col min="2" max="2" width="33.140625" customWidth="1"/>
  </cols>
  <sheetData>
    <row r="1" spans="2:12" ht="40.5" customHeight="1" thickBot="1" x14ac:dyDescent="0.35">
      <c r="B1" s="244" t="s">
        <v>115</v>
      </c>
      <c r="C1" s="245"/>
      <c r="D1" s="245"/>
      <c r="E1" s="245"/>
      <c r="F1" s="245"/>
      <c r="G1" s="245"/>
      <c r="H1" s="245"/>
      <c r="I1" s="245"/>
      <c r="J1" s="245"/>
      <c r="K1" s="245"/>
      <c r="L1" s="246"/>
    </row>
    <row r="3" spans="2:12" x14ac:dyDescent="0.25">
      <c r="B3" s="176" t="s">
        <v>91</v>
      </c>
      <c r="C3" s="176">
        <v>2021</v>
      </c>
      <c r="D3" s="176">
        <v>2022</v>
      </c>
      <c r="E3" s="176">
        <v>2023</v>
      </c>
      <c r="F3" s="176">
        <v>2024</v>
      </c>
      <c r="G3" s="176">
        <v>2025</v>
      </c>
      <c r="H3" s="176">
        <v>2026</v>
      </c>
      <c r="I3" s="176">
        <v>2027</v>
      </c>
      <c r="J3" s="176">
        <v>2028</v>
      </c>
      <c r="K3" s="176">
        <v>2029</v>
      </c>
      <c r="L3" s="176">
        <v>2030</v>
      </c>
    </row>
    <row r="4" spans="2:12" s="14" customFormat="1" x14ac:dyDescent="0.25">
      <c r="B4" s="176" t="s">
        <v>87</v>
      </c>
      <c r="C4" s="174">
        <f>[1]prospective!$H$356</f>
        <v>7930</v>
      </c>
      <c r="D4" s="174">
        <f>[1]prospective!$I$356</f>
        <v>7964</v>
      </c>
      <c r="E4" s="174">
        <f>[1]prospective!$J$356</f>
        <v>8006</v>
      </c>
      <c r="F4" s="174">
        <f>[1]prospective!$K$356</f>
        <v>8048</v>
      </c>
      <c r="G4" s="174">
        <f>[1]prospective!$L$356</f>
        <v>8082.6063999999997</v>
      </c>
      <c r="H4" s="174">
        <f>[1]prospective!$M$356</f>
        <v>8117.3616075199998</v>
      </c>
      <c r="I4" s="174">
        <f>[1]prospective!$N$356</f>
        <v>8152.2662624323357</v>
      </c>
      <c r="J4" s="174">
        <f>[1]prospective!$O$356</f>
        <v>8187.3210073607943</v>
      </c>
      <c r="K4" s="174">
        <f>[1]prospective!$P$356</f>
        <v>8222.5264876924448</v>
      </c>
      <c r="L4" s="174">
        <f>[1]prospective!$Q$356</f>
        <v>8257.8833515895221</v>
      </c>
    </row>
    <row r="5" spans="2:12" x14ac:dyDescent="0.25">
      <c r="B5" s="1"/>
      <c r="C5" s="175"/>
      <c r="D5" s="16"/>
      <c r="E5" s="16"/>
      <c r="F5" s="16"/>
      <c r="G5" s="16"/>
      <c r="H5" s="16"/>
      <c r="I5" s="16"/>
      <c r="J5" s="16"/>
      <c r="K5" s="16"/>
      <c r="L5" s="16"/>
    </row>
    <row r="6" spans="2:12" s="173" customFormat="1" x14ac:dyDescent="0.25">
      <c r="B6" s="176" t="s">
        <v>90</v>
      </c>
      <c r="C6" s="177"/>
      <c r="D6" s="177">
        <v>2E-3</v>
      </c>
      <c r="E6" s="177">
        <v>2E-3</v>
      </c>
      <c r="F6" s="177">
        <v>2E-3</v>
      </c>
      <c r="G6" s="177">
        <v>2E-3</v>
      </c>
      <c r="H6" s="177">
        <v>2E-3</v>
      </c>
      <c r="I6" s="177">
        <v>2E-3</v>
      </c>
      <c r="J6" s="177">
        <v>2E-3</v>
      </c>
      <c r="K6" s="177">
        <v>2E-3</v>
      </c>
      <c r="L6" s="177">
        <v>2E-3</v>
      </c>
    </row>
    <row r="7" spans="2:12" x14ac:dyDescent="0.25">
      <c r="B7" s="176" t="s">
        <v>91</v>
      </c>
      <c r="C7" s="176">
        <v>2021</v>
      </c>
      <c r="D7" s="176">
        <v>2022</v>
      </c>
      <c r="E7" s="176">
        <v>2023</v>
      </c>
      <c r="F7" s="176">
        <v>2024</v>
      </c>
      <c r="G7" s="176">
        <v>2025</v>
      </c>
      <c r="H7" s="176">
        <v>2026</v>
      </c>
      <c r="I7" s="176">
        <v>2027</v>
      </c>
      <c r="J7" s="176">
        <v>2028</v>
      </c>
      <c r="K7" s="176">
        <v>2029</v>
      </c>
      <c r="L7" s="176">
        <v>2030</v>
      </c>
    </row>
    <row r="8" spans="2:12" x14ac:dyDescent="0.25">
      <c r="B8" s="178" t="s">
        <v>5</v>
      </c>
      <c r="C8" s="179">
        <v>10834000</v>
      </c>
      <c r="D8" s="236">
        <f>C8+(C8*$D$6)</f>
        <v>10855668</v>
      </c>
      <c r="E8" s="236">
        <f>D8+(D8*$E$6)</f>
        <v>10877379.335999999</v>
      </c>
      <c r="F8" s="236">
        <f>E8+(E8*$F$6)</f>
        <v>10899134.094672</v>
      </c>
      <c r="G8" s="236">
        <f>F8+(F8*$G$6)</f>
        <v>10920932.362861345</v>
      </c>
      <c r="H8" s="236">
        <f>G8+(G8*$H$6)</f>
        <v>10942774.227587067</v>
      </c>
      <c r="I8" s="236">
        <f>H8+(H8*$I$6)</f>
        <v>10964659.776042242</v>
      </c>
      <c r="J8" s="236">
        <f>I8+(I8*$J$6)</f>
        <v>10986589.095594326</v>
      </c>
      <c r="K8" s="236">
        <f>J8+(J8*$K$6)</f>
        <v>11008562.273785515</v>
      </c>
      <c r="L8" s="236">
        <f>K8+(K8*$L$6)</f>
        <v>11030579.398333086</v>
      </c>
    </row>
    <row r="9" spans="2:12" x14ac:dyDescent="0.25">
      <c r="B9" s="178" t="s">
        <v>6</v>
      </c>
      <c r="C9" s="179">
        <v>9291000</v>
      </c>
      <c r="D9" s="236">
        <f t="shared" ref="D9:D10" si="0">C9+(C9*$D$6)</f>
        <v>9309582</v>
      </c>
      <c r="E9" s="236">
        <f>D9+(D9*$E$6)</f>
        <v>9328201.1640000008</v>
      </c>
      <c r="F9" s="236">
        <f>E9+(E9*$F$6)</f>
        <v>9346857.5663280003</v>
      </c>
      <c r="G9" s="236">
        <f>F9+(F9*$G$6)</f>
        <v>9365551.2814606559</v>
      </c>
      <c r="H9" s="236">
        <f>G9+(G9*$H$6)</f>
        <v>9384282.384023577</v>
      </c>
      <c r="I9" s="236">
        <f>H9+(H9*$I$6)</f>
        <v>9403050.948791625</v>
      </c>
      <c r="J9" s="236">
        <f>I9+(I9*$J$6)</f>
        <v>9421857.0506892074</v>
      </c>
      <c r="K9" s="236">
        <f>J9+(J9*$K$6)</f>
        <v>9440700.7647905853</v>
      </c>
      <c r="L9" s="236">
        <f>K9+(K9*$L$6)</f>
        <v>9459582.1663201656</v>
      </c>
    </row>
    <row r="10" spans="2:12" x14ac:dyDescent="0.25">
      <c r="B10" s="178" t="s">
        <v>7</v>
      </c>
      <c r="C10" s="179">
        <v>169000</v>
      </c>
      <c r="D10" s="236">
        <f t="shared" si="0"/>
        <v>169338</v>
      </c>
      <c r="E10" s="236">
        <f>D10+(D10*$E$6)</f>
        <v>169676.67600000001</v>
      </c>
      <c r="F10" s="236">
        <f>E10+(E10*$F$6)</f>
        <v>170016.02935200001</v>
      </c>
      <c r="G10" s="236">
        <f>F10+(F10*$G$6)</f>
        <v>170356.06141070402</v>
      </c>
      <c r="H10" s="236">
        <f>G10+(G10*$H$6)</f>
        <v>170696.77353352541</v>
      </c>
      <c r="I10" s="236">
        <f>H10+(H10*$I$6)</f>
        <v>171038.16708059245</v>
      </c>
      <c r="J10" s="236">
        <f>I10+(I10*$J$6)</f>
        <v>171380.24341475364</v>
      </c>
      <c r="K10" s="236">
        <f>J10+(J10*$K$6)</f>
        <v>171723.00390158314</v>
      </c>
      <c r="L10" s="236">
        <f>K10+(K10*$L$6)</f>
        <v>172066.44990938631</v>
      </c>
    </row>
    <row r="11" spans="2:12" x14ac:dyDescent="0.25">
      <c r="B11" s="180" t="s">
        <v>2</v>
      </c>
      <c r="C11" s="180">
        <f>SUM(C8:C10)</f>
        <v>20294000</v>
      </c>
      <c r="D11" s="180">
        <f t="shared" ref="D11:L11" si="1">SUM(D8:D10)</f>
        <v>20334588</v>
      </c>
      <c r="E11" s="180">
        <f t="shared" si="1"/>
        <v>20375257.175999999</v>
      </c>
      <c r="F11" s="180">
        <f t="shared" si="1"/>
        <v>20416007.690352</v>
      </c>
      <c r="G11" s="180">
        <f t="shared" si="1"/>
        <v>20456839.705732703</v>
      </c>
      <c r="H11" s="180">
        <f t="shared" si="1"/>
        <v>20497753.38514417</v>
      </c>
      <c r="I11" s="180">
        <f t="shared" si="1"/>
        <v>20538748.891914461</v>
      </c>
      <c r="J11" s="180">
        <f t="shared" si="1"/>
        <v>20579826.389698286</v>
      </c>
      <c r="K11" s="180">
        <f t="shared" si="1"/>
        <v>20620986.042477682</v>
      </c>
      <c r="L11" s="180">
        <f t="shared" si="1"/>
        <v>20662228.014562637</v>
      </c>
    </row>
    <row r="12" spans="2:12" x14ac:dyDescent="0.25">
      <c r="B12" s="180" t="s">
        <v>3</v>
      </c>
      <c r="C12" s="180">
        <f>C11/C4</f>
        <v>2559.1424968474148</v>
      </c>
      <c r="D12" s="180">
        <f t="shared" ref="D12:L12" si="2">D11/D4</f>
        <v>2553.3134103465595</v>
      </c>
      <c r="E12" s="180">
        <f t="shared" si="2"/>
        <v>2544.9983982013487</v>
      </c>
      <c r="F12" s="180">
        <f t="shared" si="2"/>
        <v>2536.7802796163023</v>
      </c>
      <c r="G12" s="180">
        <f t="shared" si="2"/>
        <v>2530.9706663104002</v>
      </c>
      <c r="H12" s="180">
        <f t="shared" si="2"/>
        <v>2525.1743579040335</v>
      </c>
      <c r="I12" s="180">
        <f t="shared" si="2"/>
        <v>2519.3913239269564</v>
      </c>
      <c r="J12" s="180">
        <f t="shared" si="2"/>
        <v>2513.6215339787013</v>
      </c>
      <c r="K12" s="180">
        <f t="shared" si="2"/>
        <v>2507.8649577284268</v>
      </c>
      <c r="L12" s="180">
        <f t="shared" si="2"/>
        <v>2502.1215649147503</v>
      </c>
    </row>
    <row r="13" spans="2:12" s="13" customFormat="1" x14ac:dyDescent="0.25">
      <c r="B13" s="22" t="s">
        <v>92</v>
      </c>
      <c r="C13" s="320"/>
      <c r="D13" s="23">
        <f>(D12-C12)/C12</f>
        <v>-2.2777498744349263E-3</v>
      </c>
      <c r="E13" s="23">
        <f t="shared" ref="E13:L13" si="3">(E12-D12)/D12</f>
        <v>-3.2565575818137684E-3</v>
      </c>
      <c r="F13" s="23">
        <f t="shared" si="3"/>
        <v>-3.2291252485087659E-3</v>
      </c>
      <c r="G13" s="23">
        <f t="shared" si="3"/>
        <v>-2.2901523449168418E-3</v>
      </c>
      <c r="H13" s="23">
        <f t="shared" si="3"/>
        <v>-2.2901523449169324E-3</v>
      </c>
      <c r="I13" s="23">
        <f t="shared" si="3"/>
        <v>-2.290152344916579E-3</v>
      </c>
      <c r="J13" s="23">
        <f t="shared" si="3"/>
        <v>-2.290152344917069E-3</v>
      </c>
      <c r="K13" s="23">
        <f t="shared" si="3"/>
        <v>-2.2901523449167338E-3</v>
      </c>
      <c r="L13" s="23">
        <f t="shared" si="3"/>
        <v>-2.2901523449168544E-3</v>
      </c>
    </row>
    <row r="14" spans="2:12" x14ac:dyDescent="0.25">
      <c r="B14" s="180" t="s">
        <v>113</v>
      </c>
      <c r="C14" s="179"/>
      <c r="D14" s="236"/>
      <c r="E14" s="236"/>
      <c r="F14" s="236"/>
      <c r="G14" s="236"/>
      <c r="H14" s="236"/>
      <c r="I14" s="236"/>
      <c r="J14" s="236"/>
      <c r="K14" s="236"/>
      <c r="L14" s="236"/>
    </row>
    <row r="15" spans="2:12" x14ac:dyDescent="0.25">
      <c r="B15" s="22" t="s">
        <v>116</v>
      </c>
      <c r="C15" s="320"/>
      <c r="D15" s="23" t="e">
        <f>(D14-C14)/C14</f>
        <v>#DIV/0!</v>
      </c>
      <c r="E15" s="23" t="e">
        <f t="shared" ref="E15:L15" si="4">(E14-D14)/D14</f>
        <v>#DIV/0!</v>
      </c>
      <c r="F15" s="23" t="e">
        <f t="shared" si="4"/>
        <v>#DIV/0!</v>
      </c>
      <c r="G15" s="23" t="e">
        <f t="shared" si="4"/>
        <v>#DIV/0!</v>
      </c>
      <c r="H15" s="23" t="e">
        <f t="shared" si="4"/>
        <v>#DIV/0!</v>
      </c>
      <c r="I15" s="23" t="e">
        <f t="shared" si="4"/>
        <v>#DIV/0!</v>
      </c>
      <c r="J15" s="23" t="e">
        <f t="shared" si="4"/>
        <v>#DIV/0!</v>
      </c>
      <c r="K15" s="23" t="e">
        <f t="shared" si="4"/>
        <v>#DIV/0!</v>
      </c>
      <c r="L15" s="23" t="e">
        <f t="shared" si="4"/>
        <v>#DIV/0!</v>
      </c>
    </row>
    <row r="16" spans="2:12" x14ac:dyDescent="0.25">
      <c r="B16" s="180" t="s">
        <v>114</v>
      </c>
      <c r="C16" s="179"/>
      <c r="D16" s="236"/>
      <c r="E16" s="236"/>
      <c r="F16" s="236"/>
      <c r="G16" s="236"/>
      <c r="H16" s="236"/>
      <c r="I16" s="236"/>
      <c r="J16" s="236"/>
      <c r="K16" s="236"/>
      <c r="L16" s="236"/>
    </row>
    <row r="17" spans="2:12" x14ac:dyDescent="0.25">
      <c r="B17" s="22" t="s">
        <v>116</v>
      </c>
      <c r="C17" s="320"/>
      <c r="D17" s="23" t="e">
        <f>(D16-C16)/C16</f>
        <v>#DIV/0!</v>
      </c>
      <c r="E17" s="23" t="e">
        <f t="shared" ref="E17:L17" si="5">(E16-D16)/D16</f>
        <v>#DIV/0!</v>
      </c>
      <c r="F17" s="23" t="e">
        <f t="shared" si="5"/>
        <v>#DIV/0!</v>
      </c>
      <c r="G17" s="23" t="e">
        <f t="shared" si="5"/>
        <v>#DIV/0!</v>
      </c>
      <c r="H17" s="23" t="e">
        <f t="shared" si="5"/>
        <v>#DIV/0!</v>
      </c>
      <c r="I17" s="23" t="e">
        <f t="shared" si="5"/>
        <v>#DIV/0!</v>
      </c>
      <c r="J17" s="23" t="e">
        <f t="shared" si="5"/>
        <v>#DIV/0!</v>
      </c>
      <c r="K17" s="23" t="e">
        <f t="shared" si="5"/>
        <v>#DIV/0!</v>
      </c>
      <c r="L17" s="23" t="e">
        <f t="shared" si="5"/>
        <v>#DIV/0!</v>
      </c>
    </row>
  </sheetData>
  <mergeCells count="1">
    <mergeCell ref="B1:L1"/>
  </mergeCell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7030A0"/>
    <pageSetUpPr fitToPage="1"/>
  </sheetPr>
  <dimension ref="A2:E63"/>
  <sheetViews>
    <sheetView workbookViewId="0">
      <selection activeCell="E7" sqref="E7"/>
    </sheetView>
  </sheetViews>
  <sheetFormatPr baseColWidth="10" defaultRowHeight="15" x14ac:dyDescent="0.25"/>
  <cols>
    <col min="1" max="1" width="44.28515625" style="3" customWidth="1"/>
    <col min="2" max="2" width="12" style="3" bestFit="1" customWidth="1"/>
    <col min="3" max="3" width="13" bestFit="1" customWidth="1"/>
    <col min="4" max="4" width="38.85546875" bestFit="1" customWidth="1"/>
    <col min="5" max="5" width="10.28515625" bestFit="1" customWidth="1"/>
  </cols>
  <sheetData>
    <row r="2" spans="1:5" ht="30" x14ac:dyDescent="0.25">
      <c r="A2" s="318" t="s">
        <v>112</v>
      </c>
      <c r="B2" s="319">
        <v>2022</v>
      </c>
    </row>
    <row r="4" spans="1:5" x14ac:dyDescent="0.25">
      <c r="A4" s="105" t="s">
        <v>87</v>
      </c>
      <c r="B4" s="172">
        <f>HLOOKUP($B$2,évolution!B3:L4,2,FALSE)</f>
        <v>7964</v>
      </c>
    </row>
    <row r="5" spans="1:5" x14ac:dyDescent="0.25">
      <c r="A5" s="1"/>
      <c r="B5" s="2"/>
    </row>
    <row r="6" spans="1:5" s="11" customFormat="1" x14ac:dyDescent="0.25">
      <c r="A6" s="101"/>
      <c r="B6" s="101" t="s">
        <v>88</v>
      </c>
      <c r="C6" s="102" t="s">
        <v>89</v>
      </c>
    </row>
    <row r="7" spans="1:5" x14ac:dyDescent="0.25">
      <c r="A7" s="76" t="s">
        <v>5</v>
      </c>
      <c r="B7" s="241">
        <f>HLOOKUP($B$2,évolution!$B$7:$L$10,2,FALSE)</f>
        <v>10855668</v>
      </c>
      <c r="C7" s="103">
        <v>7.9200000000000007E-2</v>
      </c>
    </row>
    <row r="8" spans="1:5" x14ac:dyDescent="0.25">
      <c r="A8" s="76" t="s">
        <v>6</v>
      </c>
      <c r="B8" s="241">
        <f>HLOOKUP($B$2,évolution!$B$7:$L$10,3,FALSE)</f>
        <v>9309582</v>
      </c>
      <c r="C8" s="103">
        <v>0.1673</v>
      </c>
    </row>
    <row r="9" spans="1:5" x14ac:dyDescent="0.25">
      <c r="A9" s="76" t="s">
        <v>7</v>
      </c>
      <c r="B9" s="241">
        <f>HLOOKUP($B$2,évolution!$B$7:$L$10,4,FALSE)</f>
        <v>169338</v>
      </c>
      <c r="C9" s="103">
        <v>0.4607</v>
      </c>
    </row>
    <row r="10" spans="1:5" x14ac:dyDescent="0.25">
      <c r="A10" s="93" t="s">
        <v>2</v>
      </c>
      <c r="B10" s="93">
        <f>SUM(B7:B9)</f>
        <v>20334588</v>
      </c>
      <c r="C10" s="104"/>
    </row>
    <row r="11" spans="1:5" x14ac:dyDescent="0.25">
      <c r="A11" s="93" t="s">
        <v>3</v>
      </c>
      <c r="B11" s="93">
        <f>B10/B4</f>
        <v>2553.3134103465595</v>
      </c>
      <c r="C11" s="104"/>
    </row>
    <row r="12" spans="1:5" x14ac:dyDescent="0.25">
      <c r="A12" s="14"/>
    </row>
    <row r="13" spans="1:5" x14ac:dyDescent="0.25">
      <c r="A13" s="93" t="s">
        <v>11</v>
      </c>
      <c r="B13" s="107"/>
      <c r="D13" s="251" t="s">
        <v>85</v>
      </c>
      <c r="E13" s="252"/>
    </row>
    <row r="14" spans="1:5" x14ac:dyDescent="0.25">
      <c r="A14" s="93" t="s">
        <v>12</v>
      </c>
      <c r="B14" s="93">
        <f>B13/B4</f>
        <v>0</v>
      </c>
      <c r="D14" s="22" t="s">
        <v>8</v>
      </c>
      <c r="E14" s="74">
        <v>0.21340000000000001</v>
      </c>
    </row>
    <row r="15" spans="1:5" x14ac:dyDescent="0.25">
      <c r="A15" s="14"/>
      <c r="D15" s="22" t="s">
        <v>9</v>
      </c>
      <c r="E15" s="74">
        <v>0.2838</v>
      </c>
    </row>
    <row r="16" spans="1:5" x14ac:dyDescent="0.25">
      <c r="A16" s="110" t="s">
        <v>54</v>
      </c>
      <c r="B16" s="75">
        <v>483</v>
      </c>
      <c r="D16" s="22" t="s">
        <v>10</v>
      </c>
      <c r="E16" s="74">
        <v>0.61109999999999998</v>
      </c>
    </row>
    <row r="17" spans="1:5" x14ac:dyDescent="0.25">
      <c r="A17" s="110" t="s">
        <v>69</v>
      </c>
      <c r="B17" s="75">
        <f>B16-(B16*'simul. produit fiscal habitant'!F19)</f>
        <v>316.57817614729561</v>
      </c>
      <c r="C17" s="143"/>
      <c r="E17" s="144"/>
    </row>
    <row r="18" spans="1:5" x14ac:dyDescent="0.25">
      <c r="D18" s="251" t="s">
        <v>86</v>
      </c>
      <c r="E18" s="252"/>
    </row>
    <row r="19" spans="1:5" x14ac:dyDescent="0.25">
      <c r="A19" s="93" t="s">
        <v>13</v>
      </c>
      <c r="B19" s="106">
        <v>101</v>
      </c>
      <c r="C19" s="143"/>
      <c r="D19" s="24" t="s">
        <v>8</v>
      </c>
      <c r="E19" s="74">
        <v>0.24560000000000001</v>
      </c>
    </row>
    <row r="20" spans="1:5" x14ac:dyDescent="0.25">
      <c r="A20" s="111"/>
      <c r="B20" s="181"/>
      <c r="D20" s="24" t="s">
        <v>9</v>
      </c>
      <c r="E20" s="74">
        <v>0.21590000000000001</v>
      </c>
    </row>
    <row r="21" spans="1:5" x14ac:dyDescent="0.25">
      <c r="A21" s="111"/>
      <c r="B21" s="181"/>
      <c r="D21" s="24" t="s">
        <v>10</v>
      </c>
      <c r="E21" s="74">
        <v>0.49719999999999998</v>
      </c>
    </row>
    <row r="22" spans="1:5" ht="15.75" thickBot="1" x14ac:dyDescent="0.3">
      <c r="A22" s="111"/>
      <c r="B22" s="181"/>
      <c r="D22" s="121"/>
      <c r="E22" s="121"/>
    </row>
    <row r="23" spans="1:5" x14ac:dyDescent="0.25">
      <c r="A23" s="313" t="s">
        <v>93</v>
      </c>
      <c r="B23" s="314"/>
      <c r="C23" s="314"/>
      <c r="D23" s="314"/>
      <c r="E23" s="315"/>
    </row>
    <row r="24" spans="1:5" ht="15.75" thickBot="1" x14ac:dyDescent="0.3">
      <c r="A24" s="316"/>
      <c r="B24" s="311"/>
      <c r="C24" s="234"/>
      <c r="D24" s="312"/>
      <c r="E24" s="317"/>
    </row>
    <row r="25" spans="1:5" ht="16.5" thickBot="1" x14ac:dyDescent="0.3">
      <c r="A25" s="249" t="s">
        <v>57</v>
      </c>
      <c r="B25" s="250"/>
      <c r="C25" s="234"/>
      <c r="D25" s="247" t="s">
        <v>1</v>
      </c>
      <c r="E25" s="248"/>
    </row>
    <row r="26" spans="1:5" x14ac:dyDescent="0.25">
      <c r="A26" s="204" t="s">
        <v>26</v>
      </c>
      <c r="B26" s="205">
        <f>B34+(SUM(B27:B33))</f>
        <v>6835025.4000000004</v>
      </c>
      <c r="C26" s="234"/>
      <c r="D26" s="206" t="s">
        <v>26</v>
      </c>
      <c r="E26" s="207">
        <f>E34+(SUM(E27:E33))</f>
        <v>5021292.5999999996</v>
      </c>
    </row>
    <row r="27" spans="1:5" x14ac:dyDescent="0.25">
      <c r="A27" s="208" t="s">
        <v>18</v>
      </c>
      <c r="B27" s="209">
        <f>'simul. équilibre budget'!E23</f>
        <v>2490295.4</v>
      </c>
      <c r="C27" s="234"/>
      <c r="D27" s="210" t="s">
        <v>18</v>
      </c>
      <c r="E27" s="211">
        <f>'simul. produit fiscal habitant'!E34</f>
        <v>1632242.6</v>
      </c>
    </row>
    <row r="28" spans="1:5" s="13" customFormat="1" x14ac:dyDescent="0.25">
      <c r="A28" s="212" t="s">
        <v>20</v>
      </c>
      <c r="B28" s="242">
        <v>1195488</v>
      </c>
      <c r="C28" s="234"/>
      <c r="D28" s="213" t="s">
        <v>20</v>
      </c>
      <c r="E28" s="243">
        <v>1195488</v>
      </c>
    </row>
    <row r="29" spans="1:5" x14ac:dyDescent="0.25">
      <c r="A29" s="208" t="s">
        <v>19</v>
      </c>
      <c r="B29" s="242">
        <v>0</v>
      </c>
      <c r="C29" s="234"/>
      <c r="D29" s="210" t="s">
        <v>19</v>
      </c>
      <c r="E29" s="243">
        <v>0</v>
      </c>
    </row>
    <row r="30" spans="1:5" x14ac:dyDescent="0.25">
      <c r="A30" s="212" t="s">
        <v>21</v>
      </c>
      <c r="B30" s="242">
        <v>355300</v>
      </c>
      <c r="C30" s="234"/>
      <c r="D30" s="213" t="s">
        <v>21</v>
      </c>
      <c r="E30" s="243">
        <v>355300</v>
      </c>
    </row>
    <row r="31" spans="1:5" x14ac:dyDescent="0.25">
      <c r="A31" s="208" t="s">
        <v>22</v>
      </c>
      <c r="B31" s="242">
        <v>6542</v>
      </c>
      <c r="C31" s="234"/>
      <c r="D31" s="210" t="s">
        <v>22</v>
      </c>
      <c r="E31" s="243">
        <v>6542</v>
      </c>
    </row>
    <row r="32" spans="1:5" x14ac:dyDescent="0.25">
      <c r="A32" s="212" t="s">
        <v>23</v>
      </c>
      <c r="B32" s="242">
        <v>0</v>
      </c>
      <c r="C32" s="234"/>
      <c r="D32" s="213" t="s">
        <v>23</v>
      </c>
      <c r="E32" s="243">
        <v>0</v>
      </c>
    </row>
    <row r="33" spans="1:5" x14ac:dyDescent="0.25">
      <c r="A33" s="208" t="s">
        <v>24</v>
      </c>
      <c r="B33" s="242">
        <v>0</v>
      </c>
      <c r="C33" s="234"/>
      <c r="D33" s="210" t="s">
        <v>24</v>
      </c>
      <c r="E33" s="243">
        <v>0</v>
      </c>
    </row>
    <row r="34" spans="1:5" x14ac:dyDescent="0.25">
      <c r="A34" s="204" t="s">
        <v>25</v>
      </c>
      <c r="B34" s="205">
        <f>B27*B35</f>
        <v>2787400.0000000005</v>
      </c>
      <c r="C34" s="234"/>
      <c r="D34" s="206" t="s">
        <v>25</v>
      </c>
      <c r="E34" s="207">
        <f>E27*E35</f>
        <v>1831719.9999999998</v>
      </c>
    </row>
    <row r="35" spans="1:5" ht="15.75" thickBot="1" x14ac:dyDescent="0.3">
      <c r="A35" s="214" t="s">
        <v>4</v>
      </c>
      <c r="B35" s="215">
        <f>'simul. produit fiscal habitant'!$M$25</f>
        <v>1.1193049627767053</v>
      </c>
      <c r="C35" s="235"/>
      <c r="D35" s="216" t="s">
        <v>4</v>
      </c>
      <c r="E35" s="217">
        <f>'simul. produit fiscal habitant'!M36</f>
        <v>1.1222106321695069</v>
      </c>
    </row>
    <row r="36" spans="1:5" ht="15.75" thickBot="1" x14ac:dyDescent="0.3"/>
    <row r="37" spans="1:5" x14ac:dyDescent="0.25">
      <c r="A37" s="306" t="s">
        <v>97</v>
      </c>
      <c r="B37" s="307"/>
      <c r="C37" s="307"/>
      <c r="D37" s="307"/>
      <c r="E37" s="308"/>
    </row>
    <row r="38" spans="1:5" ht="15.75" thickBot="1" x14ac:dyDescent="0.3">
      <c r="A38" s="309"/>
      <c r="B38" s="232"/>
      <c r="C38" s="232"/>
      <c r="D38" s="232"/>
      <c r="E38" s="310"/>
    </row>
    <row r="39" spans="1:5" ht="16.5" thickBot="1" x14ac:dyDescent="0.3">
      <c r="A39" s="253" t="s">
        <v>57</v>
      </c>
      <c r="B39" s="254"/>
      <c r="C39" s="232"/>
      <c r="D39" s="255" t="s">
        <v>1</v>
      </c>
      <c r="E39" s="256"/>
    </row>
    <row r="40" spans="1:5" x14ac:dyDescent="0.25">
      <c r="A40" s="218" t="s">
        <v>26</v>
      </c>
      <c r="B40" s="219">
        <f>'simul. équilibre budget'!$E$10</f>
        <v>7000000</v>
      </c>
      <c r="C40" s="232"/>
      <c r="D40" s="220" t="s">
        <v>26</v>
      </c>
      <c r="E40" s="221">
        <f>'simul. équilibre budget'!$F$10</f>
        <v>5200000</v>
      </c>
    </row>
    <row r="41" spans="1:5" x14ac:dyDescent="0.25">
      <c r="A41" s="222" t="s">
        <v>18</v>
      </c>
      <c r="B41" s="223">
        <f>'simul. équilibre budget'!$E$23</f>
        <v>2490295.4</v>
      </c>
      <c r="C41" s="232"/>
      <c r="D41" s="224" t="s">
        <v>18</v>
      </c>
      <c r="E41" s="225">
        <f>'simul. équilibre budget'!$E$34</f>
        <v>1632242.6</v>
      </c>
    </row>
    <row r="42" spans="1:5" x14ac:dyDescent="0.25">
      <c r="A42" s="226" t="s">
        <v>20</v>
      </c>
      <c r="B42" s="242">
        <v>1195488</v>
      </c>
      <c r="C42" s="232"/>
      <c r="D42" s="227" t="s">
        <v>20</v>
      </c>
      <c r="E42" s="243">
        <v>1195488</v>
      </c>
    </row>
    <row r="43" spans="1:5" x14ac:dyDescent="0.25">
      <c r="A43" s="222" t="s">
        <v>19</v>
      </c>
      <c r="B43" s="242">
        <v>0</v>
      </c>
      <c r="C43" s="232"/>
      <c r="D43" s="224" t="s">
        <v>19</v>
      </c>
      <c r="E43" s="243">
        <v>0</v>
      </c>
    </row>
    <row r="44" spans="1:5" x14ac:dyDescent="0.25">
      <c r="A44" s="226" t="s">
        <v>21</v>
      </c>
      <c r="B44" s="242">
        <v>355300</v>
      </c>
      <c r="C44" s="232"/>
      <c r="D44" s="227" t="s">
        <v>21</v>
      </c>
      <c r="E44" s="243">
        <v>355300</v>
      </c>
    </row>
    <row r="45" spans="1:5" x14ac:dyDescent="0.25">
      <c r="A45" s="222" t="s">
        <v>22</v>
      </c>
      <c r="B45" s="242">
        <v>6542</v>
      </c>
      <c r="C45" s="232"/>
      <c r="D45" s="224" t="s">
        <v>22</v>
      </c>
      <c r="E45" s="243">
        <v>6542</v>
      </c>
    </row>
    <row r="46" spans="1:5" x14ac:dyDescent="0.25">
      <c r="A46" s="226" t="s">
        <v>23</v>
      </c>
      <c r="B46" s="242">
        <v>0</v>
      </c>
      <c r="C46" s="232"/>
      <c r="D46" s="227" t="s">
        <v>23</v>
      </c>
      <c r="E46" s="243">
        <v>0</v>
      </c>
    </row>
    <row r="47" spans="1:5" x14ac:dyDescent="0.25">
      <c r="A47" s="222" t="s">
        <v>24</v>
      </c>
      <c r="B47" s="242">
        <v>0</v>
      </c>
      <c r="C47" s="232"/>
      <c r="D47" s="224" t="s">
        <v>24</v>
      </c>
      <c r="E47" s="243">
        <v>0</v>
      </c>
    </row>
    <row r="48" spans="1:5" x14ac:dyDescent="0.25">
      <c r="A48" s="218" t="s">
        <v>25</v>
      </c>
      <c r="B48" s="219">
        <f>$B$40-(SUM($B$41:$B$47))</f>
        <v>2952374.6</v>
      </c>
      <c r="C48" s="232"/>
      <c r="D48" s="220" t="s">
        <v>25</v>
      </c>
      <c r="E48" s="221">
        <f>$E$40-(SUM($E$41:$E$47))</f>
        <v>2010427.4</v>
      </c>
    </row>
    <row r="49" spans="1:5" ht="15.75" thickBot="1" x14ac:dyDescent="0.3">
      <c r="A49" s="228" t="s">
        <v>4</v>
      </c>
      <c r="B49" s="229">
        <f>B48/B41</f>
        <v>1.1855519630321769</v>
      </c>
      <c r="C49" s="233"/>
      <c r="D49" s="230" t="s">
        <v>4</v>
      </c>
      <c r="E49" s="231">
        <f>E48/E41</f>
        <v>1.2316964402227952</v>
      </c>
    </row>
    <row r="50" spans="1:5" ht="15.75" thickBot="1" x14ac:dyDescent="0.3"/>
    <row r="51" spans="1:5" x14ac:dyDescent="0.25">
      <c r="A51" s="303" t="s">
        <v>99</v>
      </c>
      <c r="B51" s="304"/>
      <c r="C51" s="304"/>
      <c r="D51" s="304"/>
      <c r="E51" s="305"/>
    </row>
    <row r="52" spans="1:5" ht="15.75" thickBot="1" x14ac:dyDescent="0.3">
      <c r="A52" s="199"/>
      <c r="B52" s="200"/>
      <c r="C52" s="201"/>
      <c r="D52" s="201"/>
      <c r="E52" s="202"/>
    </row>
    <row r="53" spans="1:5" ht="16.5" thickBot="1" x14ac:dyDescent="0.3">
      <c r="A53" s="257" t="s">
        <v>57</v>
      </c>
      <c r="B53" s="258"/>
      <c r="C53" s="201"/>
      <c r="D53" s="239" t="s">
        <v>1</v>
      </c>
      <c r="E53" s="240"/>
    </row>
    <row r="54" spans="1:5" x14ac:dyDescent="0.25">
      <c r="A54" s="183" t="s">
        <v>26</v>
      </c>
      <c r="B54" s="184">
        <f>B62+SUM(B55:B61)</f>
        <v>7048947.7860000003</v>
      </c>
      <c r="C54" s="201"/>
      <c r="D54" s="185" t="s">
        <v>26</v>
      </c>
      <c r="E54" s="186">
        <f>E62+SUM(E55:E61)</f>
        <v>5237220.9417000003</v>
      </c>
    </row>
    <row r="55" spans="1:5" x14ac:dyDescent="0.25">
      <c r="A55" s="187" t="s">
        <v>18</v>
      </c>
      <c r="B55" s="188">
        <f>'simul. variation différenciée'!$E$26</f>
        <v>2490295.4</v>
      </c>
      <c r="C55" s="201"/>
      <c r="D55" s="189" t="s">
        <v>18</v>
      </c>
      <c r="E55" s="190">
        <f>'simul. variation différenciée'!$E$37</f>
        <v>1635507.0852000001</v>
      </c>
    </row>
    <row r="56" spans="1:5" x14ac:dyDescent="0.25">
      <c r="A56" s="191" t="s">
        <v>20</v>
      </c>
      <c r="B56" s="242">
        <v>1195488</v>
      </c>
      <c r="C56" s="201"/>
      <c r="D56" s="192" t="s">
        <v>20</v>
      </c>
      <c r="E56" s="243">
        <v>1195488</v>
      </c>
    </row>
    <row r="57" spans="1:5" x14ac:dyDescent="0.25">
      <c r="A57" s="187" t="s">
        <v>19</v>
      </c>
      <c r="B57" s="242">
        <v>0</v>
      </c>
      <c r="C57" s="201"/>
      <c r="D57" s="189" t="s">
        <v>19</v>
      </c>
      <c r="E57" s="243">
        <v>0</v>
      </c>
    </row>
    <row r="58" spans="1:5" x14ac:dyDescent="0.25">
      <c r="A58" s="191" t="s">
        <v>21</v>
      </c>
      <c r="B58" s="242">
        <v>355300</v>
      </c>
      <c r="C58" s="201"/>
      <c r="D58" s="192" t="s">
        <v>21</v>
      </c>
      <c r="E58" s="243">
        <v>355300</v>
      </c>
    </row>
    <row r="59" spans="1:5" x14ac:dyDescent="0.25">
      <c r="A59" s="187" t="s">
        <v>22</v>
      </c>
      <c r="B59" s="242">
        <v>6542</v>
      </c>
      <c r="C59" s="201"/>
      <c r="D59" s="189" t="s">
        <v>22</v>
      </c>
      <c r="E59" s="243">
        <v>6542</v>
      </c>
    </row>
    <row r="60" spans="1:5" x14ac:dyDescent="0.25">
      <c r="A60" s="191" t="s">
        <v>23</v>
      </c>
      <c r="B60" s="242">
        <v>0</v>
      </c>
      <c r="C60" s="201"/>
      <c r="D60" s="192" t="s">
        <v>23</v>
      </c>
      <c r="E60" s="243">
        <v>0</v>
      </c>
    </row>
    <row r="61" spans="1:5" x14ac:dyDescent="0.25">
      <c r="A61" s="187" t="s">
        <v>24</v>
      </c>
      <c r="B61" s="242">
        <v>0</v>
      </c>
      <c r="C61" s="201"/>
      <c r="D61" s="189" t="s">
        <v>24</v>
      </c>
      <c r="E61" s="243">
        <v>0</v>
      </c>
    </row>
    <row r="62" spans="1:5" x14ac:dyDescent="0.25">
      <c r="A62" s="183" t="s">
        <v>25</v>
      </c>
      <c r="B62" s="184">
        <f>'simul. variation différenciée'!$J$26</f>
        <v>3001322.3859999999</v>
      </c>
      <c r="C62" s="201"/>
      <c r="D62" s="193" t="s">
        <v>25</v>
      </c>
      <c r="E62" s="194">
        <f>'simul. variation différenciée'!$J$37</f>
        <v>2044383.8565</v>
      </c>
    </row>
    <row r="63" spans="1:5" ht="15.75" thickBot="1" x14ac:dyDescent="0.3">
      <c r="A63" s="195" t="s">
        <v>4</v>
      </c>
      <c r="B63" s="196">
        <f>B62/B55</f>
        <v>1.2052073766027918</v>
      </c>
      <c r="C63" s="203"/>
      <c r="D63" s="197" t="s">
        <v>4</v>
      </c>
      <c r="E63" s="198">
        <f>E62/E55</f>
        <v>1.25</v>
      </c>
    </row>
  </sheetData>
  <mergeCells count="10">
    <mergeCell ref="A23:E23"/>
    <mergeCell ref="D25:E25"/>
    <mergeCell ref="D39:E39"/>
    <mergeCell ref="A51:E51"/>
    <mergeCell ref="A37:E37"/>
    <mergeCell ref="A39:B39"/>
    <mergeCell ref="A53:B53"/>
    <mergeCell ref="A25:B25"/>
    <mergeCell ref="D13:E13"/>
    <mergeCell ref="D18:E18"/>
  </mergeCells>
  <printOptions horizontalCentered="1" verticalCentered="1"/>
  <pageMargins left="0.23622047244094491" right="0.23622047244094491" top="0.74803149606299213" bottom="0.74803149606299213" header="0.31496062992125984" footer="0.31496062992125984"/>
  <pageSetup paperSize="9" scale="78" fitToWidth="0" orientation="portrait" r:id="rId1"/>
  <headerFooter>
    <oddHeader>&amp;C&amp;"-,Gras"REFERENCES</oddHeader>
  </headerFooter>
  <legacy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évolution!$C$3:$L$3</xm:f>
          </x14:formula1>
          <xm:sqref>B2</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00B0F0"/>
    <pageSetUpPr fitToPage="1"/>
  </sheetPr>
  <dimension ref="A1:O38"/>
  <sheetViews>
    <sheetView workbookViewId="0">
      <selection activeCell="I23" sqref="I23"/>
    </sheetView>
  </sheetViews>
  <sheetFormatPr baseColWidth="10" defaultColWidth="11.5703125" defaultRowHeight="15" x14ac:dyDescent="0.25"/>
  <cols>
    <col min="1" max="1" width="35" style="4" customWidth="1"/>
    <col min="2" max="2" width="14.28515625" style="4" bestFit="1" customWidth="1"/>
    <col min="3" max="3" width="14" style="4" customWidth="1"/>
    <col min="4" max="4" width="9.140625" style="4" bestFit="1" customWidth="1"/>
    <col min="5" max="5" width="21" style="4" bestFit="1" customWidth="1"/>
    <col min="6" max="6" width="12.85546875" style="4" customWidth="1"/>
    <col min="7" max="7" width="15.7109375" style="4" customWidth="1"/>
    <col min="8" max="8" width="15.140625" style="4" customWidth="1"/>
    <col min="9" max="9" width="17.42578125" style="4" customWidth="1"/>
    <col min="10" max="10" width="14.5703125" style="15" customWidth="1"/>
    <col min="11" max="11" width="9.7109375" style="15" customWidth="1"/>
    <col min="12" max="12" width="12.7109375" style="4" bestFit="1" customWidth="1"/>
    <col min="13" max="13" width="11.5703125" style="16"/>
    <col min="14" max="16384" width="11.5703125" style="4"/>
  </cols>
  <sheetData>
    <row r="1" spans="1:13" ht="19.5" thickBot="1" x14ac:dyDescent="0.3">
      <c r="A1" s="277" t="s">
        <v>48</v>
      </c>
      <c r="B1" s="278"/>
      <c r="C1" s="278"/>
      <c r="D1" s="278"/>
      <c r="E1" s="278"/>
      <c r="F1" s="278"/>
      <c r="G1" s="278"/>
      <c r="H1" s="278"/>
      <c r="I1" s="278"/>
      <c r="J1" s="278"/>
      <c r="K1" s="278"/>
      <c r="L1" s="279"/>
    </row>
    <row r="2" spans="1:13" ht="15.75" thickBot="1" x14ac:dyDescent="0.3"/>
    <row r="3" spans="1:13" ht="15.75" thickBot="1" x14ac:dyDescent="0.3">
      <c r="A3" s="19"/>
      <c r="B3" s="19"/>
      <c r="C3" s="20" t="s">
        <v>30</v>
      </c>
      <c r="E3" s="19"/>
      <c r="F3" s="19"/>
      <c r="G3" s="20" t="s">
        <v>30</v>
      </c>
      <c r="I3" s="265" t="s">
        <v>34</v>
      </c>
      <c r="J3" s="266"/>
      <c r="K3" s="266"/>
      <c r="L3" s="267"/>
    </row>
    <row r="4" spans="1:13" x14ac:dyDescent="0.25">
      <c r="A4" s="251" t="s">
        <v>85</v>
      </c>
      <c r="B4" s="252"/>
      <c r="C4" s="21"/>
      <c r="E4" s="251" t="s">
        <v>86</v>
      </c>
      <c r="F4" s="252"/>
      <c r="G4" s="21"/>
      <c r="I4" s="262" t="s">
        <v>45</v>
      </c>
      <c r="J4" s="263"/>
      <c r="K4" s="263"/>
      <c r="L4" s="264"/>
    </row>
    <row r="5" spans="1:13" x14ac:dyDescent="0.25">
      <c r="A5" s="22" t="s">
        <v>8</v>
      </c>
      <c r="B5" s="182">
        <f>références!E14</f>
        <v>0.21340000000000001</v>
      </c>
      <c r="C5" s="23">
        <f>B5*2.5</f>
        <v>0.53349999999999997</v>
      </c>
      <c r="E5" s="24" t="s">
        <v>8</v>
      </c>
      <c r="F5" s="182">
        <f>références!E19</f>
        <v>0.24560000000000001</v>
      </c>
      <c r="G5" s="23">
        <f>F5*2.5</f>
        <v>0.61399999999999999</v>
      </c>
      <c r="I5" s="271" t="s">
        <v>35</v>
      </c>
      <c r="J5" s="272"/>
      <c r="K5" s="272"/>
      <c r="L5" s="273"/>
    </row>
    <row r="6" spans="1:13" x14ac:dyDescent="0.25">
      <c r="A6" s="22" t="s">
        <v>9</v>
      </c>
      <c r="B6" s="182">
        <f>références!E15</f>
        <v>0.2838</v>
      </c>
      <c r="C6" s="23">
        <f>B6*2.5</f>
        <v>0.70950000000000002</v>
      </c>
      <c r="E6" s="24" t="s">
        <v>9</v>
      </c>
      <c r="F6" s="182">
        <f>références!E20</f>
        <v>0.21590000000000001</v>
      </c>
      <c r="G6" s="23">
        <f>F6*2.5</f>
        <v>0.53975000000000006</v>
      </c>
      <c r="I6" s="274" t="s">
        <v>36</v>
      </c>
      <c r="J6" s="275"/>
      <c r="K6" s="275"/>
      <c r="L6" s="276"/>
    </row>
    <row r="7" spans="1:13" ht="15.75" thickBot="1" x14ac:dyDescent="0.3">
      <c r="A7" s="22" t="s">
        <v>10</v>
      </c>
      <c r="B7" s="182">
        <f>références!E16</f>
        <v>0.61109999999999998</v>
      </c>
      <c r="C7" s="23">
        <f>B7*2.5</f>
        <v>1.5277499999999999</v>
      </c>
      <c r="E7" s="24" t="s">
        <v>10</v>
      </c>
      <c r="F7" s="182">
        <f>références!E21</f>
        <v>0.49719999999999998</v>
      </c>
      <c r="G7" s="23">
        <f>F7*2.5</f>
        <v>1.2429999999999999</v>
      </c>
      <c r="I7" s="268" t="s">
        <v>37</v>
      </c>
      <c r="J7" s="269"/>
      <c r="K7" s="269"/>
      <c r="L7" s="270"/>
    </row>
    <row r="8" spans="1:13" ht="15.75" thickBot="1" x14ac:dyDescent="0.3">
      <c r="C8" s="18"/>
      <c r="D8" s="17"/>
      <c r="E8" s="17"/>
    </row>
    <row r="9" spans="1:13" ht="15.75" thickBot="1" x14ac:dyDescent="0.3">
      <c r="A9" s="84"/>
      <c r="B9" s="17"/>
      <c r="C9" s="18"/>
      <c r="D9" s="17"/>
      <c r="E9" s="123" t="s">
        <v>57</v>
      </c>
      <c r="F9" s="123" t="s">
        <v>1</v>
      </c>
      <c r="K9" s="123" t="s">
        <v>57</v>
      </c>
      <c r="L9" s="123" t="s">
        <v>1</v>
      </c>
    </row>
    <row r="10" spans="1:13" ht="15.75" thickBot="1" x14ac:dyDescent="0.3">
      <c r="A10" s="284" t="s">
        <v>31</v>
      </c>
      <c r="B10" s="284"/>
      <c r="C10" s="284"/>
      <c r="D10" s="285"/>
      <c r="E10" s="86">
        <v>350</v>
      </c>
      <c r="F10" s="86">
        <v>230</v>
      </c>
      <c r="G10" s="96"/>
      <c r="H10" s="280" t="s">
        <v>33</v>
      </c>
      <c r="I10" s="280"/>
      <c r="J10" s="281"/>
      <c r="K10" s="90">
        <f>J23</f>
        <v>297104.60000000033</v>
      </c>
      <c r="L10" s="90">
        <f>J34</f>
        <v>199477.39999999976</v>
      </c>
    </row>
    <row r="11" spans="1:13" ht="8.25" customHeight="1" thickBot="1" x14ac:dyDescent="0.3">
      <c r="A11" s="87"/>
      <c r="B11" s="87"/>
      <c r="C11" s="85"/>
      <c r="D11" s="85"/>
      <c r="E11" s="16"/>
      <c r="F11" s="16"/>
      <c r="H11" s="85"/>
      <c r="I11" s="85"/>
      <c r="J11" s="85"/>
      <c r="K11" s="92"/>
      <c r="L11" s="92"/>
    </row>
    <row r="12" spans="1:13" ht="15.75" thickBot="1" x14ac:dyDescent="0.3">
      <c r="A12" s="286" t="s">
        <v>32</v>
      </c>
      <c r="B12" s="286"/>
      <c r="C12" s="286"/>
      <c r="D12" s="285"/>
      <c r="E12" s="88">
        <f>'simul. produit fiscal habitant'!M25</f>
        <v>1.1193049627767053</v>
      </c>
      <c r="F12" s="88">
        <f>M36</f>
        <v>1.1222106321695069</v>
      </c>
      <c r="G12" s="96"/>
      <c r="H12" s="280" t="s">
        <v>39</v>
      </c>
      <c r="I12" s="280"/>
      <c r="J12" s="281"/>
      <c r="K12" s="90">
        <f>K23</f>
        <v>37.305951783023602</v>
      </c>
      <c r="L12" s="90">
        <f>K34</f>
        <v>25.047388247111979</v>
      </c>
    </row>
    <row r="13" spans="1:13" ht="8.25" customHeight="1" thickBot="1" x14ac:dyDescent="0.3">
      <c r="A13" s="87"/>
      <c r="B13" s="87"/>
      <c r="C13" s="85"/>
      <c r="D13" s="85"/>
      <c r="E13" s="16"/>
      <c r="F13" s="16"/>
      <c r="H13" s="85"/>
      <c r="I13" s="85"/>
      <c r="J13" s="85"/>
      <c r="K13" s="92"/>
      <c r="L13" s="92"/>
    </row>
    <row r="14" spans="1:13" ht="26.25" customHeight="1" thickBot="1" x14ac:dyDescent="0.3">
      <c r="A14" s="286" t="s">
        <v>47</v>
      </c>
      <c r="B14" s="286"/>
      <c r="C14" s="286"/>
      <c r="D14" s="285"/>
      <c r="E14" s="89">
        <f>références!B26</f>
        <v>6835025.4000000004</v>
      </c>
      <c r="F14" s="89">
        <f>références!E26</f>
        <v>5021292.5999999996</v>
      </c>
      <c r="G14" s="97"/>
      <c r="H14" s="282" t="s">
        <v>40</v>
      </c>
      <c r="I14" s="282"/>
      <c r="J14" s="283"/>
      <c r="K14" s="90">
        <f>K23-G19</f>
        <v>-70.435484681064807</v>
      </c>
      <c r="L14" s="90">
        <f>K34-G19</f>
        <v>-82.694048216976427</v>
      </c>
    </row>
    <row r="15" spans="1:13" ht="15.75" thickBot="1" x14ac:dyDescent="0.3"/>
    <row r="16" spans="1:13" thickBot="1" x14ac:dyDescent="0.3">
      <c r="A16" s="37" t="s">
        <v>15</v>
      </c>
      <c r="B16" s="38"/>
      <c r="C16" s="38"/>
      <c r="D16" s="38"/>
      <c r="E16" s="38"/>
      <c r="F16" s="38"/>
      <c r="G16" s="38"/>
      <c r="H16" s="38"/>
      <c r="I16" s="38"/>
      <c r="J16" s="39"/>
      <c r="K16" s="39"/>
      <c r="L16" s="38"/>
      <c r="M16" s="40"/>
    </row>
    <row r="17" spans="1:15" x14ac:dyDescent="0.25">
      <c r="A17" s="41"/>
      <c r="B17" s="42"/>
      <c r="C17" s="42"/>
      <c r="D17" s="42"/>
      <c r="E17" s="42"/>
      <c r="F17" s="42"/>
      <c r="G17" s="42"/>
      <c r="H17" s="42"/>
      <c r="I17" s="42"/>
      <c r="J17" s="43"/>
      <c r="K17" s="43"/>
      <c r="L17" s="42"/>
      <c r="M17" s="149"/>
    </row>
    <row r="18" spans="1:15" s="9" customFormat="1" ht="42.75" x14ac:dyDescent="0.25">
      <c r="A18" s="45"/>
      <c r="B18" s="146" t="s">
        <v>83</v>
      </c>
      <c r="C18" s="146" t="s">
        <v>0</v>
      </c>
      <c r="D18" s="146" t="s">
        <v>84</v>
      </c>
      <c r="E18" s="25" t="s">
        <v>94</v>
      </c>
      <c r="F18" s="25" t="s">
        <v>27</v>
      </c>
      <c r="G18" s="25" t="s">
        <v>95</v>
      </c>
      <c r="H18" s="25" t="s">
        <v>28</v>
      </c>
      <c r="I18" s="25" t="s">
        <v>101</v>
      </c>
      <c r="J18" s="26" t="s">
        <v>96</v>
      </c>
      <c r="K18" s="26" t="s">
        <v>38</v>
      </c>
      <c r="L18" s="25" t="s">
        <v>50</v>
      </c>
      <c r="M18" s="46" t="s">
        <v>14</v>
      </c>
    </row>
    <row r="19" spans="1:15" ht="14.25" x14ac:dyDescent="0.25">
      <c r="A19" s="47" t="s">
        <v>5</v>
      </c>
      <c r="B19" s="125">
        <f>évolution!C8</f>
        <v>10834000</v>
      </c>
      <c r="C19" s="126">
        <f>B19/$B$22</f>
        <v>0.5338523701586676</v>
      </c>
      <c r="D19" s="127">
        <f>références!C7</f>
        <v>7.9200000000000007E-2</v>
      </c>
      <c r="E19" s="27">
        <f>B19*D19</f>
        <v>858052.8</v>
      </c>
      <c r="F19" s="28">
        <f>E19/$E$23</f>
        <v>0.34455864151698634</v>
      </c>
      <c r="G19" s="27">
        <f>E19/références!$B$4</f>
        <v>107.74143646408841</v>
      </c>
      <c r="H19" s="27">
        <f>$H$23*F19</f>
        <v>120.59552453094523</v>
      </c>
      <c r="I19" s="27">
        <f>H19*références!$B$4</f>
        <v>960422.75736444781</v>
      </c>
      <c r="J19" s="30">
        <f>I19-E19</f>
        <v>102369.95736444776</v>
      </c>
      <c r="K19" s="77">
        <f>H19-G19</f>
        <v>12.854088066856818</v>
      </c>
      <c r="L19" s="126">
        <f>(M19-D19)/D19</f>
        <v>0.11930496277670537</v>
      </c>
      <c r="M19" s="48">
        <f>D19*$M$25</f>
        <v>8.8648953051915072E-2</v>
      </c>
      <c r="O19" s="147"/>
    </row>
    <row r="20" spans="1:15" ht="14.25" x14ac:dyDescent="0.25">
      <c r="A20" s="47" t="s">
        <v>6</v>
      </c>
      <c r="B20" s="125">
        <f>évolution!C9</f>
        <v>9291000</v>
      </c>
      <c r="C20" s="126">
        <f>B20/$B$22</f>
        <v>0.45782004533359616</v>
      </c>
      <c r="D20" s="127">
        <f>références!C8</f>
        <v>0.1673</v>
      </c>
      <c r="E20" s="27">
        <f>B20*D20</f>
        <v>1554384.3</v>
      </c>
      <c r="F20" s="28">
        <f t="shared" ref="F20:F21" si="0">E20/$E$23</f>
        <v>0.624176673980123</v>
      </c>
      <c r="G20" s="27">
        <f>E20/références!$B$4</f>
        <v>195.17633098945254</v>
      </c>
      <c r="H20" s="27">
        <f t="shared" ref="H20:H21" si="1">$H$23*F20</f>
        <v>218.46183589304306</v>
      </c>
      <c r="I20" s="27">
        <f>H20*références!$B$4</f>
        <v>1739830.061052195</v>
      </c>
      <c r="J20" s="30">
        <f t="shared" ref="J20:J21" si="2">I20-E20</f>
        <v>185445.76105219498</v>
      </c>
      <c r="K20" s="77">
        <f t="shared" ref="K20:K23" si="3">H20-G20</f>
        <v>23.285504903590521</v>
      </c>
      <c r="L20" s="126">
        <f t="shared" ref="L20:L21" si="4">(M20-D20)/D20</f>
        <v>0.11930496277670537</v>
      </c>
      <c r="M20" s="48">
        <f t="shared" ref="M20:M21" si="5">D20*$M$25</f>
        <v>0.18725972027254281</v>
      </c>
      <c r="O20" s="147"/>
    </row>
    <row r="21" spans="1:15" ht="14.25" x14ac:dyDescent="0.25">
      <c r="A21" s="47" t="s">
        <v>7</v>
      </c>
      <c r="B21" s="125">
        <f>évolution!C10</f>
        <v>169000</v>
      </c>
      <c r="C21" s="126">
        <f>B21/$B$22</f>
        <v>8.3275845077362774E-3</v>
      </c>
      <c r="D21" s="127">
        <f>références!C9</f>
        <v>0.4607</v>
      </c>
      <c r="E21" s="27">
        <f>B21*D21</f>
        <v>77858.3</v>
      </c>
      <c r="F21" s="28">
        <f t="shared" si="0"/>
        <v>3.1264684502890702E-2</v>
      </c>
      <c r="G21" s="27">
        <f>E21/références!$B$4</f>
        <v>9.7762807634354605</v>
      </c>
      <c r="H21" s="27">
        <f t="shared" si="1"/>
        <v>10.942639576011747</v>
      </c>
      <c r="I21" s="27">
        <f>H21*références!$B$4</f>
        <v>87147.181583357553</v>
      </c>
      <c r="J21" s="30">
        <f t="shared" si="2"/>
        <v>9288.88158335755</v>
      </c>
      <c r="K21" s="77">
        <f t="shared" si="3"/>
        <v>1.166358812576286</v>
      </c>
      <c r="L21" s="126">
        <f t="shared" si="4"/>
        <v>0.11930496277670538</v>
      </c>
      <c r="M21" s="48">
        <f t="shared" si="5"/>
        <v>0.51566379635122817</v>
      </c>
      <c r="O21" s="147"/>
    </row>
    <row r="22" spans="1:15" ht="14.25" x14ac:dyDescent="0.25">
      <c r="A22" s="49" t="s">
        <v>2</v>
      </c>
      <c r="B22" s="31">
        <f>SUM(B19:B21)</f>
        <v>20294000</v>
      </c>
      <c r="C22" s="32"/>
      <c r="D22" s="33"/>
      <c r="E22" s="32"/>
      <c r="F22" s="32"/>
      <c r="G22" s="32"/>
      <c r="H22" s="32"/>
      <c r="I22" s="32"/>
      <c r="J22" s="34"/>
      <c r="K22" s="34">
        <f t="shared" si="3"/>
        <v>0</v>
      </c>
      <c r="L22" s="78"/>
      <c r="M22" s="50"/>
    </row>
    <row r="23" spans="1:15" s="6" customFormat="1" ht="14.25" x14ac:dyDescent="0.25">
      <c r="A23" s="51"/>
      <c r="B23" s="35"/>
      <c r="C23" s="261" t="s">
        <v>17</v>
      </c>
      <c r="D23" s="261"/>
      <c r="E23" s="31">
        <f>SUM(E19:E21)</f>
        <v>2490295.4</v>
      </c>
      <c r="F23" s="31"/>
      <c r="G23" s="31">
        <f>E23/références!$B$4</f>
        <v>312.6940482169764</v>
      </c>
      <c r="H23" s="31">
        <f>E10</f>
        <v>350</v>
      </c>
      <c r="I23" s="31">
        <f>SUM(I19:I21)</f>
        <v>2787400.0000000005</v>
      </c>
      <c r="J23" s="36">
        <f>SUM(J19:J21)</f>
        <v>297104.60000000033</v>
      </c>
      <c r="K23" s="36">
        <f t="shared" si="3"/>
        <v>37.305951783023602</v>
      </c>
      <c r="L23" s="148"/>
      <c r="M23" s="52"/>
    </row>
    <row r="24" spans="1:15" ht="14.25" x14ac:dyDescent="0.25">
      <c r="A24" s="41"/>
      <c r="B24" s="53"/>
      <c r="C24" s="42"/>
      <c r="D24" s="54"/>
      <c r="E24" s="55"/>
      <c r="F24" s="55"/>
      <c r="G24" s="55"/>
      <c r="H24" s="55"/>
      <c r="I24" s="55"/>
      <c r="J24" s="56"/>
      <c r="K24" s="56"/>
      <c r="L24" s="56"/>
      <c r="M24" s="57"/>
    </row>
    <row r="25" spans="1:15" ht="15" customHeight="1" x14ac:dyDescent="0.25">
      <c r="A25" s="41"/>
      <c r="B25" s="42"/>
      <c r="C25" s="259" t="s">
        <v>4</v>
      </c>
      <c r="D25" s="260"/>
      <c r="E25" s="260"/>
      <c r="F25" s="145"/>
      <c r="G25" s="145"/>
      <c r="H25" s="145"/>
      <c r="I25" s="145"/>
      <c r="J25" s="145"/>
      <c r="K25" s="145"/>
      <c r="L25" s="145"/>
      <c r="M25" s="58">
        <f>I23/E23</f>
        <v>1.1193049627767053</v>
      </c>
    </row>
    <row r="26" spans="1:15" thickBot="1" x14ac:dyDescent="0.3">
      <c r="A26" s="59"/>
      <c r="B26" s="60"/>
      <c r="C26" s="60"/>
      <c r="D26" s="61"/>
      <c r="E26" s="62"/>
      <c r="F26" s="62"/>
      <c r="G26" s="62"/>
      <c r="H26" s="62"/>
      <c r="I26" s="62"/>
      <c r="J26" s="63"/>
      <c r="K26" s="63"/>
      <c r="L26" s="63"/>
      <c r="M26" s="64"/>
    </row>
    <row r="27" spans="1:15" thickBot="1" x14ac:dyDescent="0.3">
      <c r="A27" s="66"/>
      <c r="B27" s="38"/>
      <c r="C27" s="38"/>
      <c r="D27" s="67"/>
      <c r="E27" s="68"/>
      <c r="F27" s="68"/>
      <c r="G27" s="68"/>
      <c r="H27" s="68"/>
      <c r="I27" s="68"/>
      <c r="J27" s="69"/>
      <c r="K27" s="69"/>
      <c r="L27" s="69"/>
      <c r="M27" s="40"/>
    </row>
    <row r="28" spans="1:15" thickBot="1" x14ac:dyDescent="0.3">
      <c r="A28" s="37" t="s">
        <v>16</v>
      </c>
      <c r="B28" s="42"/>
      <c r="C28" s="42"/>
      <c r="D28" s="54"/>
      <c r="E28" s="42"/>
      <c r="F28" s="42"/>
      <c r="G28" s="42"/>
      <c r="H28" s="42"/>
      <c r="I28" s="42"/>
      <c r="J28" s="43"/>
      <c r="K28" s="43"/>
      <c r="L28" s="43"/>
      <c r="M28" s="44"/>
    </row>
    <row r="29" spans="1:15" ht="14.25" x14ac:dyDescent="0.25">
      <c r="A29" s="70"/>
      <c r="B29" s="42"/>
      <c r="C29" s="42"/>
      <c r="D29" s="54"/>
      <c r="E29" s="42"/>
      <c r="F29" s="42"/>
      <c r="G29" s="42"/>
      <c r="H29" s="42"/>
      <c r="I29" s="42"/>
      <c r="J29" s="43"/>
      <c r="K29" s="43"/>
      <c r="L29" s="43"/>
      <c r="M29" s="44"/>
    </row>
    <row r="30" spans="1:15" s="9" customFormat="1" ht="42.75" x14ac:dyDescent="0.25">
      <c r="A30" s="45"/>
      <c r="B30" s="146" t="s">
        <v>83</v>
      </c>
      <c r="C30" s="146" t="s">
        <v>0</v>
      </c>
      <c r="D30" s="146" t="s">
        <v>84</v>
      </c>
      <c r="E30" s="25" t="s">
        <v>94</v>
      </c>
      <c r="F30" s="25" t="s">
        <v>27</v>
      </c>
      <c r="G30" s="25" t="s">
        <v>95</v>
      </c>
      <c r="H30" s="25" t="s">
        <v>28</v>
      </c>
      <c r="I30" s="25" t="s">
        <v>101</v>
      </c>
      <c r="J30" s="26" t="s">
        <v>96</v>
      </c>
      <c r="K30" s="26" t="s">
        <v>38</v>
      </c>
      <c r="L30" s="25" t="s">
        <v>50</v>
      </c>
      <c r="M30" s="46" t="s">
        <v>14</v>
      </c>
    </row>
    <row r="31" spans="1:15" ht="14.25" x14ac:dyDescent="0.25">
      <c r="A31" s="47" t="s">
        <v>6</v>
      </c>
      <c r="B31" s="27">
        <f>évolution!C9</f>
        <v>9291000</v>
      </c>
      <c r="C31" s="28">
        <f>B31/B33</f>
        <v>0.98213530655391124</v>
      </c>
      <c r="D31" s="29">
        <v>0.1673</v>
      </c>
      <c r="E31" s="27">
        <f>+B31*D31</f>
        <v>1554384.3</v>
      </c>
      <c r="F31" s="28">
        <f>E31/$E$34</f>
        <v>0.95229979906173257</v>
      </c>
      <c r="G31" s="27">
        <f>E31/références!$B$4</f>
        <v>195.17633098945254</v>
      </c>
      <c r="H31" s="27">
        <f>$H$34*F31</f>
        <v>219.02895378419848</v>
      </c>
      <c r="I31" s="27">
        <f>H31*références!$B$4</f>
        <v>1744346.5879373567</v>
      </c>
      <c r="J31" s="30">
        <f>I31-E31</f>
        <v>189962.28793735662</v>
      </c>
      <c r="K31" s="77">
        <f>H31-G31</f>
        <v>23.85262279474594</v>
      </c>
      <c r="L31" s="126">
        <f t="shared" ref="L31:L32" si="6">(M31-D31)/D31</f>
        <v>0.12221063216950681</v>
      </c>
      <c r="M31" s="48">
        <f>D31*$M$36</f>
        <v>0.18774583876195849</v>
      </c>
    </row>
    <row r="32" spans="1:15" ht="14.25" x14ac:dyDescent="0.25">
      <c r="A32" s="47" t="s">
        <v>7</v>
      </c>
      <c r="B32" s="27">
        <f>évolution!C10</f>
        <v>169000</v>
      </c>
      <c r="C32" s="28">
        <f>+B32/B33</f>
        <v>1.7864693446088795E-2</v>
      </c>
      <c r="D32" s="29">
        <v>0.4607</v>
      </c>
      <c r="E32" s="27">
        <f>+B32*D32</f>
        <v>77858.3</v>
      </c>
      <c r="F32" s="28">
        <f>E32/$E$34</f>
        <v>4.7700200938267386E-2</v>
      </c>
      <c r="G32" s="27">
        <f>E32/références!$B$4</f>
        <v>9.7762807634354605</v>
      </c>
      <c r="H32" s="27">
        <f>$H$34*F32</f>
        <v>10.971046215801499</v>
      </c>
      <c r="I32" s="27">
        <f>H32*références!$B$4</f>
        <v>87373.41206264314</v>
      </c>
      <c r="J32" s="30">
        <f>I32-E32</f>
        <v>9515.1120626431366</v>
      </c>
      <c r="K32" s="77">
        <f>H32-G32</f>
        <v>1.1947654523660383</v>
      </c>
      <c r="L32" s="126">
        <f t="shared" si="6"/>
        <v>0.12221063216950696</v>
      </c>
      <c r="M32" s="48">
        <f>D32*$M$36</f>
        <v>0.51700243824049186</v>
      </c>
    </row>
    <row r="33" spans="1:13" ht="14.25" x14ac:dyDescent="0.25">
      <c r="A33" s="49" t="s">
        <v>2</v>
      </c>
      <c r="B33" s="31">
        <f>SUM(B31:B32)</f>
        <v>9460000</v>
      </c>
      <c r="C33" s="32"/>
      <c r="D33" s="33"/>
      <c r="E33" s="32"/>
      <c r="F33" s="32"/>
      <c r="G33" s="32"/>
      <c r="H33" s="32"/>
      <c r="I33" s="32"/>
      <c r="J33" s="34"/>
      <c r="K33" s="78"/>
      <c r="L33" s="78"/>
      <c r="M33" s="50"/>
    </row>
    <row r="34" spans="1:13" ht="14.25" x14ac:dyDescent="0.25">
      <c r="A34" s="71"/>
      <c r="B34" s="32"/>
      <c r="C34" s="27"/>
      <c r="D34" s="65"/>
      <c r="E34" s="31">
        <f>SUM(E31:E32)</f>
        <v>1632242.6</v>
      </c>
      <c r="F34" s="31"/>
      <c r="G34" s="31">
        <f>SUM(G31:G32)</f>
        <v>204.952611752888</v>
      </c>
      <c r="H34" s="31">
        <f>F10</f>
        <v>230</v>
      </c>
      <c r="I34" s="31">
        <f t="shared" ref="I34:K34" si="7">SUM(I31:I32)</f>
        <v>1831719.9999999998</v>
      </c>
      <c r="J34" s="36">
        <f t="shared" si="7"/>
        <v>199477.39999999976</v>
      </c>
      <c r="K34" s="36">
        <f t="shared" si="7"/>
        <v>25.047388247111979</v>
      </c>
      <c r="L34" s="148"/>
      <c r="M34" s="72"/>
    </row>
    <row r="35" spans="1:13" ht="14.25" x14ac:dyDescent="0.25">
      <c r="A35" s="41"/>
      <c r="B35" s="42"/>
      <c r="C35" s="42"/>
      <c r="D35" s="54"/>
      <c r="E35" s="42"/>
      <c r="F35" s="42"/>
      <c r="G35" s="42"/>
      <c r="H35" s="42"/>
      <c r="I35" s="42"/>
      <c r="J35" s="43"/>
      <c r="K35" s="43"/>
      <c r="L35" s="43"/>
      <c r="M35" s="44"/>
    </row>
    <row r="36" spans="1:13" ht="14.25" x14ac:dyDescent="0.25">
      <c r="A36" s="41"/>
      <c r="B36" s="42"/>
      <c r="C36" s="259" t="s">
        <v>4</v>
      </c>
      <c r="D36" s="260"/>
      <c r="E36" s="260"/>
      <c r="F36" s="145"/>
      <c r="G36" s="145"/>
      <c r="H36" s="145"/>
      <c r="I36" s="145"/>
      <c r="J36" s="145"/>
      <c r="K36" s="145"/>
      <c r="L36" s="145"/>
      <c r="M36" s="58">
        <f>I34/E34</f>
        <v>1.1222106321695069</v>
      </c>
    </row>
    <row r="37" spans="1:13" thickBot="1" x14ac:dyDescent="0.3">
      <c r="A37" s="59"/>
      <c r="B37" s="60"/>
      <c r="C37" s="60"/>
      <c r="D37" s="61"/>
      <c r="E37" s="60"/>
      <c r="F37" s="60"/>
      <c r="G37" s="60"/>
      <c r="H37" s="60"/>
      <c r="I37" s="60"/>
      <c r="J37" s="73"/>
      <c r="K37" s="73"/>
      <c r="L37" s="60"/>
      <c r="M37" s="64"/>
    </row>
    <row r="38" spans="1:13" ht="14.25" x14ac:dyDescent="0.25">
      <c r="M38" s="4"/>
    </row>
  </sheetData>
  <mergeCells count="17">
    <mergeCell ref="A1:L1"/>
    <mergeCell ref="H10:J10"/>
    <mergeCell ref="H12:J12"/>
    <mergeCell ref="H14:J14"/>
    <mergeCell ref="A4:B4"/>
    <mergeCell ref="E4:F4"/>
    <mergeCell ref="A10:D10"/>
    <mergeCell ref="A12:D12"/>
    <mergeCell ref="A14:D14"/>
    <mergeCell ref="C36:E36"/>
    <mergeCell ref="C23:D23"/>
    <mergeCell ref="C25:E25"/>
    <mergeCell ref="I4:L4"/>
    <mergeCell ref="I3:L3"/>
    <mergeCell ref="I7:L7"/>
    <mergeCell ref="I5:L5"/>
    <mergeCell ref="I6:L6"/>
  </mergeCells>
  <conditionalFormatting sqref="M20:M21 D20:D21 M31:M32 D31:D32">
    <cfRule type="cellIs" dxfId="41" priority="53" operator="greaterThan">
      <formula>$G$7</formula>
    </cfRule>
    <cfRule type="cellIs" dxfId="40" priority="54" operator="greaterThan">
      <formula>$B$7</formula>
    </cfRule>
  </conditionalFormatting>
  <conditionalFormatting sqref="M20 D20 M31 D31">
    <cfRule type="cellIs" dxfId="39" priority="55" operator="greaterThan">
      <formula>$F$6</formula>
    </cfRule>
  </conditionalFormatting>
  <conditionalFormatting sqref="M21 D21 M32 D32">
    <cfRule type="cellIs" dxfId="38" priority="59" operator="greaterThan">
      <formula>$F$7</formula>
    </cfRule>
  </conditionalFormatting>
  <conditionalFormatting sqref="M19 D19">
    <cfRule type="cellIs" dxfId="37" priority="64" operator="greaterThan">
      <formula>$F$5</formula>
    </cfRule>
    <cfRule type="cellIs" dxfId="36" priority="65" operator="greaterThan">
      <formula>$C$5</formula>
    </cfRule>
    <cfRule type="cellIs" dxfId="35" priority="66" operator="greaterThan">
      <formula>$B$5</formula>
    </cfRule>
  </conditionalFormatting>
  <conditionalFormatting sqref="G23:H23 G34:H34">
    <cfRule type="cellIs" dxfId="34" priority="90" operator="greaterThan">
      <formula>#REF!</formula>
    </cfRule>
  </conditionalFormatting>
  <printOptions horizontalCentered="1" verticalCentered="1"/>
  <pageMargins left="0.23622047244094491" right="0.23622047244094491" top="0.74803149606299213" bottom="0.74803149606299213" header="0.31496062992125984" footer="0.31496062992125984"/>
  <pageSetup paperSize="9" scale="70" orientation="landscape" horizontalDpi="4294967293" r:id="rId1"/>
  <headerFooter>
    <oddHeader>&amp;R&amp;D</oddHeader>
    <oddFooter>&amp;R&amp;P / &amp;N</oddFooter>
  </headerFooter>
  <legacy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00B050"/>
    <pageSetUpPr fitToPage="1"/>
  </sheetPr>
  <dimension ref="A1:O38"/>
  <sheetViews>
    <sheetView topLeftCell="A19" workbookViewId="0">
      <selection activeCell="A34" sqref="A34"/>
    </sheetView>
  </sheetViews>
  <sheetFormatPr baseColWidth="10" defaultColWidth="11.5703125" defaultRowHeight="15" x14ac:dyDescent="0.25"/>
  <cols>
    <col min="1" max="1" width="34.5703125" style="4" customWidth="1"/>
    <col min="2" max="2" width="14.28515625" style="4" customWidth="1"/>
    <col min="3" max="3" width="13" style="4" bestFit="1" customWidth="1"/>
    <col min="4" max="4" width="11.5703125" style="4"/>
    <col min="5" max="5" width="21" style="4" bestFit="1" customWidth="1"/>
    <col min="6" max="6" width="13.5703125" style="4" customWidth="1"/>
    <col min="7" max="7" width="15.140625" style="4" bestFit="1" customWidth="1"/>
    <col min="8" max="8" width="14.28515625" style="4" bestFit="1" customWidth="1"/>
    <col min="9" max="9" width="16.28515625" style="4" customWidth="1"/>
    <col min="10" max="10" width="19" style="4" customWidth="1"/>
    <col min="11" max="12" width="11.5703125" style="4"/>
    <col min="14" max="16384" width="11.5703125" style="4"/>
  </cols>
  <sheetData>
    <row r="1" spans="1:13" ht="19.5" thickBot="1" x14ac:dyDescent="0.3">
      <c r="A1" s="277" t="s">
        <v>49</v>
      </c>
      <c r="B1" s="278"/>
      <c r="C1" s="278"/>
      <c r="D1" s="278"/>
      <c r="E1" s="278"/>
      <c r="F1" s="278"/>
      <c r="G1" s="278"/>
      <c r="H1" s="278"/>
      <c r="I1" s="278"/>
      <c r="J1" s="278"/>
      <c r="K1" s="278"/>
      <c r="L1" s="279"/>
    </row>
    <row r="2" spans="1:13" thickBot="1" x14ac:dyDescent="0.3">
      <c r="A2" s="5"/>
      <c r="B2" s="5"/>
      <c r="C2" s="5"/>
      <c r="D2" s="5"/>
      <c r="E2" s="5"/>
      <c r="F2" s="5"/>
      <c r="G2" s="5"/>
      <c r="H2" s="5"/>
      <c r="I2" s="5"/>
      <c r="J2" s="5"/>
      <c r="K2" s="5"/>
      <c r="L2" s="5"/>
      <c r="M2" s="4"/>
    </row>
    <row r="3" spans="1:13" ht="15.75" thickBot="1" x14ac:dyDescent="0.3">
      <c r="A3" s="19"/>
      <c r="B3" s="19"/>
      <c r="C3" s="20" t="s">
        <v>30</v>
      </c>
      <c r="E3" s="19"/>
      <c r="F3" s="19"/>
      <c r="G3" s="20" t="s">
        <v>30</v>
      </c>
      <c r="I3" s="265" t="s">
        <v>34</v>
      </c>
      <c r="J3" s="266"/>
      <c r="K3" s="266"/>
      <c r="L3" s="267"/>
      <c r="M3" s="16"/>
    </row>
    <row r="4" spans="1:13" x14ac:dyDescent="0.25">
      <c r="A4" s="251" t="s">
        <v>85</v>
      </c>
      <c r="B4" s="252"/>
      <c r="C4" s="21"/>
      <c r="E4" s="251" t="s">
        <v>86</v>
      </c>
      <c r="F4" s="252"/>
      <c r="G4" s="21"/>
      <c r="I4" s="287" t="s">
        <v>45</v>
      </c>
      <c r="J4" s="288"/>
      <c r="K4" s="288"/>
      <c r="L4" s="289"/>
      <c r="M4" s="16"/>
    </row>
    <row r="5" spans="1:13" x14ac:dyDescent="0.25">
      <c r="A5" s="22" t="s">
        <v>8</v>
      </c>
      <c r="B5" s="182">
        <f>références!E14</f>
        <v>0.21340000000000001</v>
      </c>
      <c r="C5" s="23">
        <f>B5*2.5</f>
        <v>0.53349999999999997</v>
      </c>
      <c r="E5" s="24" t="s">
        <v>8</v>
      </c>
      <c r="F5" s="182">
        <f>références!E19</f>
        <v>0.24560000000000001</v>
      </c>
      <c r="G5" s="23">
        <f>F5*2.5</f>
        <v>0.61399999999999999</v>
      </c>
      <c r="I5" s="271" t="s">
        <v>35</v>
      </c>
      <c r="J5" s="272"/>
      <c r="K5" s="272"/>
      <c r="L5" s="273"/>
      <c r="M5" s="16"/>
    </row>
    <row r="6" spans="1:13" x14ac:dyDescent="0.25">
      <c r="A6" s="22" t="s">
        <v>9</v>
      </c>
      <c r="B6" s="182">
        <f>références!E15</f>
        <v>0.2838</v>
      </c>
      <c r="C6" s="23">
        <f>B6*2.5</f>
        <v>0.70950000000000002</v>
      </c>
      <c r="E6" s="24" t="s">
        <v>9</v>
      </c>
      <c r="F6" s="182">
        <f>références!E20</f>
        <v>0.21590000000000001</v>
      </c>
      <c r="G6" s="23">
        <f>F6*2.5</f>
        <v>0.53975000000000006</v>
      </c>
      <c r="I6" s="274" t="s">
        <v>36</v>
      </c>
      <c r="J6" s="275"/>
      <c r="K6" s="275"/>
      <c r="L6" s="276"/>
      <c r="M6" s="16"/>
    </row>
    <row r="7" spans="1:13" ht="15.75" thickBot="1" x14ac:dyDescent="0.3">
      <c r="A7" s="22" t="s">
        <v>10</v>
      </c>
      <c r="B7" s="182">
        <f>références!E16</f>
        <v>0.61109999999999998</v>
      </c>
      <c r="C7" s="23">
        <f>B7*2.5</f>
        <v>1.5277499999999999</v>
      </c>
      <c r="E7" s="24" t="s">
        <v>10</v>
      </c>
      <c r="F7" s="182">
        <f>références!E21</f>
        <v>0.49719999999999998</v>
      </c>
      <c r="G7" s="23">
        <f>F7*2.5</f>
        <v>1.2429999999999999</v>
      </c>
      <c r="I7" s="268" t="s">
        <v>37</v>
      </c>
      <c r="J7" s="269"/>
      <c r="K7" s="269"/>
      <c r="L7" s="270"/>
      <c r="M7" s="16"/>
    </row>
    <row r="8" spans="1:13" ht="15.75" thickBot="1" x14ac:dyDescent="0.3">
      <c r="C8" s="18"/>
      <c r="D8" s="17"/>
      <c r="E8" s="17"/>
      <c r="J8" s="15"/>
      <c r="K8" s="15"/>
      <c r="M8" s="16"/>
    </row>
    <row r="9" spans="1:13" ht="15.75" thickBot="1" x14ac:dyDescent="0.3">
      <c r="C9" s="18"/>
      <c r="D9" s="17"/>
      <c r="E9" s="123" t="s">
        <v>57</v>
      </c>
      <c r="F9" s="123" t="s">
        <v>1</v>
      </c>
      <c r="J9" s="15"/>
      <c r="K9" s="123" t="s">
        <v>57</v>
      </c>
      <c r="L9" s="123" t="s">
        <v>1</v>
      </c>
      <c r="M9" s="16"/>
    </row>
    <row r="10" spans="1:13" ht="15.75" thickBot="1" x14ac:dyDescent="0.3">
      <c r="A10" s="286" t="s">
        <v>42</v>
      </c>
      <c r="B10" s="286"/>
      <c r="C10" s="286"/>
      <c r="D10" s="285"/>
      <c r="E10" s="91">
        <v>7000000</v>
      </c>
      <c r="F10" s="91">
        <v>5200000</v>
      </c>
      <c r="G10" s="95"/>
      <c r="H10" s="286" t="s">
        <v>44</v>
      </c>
      <c r="I10" s="286"/>
      <c r="J10" s="285"/>
      <c r="K10" s="89">
        <f>L23</f>
        <v>462079.20000000042</v>
      </c>
      <c r="L10" s="89">
        <f>L34</f>
        <v>378184.79999999987</v>
      </c>
      <c r="M10" s="16"/>
    </row>
    <row r="11" spans="1:13" ht="9" customHeight="1" thickBot="1" x14ac:dyDescent="0.3">
      <c r="A11" s="84"/>
      <c r="B11" s="17"/>
      <c r="C11" s="18"/>
      <c r="D11" s="17"/>
      <c r="E11" s="17"/>
      <c r="H11" s="85"/>
      <c r="I11" s="85"/>
      <c r="J11" s="85"/>
      <c r="K11" s="15"/>
      <c r="M11" s="16"/>
    </row>
    <row r="12" spans="1:13" ht="15.75" thickBot="1" x14ac:dyDescent="0.3">
      <c r="A12" s="286" t="s">
        <v>43</v>
      </c>
      <c r="B12" s="286"/>
      <c r="C12" s="286"/>
      <c r="D12" s="285"/>
      <c r="E12" s="88">
        <f>I25</f>
        <v>1.1855519630321769</v>
      </c>
      <c r="F12" s="88">
        <f>I36</f>
        <v>1.2316964402227952</v>
      </c>
      <c r="G12" s="96"/>
      <c r="H12" s="280" t="s">
        <v>55</v>
      </c>
      <c r="I12" s="280"/>
      <c r="J12" s="281"/>
      <c r="K12" s="90">
        <f>M23</f>
        <v>58.020994475138167</v>
      </c>
      <c r="L12" s="90">
        <f>M34</f>
        <v>47.486790557508776</v>
      </c>
      <c r="M12" s="16"/>
    </row>
    <row r="13" spans="1:13" ht="9" customHeight="1" thickBot="1" x14ac:dyDescent="0.3">
      <c r="A13" s="87"/>
      <c r="B13" s="87"/>
      <c r="C13" s="85"/>
      <c r="D13" s="85"/>
      <c r="E13" s="16"/>
      <c r="H13" s="85"/>
      <c r="I13" s="85"/>
      <c r="J13" s="85"/>
      <c r="K13" s="92"/>
      <c r="M13" s="16"/>
    </row>
    <row r="14" spans="1:13" ht="36" customHeight="1" thickBot="1" x14ac:dyDescent="0.3">
      <c r="A14" s="286" t="s">
        <v>41</v>
      </c>
      <c r="B14" s="286"/>
      <c r="C14" s="286"/>
      <c r="D14" s="285"/>
      <c r="E14" s="90">
        <f>K23</f>
        <v>370.71504269211459</v>
      </c>
      <c r="F14" s="90">
        <f>K34</f>
        <v>252.43940231039676</v>
      </c>
      <c r="G14" s="97"/>
      <c r="H14" s="282" t="s">
        <v>40</v>
      </c>
      <c r="I14" s="282"/>
      <c r="J14" s="283"/>
      <c r="K14" s="90">
        <f>M23-G19</f>
        <v>-49.720441988950242</v>
      </c>
      <c r="L14" s="90">
        <f>M34-G19</f>
        <v>-60.254645906579633</v>
      </c>
      <c r="M14" s="16"/>
    </row>
    <row r="15" spans="1:13" thickBot="1" x14ac:dyDescent="0.3">
      <c r="M15" s="4"/>
    </row>
    <row r="16" spans="1:13" thickBot="1" x14ac:dyDescent="0.3">
      <c r="A16" s="37" t="s">
        <v>15</v>
      </c>
      <c r="B16" s="38"/>
      <c r="C16" s="38"/>
      <c r="D16" s="38"/>
      <c r="E16" s="38"/>
      <c r="F16" s="38"/>
      <c r="G16" s="38"/>
      <c r="H16" s="38"/>
      <c r="I16" s="38"/>
      <c r="J16" s="38"/>
      <c r="K16" s="38"/>
      <c r="L16" s="38"/>
      <c r="M16" s="40"/>
    </row>
    <row r="17" spans="1:15" x14ac:dyDescent="0.25">
      <c r="A17" s="41"/>
      <c r="B17" s="42"/>
      <c r="C17" s="42"/>
      <c r="D17" s="42"/>
      <c r="E17" s="42"/>
      <c r="F17" s="42"/>
      <c r="G17" s="42"/>
      <c r="H17" s="42"/>
      <c r="I17" s="42"/>
      <c r="J17" s="42"/>
      <c r="K17" s="42"/>
      <c r="L17" s="42"/>
      <c r="M17" s="150"/>
    </row>
    <row r="18" spans="1:15" s="9" customFormat="1" ht="42.75" x14ac:dyDescent="0.25">
      <c r="A18" s="45"/>
      <c r="B18" s="146" t="s">
        <v>83</v>
      </c>
      <c r="C18" s="146" t="s">
        <v>0</v>
      </c>
      <c r="D18" s="146" t="s">
        <v>84</v>
      </c>
      <c r="E18" s="25" t="s">
        <v>94</v>
      </c>
      <c r="F18" s="25" t="s">
        <v>98</v>
      </c>
      <c r="G18" s="25" t="s">
        <v>95</v>
      </c>
      <c r="H18" s="25" t="s">
        <v>50</v>
      </c>
      <c r="I18" s="25" t="s">
        <v>14</v>
      </c>
      <c r="J18" s="25" t="s">
        <v>100</v>
      </c>
      <c r="K18" s="25" t="s">
        <v>46</v>
      </c>
      <c r="L18" s="26" t="s">
        <v>29</v>
      </c>
      <c r="M18" s="79" t="s">
        <v>38</v>
      </c>
    </row>
    <row r="19" spans="1:15" ht="14.25" x14ac:dyDescent="0.25">
      <c r="A19" s="47" t="s">
        <v>5</v>
      </c>
      <c r="B19" s="27">
        <f>évolution!C8</f>
        <v>10834000</v>
      </c>
      <c r="C19" s="28">
        <f>B19/$B$22</f>
        <v>0.5338523701586676</v>
      </c>
      <c r="D19" s="28">
        <f>références!C7</f>
        <v>7.9200000000000007E-2</v>
      </c>
      <c r="E19" s="27">
        <f>B19*D19</f>
        <v>858052.8</v>
      </c>
      <c r="F19" s="28">
        <f>E19/$E$23</f>
        <v>0.34455864151698634</v>
      </c>
      <c r="G19" s="27">
        <f>E19/références!$B$4</f>
        <v>107.74143646408841</v>
      </c>
      <c r="H19" s="28">
        <f>(I19-D19)/D19</f>
        <v>0.18555196303217694</v>
      </c>
      <c r="I19" s="29">
        <f>D19*$I$25</f>
        <v>9.3895715472148422E-2</v>
      </c>
      <c r="J19" s="27">
        <f>B19*I19</f>
        <v>1017266.181425256</v>
      </c>
      <c r="K19" s="27">
        <f>J19/références!$B$4</f>
        <v>127.73307149990657</v>
      </c>
      <c r="L19" s="30">
        <f>J19-E19</f>
        <v>159213.38142525591</v>
      </c>
      <c r="M19" s="80">
        <f>K19-G19</f>
        <v>19.991635035818163</v>
      </c>
      <c r="O19" s="10"/>
    </row>
    <row r="20" spans="1:15" ht="14.25" x14ac:dyDescent="0.25">
      <c r="A20" s="47" t="s">
        <v>6</v>
      </c>
      <c r="B20" s="27">
        <f>évolution!C9</f>
        <v>9291000</v>
      </c>
      <c r="C20" s="28">
        <f>B20/$B$22</f>
        <v>0.45782004533359616</v>
      </c>
      <c r="D20" s="28">
        <f>références!C8</f>
        <v>0.1673</v>
      </c>
      <c r="E20" s="27">
        <f>B20*D20</f>
        <v>1554384.3</v>
      </c>
      <c r="F20" s="28">
        <f t="shared" ref="F20:F21" si="0">E20/$E$23</f>
        <v>0.624176673980123</v>
      </c>
      <c r="G20" s="27">
        <f>E20/références!$B$4</f>
        <v>195.17633098945254</v>
      </c>
      <c r="H20" s="28">
        <f t="shared" ref="H20:H21" si="1">(I20-D20)/D20</f>
        <v>0.185551963032177</v>
      </c>
      <c r="I20" s="29">
        <f>D20*$I$25</f>
        <v>0.19834284341528322</v>
      </c>
      <c r="J20" s="27">
        <f>B20*I20</f>
        <v>1842803.3581713964</v>
      </c>
      <c r="K20" s="27">
        <f>J20/références!$B$4</f>
        <v>231.39168234196339</v>
      </c>
      <c r="L20" s="30">
        <f>J20-E20</f>
        <v>288419.05817139638</v>
      </c>
      <c r="M20" s="80">
        <f>K20-G20</f>
        <v>36.215351352510851</v>
      </c>
    </row>
    <row r="21" spans="1:15" ht="14.25" x14ac:dyDescent="0.25">
      <c r="A21" s="47" t="s">
        <v>7</v>
      </c>
      <c r="B21" s="27">
        <f>évolution!C10</f>
        <v>169000</v>
      </c>
      <c r="C21" s="28">
        <f>B21/$B$22</f>
        <v>8.3275845077362774E-3</v>
      </c>
      <c r="D21" s="28">
        <f>références!C9</f>
        <v>0.4607</v>
      </c>
      <c r="E21" s="27">
        <f>B21*D21</f>
        <v>77858.3</v>
      </c>
      <c r="F21" s="28">
        <f t="shared" si="0"/>
        <v>3.1264684502890702E-2</v>
      </c>
      <c r="G21" s="27">
        <f>E21/références!$B$4</f>
        <v>9.7762807634354605</v>
      </c>
      <c r="H21" s="28">
        <f t="shared" si="1"/>
        <v>0.18555196303217683</v>
      </c>
      <c r="I21" s="29">
        <f>D21*$I$25</f>
        <v>0.54618378936892387</v>
      </c>
      <c r="J21" s="27">
        <f>B21*I21</f>
        <v>92305.060403348136</v>
      </c>
      <c r="K21" s="27">
        <f>J21/références!$B$4</f>
        <v>11.590288850244617</v>
      </c>
      <c r="L21" s="30">
        <f>J21-E21</f>
        <v>14446.760403348133</v>
      </c>
      <c r="M21" s="80">
        <f>K21-G21</f>
        <v>1.8140080868091566</v>
      </c>
    </row>
    <row r="22" spans="1:15" ht="14.25" x14ac:dyDescent="0.25">
      <c r="A22" s="49" t="s">
        <v>2</v>
      </c>
      <c r="B22" s="31">
        <f>SUM(B19:B21)</f>
        <v>20294000</v>
      </c>
      <c r="C22" s="32"/>
      <c r="D22" s="33"/>
      <c r="E22" s="32"/>
      <c r="F22" s="32"/>
      <c r="G22" s="32">
        <f>E22/références!$B$4</f>
        <v>0</v>
      </c>
      <c r="H22" s="32"/>
      <c r="I22" s="32"/>
      <c r="J22" s="32"/>
      <c r="K22" s="32"/>
      <c r="L22" s="34"/>
      <c r="M22" s="81"/>
    </row>
    <row r="23" spans="1:15" ht="14.25" x14ac:dyDescent="0.25">
      <c r="A23" s="71"/>
      <c r="B23" s="32"/>
      <c r="C23" s="261" t="s">
        <v>17</v>
      </c>
      <c r="D23" s="261"/>
      <c r="E23" s="31">
        <f>SUM(E19:E21)</f>
        <v>2490295.4</v>
      </c>
      <c r="F23" s="29">
        <f>SUM(F19:F21)</f>
        <v>1</v>
      </c>
      <c r="G23" s="31">
        <f>E23/références!$B$4</f>
        <v>312.6940482169764</v>
      </c>
      <c r="H23" s="31"/>
      <c r="I23" s="35"/>
      <c r="J23" s="31">
        <f>SUM(J19:J21)</f>
        <v>2952374.6000000006</v>
      </c>
      <c r="K23" s="31">
        <f>SUM(K19:K21)</f>
        <v>370.71504269211459</v>
      </c>
      <c r="L23" s="31">
        <f t="shared" ref="L23:M23" si="2">SUM(L19:L21)</f>
        <v>462079.20000000042</v>
      </c>
      <c r="M23" s="52">
        <f t="shared" si="2"/>
        <v>58.020994475138167</v>
      </c>
    </row>
    <row r="24" spans="1:15" ht="14.25" x14ac:dyDescent="0.25">
      <c r="A24" s="41"/>
      <c r="B24" s="53"/>
      <c r="C24" s="42"/>
      <c r="D24" s="54"/>
      <c r="E24" s="55"/>
      <c r="F24" s="55"/>
      <c r="G24" s="55"/>
      <c r="H24" s="55"/>
      <c r="I24" s="53"/>
      <c r="J24" s="42"/>
      <c r="K24" s="42"/>
      <c r="L24" s="42"/>
      <c r="M24" s="44"/>
    </row>
    <row r="25" spans="1:15" ht="14.25" x14ac:dyDescent="0.25">
      <c r="A25" s="41"/>
      <c r="B25" s="42"/>
      <c r="C25" s="259" t="s">
        <v>4</v>
      </c>
      <c r="D25" s="260"/>
      <c r="E25" s="260"/>
      <c r="F25" s="145"/>
      <c r="G25" s="145"/>
      <c r="H25" s="145"/>
      <c r="I25" s="12">
        <f>références!B49</f>
        <v>1.1855519630321769</v>
      </c>
      <c r="J25" s="42"/>
      <c r="K25" s="42"/>
      <c r="L25" s="42"/>
      <c r="M25" s="44"/>
    </row>
    <row r="26" spans="1:15" thickBot="1" x14ac:dyDescent="0.3">
      <c r="A26" s="59"/>
      <c r="B26" s="60"/>
      <c r="C26" s="82"/>
      <c r="D26" s="82"/>
      <c r="E26" s="82"/>
      <c r="F26" s="82"/>
      <c r="G26" s="82"/>
      <c r="H26" s="82"/>
      <c r="I26" s="83"/>
      <c r="J26" s="60"/>
      <c r="K26" s="60"/>
      <c r="L26" s="60"/>
      <c r="M26" s="64"/>
    </row>
    <row r="27" spans="1:15" thickBot="1" x14ac:dyDescent="0.3">
      <c r="D27" s="7"/>
      <c r="E27" s="8"/>
      <c r="F27" s="8"/>
      <c r="G27" s="8"/>
      <c r="H27" s="8"/>
      <c r="M27" s="4"/>
    </row>
    <row r="28" spans="1:15" thickBot="1" x14ac:dyDescent="0.3">
      <c r="A28" s="37" t="s">
        <v>16</v>
      </c>
      <c r="B28" s="38"/>
      <c r="C28" s="38"/>
      <c r="D28" s="67"/>
      <c r="E28" s="38"/>
      <c r="F28" s="38"/>
      <c r="G28" s="38"/>
      <c r="H28" s="38"/>
      <c r="I28" s="38"/>
      <c r="J28" s="38"/>
      <c r="K28" s="38"/>
      <c r="L28" s="38"/>
      <c r="M28" s="40"/>
    </row>
    <row r="29" spans="1:15" ht="14.25" x14ac:dyDescent="0.25">
      <c r="A29" s="70"/>
      <c r="B29" s="42"/>
      <c r="C29" s="42"/>
      <c r="D29" s="54"/>
      <c r="E29" s="42"/>
      <c r="F29" s="42"/>
      <c r="G29" s="42"/>
      <c r="H29" s="42"/>
      <c r="I29" s="42"/>
      <c r="J29" s="42"/>
      <c r="K29" s="42"/>
      <c r="L29" s="42"/>
      <c r="M29" s="44"/>
    </row>
    <row r="30" spans="1:15" s="9" customFormat="1" ht="42.75" x14ac:dyDescent="0.25">
      <c r="A30" s="45"/>
      <c r="B30" s="146" t="s">
        <v>83</v>
      </c>
      <c r="C30" s="146" t="s">
        <v>0</v>
      </c>
      <c r="D30" s="146" t="s">
        <v>84</v>
      </c>
      <c r="E30" s="25" t="s">
        <v>94</v>
      </c>
      <c r="F30" s="25" t="s">
        <v>98</v>
      </c>
      <c r="G30" s="25" t="s">
        <v>95</v>
      </c>
      <c r="H30" s="25" t="s">
        <v>50</v>
      </c>
      <c r="I30" s="25" t="s">
        <v>14</v>
      </c>
      <c r="J30" s="25" t="s">
        <v>100</v>
      </c>
      <c r="K30" s="25" t="s">
        <v>46</v>
      </c>
      <c r="L30" s="26" t="s">
        <v>29</v>
      </c>
      <c r="M30" s="79" t="s">
        <v>38</v>
      </c>
    </row>
    <row r="31" spans="1:15" ht="14.25" x14ac:dyDescent="0.25">
      <c r="A31" s="47" t="s">
        <v>6</v>
      </c>
      <c r="B31" s="27">
        <f>évolution!C9</f>
        <v>9291000</v>
      </c>
      <c r="C31" s="28">
        <f>B31/B33</f>
        <v>0.98213530655391124</v>
      </c>
      <c r="D31" s="28">
        <f>références!C8</f>
        <v>0.1673</v>
      </c>
      <c r="E31" s="27">
        <f>+B31*D31</f>
        <v>1554384.3</v>
      </c>
      <c r="F31" s="28">
        <f t="shared" ref="F31:F32" si="3">E31/$E$23</f>
        <v>0.624176673980123</v>
      </c>
      <c r="G31" s="27">
        <f>E31/références!$B$4</f>
        <v>195.17633098945254</v>
      </c>
      <c r="H31" s="28">
        <f t="shared" ref="H31:H32" si="4">(I31-D31)/D31</f>
        <v>0.23169644022279529</v>
      </c>
      <c r="I31" s="29">
        <f>D31*$I$36</f>
        <v>0.20606281444927366</v>
      </c>
      <c r="J31" s="27">
        <f>B31*I31</f>
        <v>1914529.6090482015</v>
      </c>
      <c r="K31" s="27">
        <f>J31/références!$B$4</f>
        <v>240.39799209545473</v>
      </c>
      <c r="L31" s="30">
        <f>J31-E31</f>
        <v>360145.30904820142</v>
      </c>
      <c r="M31" s="80">
        <f>K31-G31</f>
        <v>45.221661106002188</v>
      </c>
    </row>
    <row r="32" spans="1:15" ht="14.25" x14ac:dyDescent="0.25">
      <c r="A32" s="47" t="s">
        <v>7</v>
      </c>
      <c r="B32" s="27">
        <f>évolution!C10</f>
        <v>169000</v>
      </c>
      <c r="C32" s="28">
        <f>+B32/B33</f>
        <v>1.7864693446088795E-2</v>
      </c>
      <c r="D32" s="28">
        <f>références!C9</f>
        <v>0.4607</v>
      </c>
      <c r="E32" s="27">
        <f>+B32*D32</f>
        <v>77858.3</v>
      </c>
      <c r="F32" s="28">
        <f t="shared" si="3"/>
        <v>3.1264684502890702E-2</v>
      </c>
      <c r="G32" s="27">
        <f>E32/références!$B$4</f>
        <v>9.7762807634354605</v>
      </c>
      <c r="H32" s="28">
        <f t="shared" si="4"/>
        <v>0.23169644022279534</v>
      </c>
      <c r="I32" s="29">
        <f>D32*$I$36</f>
        <v>0.56744255001064181</v>
      </c>
      <c r="J32" s="27">
        <f>B32*I32</f>
        <v>95897.790951798466</v>
      </c>
      <c r="K32" s="27">
        <f>J32/références!$B$4</f>
        <v>12.041410214942047</v>
      </c>
      <c r="L32" s="30">
        <f>J32-E32</f>
        <v>18039.490951798463</v>
      </c>
      <c r="M32" s="80">
        <f>K32-G32</f>
        <v>2.2651294515065867</v>
      </c>
    </row>
    <row r="33" spans="1:13" ht="14.25" x14ac:dyDescent="0.25">
      <c r="A33" s="49" t="s">
        <v>2</v>
      </c>
      <c r="B33" s="31">
        <f>SUM(B31:B32)</f>
        <v>9460000</v>
      </c>
      <c r="C33" s="32"/>
      <c r="D33" s="33"/>
      <c r="E33" s="32"/>
      <c r="F33" s="32"/>
      <c r="G33" s="32"/>
      <c r="H33" s="32"/>
      <c r="I33" s="32"/>
      <c r="J33" s="32"/>
      <c r="K33" s="32"/>
      <c r="L33" s="32"/>
      <c r="M33" s="50"/>
    </row>
    <row r="34" spans="1:13" ht="14.25" x14ac:dyDescent="0.25">
      <c r="A34" s="71"/>
      <c r="B34" s="32"/>
      <c r="C34" s="27"/>
      <c r="D34" s="65"/>
      <c r="E34" s="31">
        <f>SUM(E31:E32)</f>
        <v>1632242.6</v>
      </c>
      <c r="F34" s="29">
        <f>SUM(F31:F32)</f>
        <v>0.65544135848301366</v>
      </c>
      <c r="G34" s="31">
        <f>SUM(G31:G32)</f>
        <v>204.952611752888</v>
      </c>
      <c r="H34" s="31"/>
      <c r="I34" s="35"/>
      <c r="J34" s="31">
        <f t="shared" ref="J34:L34" si="5">SUM(J31:J32)</f>
        <v>2010427.4</v>
      </c>
      <c r="K34" s="31">
        <f t="shared" si="5"/>
        <v>252.43940231039676</v>
      </c>
      <c r="L34" s="31">
        <f t="shared" si="5"/>
        <v>378184.79999999987</v>
      </c>
      <c r="M34" s="52">
        <f>SUM(M31:M32)</f>
        <v>47.486790557508776</v>
      </c>
    </row>
    <row r="35" spans="1:13" ht="14.25" x14ac:dyDescent="0.25">
      <c r="A35" s="41"/>
      <c r="B35" s="42"/>
      <c r="C35" s="42"/>
      <c r="D35" s="54"/>
      <c r="E35" s="42"/>
      <c r="F35" s="42"/>
      <c r="G35" s="42"/>
      <c r="H35" s="42"/>
      <c r="I35" s="42"/>
      <c r="J35" s="42"/>
      <c r="K35" s="42"/>
      <c r="L35" s="42"/>
      <c r="M35" s="44"/>
    </row>
    <row r="36" spans="1:13" ht="14.25" x14ac:dyDescent="0.25">
      <c r="A36" s="41"/>
      <c r="B36" s="42"/>
      <c r="C36" s="259" t="s">
        <v>4</v>
      </c>
      <c r="D36" s="260"/>
      <c r="E36" s="260"/>
      <c r="F36" s="145"/>
      <c r="G36" s="145"/>
      <c r="H36" s="145"/>
      <c r="I36" s="12">
        <f>références!E49</f>
        <v>1.2316964402227952</v>
      </c>
      <c r="J36" s="42"/>
      <c r="K36" s="42"/>
      <c r="L36" s="42"/>
      <c r="M36" s="44"/>
    </row>
    <row r="37" spans="1:13" thickBot="1" x14ac:dyDescent="0.3">
      <c r="A37" s="59"/>
      <c r="B37" s="60"/>
      <c r="C37" s="60"/>
      <c r="D37" s="61"/>
      <c r="E37" s="60"/>
      <c r="F37" s="60"/>
      <c r="G37" s="60"/>
      <c r="H37" s="60"/>
      <c r="I37" s="60"/>
      <c r="J37" s="60"/>
      <c r="K37" s="60"/>
      <c r="L37" s="60"/>
      <c r="M37" s="64"/>
    </row>
    <row r="38" spans="1:13" ht="14.25" x14ac:dyDescent="0.25">
      <c r="M38" s="4"/>
    </row>
  </sheetData>
  <mergeCells count="17">
    <mergeCell ref="I3:L3"/>
    <mergeCell ref="C25:E25"/>
    <mergeCell ref="A1:L1"/>
    <mergeCell ref="H10:J10"/>
    <mergeCell ref="H12:J12"/>
    <mergeCell ref="H14:J14"/>
    <mergeCell ref="C36:E36"/>
    <mergeCell ref="C23:D23"/>
    <mergeCell ref="A4:B4"/>
    <mergeCell ref="E4:F4"/>
    <mergeCell ref="I4:L4"/>
    <mergeCell ref="I5:L5"/>
    <mergeCell ref="I6:L6"/>
    <mergeCell ref="I7:L7"/>
    <mergeCell ref="A12:D12"/>
    <mergeCell ref="A14:D14"/>
    <mergeCell ref="A10:D10"/>
  </mergeCells>
  <conditionalFormatting sqref="I20:I21 I31:I32">
    <cfRule type="cellIs" dxfId="33" priority="25" operator="greaterThan">
      <formula>$G$7</formula>
    </cfRule>
    <cfRule type="cellIs" dxfId="32" priority="26" operator="greaterThan">
      <formula>$B$7</formula>
    </cfRule>
  </conditionalFormatting>
  <conditionalFormatting sqref="I20 I31:I32">
    <cfRule type="cellIs" dxfId="31" priority="27" operator="greaterThan">
      <formula>$F$6</formula>
    </cfRule>
  </conditionalFormatting>
  <conditionalFormatting sqref="I21 I32">
    <cfRule type="cellIs" dxfId="30" priority="24" operator="greaterThan">
      <formula>$F$7</formula>
    </cfRule>
  </conditionalFormatting>
  <conditionalFormatting sqref="I19">
    <cfRule type="cellIs" dxfId="29" priority="21" operator="greaterThan">
      <formula>$F$7</formula>
    </cfRule>
    <cfRule type="cellIs" dxfId="28" priority="22" operator="greaterThan">
      <formula>$G$7</formula>
    </cfRule>
    <cfRule type="cellIs" dxfId="27" priority="23" operator="greaterThan">
      <formula>$B$7</formula>
    </cfRule>
  </conditionalFormatting>
  <conditionalFormatting sqref="K23">
    <cfRule type="cellIs" dxfId="26" priority="10" operator="greaterThan">
      <formula>#REF!</formula>
    </cfRule>
  </conditionalFormatting>
  <conditionalFormatting sqref="G23:H23">
    <cfRule type="cellIs" dxfId="25" priority="9" operator="greaterThan">
      <formula>#REF!</formula>
    </cfRule>
  </conditionalFormatting>
  <conditionalFormatting sqref="K34">
    <cfRule type="cellIs" dxfId="24" priority="8" operator="greaterThan">
      <formula>#REF!</formula>
    </cfRule>
  </conditionalFormatting>
  <conditionalFormatting sqref="H34">
    <cfRule type="cellIs" dxfId="23" priority="7" operator="greaterThan">
      <formula>#REF!</formula>
    </cfRule>
  </conditionalFormatting>
  <conditionalFormatting sqref="H19:H21">
    <cfRule type="cellIs" dxfId="22" priority="4" operator="greaterThan">
      <formula>$F$7</formula>
    </cfRule>
    <cfRule type="cellIs" dxfId="21" priority="5" operator="greaterThan">
      <formula>$G$7</formula>
    </cfRule>
    <cfRule type="cellIs" dxfId="20" priority="6" operator="greaterThan">
      <formula>$B$7</formula>
    </cfRule>
  </conditionalFormatting>
  <conditionalFormatting sqref="H31:H32">
    <cfRule type="cellIs" dxfId="19" priority="1" operator="greaterThan">
      <formula>$F$7</formula>
    </cfRule>
    <cfRule type="cellIs" dxfId="18" priority="2" operator="greaterThan">
      <formula>$G$7</formula>
    </cfRule>
    <cfRule type="cellIs" dxfId="17" priority="3" operator="greaterThan">
      <formula>$B$7</formula>
    </cfRule>
  </conditionalFormatting>
  <printOptions horizontalCentered="1" verticalCentered="1"/>
  <pageMargins left="0.70866141732283472" right="0.70866141732283472" top="0.94488188976377963" bottom="0.74803149606299213" header="0.31496062992125984" footer="0.31496062992125984"/>
  <pageSetup paperSize="9" scale="63" fitToHeight="0" orientation="landscape" horizontalDpi="4294967293" r:id="rId1"/>
  <headerFooter>
    <oddHeader>&amp;R&amp;D</oddHeader>
    <oddFooter>&amp;R&amp;P / &amp;N</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7"/>
    <pageSetUpPr fitToPage="1"/>
  </sheetPr>
  <dimension ref="A1:O42"/>
  <sheetViews>
    <sheetView workbookViewId="0">
      <selection activeCell="A10" sqref="A10"/>
    </sheetView>
  </sheetViews>
  <sheetFormatPr baseColWidth="10" defaultColWidth="11.5703125" defaultRowHeight="15" x14ac:dyDescent="0.25"/>
  <cols>
    <col min="1" max="1" width="35.85546875" style="4" customWidth="1"/>
    <col min="2" max="2" width="14.28515625" style="4" customWidth="1"/>
    <col min="3" max="3" width="13" style="4" bestFit="1" customWidth="1"/>
    <col min="4" max="4" width="11.5703125" style="4"/>
    <col min="5" max="5" width="21" style="4" bestFit="1" customWidth="1"/>
    <col min="6" max="6" width="13.5703125" style="4" customWidth="1"/>
    <col min="7" max="7" width="15.7109375" style="4" customWidth="1"/>
    <col min="8" max="8" width="14.28515625" style="4" bestFit="1" customWidth="1"/>
    <col min="9" max="9" width="14.28515625" style="4" customWidth="1"/>
    <col min="10" max="10" width="16.28515625" style="4" customWidth="1"/>
    <col min="11" max="11" width="19" style="4" customWidth="1"/>
    <col min="12" max="13" width="11.5703125" style="4"/>
    <col min="15" max="16384" width="11.5703125" style="4"/>
  </cols>
  <sheetData>
    <row r="1" spans="1:14" ht="19.5" thickBot="1" x14ac:dyDescent="0.3">
      <c r="A1" s="293" t="s">
        <v>56</v>
      </c>
      <c r="B1" s="278"/>
      <c r="C1" s="278"/>
      <c r="D1" s="278"/>
      <c r="E1" s="278"/>
      <c r="F1" s="278"/>
      <c r="G1" s="278"/>
      <c r="H1" s="278"/>
      <c r="I1" s="278"/>
      <c r="J1" s="278"/>
      <c r="K1" s="278"/>
      <c r="L1" s="278"/>
      <c r="M1" s="279"/>
    </row>
    <row r="2" spans="1:14" thickBot="1" x14ac:dyDescent="0.3">
      <c r="A2" s="5"/>
      <c r="B2" s="5"/>
      <c r="C2" s="5"/>
      <c r="D2" s="5"/>
      <c r="E2" s="5"/>
      <c r="F2" s="5"/>
      <c r="G2" s="5"/>
      <c r="H2" s="5"/>
      <c r="I2" s="5"/>
      <c r="J2" s="5"/>
      <c r="K2" s="5"/>
      <c r="L2" s="5"/>
      <c r="M2" s="5"/>
      <c r="N2" s="4"/>
    </row>
    <row r="3" spans="1:14" x14ac:dyDescent="0.25">
      <c r="A3" s="19"/>
      <c r="B3" s="19"/>
      <c r="C3" s="20" t="s">
        <v>30</v>
      </c>
      <c r="E3" s="19"/>
      <c r="F3" s="19"/>
      <c r="G3" s="20" t="s">
        <v>30</v>
      </c>
      <c r="J3" s="294" t="s">
        <v>34</v>
      </c>
      <c r="K3" s="295"/>
      <c r="L3" s="295"/>
      <c r="M3" s="296"/>
      <c r="N3" s="16"/>
    </row>
    <row r="4" spans="1:14" x14ac:dyDescent="0.25">
      <c r="A4" s="251" t="s">
        <v>85</v>
      </c>
      <c r="B4" s="252"/>
      <c r="C4" s="21"/>
      <c r="E4" s="251" t="s">
        <v>86</v>
      </c>
      <c r="F4" s="252"/>
      <c r="G4" s="21"/>
      <c r="J4" s="287" t="s">
        <v>45</v>
      </c>
      <c r="K4" s="288"/>
      <c r="L4" s="288"/>
      <c r="M4" s="289"/>
      <c r="N4" s="16"/>
    </row>
    <row r="5" spans="1:14" x14ac:dyDescent="0.25">
      <c r="A5" s="22" t="s">
        <v>8</v>
      </c>
      <c r="B5" s="182">
        <f>références!E14</f>
        <v>0.21340000000000001</v>
      </c>
      <c r="C5" s="23">
        <f>B5*2.5</f>
        <v>0.53349999999999997</v>
      </c>
      <c r="E5" s="24" t="s">
        <v>8</v>
      </c>
      <c r="F5" s="182">
        <f>références!E19</f>
        <v>0.24560000000000001</v>
      </c>
      <c r="G5" s="23">
        <f>F5*2.5</f>
        <v>0.61399999999999999</v>
      </c>
      <c r="J5" s="297" t="s">
        <v>35</v>
      </c>
      <c r="K5" s="298"/>
      <c r="L5" s="298"/>
      <c r="M5" s="299"/>
      <c r="N5" s="16"/>
    </row>
    <row r="6" spans="1:14" x14ac:dyDescent="0.25">
      <c r="A6" s="22" t="s">
        <v>9</v>
      </c>
      <c r="B6" s="182">
        <f>références!E15</f>
        <v>0.2838</v>
      </c>
      <c r="C6" s="23">
        <f>B6*2.5</f>
        <v>0.70950000000000002</v>
      </c>
      <c r="E6" s="24" t="s">
        <v>9</v>
      </c>
      <c r="F6" s="182">
        <f>références!E20</f>
        <v>0.21590000000000001</v>
      </c>
      <c r="G6" s="23">
        <f>F6*2.5</f>
        <v>0.53975000000000006</v>
      </c>
      <c r="J6" s="290" t="s">
        <v>36</v>
      </c>
      <c r="K6" s="291"/>
      <c r="L6" s="291"/>
      <c r="M6" s="292"/>
      <c r="N6" s="16"/>
    </row>
    <row r="7" spans="1:14" x14ac:dyDescent="0.25">
      <c r="A7" s="22" t="s">
        <v>10</v>
      </c>
      <c r="B7" s="182">
        <f>références!E16</f>
        <v>0.61109999999999998</v>
      </c>
      <c r="C7" s="23">
        <f>B7*2.5</f>
        <v>1.5277499999999999</v>
      </c>
      <c r="E7" s="24" t="s">
        <v>10</v>
      </c>
      <c r="F7" s="182">
        <f>références!E21</f>
        <v>0.49719999999999998</v>
      </c>
      <c r="G7" s="23">
        <f>F7*2.5</f>
        <v>1.2429999999999999</v>
      </c>
      <c r="J7" s="300" t="s">
        <v>51</v>
      </c>
      <c r="K7" s="301"/>
      <c r="L7" s="301"/>
      <c r="M7" s="302"/>
      <c r="N7" s="16"/>
    </row>
    <row r="8" spans="1:14" ht="15.75" thickBot="1" x14ac:dyDescent="0.3">
      <c r="A8" s="119"/>
      <c r="C8" s="117"/>
      <c r="E8" s="121"/>
      <c r="F8" s="120"/>
      <c r="G8" s="117"/>
      <c r="J8" s="268" t="s">
        <v>37</v>
      </c>
      <c r="K8" s="269"/>
      <c r="L8" s="269"/>
      <c r="M8" s="270"/>
      <c r="N8" s="16"/>
    </row>
    <row r="9" spans="1:14" ht="15.75" thickBot="1" x14ac:dyDescent="0.3">
      <c r="A9" s="119"/>
      <c r="C9" s="117"/>
      <c r="E9" s="121"/>
      <c r="F9" s="120"/>
      <c r="G9" s="117"/>
      <c r="J9" s="15"/>
      <c r="K9" s="15"/>
      <c r="M9" s="16"/>
      <c r="N9" s="16"/>
    </row>
    <row r="10" spans="1:14" ht="15.75" thickBot="1" x14ac:dyDescent="0.3">
      <c r="C10" s="18"/>
      <c r="D10" s="17"/>
      <c r="E10" s="123" t="s">
        <v>57</v>
      </c>
      <c r="F10" s="123" t="s">
        <v>1</v>
      </c>
      <c r="J10" s="15"/>
      <c r="K10" s="15"/>
      <c r="L10" s="123" t="s">
        <v>57</v>
      </c>
      <c r="M10" s="123" t="s">
        <v>1</v>
      </c>
      <c r="N10" s="16"/>
    </row>
    <row r="11" spans="1:14" ht="15.75" thickBot="1" x14ac:dyDescent="0.3">
      <c r="A11" s="286" t="s">
        <v>52</v>
      </c>
      <c r="B11" s="286"/>
      <c r="C11" s="286"/>
      <c r="D11" s="285"/>
      <c r="E11" s="122">
        <v>0.25</v>
      </c>
      <c r="F11" s="122">
        <v>0.25</v>
      </c>
      <c r="G11" s="100"/>
      <c r="H11" s="286" t="s">
        <v>43</v>
      </c>
      <c r="I11" s="286"/>
      <c r="J11" s="286"/>
      <c r="K11" s="285"/>
      <c r="L11" s="124">
        <f>$H$28</f>
        <v>1.2052073766027918</v>
      </c>
      <c r="M11" s="124">
        <f>$H$39</f>
        <v>1.25</v>
      </c>
      <c r="N11" s="16"/>
    </row>
    <row r="12" spans="1:14" ht="9" customHeight="1" thickBot="1" x14ac:dyDescent="0.3">
      <c r="A12" s="84"/>
      <c r="B12" s="17"/>
      <c r="C12" s="18"/>
      <c r="D12" s="17"/>
      <c r="E12" s="17"/>
      <c r="F12" s="17"/>
      <c r="H12" s="85"/>
      <c r="I12" s="85"/>
      <c r="J12" s="96"/>
      <c r="K12" s="85"/>
      <c r="L12" s="92"/>
      <c r="M12" s="92"/>
      <c r="N12" s="16"/>
    </row>
    <row r="13" spans="1:14" ht="15.75" thickBot="1" x14ac:dyDescent="0.3">
      <c r="A13" s="286" t="s">
        <v>53</v>
      </c>
      <c r="B13" s="286"/>
      <c r="C13" s="286"/>
      <c r="D13" s="285"/>
      <c r="E13" s="109">
        <v>0.25</v>
      </c>
      <c r="F13" s="109">
        <v>0.25</v>
      </c>
      <c r="G13" s="100"/>
      <c r="H13" s="286" t="s">
        <v>44</v>
      </c>
      <c r="I13" s="286"/>
      <c r="J13" s="286"/>
      <c r="K13" s="285"/>
      <c r="L13" s="89">
        <f>$L$26</f>
        <v>511026.98599999998</v>
      </c>
      <c r="M13" s="89">
        <f>$L$37</f>
        <v>408876.77129999996</v>
      </c>
      <c r="N13" s="16"/>
    </row>
    <row r="14" spans="1:14" ht="9" customHeight="1" thickBot="1" x14ac:dyDescent="0.3">
      <c r="A14" s="87"/>
      <c r="B14" s="87"/>
      <c r="C14" s="85"/>
      <c r="D14" s="85"/>
      <c r="E14" s="16"/>
      <c r="H14" s="85"/>
      <c r="I14" s="85"/>
      <c r="J14" s="96"/>
      <c r="K14" s="85"/>
      <c r="L14" s="92"/>
      <c r="M14" s="92"/>
      <c r="N14" s="16"/>
    </row>
    <row r="15" spans="1:14" ht="15.75" thickBot="1" x14ac:dyDescent="0.3">
      <c r="A15" s="286" t="s">
        <v>41</v>
      </c>
      <c r="B15" s="286"/>
      <c r="C15" s="286"/>
      <c r="D15" s="285"/>
      <c r="E15" s="90">
        <f>$K$26</f>
        <v>376.861173530889</v>
      </c>
      <c r="F15" s="90">
        <f>$K$37</f>
        <v>256.70314622049221</v>
      </c>
      <c r="G15" s="113"/>
      <c r="H15" s="280" t="s">
        <v>39</v>
      </c>
      <c r="I15" s="280"/>
      <c r="J15" s="280"/>
      <c r="K15" s="281"/>
      <c r="L15" s="90">
        <f>$M$26</f>
        <v>64.167125313912592</v>
      </c>
      <c r="M15" s="90">
        <f>$M$37</f>
        <v>51.340629244098459</v>
      </c>
      <c r="N15" s="16"/>
    </row>
    <row r="16" spans="1:14" ht="11.25" customHeight="1" thickBot="1" x14ac:dyDescent="0.3">
      <c r="A16" s="95"/>
      <c r="B16" s="95"/>
      <c r="C16" s="95"/>
      <c r="D16" s="94"/>
      <c r="E16" s="116"/>
      <c r="G16" s="96"/>
      <c r="H16" s="96"/>
      <c r="I16" s="96"/>
      <c r="J16" s="118"/>
      <c r="K16" s="85"/>
      <c r="L16" s="116"/>
      <c r="M16" s="116"/>
      <c r="N16" s="16"/>
    </row>
    <row r="17" spans="1:15" ht="15.75" customHeight="1" thickBot="1" x14ac:dyDescent="0.3">
      <c r="A17" s="286" t="s">
        <v>42</v>
      </c>
      <c r="B17" s="286"/>
      <c r="C17" s="286"/>
      <c r="D17" s="285"/>
      <c r="E17" s="90">
        <f>références!$B$54</f>
        <v>7048947.7860000003</v>
      </c>
      <c r="F17" s="90">
        <f>références!$E$54</f>
        <v>5237220.9417000003</v>
      </c>
      <c r="G17" s="99"/>
      <c r="H17" s="282" t="s">
        <v>40</v>
      </c>
      <c r="I17" s="282"/>
      <c r="J17" s="282"/>
      <c r="K17" s="283"/>
      <c r="L17" s="89">
        <f>$M$26-$G$22</f>
        <v>-43.574311150175816</v>
      </c>
      <c r="M17" s="89">
        <f>$M$37-$G$22</f>
        <v>-56.40080721998995</v>
      </c>
      <c r="N17" s="16"/>
    </row>
    <row r="18" spans="1:15" ht="15.75" thickBot="1" x14ac:dyDescent="0.3">
      <c r="A18" s="95"/>
      <c r="B18" s="95"/>
      <c r="C18" s="95"/>
      <c r="D18" s="94"/>
      <c r="E18" s="112"/>
      <c r="G18" s="99"/>
      <c r="H18" s="99"/>
      <c r="I18" s="99"/>
      <c r="J18" s="114"/>
      <c r="K18" s="115"/>
      <c r="L18" s="15"/>
      <c r="N18" s="16"/>
    </row>
    <row r="19" spans="1:15" thickBot="1" x14ac:dyDescent="0.3">
      <c r="A19" s="37" t="s">
        <v>15</v>
      </c>
      <c r="B19" s="38"/>
      <c r="C19" s="38"/>
      <c r="D19" s="38"/>
      <c r="E19" s="38"/>
      <c r="F19" s="38"/>
      <c r="G19" s="38"/>
      <c r="H19" s="38"/>
      <c r="I19" s="38"/>
      <c r="J19" s="38"/>
      <c r="K19" s="38"/>
      <c r="L19" s="38"/>
      <c r="M19" s="40"/>
      <c r="N19" s="4"/>
    </row>
    <row r="20" spans="1:15" ht="14.25" x14ac:dyDescent="0.25">
      <c r="A20" s="41"/>
      <c r="B20" s="42"/>
      <c r="C20" s="42"/>
      <c r="D20" s="42"/>
      <c r="E20" s="42"/>
      <c r="F20" s="42"/>
      <c r="G20" s="42"/>
      <c r="H20" s="42"/>
      <c r="I20" s="42"/>
      <c r="J20" s="42"/>
      <c r="K20" s="42"/>
      <c r="L20" s="42"/>
      <c r="M20" s="44"/>
      <c r="N20" s="4"/>
    </row>
    <row r="21" spans="1:15" ht="42.75" x14ac:dyDescent="0.25">
      <c r="A21" s="45"/>
      <c r="B21" s="146" t="s">
        <v>83</v>
      </c>
      <c r="C21" s="146" t="s">
        <v>0</v>
      </c>
      <c r="D21" s="146" t="s">
        <v>84</v>
      </c>
      <c r="E21" s="25" t="s">
        <v>94</v>
      </c>
      <c r="F21" s="25" t="s">
        <v>98</v>
      </c>
      <c r="G21" s="25" t="s">
        <v>95</v>
      </c>
      <c r="H21" s="25" t="s">
        <v>50</v>
      </c>
      <c r="I21" s="25" t="s">
        <v>14</v>
      </c>
      <c r="J21" s="25" t="s">
        <v>100</v>
      </c>
      <c r="K21" s="25" t="s">
        <v>46</v>
      </c>
      <c r="L21" s="26" t="s">
        <v>29</v>
      </c>
      <c r="M21" s="79" t="s">
        <v>38</v>
      </c>
    </row>
    <row r="22" spans="1:15" s="9" customFormat="1" ht="14.25" x14ac:dyDescent="0.25">
      <c r="A22" s="47" t="s">
        <v>5</v>
      </c>
      <c r="B22" s="27">
        <f>évolution!C8</f>
        <v>10834000</v>
      </c>
      <c r="C22" s="28">
        <f>B22/$B$25</f>
        <v>0.5338523701586676</v>
      </c>
      <c r="D22" s="28">
        <f>références!C7</f>
        <v>7.9200000000000007E-2</v>
      </c>
      <c r="E22" s="27">
        <f>B22*D22</f>
        <v>858052.8</v>
      </c>
      <c r="F22" s="28">
        <f>E22/$E$26</f>
        <v>0.34455864151698634</v>
      </c>
      <c r="G22" s="27">
        <f>E22/références!$B$4</f>
        <v>107.74143646408841</v>
      </c>
      <c r="H22" s="29">
        <v>0.12</v>
      </c>
      <c r="I22" s="29">
        <f>D22+(D22*H22)</f>
        <v>8.8704000000000005E-2</v>
      </c>
      <c r="J22" s="27">
        <f>B22*I22</f>
        <v>961019.13600000006</v>
      </c>
      <c r="K22" s="27">
        <f>J22/références!$B$4</f>
        <v>120.67040883977901</v>
      </c>
      <c r="L22" s="30">
        <f>J22-E22</f>
        <v>102966.33600000001</v>
      </c>
      <c r="M22" s="80">
        <f>K22-G22</f>
        <v>12.928972375690606</v>
      </c>
    </row>
    <row r="23" spans="1:15" ht="14.25" x14ac:dyDescent="0.25">
      <c r="A23" s="47" t="s">
        <v>6</v>
      </c>
      <c r="B23" s="27">
        <f>évolution!C9</f>
        <v>9291000</v>
      </c>
      <c r="C23" s="28">
        <f>B23/$B$25</f>
        <v>0.45782004533359616</v>
      </c>
      <c r="D23" s="28">
        <f>références!C8</f>
        <v>0.1673</v>
      </c>
      <c r="E23" s="27">
        <f>B23*D23</f>
        <v>1554384.3</v>
      </c>
      <c r="F23" s="28">
        <f>E23/$E$26</f>
        <v>0.624176673980123</v>
      </c>
      <c r="G23" s="27">
        <f>E23/références!$B$4</f>
        <v>195.17633098945254</v>
      </c>
      <c r="H23" s="29">
        <f>E11</f>
        <v>0.25</v>
      </c>
      <c r="I23" s="29">
        <f t="shared" ref="I23:I24" si="0">D23+(D23*H23)</f>
        <v>0.20912500000000001</v>
      </c>
      <c r="J23" s="27">
        <f t="shared" ref="J23:J24" si="1">B23*I23</f>
        <v>1942980.375</v>
      </c>
      <c r="K23" s="27">
        <f>J23/références!$B$4</f>
        <v>243.97041373681566</v>
      </c>
      <c r="L23" s="30">
        <f>J23-E23</f>
        <v>388596.07499999995</v>
      </c>
      <c r="M23" s="80">
        <f>K23-G23</f>
        <v>48.79408274736312</v>
      </c>
      <c r="N23" s="4"/>
      <c r="O23" s="10"/>
    </row>
    <row r="24" spans="1:15" ht="14.25" x14ac:dyDescent="0.25">
      <c r="A24" s="47" t="s">
        <v>7</v>
      </c>
      <c r="B24" s="27">
        <f>évolution!C10</f>
        <v>169000</v>
      </c>
      <c r="C24" s="28">
        <f>B24/$B$25</f>
        <v>8.3275845077362774E-3</v>
      </c>
      <c r="D24" s="28">
        <f>références!C9</f>
        <v>0.4607</v>
      </c>
      <c r="E24" s="27">
        <f>B24*D24</f>
        <v>77858.3</v>
      </c>
      <c r="F24" s="28">
        <f>E24/$E$26</f>
        <v>3.1264684502890702E-2</v>
      </c>
      <c r="G24" s="27">
        <f>E24/références!$B$4</f>
        <v>9.7762807634354605</v>
      </c>
      <c r="H24" s="29">
        <f>E13</f>
        <v>0.25</v>
      </c>
      <c r="I24" s="29">
        <f t="shared" si="0"/>
        <v>0.57587500000000003</v>
      </c>
      <c r="J24" s="27">
        <f t="shared" si="1"/>
        <v>97322.875</v>
      </c>
      <c r="K24" s="27">
        <f>J24/références!$B$4</f>
        <v>12.220350954294325</v>
      </c>
      <c r="L24" s="30">
        <f>J24-E24</f>
        <v>19464.574999999997</v>
      </c>
      <c r="M24" s="80">
        <f>K24-G24</f>
        <v>2.4440701908588647</v>
      </c>
      <c r="N24" s="4"/>
    </row>
    <row r="25" spans="1:15" ht="14.25" x14ac:dyDescent="0.25">
      <c r="A25" s="49" t="s">
        <v>2</v>
      </c>
      <c r="B25" s="31">
        <f>SUM(B22:B24)</f>
        <v>20294000</v>
      </c>
      <c r="C25" s="32"/>
      <c r="D25" s="33"/>
      <c r="E25" s="32"/>
      <c r="F25" s="32"/>
      <c r="G25" s="32">
        <f>E25/références!$B$4</f>
        <v>0</v>
      </c>
      <c r="H25" s="32"/>
      <c r="I25" s="32"/>
      <c r="J25" s="32"/>
      <c r="K25" s="32"/>
      <c r="L25" s="34"/>
      <c r="M25" s="81"/>
      <c r="N25" s="4"/>
    </row>
    <row r="26" spans="1:15" ht="14.25" x14ac:dyDescent="0.25">
      <c r="A26" s="71"/>
      <c r="B26" s="32"/>
      <c r="C26" s="261" t="s">
        <v>17</v>
      </c>
      <c r="D26" s="261"/>
      <c r="E26" s="31">
        <f>SUM(E22:E24)</f>
        <v>2490295.4</v>
      </c>
      <c r="F26" s="29">
        <f>SUM(F22:F24)</f>
        <v>1</v>
      </c>
      <c r="G26" s="31">
        <f>E26/références!$B$4</f>
        <v>312.6940482169764</v>
      </c>
      <c r="H26" s="35"/>
      <c r="I26" s="35"/>
      <c r="J26" s="31">
        <f>SUM(J22:J24)</f>
        <v>3001322.3859999999</v>
      </c>
      <c r="K26" s="31">
        <f>SUM(K22:K24)</f>
        <v>376.861173530889</v>
      </c>
      <c r="L26" s="31">
        <f t="shared" ref="L26:M26" si="2">SUM(L22:L24)</f>
        <v>511026.98599999998</v>
      </c>
      <c r="M26" s="52">
        <f t="shared" si="2"/>
        <v>64.167125313912592</v>
      </c>
      <c r="N26" s="4"/>
    </row>
    <row r="27" spans="1:15" ht="14.25" x14ac:dyDescent="0.25">
      <c r="A27" s="41"/>
      <c r="B27" s="53"/>
      <c r="C27" s="42"/>
      <c r="D27" s="54"/>
      <c r="E27" s="55"/>
      <c r="F27" s="55"/>
      <c r="G27" s="55"/>
      <c r="H27" s="53"/>
      <c r="I27" s="53"/>
      <c r="J27" s="42"/>
      <c r="K27" s="42"/>
      <c r="L27" s="42"/>
      <c r="M27" s="44"/>
      <c r="N27" s="4"/>
    </row>
    <row r="28" spans="1:15" ht="14.25" x14ac:dyDescent="0.25">
      <c r="A28" s="41"/>
      <c r="B28" s="42"/>
      <c r="C28" s="259" t="s">
        <v>4</v>
      </c>
      <c r="D28" s="260"/>
      <c r="E28" s="260"/>
      <c r="F28" s="98"/>
      <c r="G28" s="98"/>
      <c r="H28" s="12">
        <f>références!$B$63</f>
        <v>1.2052073766027918</v>
      </c>
      <c r="I28" s="108"/>
      <c r="J28" s="42"/>
      <c r="K28" s="42"/>
      <c r="L28" s="42"/>
      <c r="M28" s="44"/>
      <c r="N28" s="4"/>
    </row>
    <row r="29" spans="1:15" thickBot="1" x14ac:dyDescent="0.3">
      <c r="A29" s="59"/>
      <c r="B29" s="60"/>
      <c r="C29" s="82"/>
      <c r="D29" s="82"/>
      <c r="E29" s="82"/>
      <c r="F29" s="82"/>
      <c r="G29" s="82"/>
      <c r="H29" s="83"/>
      <c r="I29" s="83"/>
      <c r="J29" s="60"/>
      <c r="K29" s="60"/>
      <c r="L29" s="60"/>
      <c r="M29" s="64"/>
      <c r="N29" s="4"/>
    </row>
    <row r="30" spans="1:15" thickBot="1" x14ac:dyDescent="0.3">
      <c r="D30" s="7"/>
      <c r="E30" s="8"/>
      <c r="F30" s="8"/>
      <c r="G30" s="8"/>
      <c r="N30" s="4"/>
    </row>
    <row r="31" spans="1:15" thickBot="1" x14ac:dyDescent="0.3">
      <c r="A31" s="37" t="s">
        <v>16</v>
      </c>
      <c r="B31" s="38"/>
      <c r="C31" s="38"/>
      <c r="D31" s="67"/>
      <c r="E31" s="38"/>
      <c r="F31" s="38"/>
      <c r="G31" s="38"/>
      <c r="H31" s="38"/>
      <c r="I31" s="38"/>
      <c r="J31" s="38"/>
      <c r="K31" s="38"/>
      <c r="L31" s="38"/>
      <c r="M31" s="40"/>
      <c r="N31" s="4"/>
    </row>
    <row r="32" spans="1:15" ht="14.25" x14ac:dyDescent="0.25">
      <c r="A32" s="70"/>
      <c r="B32" s="42"/>
      <c r="C32" s="42"/>
      <c r="D32" s="54"/>
      <c r="E32" s="42"/>
      <c r="F32" s="42"/>
      <c r="G32" s="42"/>
      <c r="H32" s="42"/>
      <c r="I32" s="42"/>
      <c r="J32" s="42"/>
      <c r="K32" s="42"/>
      <c r="L32" s="42"/>
      <c r="M32" s="44"/>
      <c r="N32" s="4"/>
    </row>
    <row r="33" spans="1:14" ht="42.75" x14ac:dyDescent="0.25">
      <c r="A33" s="45"/>
      <c r="B33" s="146" t="s">
        <v>83</v>
      </c>
      <c r="C33" s="146" t="s">
        <v>0</v>
      </c>
      <c r="D33" s="146" t="s">
        <v>84</v>
      </c>
      <c r="E33" s="25" t="s">
        <v>94</v>
      </c>
      <c r="F33" s="25" t="s">
        <v>98</v>
      </c>
      <c r="G33" s="25" t="s">
        <v>95</v>
      </c>
      <c r="H33" s="25" t="s">
        <v>50</v>
      </c>
      <c r="I33" s="25" t="s">
        <v>14</v>
      </c>
      <c r="J33" s="25" t="s">
        <v>100</v>
      </c>
      <c r="K33" s="25" t="s">
        <v>46</v>
      </c>
      <c r="L33" s="26" t="s">
        <v>29</v>
      </c>
      <c r="M33" s="79" t="s">
        <v>38</v>
      </c>
      <c r="N33" s="4"/>
    </row>
    <row r="34" spans="1:14" s="9" customFormat="1" ht="14.25" x14ac:dyDescent="0.25">
      <c r="A34" s="47" t="s">
        <v>6</v>
      </c>
      <c r="B34" s="27">
        <f>références!B8</f>
        <v>9309582</v>
      </c>
      <c r="C34" s="28">
        <f>B34/B36</f>
        <v>0.98213530655391124</v>
      </c>
      <c r="D34" s="28">
        <f>références!C8</f>
        <v>0.1673</v>
      </c>
      <c r="E34" s="27">
        <f>+B34*D34</f>
        <v>1557493.0686000001</v>
      </c>
      <c r="F34" s="28">
        <f>E34/$E$26</f>
        <v>0.62542502732808336</v>
      </c>
      <c r="G34" s="27">
        <f>E34/références!$B$4</f>
        <v>195.56668365143145</v>
      </c>
      <c r="H34" s="29">
        <f>F11</f>
        <v>0.25</v>
      </c>
      <c r="I34" s="29">
        <f t="shared" ref="I34:I35" si="3">D34+(D34*H34)</f>
        <v>0.20912500000000001</v>
      </c>
      <c r="J34" s="27">
        <f>B34*I34</f>
        <v>1946866.3357500001</v>
      </c>
      <c r="K34" s="27">
        <f>J34/références!$B$4</f>
        <v>244.45835456428932</v>
      </c>
      <c r="L34" s="30">
        <f>J34-E34</f>
        <v>389373.26714999997</v>
      </c>
      <c r="M34" s="80">
        <f>K34-G34</f>
        <v>48.891670912857876</v>
      </c>
    </row>
    <row r="35" spans="1:14" ht="14.25" x14ac:dyDescent="0.25">
      <c r="A35" s="47" t="s">
        <v>7</v>
      </c>
      <c r="B35" s="27">
        <f>références!B9</f>
        <v>169338</v>
      </c>
      <c r="C35" s="28">
        <f>+B35/B36</f>
        <v>1.7864693446088795E-2</v>
      </c>
      <c r="D35" s="28">
        <f>références!C9</f>
        <v>0.4607</v>
      </c>
      <c r="E35" s="27">
        <f>+B35*D35</f>
        <v>78014.016600000003</v>
      </c>
      <c r="F35" s="28">
        <f>E35/$E$26</f>
        <v>3.1327213871896485E-2</v>
      </c>
      <c r="G35" s="27">
        <f>E35/références!$B$4</f>
        <v>9.7958333249623308</v>
      </c>
      <c r="H35" s="29">
        <f>F13</f>
        <v>0.25</v>
      </c>
      <c r="I35" s="29">
        <f t="shared" si="3"/>
        <v>0.57587500000000003</v>
      </c>
      <c r="J35" s="27">
        <f>B35*I35</f>
        <v>97517.520750000011</v>
      </c>
      <c r="K35" s="27">
        <f>J35/références!$B$4</f>
        <v>12.244791656202915</v>
      </c>
      <c r="L35" s="30">
        <f>J35-E35</f>
        <v>19503.504150000008</v>
      </c>
      <c r="M35" s="80">
        <f>K35-G35</f>
        <v>2.4489583312405845</v>
      </c>
      <c r="N35" s="4"/>
    </row>
    <row r="36" spans="1:14" ht="14.25" x14ac:dyDescent="0.25">
      <c r="A36" s="49" t="s">
        <v>2</v>
      </c>
      <c r="B36" s="31">
        <f>SUM(B34:B35)</f>
        <v>9478920</v>
      </c>
      <c r="C36" s="32"/>
      <c r="D36" s="33"/>
      <c r="E36" s="32"/>
      <c r="F36" s="32"/>
      <c r="G36" s="32"/>
      <c r="H36" s="32"/>
      <c r="I36" s="32"/>
      <c r="J36" s="32"/>
      <c r="K36" s="32"/>
      <c r="L36" s="32"/>
      <c r="M36" s="50"/>
      <c r="N36" s="4"/>
    </row>
    <row r="37" spans="1:14" ht="14.25" x14ac:dyDescent="0.25">
      <c r="A37" s="71"/>
      <c r="B37" s="32"/>
      <c r="C37" s="27"/>
      <c r="D37" s="65"/>
      <c r="E37" s="31">
        <f>SUM(E34:E35)</f>
        <v>1635507.0852000001</v>
      </c>
      <c r="F37" s="29">
        <f>SUM(F34:F35)</f>
        <v>0.65675224119997988</v>
      </c>
      <c r="G37" s="31">
        <f>SUM(G34:G35)</f>
        <v>205.36251697639378</v>
      </c>
      <c r="H37" s="35"/>
      <c r="I37" s="35"/>
      <c r="J37" s="31">
        <f t="shared" ref="J37:L37" si="4">SUM(J34:J35)</f>
        <v>2044383.8565</v>
      </c>
      <c r="K37" s="31">
        <f t="shared" si="4"/>
        <v>256.70314622049221</v>
      </c>
      <c r="L37" s="31">
        <f t="shared" si="4"/>
        <v>408876.77129999996</v>
      </c>
      <c r="M37" s="52">
        <f>SUM(M34:M35)</f>
        <v>51.340629244098459</v>
      </c>
      <c r="N37" s="4"/>
    </row>
    <row r="38" spans="1:14" ht="14.25" x14ac:dyDescent="0.25">
      <c r="A38" s="41"/>
      <c r="B38" s="42"/>
      <c r="C38" s="42"/>
      <c r="D38" s="54"/>
      <c r="E38" s="42"/>
      <c r="F38" s="42"/>
      <c r="G38" s="42"/>
      <c r="H38" s="42"/>
      <c r="I38" s="42"/>
      <c r="J38" s="42"/>
      <c r="K38" s="42"/>
      <c r="L38" s="42"/>
      <c r="M38" s="44"/>
      <c r="N38" s="4"/>
    </row>
    <row r="39" spans="1:14" ht="14.25" x14ac:dyDescent="0.25">
      <c r="A39" s="41"/>
      <c r="B39" s="42"/>
      <c r="C39" s="259" t="s">
        <v>4</v>
      </c>
      <c r="D39" s="260"/>
      <c r="E39" s="260"/>
      <c r="F39" s="98"/>
      <c r="G39" s="98"/>
      <c r="H39" s="12">
        <f>références!$E$63</f>
        <v>1.25</v>
      </c>
      <c r="I39" s="108"/>
      <c r="J39" s="42"/>
      <c r="K39" s="42"/>
      <c r="L39" s="42"/>
      <c r="M39" s="44"/>
      <c r="N39" s="4"/>
    </row>
    <row r="40" spans="1:14" thickBot="1" x14ac:dyDescent="0.3">
      <c r="A40" s="59"/>
      <c r="B40" s="60"/>
      <c r="C40" s="60"/>
      <c r="D40" s="61"/>
      <c r="E40" s="60"/>
      <c r="F40" s="60"/>
      <c r="G40" s="60"/>
      <c r="H40" s="60"/>
      <c r="I40" s="60"/>
      <c r="J40" s="60"/>
      <c r="K40" s="60"/>
      <c r="L40" s="60"/>
      <c r="M40" s="64"/>
      <c r="N40" s="4"/>
    </row>
    <row r="41" spans="1:14" ht="14.25" x14ac:dyDescent="0.25">
      <c r="N41" s="4"/>
    </row>
    <row r="42" spans="1:14" ht="14.25" x14ac:dyDescent="0.25">
      <c r="N42" s="4"/>
    </row>
  </sheetData>
  <mergeCells count="20">
    <mergeCell ref="C28:E28"/>
    <mergeCell ref="C39:E39"/>
    <mergeCell ref="J7:M7"/>
    <mergeCell ref="A11:D11"/>
    <mergeCell ref="A13:D13"/>
    <mergeCell ref="H13:K13"/>
    <mergeCell ref="H15:K15"/>
    <mergeCell ref="H17:K17"/>
    <mergeCell ref="J8:M8"/>
    <mergeCell ref="C26:D26"/>
    <mergeCell ref="J6:M6"/>
    <mergeCell ref="A17:D17"/>
    <mergeCell ref="A15:D15"/>
    <mergeCell ref="H11:K11"/>
    <mergeCell ref="A1:M1"/>
    <mergeCell ref="J3:M3"/>
    <mergeCell ref="A4:B4"/>
    <mergeCell ref="E4:F4"/>
    <mergeCell ref="J4:M4"/>
    <mergeCell ref="J5:M5"/>
  </mergeCells>
  <conditionalFormatting sqref="K26">
    <cfRule type="cellIs" dxfId="16" priority="20" operator="greaterThan">
      <formula>#REF!</formula>
    </cfRule>
  </conditionalFormatting>
  <conditionalFormatting sqref="G26">
    <cfRule type="cellIs" dxfId="15" priority="19" operator="greaterThan">
      <formula>#REF!</formula>
    </cfRule>
  </conditionalFormatting>
  <conditionalFormatting sqref="K37">
    <cfRule type="cellIs" dxfId="14" priority="18" operator="greaterThan">
      <formula>#REF!</formula>
    </cfRule>
  </conditionalFormatting>
  <conditionalFormatting sqref="G37">
    <cfRule type="cellIs" dxfId="13" priority="17" operator="greaterThan">
      <formula>#REF!</formula>
    </cfRule>
  </conditionalFormatting>
  <conditionalFormatting sqref="I23:I24">
    <cfRule type="cellIs" dxfId="12" priority="13" operator="greaterThan">
      <formula>$G$7</formula>
    </cfRule>
    <cfRule type="cellIs" dxfId="11" priority="14" operator="greaterThan">
      <formula>$B$7</formula>
    </cfRule>
  </conditionalFormatting>
  <conditionalFormatting sqref="I23">
    <cfRule type="cellIs" dxfId="10" priority="15" operator="greaterThan">
      <formula>$F$6</formula>
    </cfRule>
  </conditionalFormatting>
  <conditionalFormatting sqref="I24">
    <cfRule type="cellIs" dxfId="9" priority="12" operator="greaterThan">
      <formula>$F$7</formula>
    </cfRule>
  </conditionalFormatting>
  <conditionalFormatting sqref="I22">
    <cfRule type="cellIs" dxfId="8" priority="9" operator="greaterThan">
      <formula>$F$7</formula>
    </cfRule>
    <cfRule type="cellIs" dxfId="7" priority="10" operator="greaterThan">
      <formula>$G$7</formula>
    </cfRule>
    <cfRule type="cellIs" dxfId="6" priority="11" operator="greaterThan">
      <formula>$B$7</formula>
    </cfRule>
  </conditionalFormatting>
  <conditionalFormatting sqref="I34:I35">
    <cfRule type="cellIs" dxfId="5" priority="6" operator="greaterThan">
      <formula>$G$7</formula>
    </cfRule>
    <cfRule type="cellIs" dxfId="4" priority="7" operator="greaterThan">
      <formula>$B$7</formula>
    </cfRule>
  </conditionalFormatting>
  <conditionalFormatting sqref="I34">
    <cfRule type="cellIs" dxfId="3" priority="8" operator="greaterThan">
      <formula>$F$6</formula>
    </cfRule>
  </conditionalFormatting>
  <conditionalFormatting sqref="I35">
    <cfRule type="cellIs" dxfId="2" priority="5" operator="greaterThan">
      <formula>$F$7</formula>
    </cfRule>
  </conditionalFormatting>
  <conditionalFormatting sqref="E13">
    <cfRule type="cellIs" dxfId="1" priority="2" operator="greaterThan">
      <formula>$E$11</formula>
    </cfRule>
  </conditionalFormatting>
  <conditionalFormatting sqref="F13">
    <cfRule type="cellIs" dxfId="0" priority="1" operator="greaterThan">
      <formula>$F$11</formula>
    </cfRule>
  </conditionalFormatting>
  <dataValidations count="2">
    <dataValidation type="custom" errorStyle="warning" allowBlank="1" showErrorMessage="1" errorTitle="taux incorrect" error="la variation du taux de TFNB est supérieure à celle du taux de TFB" sqref="E13">
      <formula1>E11&gt;E13</formula1>
    </dataValidation>
    <dataValidation type="custom" errorStyle="warning" allowBlank="1" showInputMessage="1" showErrorMessage="1" errorTitle="taux incorrect" error="la variation du taux de TFNB est supérieure à celle du taux de TFB" sqref="F13">
      <formula1>F11&gt;F13</formula1>
    </dataValidation>
  </dataValidations>
  <pageMargins left="0.70866141732283472" right="0.70866141732283472" top="0.94488188976377963" bottom="0.74803149606299213" header="0.31496062992125984" footer="0.31496062992125984"/>
  <pageSetup paperSize="9" scale="61" fitToHeight="0" orientation="landscape" horizontalDpi="4294967293" r:id="rId1"/>
  <headerFooter>
    <oddHeader>&amp;R&amp;D</oddHeader>
    <oddFooter>&amp;R&amp;P / &amp;N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notice</vt:lpstr>
      <vt:lpstr>récap option choisie</vt:lpstr>
      <vt:lpstr>évolution</vt:lpstr>
      <vt:lpstr>références</vt:lpstr>
      <vt:lpstr>simul. produit fiscal habitant</vt:lpstr>
      <vt:lpstr>simul. équilibre budget</vt:lpstr>
      <vt:lpstr>simul. variation différenciée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 Monnet</dc:creator>
  <cp:lastModifiedBy>Monnet Pierre</cp:lastModifiedBy>
  <cp:lastPrinted>2021-03-18T22:37:50Z</cp:lastPrinted>
  <dcterms:created xsi:type="dcterms:W3CDTF">2020-12-10T10:01:42Z</dcterms:created>
  <dcterms:modified xsi:type="dcterms:W3CDTF">2021-03-19T16:29:01Z</dcterms:modified>
</cp:coreProperties>
</file>