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0485"/>
  </bookViews>
  <sheets>
    <sheet name="Soufflage_extraction" sheetId="2" r:id="rId1"/>
    <sheet name="extraction" sheetId="1" r:id="rId2"/>
  </sheets>
  <definedNames>
    <definedName name="_C3">Soufflage_extraction!$C$3</definedName>
    <definedName name="_C4">Soufflage_extraction!$C$4</definedName>
    <definedName name="_C5">Soufflage_extraction!$C$5</definedName>
    <definedName name="_C7">Soufflage_extraction!$C$7</definedName>
    <definedName name="_F3">Soufflage_extraction!$F$3</definedName>
    <definedName name="_F4">Soufflage_extraction!$F$4</definedName>
    <definedName name="_F7">Soufflage_extraction!$F$7</definedName>
    <definedName name="_F9">Soufflage_extraction!$F$9</definedName>
    <definedName name="_I3">Soufflage_extraction!$I$3</definedName>
    <definedName name="_I4">Soufflage_extraction!$I$4</definedName>
    <definedName name="_I7">Soufflage_extraction!$I$7</definedName>
    <definedName name="F9_">Soufflage_extraction!$F$9</definedName>
    <definedName name="solver_adj" localSheetId="0" hidden="1">Soufflage_extraction!$M$18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0" localSheetId="0" hidden="1">Soufflage_extraction!$T$16</definedName>
    <definedName name="solver_lhs1" localSheetId="0" hidden="1">Soufflage_extraction!$I$15</definedName>
    <definedName name="solver_lhs10" localSheetId="0" hidden="1">Soufflage_extraction!$T$17</definedName>
    <definedName name="solver_lhs11" localSheetId="0" hidden="1">Soufflage_extraction!$T$20</definedName>
    <definedName name="solver_lhs12" localSheetId="0" hidden="1">Soufflage_extraction!$T$19</definedName>
    <definedName name="solver_lhs13" localSheetId="0" hidden="1">Soufflage_extraction!$T$21</definedName>
    <definedName name="solver_lhs14" localSheetId="0" hidden="1">Soufflage_extraction!$T$19</definedName>
    <definedName name="solver_lhs15" localSheetId="0" hidden="1">Soufflage_extraction!$I$26</definedName>
    <definedName name="solver_lhs16" localSheetId="0" hidden="1">Soufflage_extraction!$T$15</definedName>
    <definedName name="solver_lhs17" localSheetId="0" hidden="1">Soufflage_extraction!$I$27</definedName>
    <definedName name="solver_lhs18" localSheetId="0" hidden="1">Soufflage_extraction!$T$18</definedName>
    <definedName name="solver_lhs19" localSheetId="0" hidden="1">Soufflage_extraction!$T$23</definedName>
    <definedName name="solver_lhs2" localSheetId="0" hidden="1">Soufflage_extraction!$I$19</definedName>
    <definedName name="solver_lhs20" localSheetId="0" hidden="1">Soufflage_extraction!$T$24</definedName>
    <definedName name="solver_lhs21" localSheetId="0" hidden="1">Soufflage_extraction!$T$16</definedName>
    <definedName name="solver_lhs22" localSheetId="0" hidden="1">Soufflage_extraction!$I$17</definedName>
    <definedName name="solver_lhs23" localSheetId="0" hidden="1">Soufflage_extraction!$T$25</definedName>
    <definedName name="solver_lhs24" localSheetId="0" hidden="1">Soufflage_extraction!$T$22</definedName>
    <definedName name="solver_lhs3" localSheetId="0" hidden="1">Soufflage_extraction!$I$16</definedName>
    <definedName name="solver_lhs4" localSheetId="0" hidden="1">Soufflage_extraction!$I$23</definedName>
    <definedName name="solver_lhs5" localSheetId="0" hidden="1">Soufflage_extraction!$I$21</definedName>
    <definedName name="solver_lhs6" localSheetId="0" hidden="1">Soufflage_extraction!$I$24</definedName>
    <definedName name="solver_lhs7" localSheetId="0" hidden="1">Soufflage_extraction!$I$20</definedName>
    <definedName name="solver_lhs8" localSheetId="0" hidden="1">Soufflage_extraction!$I$25</definedName>
    <definedName name="solver_lhs9" localSheetId="0" hidden="1">Soufflage_extraction!$T$27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24</definedName>
    <definedName name="solver_nwt" localSheetId="0" hidden="1">1</definedName>
    <definedName name="solver_opt" localSheetId="0" hidden="1">Soufflage_extraction!$T$18</definedName>
    <definedName name="solver_pre" localSheetId="0" hidden="1">0.000001</definedName>
    <definedName name="solver_rbv" localSheetId="0" hidden="1">1</definedName>
    <definedName name="solver_rel0" localSheetId="0" hidden="1">2</definedName>
    <definedName name="solver_rel1" localSheetId="0" hidden="1">2</definedName>
    <definedName name="solver_rel10" localSheetId="0" hidden="1">2</definedName>
    <definedName name="solver_rel11" localSheetId="0" hidden="1">2</definedName>
    <definedName name="solver_rel12" localSheetId="0" hidden="1">2</definedName>
    <definedName name="solver_rel13" localSheetId="0" hidden="1">2</definedName>
    <definedName name="solver_rel14" localSheetId="0" hidden="1">2</definedName>
    <definedName name="solver_rel15" localSheetId="0" hidden="1">2</definedName>
    <definedName name="solver_rel16" localSheetId="0" hidden="1">2</definedName>
    <definedName name="solver_rel17" localSheetId="0" hidden="1">2</definedName>
    <definedName name="solver_rel18" localSheetId="0" hidden="1">2</definedName>
    <definedName name="solver_rel19" localSheetId="0" hidden="1">2</definedName>
    <definedName name="solver_rel2" localSheetId="0" hidden="1">2</definedName>
    <definedName name="solver_rel20" localSheetId="0" hidden="1">2</definedName>
    <definedName name="solver_rel21" localSheetId="0" hidden="1">2</definedName>
    <definedName name="solver_rel22" localSheetId="0" hidden="1">2</definedName>
    <definedName name="solver_rel23" localSheetId="0" hidden="1">2</definedName>
    <definedName name="solver_rel24" localSheetId="0" hidden="1">2</definedName>
    <definedName name="solver_rel3" localSheetId="0" hidden="1">2</definedName>
    <definedName name="solver_rel4" localSheetId="0" hidden="1">2</definedName>
    <definedName name="solver_rel5" localSheetId="0" hidden="1">2</definedName>
    <definedName name="solver_rel6" localSheetId="0" hidden="1">2</definedName>
    <definedName name="solver_rel7" localSheetId="0" hidden="1">2</definedName>
    <definedName name="solver_rel8" localSheetId="0" hidden="1">2</definedName>
    <definedName name="solver_rel9" localSheetId="0" hidden="1">2</definedName>
    <definedName name="solver_rhs0" localSheetId="0" hidden="1">Soufflage_extraction!$U$19</definedName>
    <definedName name="solver_rhs1" localSheetId="0" hidden="1">Soufflage_extraction!$J$15</definedName>
    <definedName name="solver_rhs10" localSheetId="0" hidden="1">Soufflage_extraction!$U$17</definedName>
    <definedName name="solver_rhs11" localSheetId="0" hidden="1">Soufflage_extraction!$U$20</definedName>
    <definedName name="solver_rhs12" localSheetId="0" hidden="1">Soufflage_extraction!$U$19</definedName>
    <definedName name="solver_rhs13" localSheetId="0" hidden="1">Soufflage_extraction!$U$21</definedName>
    <definedName name="solver_rhs14" localSheetId="0" hidden="1">Soufflage_extraction!$U$19</definedName>
    <definedName name="solver_rhs15" localSheetId="0" hidden="1">Soufflage_extraction!$J$26</definedName>
    <definedName name="solver_rhs16" localSheetId="0" hidden="1">Soufflage_extraction!$U$15</definedName>
    <definedName name="solver_rhs17" localSheetId="0" hidden="1">Soufflage_extraction!$J$27</definedName>
    <definedName name="solver_rhs18" localSheetId="0" hidden="1">Soufflage_extraction!$U$18</definedName>
    <definedName name="solver_rhs19" localSheetId="0" hidden="1">Soufflage_extraction!$U$23</definedName>
    <definedName name="solver_rhs2" localSheetId="0" hidden="1">Soufflage_extraction!$J$19</definedName>
    <definedName name="solver_rhs20" localSheetId="0" hidden="1">Soufflage_extraction!$U$24</definedName>
    <definedName name="solver_rhs21" localSheetId="0" hidden="1">Soufflage_extraction!$U$16</definedName>
    <definedName name="solver_rhs22" localSheetId="0" hidden="1">Soufflage_extraction!$J$17</definedName>
    <definedName name="solver_rhs23" localSheetId="0" hidden="1">Soufflage_extraction!$U$25</definedName>
    <definedName name="solver_rhs24" localSheetId="0" hidden="1">Soufflage_extraction!$U$22</definedName>
    <definedName name="solver_rhs3" localSheetId="0" hidden="1">Soufflage_extraction!$J$16</definedName>
    <definedName name="solver_rhs4" localSheetId="0" hidden="1">Soufflage_extraction!$J$23</definedName>
    <definedName name="solver_rhs5" localSheetId="0" hidden="1">Soufflage_extraction!$J$21</definedName>
    <definedName name="solver_rhs6" localSheetId="0" hidden="1">Soufflage_extraction!$J$24</definedName>
    <definedName name="solver_rhs7" localSheetId="0" hidden="1">Soufflage_extraction!$J$20</definedName>
    <definedName name="solver_rhs8" localSheetId="0" hidden="1">Soufflage_extraction!$J$25</definedName>
    <definedName name="solver_rhs9" localSheetId="0" hidden="1">Soufflage_extraction!$U$27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44" i="2" l="1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O44" i="2"/>
  <c r="O43" i="2"/>
  <c r="O42" i="2"/>
  <c r="O41" i="2"/>
  <c r="O40" i="2"/>
  <c r="O39" i="2"/>
  <c r="O38" i="2"/>
  <c r="O37" i="2"/>
  <c r="O36" i="2"/>
  <c r="O35" i="2"/>
  <c r="O34" i="2"/>
  <c r="Q34" i="2" s="1"/>
  <c r="T34" i="2" s="1"/>
  <c r="O33" i="2"/>
  <c r="O32" i="2"/>
  <c r="O31" i="2"/>
  <c r="O30" i="2"/>
  <c r="O29" i="2"/>
  <c r="O28" i="2"/>
  <c r="O27" i="2"/>
  <c r="O26" i="2"/>
  <c r="Q26" i="2" s="1"/>
  <c r="T26" i="2" s="1"/>
  <c r="O25" i="2"/>
  <c r="O24" i="2"/>
  <c r="O23" i="2"/>
  <c r="O22" i="2"/>
  <c r="O21" i="2"/>
  <c r="O20" i="2"/>
  <c r="O19" i="2"/>
  <c r="O18" i="2"/>
  <c r="O17" i="2"/>
  <c r="O16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F29" i="2" s="1"/>
  <c r="I29" i="2" s="1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D44" i="2"/>
  <c r="D43" i="2"/>
  <c r="D42" i="2"/>
  <c r="D41" i="2"/>
  <c r="D40" i="2"/>
  <c r="D39" i="2"/>
  <c r="D38" i="2"/>
  <c r="D37" i="2"/>
  <c r="D36" i="2"/>
  <c r="F36" i="2" s="1"/>
  <c r="I36" i="2" s="1"/>
  <c r="D35" i="2"/>
  <c r="D34" i="2"/>
  <c r="D33" i="2"/>
  <c r="D32" i="2"/>
  <c r="F32" i="2" s="1"/>
  <c r="I32" i="2" s="1"/>
  <c r="D31" i="2"/>
  <c r="D30" i="2"/>
  <c r="D29" i="2"/>
  <c r="D28" i="2"/>
  <c r="F28" i="2" s="1"/>
  <c r="I28" i="2" s="1"/>
  <c r="D27" i="2"/>
  <c r="D26" i="2"/>
  <c r="D25" i="2"/>
  <c r="D24" i="2"/>
  <c r="F24" i="2" s="1"/>
  <c r="I24" i="2" s="1"/>
  <c r="D23" i="2"/>
  <c r="D22" i="2"/>
  <c r="F22" i="2" s="1"/>
  <c r="I22" i="2" s="1"/>
  <c r="D21" i="2"/>
  <c r="D20" i="2"/>
  <c r="D19" i="2"/>
  <c r="D18" i="2"/>
  <c r="D17" i="2"/>
  <c r="D16" i="2"/>
  <c r="A16" i="2"/>
  <c r="C16" i="2" s="1"/>
  <c r="L16" i="2"/>
  <c r="N16" i="2" s="1"/>
  <c r="A17" i="2"/>
  <c r="C17" i="2" s="1"/>
  <c r="L17" i="2"/>
  <c r="N17" i="2" s="1"/>
  <c r="A18" i="2"/>
  <c r="C18" i="2" s="1"/>
  <c r="L18" i="2"/>
  <c r="N18" i="2" s="1"/>
  <c r="A19" i="2"/>
  <c r="C19" i="2" s="1"/>
  <c r="L19" i="2"/>
  <c r="N19" i="2" s="1"/>
  <c r="A20" i="2"/>
  <c r="C20" i="2" s="1"/>
  <c r="L20" i="2"/>
  <c r="N20" i="2"/>
  <c r="Q20" i="2"/>
  <c r="T20" i="2" s="1"/>
  <c r="A21" i="2"/>
  <c r="C21" i="2"/>
  <c r="F21" i="2"/>
  <c r="I21" i="2" s="1"/>
  <c r="L21" i="2"/>
  <c r="N21" i="2"/>
  <c r="A22" i="2"/>
  <c r="C22" i="2"/>
  <c r="L22" i="2"/>
  <c r="N22" i="2"/>
  <c r="Q22" i="2"/>
  <c r="T22" i="2" s="1"/>
  <c r="A23" i="2"/>
  <c r="C23" i="2"/>
  <c r="F23" i="2"/>
  <c r="I23" i="2" s="1"/>
  <c r="L23" i="2"/>
  <c r="N23" i="2"/>
  <c r="Q23" i="2"/>
  <c r="T23" i="2" s="1"/>
  <c r="A24" i="2"/>
  <c r="C24" i="2"/>
  <c r="L24" i="2"/>
  <c r="N24" i="2"/>
  <c r="Q24" i="2"/>
  <c r="T24" i="2" s="1"/>
  <c r="A25" i="2"/>
  <c r="C25" i="2"/>
  <c r="F25" i="2"/>
  <c r="I25" i="2" s="1"/>
  <c r="L25" i="2"/>
  <c r="N25" i="2"/>
  <c r="Q25" i="2"/>
  <c r="T25" i="2" s="1"/>
  <c r="A26" i="2"/>
  <c r="C26" i="2"/>
  <c r="F26" i="2"/>
  <c r="I26" i="2" s="1"/>
  <c r="L26" i="2"/>
  <c r="N26" i="2"/>
  <c r="A27" i="2"/>
  <c r="C27" i="2"/>
  <c r="F27" i="2"/>
  <c r="I27" i="2" s="1"/>
  <c r="L27" i="2"/>
  <c r="N27" i="2"/>
  <c r="A28" i="2"/>
  <c r="C28" i="2"/>
  <c r="L28" i="2"/>
  <c r="N28" i="2"/>
  <c r="Q28" i="2"/>
  <c r="T28" i="2" s="1"/>
  <c r="A29" i="2"/>
  <c r="C29" i="2"/>
  <c r="L29" i="2"/>
  <c r="N29" i="2"/>
  <c r="A30" i="2"/>
  <c r="C30" i="2"/>
  <c r="F30" i="2"/>
  <c r="I30" i="2" s="1"/>
  <c r="L30" i="2"/>
  <c r="N30" i="2"/>
  <c r="Q30" i="2"/>
  <c r="T30" i="2" s="1"/>
  <c r="A31" i="2"/>
  <c r="C31" i="2"/>
  <c r="F31" i="2"/>
  <c r="I31" i="2" s="1"/>
  <c r="L31" i="2"/>
  <c r="N31" i="2"/>
  <c r="Q31" i="2"/>
  <c r="T31" i="2" s="1"/>
  <c r="A32" i="2"/>
  <c r="C32" i="2"/>
  <c r="L32" i="2"/>
  <c r="N32" i="2"/>
  <c r="Q32" i="2"/>
  <c r="T32" i="2" s="1"/>
  <c r="A33" i="2"/>
  <c r="C33" i="2"/>
  <c r="F33" i="2"/>
  <c r="I33" i="2" s="1"/>
  <c r="L33" i="2"/>
  <c r="N33" i="2"/>
  <c r="Q33" i="2"/>
  <c r="T33" i="2" s="1"/>
  <c r="A34" i="2"/>
  <c r="C34" i="2"/>
  <c r="F34" i="2"/>
  <c r="I34" i="2" s="1"/>
  <c r="L34" i="2"/>
  <c r="N34" i="2"/>
  <c r="A35" i="2"/>
  <c r="C35" i="2"/>
  <c r="F35" i="2"/>
  <c r="I35" i="2" s="1"/>
  <c r="L35" i="2"/>
  <c r="N35" i="2"/>
  <c r="Q35" i="2"/>
  <c r="T35" i="2" s="1"/>
  <c r="A36" i="2"/>
  <c r="C36" i="2"/>
  <c r="L36" i="2"/>
  <c r="N36" i="2"/>
  <c r="Q36" i="2"/>
  <c r="T36" i="2" s="1"/>
  <c r="A37" i="2"/>
  <c r="C37" i="2"/>
  <c r="F37" i="2"/>
  <c r="I37" i="2" s="1"/>
  <c r="L37" i="2"/>
  <c r="N37" i="2"/>
  <c r="A38" i="2"/>
  <c r="C38" i="2"/>
  <c r="F38" i="2"/>
  <c r="I38" i="2" s="1"/>
  <c r="L38" i="2"/>
  <c r="N38" i="2"/>
  <c r="Q38" i="2"/>
  <c r="T38" i="2" s="1"/>
  <c r="A39" i="2"/>
  <c r="C39" i="2"/>
  <c r="F39" i="2"/>
  <c r="I39" i="2" s="1"/>
  <c r="L39" i="2"/>
  <c r="N39" i="2"/>
  <c r="Q39" i="2"/>
  <c r="T39" i="2" s="1"/>
  <c r="A40" i="2"/>
  <c r="C40" i="2"/>
  <c r="L40" i="2"/>
  <c r="N40" i="2" s="1"/>
  <c r="A41" i="2"/>
  <c r="L41" i="2"/>
  <c r="N41" i="2" s="1"/>
  <c r="A42" i="2"/>
  <c r="L42" i="2"/>
  <c r="N42" i="2" s="1"/>
  <c r="A43" i="2"/>
  <c r="L43" i="2"/>
  <c r="N43" i="2" s="1"/>
  <c r="A44" i="2"/>
  <c r="L44" i="2"/>
  <c r="N44" i="2" s="1"/>
  <c r="S15" i="2"/>
  <c r="R15" i="2"/>
  <c r="O15" i="2"/>
  <c r="H15" i="2"/>
  <c r="G15" i="2"/>
  <c r="D15" i="2"/>
  <c r="A15" i="2"/>
  <c r="Q27" i="2" l="1"/>
  <c r="T27" i="2" s="1"/>
  <c r="Q21" i="2"/>
  <c r="T21" i="2" s="1"/>
  <c r="Q29" i="2"/>
  <c r="T29" i="2" s="1"/>
  <c r="Q37" i="2"/>
  <c r="T37" i="2" s="1"/>
  <c r="Q18" i="2"/>
  <c r="T18" i="2" s="1"/>
  <c r="Q19" i="2"/>
  <c r="T19" i="2" s="1"/>
  <c r="F40" i="2"/>
  <c r="I40" i="2" s="1"/>
  <c r="C42" i="2"/>
  <c r="F19" i="2"/>
  <c r="I19" i="2" s="1"/>
  <c r="C41" i="2"/>
  <c r="U18" i="2"/>
  <c r="Q44" i="2"/>
  <c r="T44" i="2" s="1"/>
  <c r="U44" i="2"/>
  <c r="Q40" i="2"/>
  <c r="T40" i="2" s="1"/>
  <c r="U40" i="2"/>
  <c r="F18" i="2"/>
  <c r="I18" i="2" s="1"/>
  <c r="Q17" i="2"/>
  <c r="T17" i="2" s="1"/>
  <c r="U17" i="2"/>
  <c r="Q41" i="2"/>
  <c r="T41" i="2" s="1"/>
  <c r="U41" i="2"/>
  <c r="U43" i="2"/>
  <c r="Q43" i="2"/>
  <c r="T43" i="2" s="1"/>
  <c r="F20" i="2"/>
  <c r="I20" i="2" s="1"/>
  <c r="F17" i="2"/>
  <c r="I17" i="2" s="1"/>
  <c r="C44" i="2"/>
  <c r="Q16" i="2"/>
  <c r="T16" i="2" s="1"/>
  <c r="U16" i="2"/>
  <c r="C43" i="2"/>
  <c r="Q42" i="2"/>
  <c r="T42" i="2" s="1"/>
  <c r="U42" i="2"/>
  <c r="F16" i="2"/>
  <c r="I16" i="2" s="1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C15" i="2"/>
  <c r="Z44" i="2"/>
  <c r="X45" i="2"/>
  <c r="L2" i="2"/>
  <c r="U19" i="2" l="1"/>
  <c r="F43" i="2"/>
  <c r="I43" i="2" s="1"/>
  <c r="F41" i="2"/>
  <c r="I41" i="2" s="1"/>
  <c r="F44" i="2"/>
  <c r="I44" i="2" s="1"/>
  <c r="F42" i="2"/>
  <c r="I42" i="2" s="1"/>
  <c r="L15" i="2"/>
  <c r="N15" i="2" s="1"/>
  <c r="A12" i="1" l="1"/>
  <c r="E12" i="1"/>
  <c r="A13" i="1"/>
  <c r="B13" i="1"/>
  <c r="C13" i="1"/>
  <c r="D13" i="1"/>
  <c r="E13" i="1"/>
  <c r="F13" i="1"/>
  <c r="G13" i="1"/>
  <c r="H13" i="1"/>
  <c r="I13" i="1"/>
  <c r="J13" i="1"/>
  <c r="A14" i="1"/>
  <c r="B14" i="1"/>
  <c r="C14" i="1"/>
  <c r="D14" i="1"/>
  <c r="E14" i="1"/>
  <c r="F14" i="1"/>
  <c r="G14" i="1"/>
  <c r="H14" i="1"/>
  <c r="A15" i="1"/>
  <c r="B15" i="1"/>
  <c r="E15" i="1"/>
  <c r="C15" i="1" l="1"/>
  <c r="I8" i="2" l="1"/>
  <c r="I9" i="2" s="1"/>
  <c r="F8" i="2"/>
  <c r="I7" i="2" l="1"/>
  <c r="F7" i="2"/>
  <c r="F9" i="2"/>
  <c r="F15" i="2" l="1"/>
  <c r="I15" i="2" s="1"/>
  <c r="Y29" i="2"/>
  <c r="Z29" i="2" s="1"/>
  <c r="Y23" i="2"/>
  <c r="Z23" i="2" s="1"/>
  <c r="Y41" i="2"/>
  <c r="Z41" i="2" s="1"/>
  <c r="Y28" i="2"/>
  <c r="Z28" i="2" s="1"/>
  <c r="Y43" i="2" l="1"/>
  <c r="Z43" i="2" s="1"/>
  <c r="Y18" i="2"/>
  <c r="Z18" i="2" s="1"/>
  <c r="Y42" i="2"/>
  <c r="Z42" i="2" s="1"/>
  <c r="Y31" i="2"/>
  <c r="Z31" i="2" s="1"/>
  <c r="Y35" i="2"/>
  <c r="Z35" i="2" s="1"/>
  <c r="Y39" i="2"/>
  <c r="Z39" i="2" s="1"/>
  <c r="Q15" i="2"/>
  <c r="T15" i="2" s="1"/>
  <c r="U15" i="2"/>
  <c r="Y36" i="2"/>
  <c r="Z36" i="2" s="1"/>
  <c r="Y40" i="2"/>
  <c r="Z40" i="2" s="1"/>
  <c r="Y32" i="2"/>
  <c r="Z32" i="2" s="1"/>
  <c r="Y22" i="2"/>
  <c r="Z22" i="2" s="1"/>
  <c r="Y25" i="2"/>
  <c r="Z25" i="2" s="1"/>
  <c r="Y26" i="2"/>
  <c r="Z26" i="2" s="1"/>
  <c r="Y20" i="2"/>
  <c r="Z20" i="2" s="1"/>
  <c r="Y30" i="2"/>
  <c r="Z30" i="2" s="1"/>
  <c r="Y34" i="2"/>
  <c r="Z34" i="2" s="1"/>
  <c r="Y17" i="2"/>
  <c r="Z17" i="2" s="1"/>
  <c r="Y27" i="2"/>
  <c r="Z27" i="2" s="1"/>
  <c r="Y33" i="2"/>
  <c r="Z33" i="2" s="1"/>
  <c r="Y24" i="2"/>
  <c r="Z24" i="2" s="1"/>
  <c r="Y37" i="2"/>
  <c r="Z37" i="2" s="1"/>
  <c r="Y21" i="2"/>
  <c r="Z21" i="2" s="1"/>
  <c r="Y19" i="2"/>
  <c r="Z19" i="2" s="1"/>
  <c r="Y38" i="2"/>
  <c r="Z38" i="2" s="1"/>
  <c r="Y15" i="2" l="1"/>
  <c r="J15" i="2"/>
  <c r="G15" i="1"/>
  <c r="D15" i="1"/>
  <c r="Z15" i="2" l="1"/>
  <c r="I15" i="1"/>
  <c r="Y16" i="2" l="1"/>
  <c r="J15" i="1"/>
  <c r="F15" i="1"/>
  <c r="H15" i="1"/>
  <c r="Z16" i="2" l="1"/>
  <c r="Z45" i="2" s="1"/>
  <c r="Y45" i="2"/>
</calcChain>
</file>

<file path=xl/sharedStrings.xml><?xml version="1.0" encoding="utf-8"?>
<sst xmlns="http://schemas.openxmlformats.org/spreadsheetml/2006/main" count="74" uniqueCount="36">
  <si>
    <t>kW</t>
  </si>
  <si>
    <t>°C</t>
  </si>
  <si>
    <t>DTLM</t>
  </si>
  <si>
    <t>DTLM.2</t>
  </si>
  <si>
    <t>DeltaT</t>
  </si>
  <si>
    <t>Tsortie</t>
  </si>
  <si>
    <t>Tentrée</t>
  </si>
  <si>
    <t xml:space="preserve">P </t>
  </si>
  <si>
    <t>AIR  Aéro soufflage</t>
  </si>
  <si>
    <t>EAU  Aéro</t>
  </si>
  <si>
    <t>Donnée EAU DRY</t>
  </si>
  <si>
    <t>Tentrée DRY</t>
  </si>
  <si>
    <t>T entrée (°C) DRY</t>
  </si>
  <si>
    <t>KS</t>
  </si>
  <si>
    <t>Tsortie DRY</t>
  </si>
  <si>
    <t>T sortie (°C) DRY</t>
  </si>
  <si>
    <t>Qv (m3/h)</t>
  </si>
  <si>
    <t>m kg·m−2</t>
  </si>
  <si>
    <t>m kg·m−3</t>
  </si>
  <si>
    <t>Cp eau</t>
  </si>
  <si>
    <t>Cp air</t>
  </si>
  <si>
    <t>Puissance</t>
  </si>
  <si>
    <t>Donnée Soufflage</t>
  </si>
  <si>
    <t>Donnée extraction</t>
  </si>
  <si>
    <t>AIR  Aéro extraction</t>
  </si>
  <si>
    <t>Precup</t>
  </si>
  <si>
    <t>Précup</t>
  </si>
  <si>
    <t>Text</t>
  </si>
  <si>
    <t>Nb heure</t>
  </si>
  <si>
    <t>h</t>
  </si>
  <si>
    <t>E en kW,h</t>
  </si>
  <si>
    <t>E en mW,h</t>
  </si>
  <si>
    <t>Donnée ventilation</t>
  </si>
  <si>
    <t>Puissance absorbé</t>
  </si>
  <si>
    <t>ECHANGEUR FROID</t>
  </si>
  <si>
    <t>ECHANGEUR CHAUD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</si>
</sst>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"/>
    <numFmt numFmtId="165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2" fontId="0" fillId="0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5" xfId="0" applyFill="1" applyBorder="1" applyAlignment="1">
      <alignment horizontal="left"/>
    </xf>
    <xf numFmtId="0" fontId="0" fillId="0" borderId="7" xfId="0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Continuous"/>
    </xf>
    <xf numFmtId="0" fontId="0" fillId="0" borderId="13" xfId="0" applyFill="1" applyBorder="1" applyAlignment="1">
      <alignment horizontal="centerContinuous"/>
    </xf>
    <xf numFmtId="0" fontId="0" fillId="0" borderId="14" xfId="0" applyFill="1" applyBorder="1" applyAlignment="1">
      <alignment horizontal="centerContinuous"/>
    </xf>
    <xf numFmtId="0" fontId="0" fillId="0" borderId="15" xfId="0" applyFill="1" applyBorder="1" applyAlignment="1">
      <alignment horizontal="centerContinuous"/>
    </xf>
    <xf numFmtId="0" fontId="0" fillId="0" borderId="16" xfId="0" applyFill="1" applyBorder="1" applyAlignment="1">
      <alignment horizontal="centerContinuous"/>
    </xf>
    <xf numFmtId="0" fontId="0" fillId="0" borderId="17" xfId="0" applyFill="1" applyBorder="1" applyAlignment="1">
      <alignment horizontal="centerContinuous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/>
    <xf numFmtId="0" fontId="0" fillId="0" borderId="8" xfId="0" applyFill="1" applyBorder="1" applyAlignment="1">
      <alignment horizontal="left"/>
    </xf>
    <xf numFmtId="164" fontId="0" fillId="0" borderId="9" xfId="0" applyNumberFormat="1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0" fillId="0" borderId="11" xfId="0" applyFill="1" applyBorder="1"/>
    <xf numFmtId="0" fontId="0" fillId="0" borderId="3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1" xfId="0" applyBorder="1" applyAlignment="1">
      <alignment horizontal="centerContinuous"/>
    </xf>
    <xf numFmtId="1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2" xfId="0" applyBorder="1" applyAlignment="1">
      <alignment horizontal="centerContinuous"/>
    </xf>
    <xf numFmtId="0" fontId="0" fillId="0" borderId="13" xfId="0" applyBorder="1" applyAlignment="1">
      <alignment horizontal="centerContinuous"/>
    </xf>
    <xf numFmtId="0" fontId="0" fillId="0" borderId="14" xfId="0" applyBorder="1" applyAlignment="1">
      <alignment horizontal="centerContinuous"/>
    </xf>
    <xf numFmtId="0" fontId="0" fillId="0" borderId="0" xfId="0" applyBorder="1" applyAlignment="1"/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5" borderId="0" xfId="1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165" fontId="0" fillId="5" borderId="9" xfId="1" applyNumberFormat="1" applyFon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2" fontId="0" fillId="5" borderId="9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6" borderId="9" xfId="0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Te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Soufflage_extraction!$A$15:$A$44</c:f>
              <c:numCache>
                <c:formatCode>0.00</c:formatCode>
                <c:ptCount val="30"/>
                <c:pt idx="0">
                  <c:v>14.4</c:v>
                </c:pt>
                <c:pt idx="1">
                  <c:v>14.401194188486118</c:v>
                </c:pt>
                <c:pt idx="2">
                  <c:v>14.582533962446108</c:v>
                </c:pt>
                <c:pt idx="3">
                  <c:v>14.774877647349619</c:v>
                </c:pt>
                <c:pt idx="4">
                  <c:v>14.967825198017255</c:v>
                </c:pt>
                <c:pt idx="5">
                  <c:v>15.160946255508792</c:v>
                </c:pt>
                <c:pt idx="6">
                  <c:v>15.354009286644356</c:v>
                </c:pt>
                <c:pt idx="7">
                  <c:v>15.547069360136799</c:v>
                </c:pt>
                <c:pt idx="8">
                  <c:v>15.740128968925706</c:v>
                </c:pt>
                <c:pt idx="9">
                  <c:v>15.933187909842019</c:v>
                </c:pt>
                <c:pt idx="10">
                  <c:v>16.126246252030615</c:v>
                </c:pt>
                <c:pt idx="11">
                  <c:v>16.319306233875761</c:v>
                </c:pt>
                <c:pt idx="12">
                  <c:v>16.512366215720899</c:v>
                </c:pt>
                <c:pt idx="13">
                  <c:v>16.705426197565998</c:v>
                </c:pt>
                <c:pt idx="14">
                  <c:v>16.898486179411201</c:v>
                </c:pt>
                <c:pt idx="15">
                  <c:v>17.0915461612563</c:v>
                </c:pt>
                <c:pt idx="16">
                  <c:v>17.284606143101499</c:v>
                </c:pt>
                <c:pt idx="17">
                  <c:v>17.477666124946602</c:v>
                </c:pt>
                <c:pt idx="18">
                  <c:v>17.670726106791701</c:v>
                </c:pt>
                <c:pt idx="19">
                  <c:v>17.8637860886369</c:v>
                </c:pt>
                <c:pt idx="20">
                  <c:v>18.056846070481999</c:v>
                </c:pt>
                <c:pt idx="21">
                  <c:v>18.249906052327098</c:v>
                </c:pt>
                <c:pt idx="22">
                  <c:v>18.442966034172301</c:v>
                </c:pt>
                <c:pt idx="23">
                  <c:v>18.6360260160174</c:v>
                </c:pt>
                <c:pt idx="24">
                  <c:v>18.829085997862599</c:v>
                </c:pt>
                <c:pt idx="25">
                  <c:v>19.022145979707702</c:v>
                </c:pt>
                <c:pt idx="26">
                  <c:v>19.215205961552801</c:v>
                </c:pt>
                <c:pt idx="27">
                  <c:v>19.408265943398</c:v>
                </c:pt>
                <c:pt idx="28">
                  <c:v>19.601325925243099</c:v>
                </c:pt>
                <c:pt idx="29">
                  <c:v>19.794385907088301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00A-4CD6-88E0-F9FF6CD018E0}"/>
            </c:ext>
          </c:extLst>
        </c:ser>
        <c:ser>
          <c:idx val="1"/>
          <c:order val="1"/>
          <c:tx>
            <c:v>Ts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Soufflage_extraction!$B$15:$B$44</c:f>
              <c:numCache>
                <c:formatCode>0.00</c:formatCode>
                <c:ptCount val="30"/>
                <c:pt idx="0">
                  <c:v>-3.1021118601948401</c:v>
                </c:pt>
                <c:pt idx="1">
                  <c:v>-2.3538572494742374</c:v>
                </c:pt>
                <c:pt idx="2">
                  <c:v>-1.5601978141949058</c:v>
                </c:pt>
                <c:pt idx="3">
                  <c:v>-0.76404660716223427</c:v>
                </c:pt>
                <c:pt idx="4">
                  <c:v>3.2820488018212017E-2</c:v>
                </c:pt>
                <c:pt idx="5">
                  <c:v>0.82944945472707698</c:v>
                </c:pt>
                <c:pt idx="6">
                  <c:v>1.626063762002232</c:v>
                </c:pt>
                <c:pt idx="7">
                  <c:v>2.4226773516896389</c:v>
                </c:pt>
                <c:pt idx="8">
                  <c:v>3.2192908297517149</c:v>
                </c:pt>
                <c:pt idx="9">
                  <c:v>4.015903960610288</c:v>
                </c:pt>
                <c:pt idx="10">
                  <c:v>4.812517477633957</c:v>
                </c:pt>
                <c:pt idx="11">
                  <c:v>5.6091311449943833</c:v>
                </c:pt>
                <c:pt idx="12">
                  <c:v>6.4057448123548104</c:v>
                </c:pt>
                <c:pt idx="13">
                  <c:v>7.2023584797152402</c:v>
                </c:pt>
                <c:pt idx="14">
                  <c:v>7.9989721470756701</c:v>
                </c:pt>
                <c:pt idx="15">
                  <c:v>8.7955858144360892</c:v>
                </c:pt>
                <c:pt idx="16">
                  <c:v>9.5921994817965199</c:v>
                </c:pt>
                <c:pt idx="17">
                  <c:v>10.388813149156899</c:v>
                </c:pt>
                <c:pt idx="18">
                  <c:v>11.185426816517399</c:v>
                </c:pt>
                <c:pt idx="19">
                  <c:v>11.9820404838778</c:v>
                </c:pt>
                <c:pt idx="20">
                  <c:v>12.7786541512382</c:v>
                </c:pt>
                <c:pt idx="21">
                  <c:v>13.575267818598601</c:v>
                </c:pt>
                <c:pt idx="22">
                  <c:v>14.371881485959101</c:v>
                </c:pt>
                <c:pt idx="23">
                  <c:v>15.168495153319499</c:v>
                </c:pt>
                <c:pt idx="24">
                  <c:v>15.965108820679999</c:v>
                </c:pt>
                <c:pt idx="25">
                  <c:v>16.761722488040402</c:v>
                </c:pt>
                <c:pt idx="26">
                  <c:v>17.558336155400799</c:v>
                </c:pt>
                <c:pt idx="27">
                  <c:v>18.354949822761199</c:v>
                </c:pt>
                <c:pt idx="28">
                  <c:v>19.151563490121699</c:v>
                </c:pt>
                <c:pt idx="29">
                  <c:v>19.948177157482199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00A-4CD6-88E0-F9FF6CD018E0}"/>
            </c:ext>
          </c:extLst>
        </c:ser>
        <c:ser>
          <c:idx val="2"/>
          <c:order val="2"/>
          <c:tx>
            <c:v>Ts air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Soufflage_extraction!$F$15:$F$44</c:f>
              <c:numCache>
                <c:formatCode>0.00</c:formatCode>
                <c:ptCount val="30"/>
                <c:pt idx="0">
                  <c:v>10.79891192229173</c:v>
                </c:pt>
                <c:pt idx="1">
                  <c:v>10.95381484951562</c:v>
                </c:pt>
                <c:pt idx="2">
                  <c:v>11.26114055171724</c:v>
                </c:pt>
                <c:pt idx="3">
                  <c:v>11.57809544012467</c:v>
                </c:pt>
                <c:pt idx="4">
                  <c:v>11.894923605464339</c:v>
                </c:pt>
                <c:pt idx="5">
                  <c:v>12.212217424950456</c:v>
                </c:pt>
                <c:pt idx="6">
                  <c:v>12.529462186478252</c:v>
                </c:pt>
                <c:pt idx="7">
                  <c:v>12.846704413988473</c:v>
                </c:pt>
                <c:pt idx="8">
                  <c:v>13.16394624208608</c:v>
                </c:pt>
                <c:pt idx="9">
                  <c:v>13.481187707433227</c:v>
                </c:pt>
                <c:pt idx="10">
                  <c:v>13.798428058640193</c:v>
                </c:pt>
                <c:pt idx="11">
                  <c:v>14.115670094610214</c:v>
                </c:pt>
                <c:pt idx="12">
                  <c:v>14.432912130580224</c:v>
                </c:pt>
                <c:pt idx="13">
                  <c:v>14.750154166550187</c:v>
                </c:pt>
                <c:pt idx="14">
                  <c:v>15.067396202520268</c:v>
                </c:pt>
                <c:pt idx="15">
                  <c:v>15.384638238490242</c:v>
                </c:pt>
                <c:pt idx="16">
                  <c:v>15.701880274460317</c:v>
                </c:pt>
                <c:pt idx="17">
                  <c:v>16.01912231043034</c:v>
                </c:pt>
                <c:pt idx="18">
                  <c:v>16.336364346400224</c:v>
                </c:pt>
                <c:pt idx="19">
                  <c:v>16.653606382370334</c:v>
                </c:pt>
                <c:pt idx="20">
                  <c:v>16.970848418340331</c:v>
                </c:pt>
                <c:pt idx="21">
                  <c:v>17.288090454310328</c:v>
                </c:pt>
                <c:pt idx="22">
                  <c:v>17.605332490280325</c:v>
                </c:pt>
                <c:pt idx="23">
                  <c:v>17.922574526250326</c:v>
                </c:pt>
                <c:pt idx="24">
                  <c:v>18.239816562220323</c:v>
                </c:pt>
                <c:pt idx="25">
                  <c:v>18.55705859819032</c:v>
                </c:pt>
                <c:pt idx="26">
                  <c:v>18.874300634160321</c:v>
                </c:pt>
                <c:pt idx="27">
                  <c:v>19.191542670130431</c:v>
                </c:pt>
                <c:pt idx="28">
                  <c:v>19.508784706100315</c:v>
                </c:pt>
                <c:pt idx="29">
                  <c:v>19.826026742070315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00A-4CD6-88E0-F9FF6CD01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420704"/>
        <c:axId val="487421360"/>
      </c:scatterChart>
      <c:scatterChart>
        <c:scatterStyle val="lineMarker"/>
        <c:varyColors val="0"/>
        <c:ser>
          <c:idx val="3"/>
          <c:order val="3"/>
          <c:tx>
            <c:strRef>
              <c:f>Soufflage_extraction!$H$13</c:f>
              <c:strCache>
                <c:ptCount val="1"/>
                <c:pt idx="0">
                  <c:v>Precup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Soufflage_extraction!$H$15:$H$44</c:f>
              <c:numCache>
                <c:formatCode>0.0</c:formatCode>
                <c:ptCount val="30"/>
                <c:pt idx="0">
                  <c:v>900.7504979596157</c:v>
                </c:pt>
                <c:pt idx="1">
                  <c:v>862.30284931533686</c:v>
                </c:pt>
                <c:pt idx="2">
                  <c:v>830.78966712055001</c:v>
                </c:pt>
                <c:pt idx="3">
                  <c:v>799.71456426587383</c:v>
                </c:pt>
                <c:pt idx="4">
                  <c:v>768.63369615163015</c:v>
                </c:pt>
                <c:pt idx="5">
                  <c:v>737.57401294926115</c:v>
                </c:pt>
                <c:pt idx="6">
                  <c:v>706.512097857556</c:v>
                </c:pt>
                <c:pt idx="7">
                  <c:v>675.45006748084927</c:v>
                </c:pt>
                <c:pt idx="8">
                  <c:v>644.38801893288587</c:v>
                </c:pt>
                <c:pt idx="9">
                  <c:v>613.3259538816086</c:v>
                </c:pt>
                <c:pt idx="10">
                  <c:v>582.26383814258008</c:v>
                </c:pt>
                <c:pt idx="11">
                  <c:v>551.20179905176167</c:v>
                </c:pt>
                <c:pt idx="12">
                  <c:v>520.13975996094268</c:v>
                </c:pt>
                <c:pt idx="13">
                  <c:v>489.07772087012165</c:v>
                </c:pt>
                <c:pt idx="14">
                  <c:v>458.01568177930591</c:v>
                </c:pt>
                <c:pt idx="15">
                  <c:v>426.95364268848533</c:v>
                </c:pt>
                <c:pt idx="16">
                  <c:v>395.89160359766936</c:v>
                </c:pt>
                <c:pt idx="17">
                  <c:v>364.82956450685106</c:v>
                </c:pt>
                <c:pt idx="18">
                  <c:v>333.76752541602639</c:v>
                </c:pt>
                <c:pt idx="19">
                  <c:v>302.70548632521195</c:v>
                </c:pt>
                <c:pt idx="20">
                  <c:v>271.6434472343924</c:v>
                </c:pt>
                <c:pt idx="21">
                  <c:v>240.58140814357284</c:v>
                </c:pt>
                <c:pt idx="22">
                  <c:v>209.51936905275346</c:v>
                </c:pt>
                <c:pt idx="23">
                  <c:v>178.45732996193402</c:v>
                </c:pt>
                <c:pt idx="24">
                  <c:v>147.39529087111444</c:v>
                </c:pt>
                <c:pt idx="25">
                  <c:v>116.33325178029499</c:v>
                </c:pt>
                <c:pt idx="26">
                  <c:v>85.271212689475604</c:v>
                </c:pt>
                <c:pt idx="27">
                  <c:v>54.209173598661174</c:v>
                </c:pt>
                <c:pt idx="28">
                  <c:v>23.147134507836494</c:v>
                </c:pt>
                <c:pt idx="29">
                  <c:v>-7.9149045829828815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00A-4CD6-88E0-F9FF6CD01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6274248"/>
        <c:axId val="686274904"/>
      </c:scatterChart>
      <c:valAx>
        <c:axId val="48742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Text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421360"/>
        <c:crosses val="autoZero"/>
        <c:crossBetween val="midCat"/>
      </c:valAx>
      <c:valAx>
        <c:axId val="48742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420704"/>
        <c:crosses val="autoZero"/>
        <c:crossBetween val="midCat"/>
      </c:valAx>
      <c:valAx>
        <c:axId val="686274904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6274248"/>
        <c:crosses val="max"/>
        <c:crossBetween val="midCat"/>
      </c:valAx>
      <c:valAx>
        <c:axId val="686274248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862749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611111111111106E-2"/>
          <c:y val="8.0983887430737825E-2"/>
          <c:w val="0.739571741032371"/>
          <c:h val="0.82775444736074655"/>
        </c:manualLayout>
      </c:layout>
      <c:scatterChart>
        <c:scatterStyle val="lineMarker"/>
        <c:varyColors val="0"/>
        <c:ser>
          <c:idx val="0"/>
          <c:order val="0"/>
          <c:tx>
            <c:v>Te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Soufflage_extraction!$L$15:$L$44</c:f>
              <c:numCache>
                <c:formatCode>0.00</c:formatCode>
                <c:ptCount val="30"/>
                <c:pt idx="0">
                  <c:v>-3.1021118601948401</c:v>
                </c:pt>
                <c:pt idx="1">
                  <c:v>-2.3538572494742374</c:v>
                </c:pt>
                <c:pt idx="2">
                  <c:v>-1.5601978141949058</c:v>
                </c:pt>
                <c:pt idx="3">
                  <c:v>-0.76404660716223427</c:v>
                </c:pt>
                <c:pt idx="4">
                  <c:v>3.2820488018212017E-2</c:v>
                </c:pt>
                <c:pt idx="5">
                  <c:v>0.82944945472707698</c:v>
                </c:pt>
                <c:pt idx="6">
                  <c:v>1.626063762002232</c:v>
                </c:pt>
                <c:pt idx="7">
                  <c:v>2.4226773516896389</c:v>
                </c:pt>
                <c:pt idx="8">
                  <c:v>3.2192908297517149</c:v>
                </c:pt>
                <c:pt idx="9">
                  <c:v>4.015903960610288</c:v>
                </c:pt>
                <c:pt idx="10">
                  <c:v>4.812517477633957</c:v>
                </c:pt>
                <c:pt idx="11">
                  <c:v>5.6091311449943833</c:v>
                </c:pt>
                <c:pt idx="12">
                  <c:v>6.4057448123548104</c:v>
                </c:pt>
                <c:pt idx="13">
                  <c:v>7.2023584797152402</c:v>
                </c:pt>
                <c:pt idx="14">
                  <c:v>7.9989721470756701</c:v>
                </c:pt>
                <c:pt idx="15">
                  <c:v>8.7955858144360892</c:v>
                </c:pt>
                <c:pt idx="16">
                  <c:v>9.5921994817965199</c:v>
                </c:pt>
                <c:pt idx="17">
                  <c:v>10.388813149156899</c:v>
                </c:pt>
                <c:pt idx="18">
                  <c:v>11.185426816517399</c:v>
                </c:pt>
                <c:pt idx="19">
                  <c:v>11.9820404838778</c:v>
                </c:pt>
                <c:pt idx="20">
                  <c:v>12.7786541512382</c:v>
                </c:pt>
                <c:pt idx="21">
                  <c:v>13.575267818598601</c:v>
                </c:pt>
                <c:pt idx="22">
                  <c:v>14.371881485959101</c:v>
                </c:pt>
                <c:pt idx="23">
                  <c:v>15.168495153319499</c:v>
                </c:pt>
                <c:pt idx="24">
                  <c:v>15.965108820679999</c:v>
                </c:pt>
                <c:pt idx="25">
                  <c:v>16.761722488040402</c:v>
                </c:pt>
                <c:pt idx="26">
                  <c:v>17.558336155400799</c:v>
                </c:pt>
                <c:pt idx="27">
                  <c:v>18.354949822761199</c:v>
                </c:pt>
                <c:pt idx="28">
                  <c:v>19.151563490121699</c:v>
                </c:pt>
                <c:pt idx="29">
                  <c:v>19.948177157482199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037-4B3A-BA49-5E51B04F8C10}"/>
            </c:ext>
          </c:extLst>
        </c:ser>
        <c:ser>
          <c:idx val="1"/>
          <c:order val="1"/>
          <c:tx>
            <c:v>Ts eau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Soufflage_extraction!$M$15:$M$44</c:f>
              <c:numCache>
                <c:formatCode>0.00</c:formatCode>
                <c:ptCount val="30"/>
                <c:pt idx="0">
                  <c:v>14.401194188486118</c:v>
                </c:pt>
                <c:pt idx="1">
                  <c:v>14.582533962446108</c:v>
                </c:pt>
                <c:pt idx="2">
                  <c:v>14.774877647349619</c:v>
                </c:pt>
                <c:pt idx="3">
                  <c:v>14.967825198017255</c:v>
                </c:pt>
                <c:pt idx="4">
                  <c:v>15.160946255508792</c:v>
                </c:pt>
                <c:pt idx="5">
                  <c:v>15.354009286644356</c:v>
                </c:pt>
                <c:pt idx="6">
                  <c:v>15.547069360136799</c:v>
                </c:pt>
                <c:pt idx="7">
                  <c:v>15.740128968925706</c:v>
                </c:pt>
                <c:pt idx="8">
                  <c:v>15.933187909842019</c:v>
                </c:pt>
                <c:pt idx="9">
                  <c:v>16.126246252030615</c:v>
                </c:pt>
                <c:pt idx="10">
                  <c:v>16.319306233875761</c:v>
                </c:pt>
                <c:pt idx="11">
                  <c:v>16.512366215720899</c:v>
                </c:pt>
                <c:pt idx="12">
                  <c:v>16.705426197565998</c:v>
                </c:pt>
                <c:pt idx="13">
                  <c:v>16.898486179411201</c:v>
                </c:pt>
                <c:pt idx="14">
                  <c:v>17.0915461612563</c:v>
                </c:pt>
                <c:pt idx="15">
                  <c:v>17.284606143101499</c:v>
                </c:pt>
                <c:pt idx="16">
                  <c:v>17.477666124946602</c:v>
                </c:pt>
                <c:pt idx="17">
                  <c:v>17.670726106791701</c:v>
                </c:pt>
                <c:pt idx="18">
                  <c:v>17.8637860886369</c:v>
                </c:pt>
                <c:pt idx="19">
                  <c:v>18.056846070481999</c:v>
                </c:pt>
                <c:pt idx="20">
                  <c:v>18.249906052327098</c:v>
                </c:pt>
                <c:pt idx="21">
                  <c:v>18.442966034172301</c:v>
                </c:pt>
                <c:pt idx="22">
                  <c:v>18.6360260160174</c:v>
                </c:pt>
                <c:pt idx="23">
                  <c:v>18.829085997862599</c:v>
                </c:pt>
                <c:pt idx="24">
                  <c:v>19.022145979707702</c:v>
                </c:pt>
                <c:pt idx="25">
                  <c:v>19.215205961552801</c:v>
                </c:pt>
                <c:pt idx="26">
                  <c:v>19.408265943398</c:v>
                </c:pt>
                <c:pt idx="27">
                  <c:v>19.601325925243099</c:v>
                </c:pt>
                <c:pt idx="28">
                  <c:v>19.794385907088301</c:v>
                </c:pt>
                <c:pt idx="29">
                  <c:v>19.9874458889335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037-4B3A-BA49-5E51B04F8C10}"/>
            </c:ext>
          </c:extLst>
        </c:ser>
        <c:ser>
          <c:idx val="2"/>
          <c:order val="2"/>
          <c:tx>
            <c:v>Ts air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Soufflage_extraction!$Q$15:$Q$44</c:f>
              <c:numCache>
                <c:formatCode>0.00</c:formatCode>
                <c:ptCount val="30"/>
                <c:pt idx="0">
                  <c:v>6.3998194744303269</c:v>
                </c:pt>
                <c:pt idx="1">
                  <c:v>6.8403159212801068</c:v>
                </c:pt>
                <c:pt idx="2">
                  <c:v>7.3075420975941405</c:v>
                </c:pt>
                <c:pt idx="3">
                  <c:v>7.7762351889125334</c:v>
                </c:pt>
                <c:pt idx="4">
                  <c:v>8.2453497139816605</c:v>
                </c:pt>
                <c:pt idx="5">
                  <c:v>8.7143242985573472</c:v>
                </c:pt>
                <c:pt idx="6">
                  <c:v>9.1832897907670521</c:v>
                </c:pt>
                <c:pt idx="7">
                  <c:v>9.6522550864841108</c:v>
                </c:pt>
                <c:pt idx="8">
                  <c:v>10.121220814408842</c:v>
                </c:pt>
                <c:pt idx="9">
                  <c:v>10.590186737769493</c:v>
                </c:pt>
                <c:pt idx="10">
                  <c:v>11.059151687159284</c:v>
                </c:pt>
                <c:pt idx="11">
                  <c:v>11.528116753361701</c:v>
                </c:pt>
                <c:pt idx="12">
                  <c:v>11.99708181956415</c:v>
                </c:pt>
                <c:pt idx="13">
                  <c:v>12.466046885766517</c:v>
                </c:pt>
                <c:pt idx="14">
                  <c:v>12.935011951968965</c:v>
                </c:pt>
                <c:pt idx="15">
                  <c:v>13.40397701817133</c:v>
                </c:pt>
                <c:pt idx="16">
                  <c:v>13.872942084373777</c:v>
                </c:pt>
                <c:pt idx="17">
                  <c:v>14.341907150576187</c:v>
                </c:pt>
                <c:pt idx="18">
                  <c:v>14.810872216778614</c:v>
                </c:pt>
                <c:pt idx="19">
                  <c:v>15.279837282981042</c:v>
                </c:pt>
                <c:pt idx="20">
                  <c:v>15.748802349183467</c:v>
                </c:pt>
                <c:pt idx="21">
                  <c:v>16.217767415385815</c:v>
                </c:pt>
                <c:pt idx="22">
                  <c:v>16.686732481588319</c:v>
                </c:pt>
                <c:pt idx="23">
                  <c:v>17.155697547790666</c:v>
                </c:pt>
                <c:pt idx="24">
                  <c:v>17.624662613993166</c:v>
                </c:pt>
                <c:pt idx="25">
                  <c:v>18.093627680195596</c:v>
                </c:pt>
                <c:pt idx="26">
                  <c:v>18.562592746397943</c:v>
                </c:pt>
                <c:pt idx="27">
                  <c:v>19.031557812600369</c:v>
                </c:pt>
                <c:pt idx="28">
                  <c:v>19.500522878802794</c:v>
                </c:pt>
                <c:pt idx="29">
                  <c:v>19.96948794500522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037-4B3A-BA49-5E51B04F8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420704"/>
        <c:axId val="487421360"/>
      </c:scatterChart>
      <c:scatterChart>
        <c:scatterStyle val="lineMarker"/>
        <c:varyColors val="0"/>
        <c:ser>
          <c:idx val="3"/>
          <c:order val="3"/>
          <c:tx>
            <c:strRef>
              <c:f>Soufflage_extraction!$S$13</c:f>
              <c:strCache>
                <c:ptCount val="1"/>
                <c:pt idx="0">
                  <c:v>Précup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Soufflage_extraction!$E$15:$E$44</c:f>
              <c:numCache>
                <c:formatCode>0.00</c:formatCode>
                <c:ptCount val="30"/>
                <c:pt idx="0">
                  <c:v>-9</c:v>
                </c:pt>
                <c:pt idx="1">
                  <c:v>-8</c:v>
                </c:pt>
                <c:pt idx="2">
                  <c:v>-7</c:v>
                </c:pt>
                <c:pt idx="3">
                  <c:v>-6</c:v>
                </c:pt>
                <c:pt idx="4">
                  <c:v>-5</c:v>
                </c:pt>
                <c:pt idx="5">
                  <c:v>-4</c:v>
                </c:pt>
                <c:pt idx="6">
                  <c:v>-3</c:v>
                </c:pt>
                <c:pt idx="7">
                  <c:v>-2</c:v>
                </c:pt>
                <c:pt idx="8">
                  <c:v>-1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4</c:v>
                </c:pt>
                <c:pt idx="14">
                  <c:v>5</c:v>
                </c:pt>
                <c:pt idx="15">
                  <c:v>6</c:v>
                </c:pt>
                <c:pt idx="16">
                  <c:v>7</c:v>
                </c:pt>
                <c:pt idx="17">
                  <c:v>8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12</c:v>
                </c:pt>
                <c:pt idx="22">
                  <c:v>13</c:v>
                </c:pt>
                <c:pt idx="23">
                  <c:v>14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18</c:v>
                </c:pt>
                <c:pt idx="28">
                  <c:v>19</c:v>
                </c:pt>
                <c:pt idx="29">
                  <c:v>20</c:v>
                </c:pt>
              </c:numCache>
            </c:numRef>
          </c:xVal>
          <c:yVal>
            <c:numRef>
              <c:f>Soufflage_extraction!$S$15:$S$44</c:f>
              <c:numCache>
                <c:formatCode>0.0</c:formatCode>
                <c:ptCount val="30"/>
                <c:pt idx="0">
                  <c:v>900.81195716420302</c:v>
                </c:pt>
                <c:pt idx="1">
                  <c:v>871.63554544932936</c:v>
                </c:pt>
                <c:pt idx="2">
                  <c:v>840.68868224170569</c:v>
                </c:pt>
                <c:pt idx="3">
                  <c:v>809.64465748732277</c:v>
                </c:pt>
                <c:pt idx="4">
                  <c:v>778.57271894450878</c:v>
                </c:pt>
                <c:pt idx="5">
                  <c:v>747.51004940143685</c:v>
                </c:pt>
                <c:pt idx="6">
                  <c:v>716.4479820938999</c:v>
                </c:pt>
                <c:pt idx="7">
                  <c:v>685.38592780111128</c:v>
                </c:pt>
                <c:pt idx="8">
                  <c:v>654.32384488092021</c:v>
                </c:pt>
                <c:pt idx="9">
                  <c:v>623.26174901597358</c:v>
                </c:pt>
                <c:pt idx="10">
                  <c:v>592.19971766227331</c:v>
                </c:pt>
                <c:pt idx="11">
                  <c:v>561.13767857145444</c:v>
                </c:pt>
                <c:pt idx="12">
                  <c:v>530.07563948063341</c:v>
                </c:pt>
                <c:pt idx="13">
                  <c:v>499.01360038981773</c:v>
                </c:pt>
                <c:pt idx="14">
                  <c:v>467.95156129899675</c:v>
                </c:pt>
                <c:pt idx="15">
                  <c:v>436.88952220818129</c:v>
                </c:pt>
                <c:pt idx="16">
                  <c:v>405.82748311736037</c:v>
                </c:pt>
                <c:pt idx="17">
                  <c:v>374.7654440265419</c:v>
                </c:pt>
                <c:pt idx="18">
                  <c:v>343.70340493572235</c:v>
                </c:pt>
                <c:pt idx="19">
                  <c:v>312.64136584490279</c:v>
                </c:pt>
                <c:pt idx="20">
                  <c:v>281.57932675408318</c:v>
                </c:pt>
                <c:pt idx="21">
                  <c:v>250.51728766326897</c:v>
                </c:pt>
                <c:pt idx="22">
                  <c:v>219.45524857244428</c:v>
                </c:pt>
                <c:pt idx="23">
                  <c:v>188.39320948162995</c:v>
                </c:pt>
                <c:pt idx="24">
                  <c:v>157.33117039080545</c:v>
                </c:pt>
                <c:pt idx="25">
                  <c:v>126.2691312999858</c:v>
                </c:pt>
                <c:pt idx="26">
                  <c:v>95.207092209171535</c:v>
                </c:pt>
                <c:pt idx="27">
                  <c:v>64.145053118351981</c:v>
                </c:pt>
                <c:pt idx="28">
                  <c:v>33.083014027532606</c:v>
                </c:pt>
                <c:pt idx="29">
                  <c:v>2.020974936713047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037-4B3A-BA49-5E51B04F8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4998216"/>
        <c:axId val="664998872"/>
      </c:scatterChart>
      <c:valAx>
        <c:axId val="48742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Text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421360"/>
        <c:crosses val="autoZero"/>
        <c:crossBetween val="midCat"/>
      </c:valAx>
      <c:valAx>
        <c:axId val="48742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7420704"/>
        <c:crosses val="autoZero"/>
        <c:crossBetween val="midCat"/>
      </c:valAx>
      <c:valAx>
        <c:axId val="664998872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4998216"/>
        <c:crosses val="max"/>
        <c:crossBetween val="midCat"/>
      </c:valAx>
      <c:valAx>
        <c:axId val="66499821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64998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490898</xdr:colOff>
      <xdr:row>44</xdr:row>
      <xdr:rowOff>80682</xdr:rowOff>
    </xdr:from>
    <xdr:to>
      <xdr:col>8</xdr:col>
      <xdr:colOff>609599</xdr:colOff>
      <xdr:row>65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85724</xdr:colOff>
      <xdr:row>44</xdr:row>
      <xdr:rowOff>104775</xdr:rowOff>
    </xdr:from>
    <xdr:to>
      <xdr:col>20</xdr:col>
      <xdr:colOff>323849</xdr:colOff>
      <xdr:row>65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zoomScale="70" zoomScaleNormal="70" workbookViewId="0">
      <selection activeCell="P4" sqref="P4"/>
    </sheetView>
  </sheetViews>
  <sheetFormatPr baseColWidth="10" defaultRowHeight="15" x14ac:dyDescent="0.25"/>
  <cols>
    <col min="24" max="24" width="25.85546875" bestFit="1" customWidth="1"/>
    <col min="25" max="25" width="26.5703125" customWidth="1"/>
    <col min="32" max="32" width="24.7109375" customWidth="1"/>
  </cols>
  <sheetData>
    <row r="1" spans="1:26" ht="15.75" thickBot="1" x14ac:dyDescent="0.3">
      <c r="A1" s="23" t="s">
        <v>10</v>
      </c>
      <c r="B1" s="24"/>
      <c r="C1" s="25"/>
      <c r="D1" s="20" t="s">
        <v>22</v>
      </c>
      <c r="E1" s="21"/>
      <c r="F1" s="22"/>
      <c r="G1" s="20" t="s">
        <v>23</v>
      </c>
      <c r="H1" s="21"/>
      <c r="I1" s="22"/>
      <c r="J1" s="39" t="s">
        <v>32</v>
      </c>
      <c r="K1" s="40"/>
      <c r="L1" s="41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6" x14ac:dyDescent="0.25">
      <c r="A2" s="15" t="s">
        <v>21</v>
      </c>
      <c r="B2" s="16"/>
      <c r="C2" s="16"/>
      <c r="D2" s="15" t="s">
        <v>21</v>
      </c>
      <c r="E2" s="16"/>
      <c r="F2" s="26">
        <v>900.8</v>
      </c>
      <c r="G2" s="15" t="s">
        <v>21</v>
      </c>
      <c r="H2" s="16"/>
      <c r="I2" s="26">
        <v>900.8</v>
      </c>
      <c r="J2" s="14" t="s">
        <v>33</v>
      </c>
      <c r="K2" s="14"/>
      <c r="L2" s="14">
        <f>4.01*6</f>
        <v>24.06</v>
      </c>
      <c r="M2" s="14"/>
      <c r="N2" s="14"/>
      <c r="O2" s="14"/>
      <c r="P2" s="14"/>
      <c r="T2" s="14"/>
      <c r="U2" s="14"/>
      <c r="V2" s="14"/>
    </row>
    <row r="3" spans="1:26" x14ac:dyDescent="0.25">
      <c r="A3" s="27" t="s">
        <v>16</v>
      </c>
      <c r="B3" s="8"/>
      <c r="C3" s="45">
        <v>48.744</v>
      </c>
      <c r="D3" s="27" t="s">
        <v>16</v>
      </c>
      <c r="E3" s="8"/>
      <c r="F3" s="48">
        <v>135000</v>
      </c>
      <c r="G3" s="27" t="s">
        <v>16</v>
      </c>
      <c r="H3" s="8"/>
      <c r="I3" s="48">
        <v>155000</v>
      </c>
      <c r="J3" s="14"/>
      <c r="K3" s="14"/>
      <c r="L3" s="14"/>
      <c r="M3" s="14"/>
      <c r="N3" s="14"/>
      <c r="O3" s="14"/>
      <c r="P3" s="14"/>
    </row>
    <row r="4" spans="1:26" x14ac:dyDescent="0.25">
      <c r="A4" s="27" t="s">
        <v>19</v>
      </c>
      <c r="B4" s="8"/>
      <c r="C4" s="46">
        <v>3.629</v>
      </c>
      <c r="D4" s="27" t="s">
        <v>20</v>
      </c>
      <c r="E4" s="8"/>
      <c r="F4" s="49">
        <v>1</v>
      </c>
      <c r="G4" s="27" t="s">
        <v>20</v>
      </c>
      <c r="H4" s="8"/>
      <c r="I4" s="49">
        <v>1</v>
      </c>
      <c r="J4" s="14"/>
      <c r="K4" s="14"/>
      <c r="L4" s="14"/>
      <c r="M4" s="8"/>
      <c r="N4" s="8"/>
      <c r="O4" s="14"/>
      <c r="P4" s="14"/>
    </row>
    <row r="5" spans="1:26" x14ac:dyDescent="0.25">
      <c r="A5" s="28" t="s">
        <v>11</v>
      </c>
      <c r="B5" s="8"/>
      <c r="C5" s="46">
        <v>14.4</v>
      </c>
      <c r="D5" s="28" t="s">
        <v>12</v>
      </c>
      <c r="E5" s="8"/>
      <c r="F5" s="55">
        <v>-9</v>
      </c>
      <c r="G5" s="28" t="s">
        <v>12</v>
      </c>
      <c r="H5" s="8"/>
      <c r="I5" s="55">
        <v>20</v>
      </c>
      <c r="J5" s="14"/>
      <c r="K5" s="14"/>
      <c r="L5" s="14"/>
      <c r="M5" s="8"/>
      <c r="N5" s="8"/>
      <c r="O5" s="14"/>
      <c r="P5" s="14"/>
    </row>
    <row r="6" spans="1:26" x14ac:dyDescent="0.25">
      <c r="A6" s="28" t="s">
        <v>14</v>
      </c>
      <c r="B6" s="8"/>
      <c r="C6" s="19">
        <v>-3.1</v>
      </c>
      <c r="D6" s="27" t="s">
        <v>15</v>
      </c>
      <c r="E6" s="8"/>
      <c r="F6" s="56">
        <v>10.8</v>
      </c>
      <c r="G6" s="27" t="s">
        <v>15</v>
      </c>
      <c r="H6" s="8"/>
      <c r="I6" s="56">
        <v>6.4</v>
      </c>
      <c r="J6" s="14"/>
      <c r="K6" s="14"/>
      <c r="L6" s="14"/>
      <c r="M6" s="8"/>
      <c r="N6" s="8"/>
      <c r="O6" s="14"/>
      <c r="P6" s="14"/>
    </row>
    <row r="7" spans="1:26" ht="15.75" thickBot="1" x14ac:dyDescent="0.3">
      <c r="A7" s="30" t="s">
        <v>17</v>
      </c>
      <c r="B7" s="31"/>
      <c r="C7" s="47">
        <v>1047.3900000000001</v>
      </c>
      <c r="D7" s="28" t="s">
        <v>18</v>
      </c>
      <c r="E7" s="8"/>
      <c r="F7" s="50">
        <f>F2/(F3/3600*F4*(F6-F5))</f>
        <v>1.2131986531986532</v>
      </c>
      <c r="G7" s="28" t="s">
        <v>18</v>
      </c>
      <c r="H7" s="8"/>
      <c r="I7" s="50">
        <f>I2/(I3/3600*I4*(I5-I6))</f>
        <v>1.5383681214421252</v>
      </c>
      <c r="J7" s="8"/>
      <c r="K7" s="8"/>
      <c r="L7" s="8"/>
      <c r="M7" s="8"/>
      <c r="N7" s="8"/>
      <c r="O7" s="14"/>
      <c r="P7" s="14"/>
    </row>
    <row r="8" spans="1:26" x14ac:dyDescent="0.25">
      <c r="A8" s="17"/>
      <c r="B8" s="17"/>
      <c r="C8" s="17"/>
      <c r="D8" s="28" t="s">
        <v>2</v>
      </c>
      <c r="E8" s="17"/>
      <c r="F8" s="29">
        <f>(($C$6-F5)-($C$5-F6))/(LN(($C$6-F5)/($C$5-F6)))</f>
        <v>4.6556960409949726</v>
      </c>
      <c r="G8" s="28" t="s">
        <v>2</v>
      </c>
      <c r="H8" s="17"/>
      <c r="I8" s="29">
        <f>((I6-C6)-(I5-C5))/LN((I6-C6)/(I5-C5))</f>
        <v>7.3790237317241534</v>
      </c>
      <c r="J8" s="8"/>
      <c r="K8" s="8"/>
      <c r="L8" s="8"/>
      <c r="M8" s="13"/>
      <c r="N8" s="13"/>
    </row>
    <row r="9" spans="1:26" ht="15.75" thickBot="1" x14ac:dyDescent="0.3">
      <c r="A9" s="17"/>
      <c r="B9" s="17"/>
      <c r="C9" s="17"/>
      <c r="D9" s="30" t="s">
        <v>13</v>
      </c>
      <c r="E9" s="33"/>
      <c r="F9" s="51">
        <f>F2/F8</f>
        <v>193.48342161261226</v>
      </c>
      <c r="G9" s="30" t="s">
        <v>13</v>
      </c>
      <c r="H9" s="33"/>
      <c r="I9" s="32">
        <f>I2/I8</f>
        <v>122.07576947167814</v>
      </c>
      <c r="J9" s="13"/>
      <c r="K9" s="13"/>
      <c r="L9" s="13"/>
      <c r="M9" s="13"/>
      <c r="N9" s="13"/>
      <c r="O9" s="13"/>
      <c r="P9" s="13"/>
      <c r="Q9" s="13"/>
      <c r="R9" s="13"/>
      <c r="S9" s="43"/>
    </row>
    <row r="10" spans="1:26" x14ac:dyDescent="0.25">
      <c r="L10" s="7"/>
      <c r="M10" s="4"/>
    </row>
    <row r="11" spans="1:26" x14ac:dyDescent="0.25">
      <c r="A11" s="52" t="s">
        <v>35</v>
      </c>
      <c r="B11" s="52"/>
      <c r="C11" s="52"/>
      <c r="D11" s="52"/>
      <c r="E11" s="52"/>
      <c r="F11" s="52"/>
      <c r="G11" s="52"/>
      <c r="H11" s="52"/>
      <c r="I11" s="52"/>
      <c r="J11" s="52"/>
      <c r="L11" s="53" t="s">
        <v>34</v>
      </c>
      <c r="M11" s="53"/>
      <c r="N11" s="53"/>
      <c r="O11" s="53"/>
      <c r="P11" s="53"/>
      <c r="Q11" s="53"/>
      <c r="R11" s="53"/>
      <c r="S11" s="53"/>
      <c r="T11" s="53"/>
      <c r="U11" s="53"/>
    </row>
    <row r="12" spans="1:26" x14ac:dyDescent="0.25">
      <c r="A12" s="34" t="s">
        <v>9</v>
      </c>
      <c r="B12" s="35"/>
      <c r="C12" s="35"/>
      <c r="D12" s="36"/>
      <c r="E12" s="34" t="s">
        <v>8</v>
      </c>
      <c r="F12" s="35"/>
      <c r="G12" s="35"/>
      <c r="H12" s="36"/>
      <c r="L12" s="34" t="s">
        <v>9</v>
      </c>
      <c r="M12" s="35"/>
      <c r="N12" s="35"/>
      <c r="O12" s="36"/>
      <c r="P12" s="34" t="s">
        <v>24</v>
      </c>
      <c r="Q12" s="35"/>
      <c r="R12" s="35"/>
      <c r="S12" s="36"/>
      <c r="W12" s="42"/>
      <c r="X12" s="14"/>
    </row>
    <row r="13" spans="1:26" x14ac:dyDescent="0.25">
      <c r="A13" s="12" t="s">
        <v>6</v>
      </c>
      <c r="B13" s="8" t="s">
        <v>5</v>
      </c>
      <c r="C13" s="8" t="s">
        <v>4</v>
      </c>
      <c r="D13" s="8" t="s">
        <v>7</v>
      </c>
      <c r="E13" s="12" t="s">
        <v>6</v>
      </c>
      <c r="F13" s="8" t="s">
        <v>5</v>
      </c>
      <c r="G13" s="8" t="s">
        <v>4</v>
      </c>
      <c r="H13" s="8" t="s">
        <v>25</v>
      </c>
      <c r="I13" s="8" t="s">
        <v>3</v>
      </c>
      <c r="J13" s="8" t="s">
        <v>2</v>
      </c>
      <c r="L13" s="12" t="s">
        <v>6</v>
      </c>
      <c r="M13" s="8" t="s">
        <v>5</v>
      </c>
      <c r="N13" s="8" t="s">
        <v>4</v>
      </c>
      <c r="O13" s="8" t="s">
        <v>7</v>
      </c>
      <c r="P13" s="12" t="s">
        <v>6</v>
      </c>
      <c r="Q13" s="8" t="s">
        <v>5</v>
      </c>
      <c r="R13" s="8" t="s">
        <v>4</v>
      </c>
      <c r="S13" s="8" t="s">
        <v>26</v>
      </c>
      <c r="T13" s="8" t="s">
        <v>3</v>
      </c>
      <c r="U13" s="8" t="s">
        <v>2</v>
      </c>
      <c r="W13" s="8" t="s">
        <v>27</v>
      </c>
      <c r="X13" s="8" t="s">
        <v>28</v>
      </c>
      <c r="Y13" s="8" t="s">
        <v>30</v>
      </c>
      <c r="Z13" s="8" t="s">
        <v>31</v>
      </c>
    </row>
    <row r="14" spans="1:26" x14ac:dyDescent="0.25">
      <c r="A14" s="11" t="s">
        <v>1</v>
      </c>
      <c r="B14" s="10" t="s">
        <v>1</v>
      </c>
      <c r="C14" s="10" t="s">
        <v>1</v>
      </c>
      <c r="D14" s="10" t="s">
        <v>0</v>
      </c>
      <c r="E14" s="11" t="s">
        <v>1</v>
      </c>
      <c r="F14" s="10" t="s">
        <v>1</v>
      </c>
      <c r="G14" s="10" t="s">
        <v>1</v>
      </c>
      <c r="H14" s="9" t="s">
        <v>0</v>
      </c>
      <c r="L14" s="11" t="s">
        <v>1</v>
      </c>
      <c r="M14" s="10" t="s">
        <v>1</v>
      </c>
      <c r="N14" s="10" t="s">
        <v>1</v>
      </c>
      <c r="O14" s="10" t="s">
        <v>0</v>
      </c>
      <c r="P14" s="11" t="s">
        <v>1</v>
      </c>
      <c r="Q14" s="10" t="s">
        <v>1</v>
      </c>
      <c r="R14" s="10" t="s">
        <v>1</v>
      </c>
      <c r="S14" s="9" t="s">
        <v>0</v>
      </c>
      <c r="W14" s="14"/>
      <c r="X14" s="12" t="s">
        <v>29</v>
      </c>
      <c r="Y14" s="14"/>
    </row>
    <row r="15" spans="1:26" x14ac:dyDescent="0.25">
      <c r="A15" s="4">
        <f>_C5</f>
        <v>14.4</v>
      </c>
      <c r="B15" s="6">
        <v>-3.1021118601948401</v>
      </c>
      <c r="C15" s="4">
        <f>A15-B15</f>
        <v>17.502111860194841</v>
      </c>
      <c r="D15" s="4">
        <f t="shared" ref="D15:D44" si="0">_C3*_C7/3600*_C4*C15</f>
        <v>900.75049795961559</v>
      </c>
      <c r="E15" s="5">
        <v>-9</v>
      </c>
      <c r="F15" s="1">
        <f>E15+G15</f>
        <v>10.79891192229173</v>
      </c>
      <c r="G15" s="4">
        <f t="shared" ref="G15:G44" si="1">D15/((_F3*_F7)/3600*_F4)</f>
        <v>19.79891192229173</v>
      </c>
      <c r="H15" s="3">
        <f t="shared" ref="H15:H44" si="2">_F3*_F7/3600*_F4*G15</f>
        <v>900.7504979596157</v>
      </c>
      <c r="I15" s="2">
        <f>((B15-E15)-(A15-F15))/LN((B15-E15)/(A15-F15))</f>
        <v>4.6554401907360052</v>
      </c>
      <c r="J15" s="2">
        <f t="shared" ref="J15:J44" si="3">H15/_F9</f>
        <v>4.6554401945768573</v>
      </c>
      <c r="L15" s="4">
        <f t="shared" ref="L15:L21" si="4">B15</f>
        <v>-3.1021118601948401</v>
      </c>
      <c r="M15" s="6">
        <v>14.401194188486118</v>
      </c>
      <c r="N15" s="4">
        <f>M15-L15</f>
        <v>17.503306048680958</v>
      </c>
      <c r="O15" s="4">
        <f t="shared" ref="O15:O44" si="5">_C3*_C7/3600*_C4*N15</f>
        <v>900.81195716420302</v>
      </c>
      <c r="P15" s="5">
        <v>20</v>
      </c>
      <c r="Q15" s="1">
        <f>P15-R15</f>
        <v>6.3998194744303269</v>
      </c>
      <c r="R15" s="4">
        <f t="shared" ref="R15:R44" si="6">O15/((_I3*_I7)/3600*_I4)</f>
        <v>13.600180525569673</v>
      </c>
      <c r="S15" s="3">
        <f t="shared" ref="S15:S44" si="7">_I3*_I7/3600*_I4*R15</f>
        <v>900.81195716420302</v>
      </c>
      <c r="T15" s="2">
        <f>((Q15-L15)-(P15-M15))/LN((Q15-L15)/(P15-M15))</f>
        <v>7.3791216679416261</v>
      </c>
      <c r="U15" s="2">
        <f>S15/$I$9</f>
        <v>7.379121680434654</v>
      </c>
      <c r="W15" s="12">
        <v>-9</v>
      </c>
      <c r="X15" s="12">
        <v>12</v>
      </c>
      <c r="Y15" s="37">
        <f t="shared" ref="Y15:Y43" si="8">H15*X15</f>
        <v>10809.005975515389</v>
      </c>
      <c r="Z15" s="38">
        <f>Y15/1000</f>
        <v>10.809005975515388</v>
      </c>
    </row>
    <row r="16" spans="1:26" x14ac:dyDescent="0.25">
      <c r="A16" s="4">
        <f t="shared" ref="A16:A44" si="9">M15</f>
        <v>14.401194188486118</v>
      </c>
      <c r="B16" s="6">
        <v>-2.3538572494742374</v>
      </c>
      <c r="C16" s="4">
        <f>A16-B16</f>
        <v>16.755051437960354</v>
      </c>
      <c r="D16" s="44">
        <f t="shared" si="0"/>
        <v>862.30284931533686</v>
      </c>
      <c r="E16" s="5">
        <v>-8</v>
      </c>
      <c r="F16" s="1">
        <f>E16+G16</f>
        <v>10.95381484951562</v>
      </c>
      <c r="G16" s="44">
        <f t="shared" si="1"/>
        <v>18.95381484951562</v>
      </c>
      <c r="H16" s="3">
        <f t="shared" si="2"/>
        <v>862.30284931533686</v>
      </c>
      <c r="I16" s="2">
        <f>((B16-E16)-(A16-F16))/LN((B16-E16)/(A16-F16))</f>
        <v>4.4567274728814219</v>
      </c>
      <c r="J16" s="2">
        <f t="shared" si="3"/>
        <v>4.4567273109414947</v>
      </c>
      <c r="L16" s="4">
        <f t="shared" si="4"/>
        <v>-2.3538572494742374</v>
      </c>
      <c r="M16" s="6">
        <v>14.582533962446108</v>
      </c>
      <c r="N16" s="4">
        <f>M16-L16</f>
        <v>16.936391211920345</v>
      </c>
      <c r="O16" s="44">
        <f t="shared" si="5"/>
        <v>871.63554544932936</v>
      </c>
      <c r="P16" s="5">
        <v>20</v>
      </c>
      <c r="Q16" s="1">
        <f>P16-R16</f>
        <v>6.8403159212801068</v>
      </c>
      <c r="R16" s="44">
        <f t="shared" si="6"/>
        <v>13.159684078719893</v>
      </c>
      <c r="S16" s="3">
        <f t="shared" si="7"/>
        <v>871.63554544932936</v>
      </c>
      <c r="T16" s="2">
        <f>((Q16-L16)-(P16-M16))/LN((Q16-L16)/(P16-M16))</f>
        <v>7.1401192182517894</v>
      </c>
      <c r="U16" s="2">
        <f>S16/$I$9</f>
        <v>7.1401191999166613</v>
      </c>
      <c r="W16" s="12">
        <v>-8</v>
      </c>
      <c r="X16" s="12">
        <v>7</v>
      </c>
      <c r="Y16" s="37">
        <f t="shared" si="8"/>
        <v>6036.1199452073579</v>
      </c>
      <c r="Z16" s="38">
        <f t="shared" ref="Z16:Z44" si="10">Y16/1000</f>
        <v>6.036119945207358</v>
      </c>
    </row>
    <row r="17" spans="1:26" x14ac:dyDescent="0.25">
      <c r="A17" s="4">
        <f t="shared" si="9"/>
        <v>14.582533962446108</v>
      </c>
      <c r="B17" s="6">
        <v>-1.5601978141949058</v>
      </c>
      <c r="C17" s="4">
        <f>A17-B17</f>
        <v>16.142731776641014</v>
      </c>
      <c r="D17" s="44">
        <f t="shared" si="0"/>
        <v>830.78966712055001</v>
      </c>
      <c r="E17" s="5">
        <v>-7</v>
      </c>
      <c r="F17" s="1">
        <f>E17+G17</f>
        <v>11.26114055171724</v>
      </c>
      <c r="G17" s="44">
        <f t="shared" si="1"/>
        <v>18.26114055171724</v>
      </c>
      <c r="H17" s="3">
        <f t="shared" si="2"/>
        <v>830.78966712055001</v>
      </c>
      <c r="I17" s="2">
        <f>((B17-E17)-(A17-F17))/LN((B17-E17)/(A17-F17))</f>
        <v>4.2938545340493457</v>
      </c>
      <c r="J17" s="2">
        <f t="shared" si="3"/>
        <v>4.2938545338728638</v>
      </c>
      <c r="K17" s="1"/>
      <c r="L17" s="4">
        <f t="shared" si="4"/>
        <v>-1.5601978141949058</v>
      </c>
      <c r="M17" s="6">
        <v>14.774877647349619</v>
      </c>
      <c r="N17" s="4">
        <f t="shared" ref="N17:N18" si="11">M17-L17</f>
        <v>16.335075461544527</v>
      </c>
      <c r="O17" s="44">
        <f t="shared" si="5"/>
        <v>840.68868224170569</v>
      </c>
      <c r="P17" s="5">
        <v>20</v>
      </c>
      <c r="Q17" s="1">
        <f t="shared" ref="Q17:Q44" si="12">P17-R17</f>
        <v>7.3075420975941405</v>
      </c>
      <c r="R17" s="44">
        <f t="shared" si="6"/>
        <v>12.692457902405859</v>
      </c>
      <c r="S17" s="3">
        <f t="shared" si="7"/>
        <v>840.68868224170569</v>
      </c>
      <c r="T17" s="2">
        <f t="shared" ref="T17:T18" si="13">((Q17-L17)-(P17-M17))/LN((Q17-L17)/(P17-M17))</f>
        <v>6.8866138323308927</v>
      </c>
      <c r="U17" s="2">
        <f>S17/$I$9</f>
        <v>6.8866138291001917</v>
      </c>
      <c r="W17" s="12">
        <v>-7</v>
      </c>
      <c r="X17" s="12">
        <v>7</v>
      </c>
      <c r="Y17" s="37">
        <f t="shared" si="8"/>
        <v>5815.5276698438502</v>
      </c>
      <c r="Z17" s="38">
        <f t="shared" si="10"/>
        <v>5.8155276698438501</v>
      </c>
    </row>
    <row r="18" spans="1:26" x14ac:dyDescent="0.25">
      <c r="A18" s="4">
        <f t="shared" si="9"/>
        <v>14.774877647349619</v>
      </c>
      <c r="B18" s="6">
        <v>-0.76404660716223427</v>
      </c>
      <c r="C18" s="4">
        <f t="shared" ref="C18" si="14">A18-B18</f>
        <v>15.538924254511853</v>
      </c>
      <c r="D18" s="44">
        <f t="shared" si="0"/>
        <v>799.71456426587383</v>
      </c>
      <c r="E18" s="5">
        <v>-6</v>
      </c>
      <c r="F18" s="1">
        <f t="shared" ref="F18" si="15">E18+G18</f>
        <v>11.57809544012467</v>
      </c>
      <c r="G18" s="44">
        <f t="shared" si="1"/>
        <v>17.57809544012467</v>
      </c>
      <c r="H18" s="3">
        <f t="shared" si="2"/>
        <v>799.71456426587383</v>
      </c>
      <c r="I18" s="2">
        <f t="shared" ref="I18" si="16">((B18-E18)-(A18-F18))/LN((B18-E18)/(A18-F18))</f>
        <v>4.1328614003151953</v>
      </c>
      <c r="J18" s="2">
        <f t="shared" si="3"/>
        <v>4.1332459267080912</v>
      </c>
      <c r="K18" s="1"/>
      <c r="L18" s="4">
        <f t="shared" si="4"/>
        <v>-0.76404660716223427</v>
      </c>
      <c r="M18" s="6">
        <v>14.967825198017255</v>
      </c>
      <c r="N18" s="4">
        <f t="shared" si="11"/>
        <v>15.731871805179489</v>
      </c>
      <c r="O18" s="44">
        <f t="shared" si="5"/>
        <v>809.64465748732277</v>
      </c>
      <c r="P18" s="5">
        <v>20</v>
      </c>
      <c r="Q18" s="1">
        <f t="shared" si="12"/>
        <v>7.7762351889125334</v>
      </c>
      <c r="R18" s="44">
        <f t="shared" si="6"/>
        <v>12.223764811087467</v>
      </c>
      <c r="S18" s="3">
        <f t="shared" si="7"/>
        <v>809.64465748732277</v>
      </c>
      <c r="T18" s="2">
        <f t="shared" si="13"/>
        <v>6.6323125563385608</v>
      </c>
      <c r="U18" s="2">
        <f t="shared" ref="U18" si="17">S18/$I$9</f>
        <v>6.6323125464727228</v>
      </c>
      <c r="W18" s="12">
        <v>-6</v>
      </c>
      <c r="X18" s="12">
        <v>10</v>
      </c>
      <c r="Y18" s="37">
        <f t="shared" si="8"/>
        <v>7997.1456426587383</v>
      </c>
      <c r="Z18" s="38">
        <f t="shared" si="10"/>
        <v>7.9971456426587384</v>
      </c>
    </row>
    <row r="19" spans="1:26" x14ac:dyDescent="0.25">
      <c r="A19" s="4">
        <f t="shared" si="9"/>
        <v>14.967825198017255</v>
      </c>
      <c r="B19" s="6">
        <v>3.2820488018212017E-2</v>
      </c>
      <c r="C19" s="4">
        <f t="shared" ref="C19" si="18">A19-B19</f>
        <v>14.935004709999044</v>
      </c>
      <c r="D19" s="44">
        <f t="shared" si="0"/>
        <v>768.63369615163003</v>
      </c>
      <c r="E19" s="5">
        <v>-5</v>
      </c>
      <c r="F19" s="1">
        <f t="shared" ref="F19" si="19">E19+G19</f>
        <v>11.894923605464339</v>
      </c>
      <c r="G19" s="44">
        <f t="shared" si="1"/>
        <v>16.894923605464339</v>
      </c>
      <c r="H19" s="3">
        <f t="shared" si="2"/>
        <v>768.63369615163015</v>
      </c>
      <c r="I19" s="2">
        <f t="shared" ref="I19" si="20">((B19-E19)-(A19-F19))/LN((B19-E19)/(A19-F19))</f>
        <v>3.9726075194709862</v>
      </c>
      <c r="J19" s="2">
        <f t="shared" si="3"/>
        <v>3.9726075223673147</v>
      </c>
      <c r="K19" s="1"/>
      <c r="L19" s="4">
        <f t="shared" si="4"/>
        <v>3.2820488018212017E-2</v>
      </c>
      <c r="M19" s="6">
        <v>15.160946255508792</v>
      </c>
      <c r="N19" s="4">
        <f t="shared" ref="N19" si="21">M19-L19</f>
        <v>15.12812576749058</v>
      </c>
      <c r="O19" s="44">
        <f t="shared" si="5"/>
        <v>778.57271894450878</v>
      </c>
      <c r="P19" s="5">
        <v>20</v>
      </c>
      <c r="Q19" s="1">
        <f t="shared" si="12"/>
        <v>8.2453497139816605</v>
      </c>
      <c r="R19" s="44">
        <f t="shared" si="6"/>
        <v>11.75465028601834</v>
      </c>
      <c r="S19" s="3">
        <f t="shared" si="7"/>
        <v>778.57271894450878</v>
      </c>
      <c r="T19" s="2">
        <f t="shared" ref="T19" si="22">((Q19-L19)-(P19-M19))/LN((Q19-L19)/(P19-M19))</f>
        <v>6.3777826058827225</v>
      </c>
      <c r="U19" s="2">
        <f t="shared" ref="U19" si="23">S19/$I$9</f>
        <v>6.3777826043123111</v>
      </c>
      <c r="W19" s="12">
        <v>-5</v>
      </c>
      <c r="X19" s="12">
        <v>39</v>
      </c>
      <c r="Y19" s="37">
        <f t="shared" si="8"/>
        <v>29976.714149913576</v>
      </c>
      <c r="Z19" s="38">
        <f t="shared" si="10"/>
        <v>29.976714149913576</v>
      </c>
    </row>
    <row r="20" spans="1:26" x14ac:dyDescent="0.25">
      <c r="A20" s="4">
        <f t="shared" si="9"/>
        <v>15.160946255508792</v>
      </c>
      <c r="B20" s="6">
        <v>0.82944945472707698</v>
      </c>
      <c r="C20" s="4">
        <f t="shared" ref="C20" si="24">A20-B20</f>
        <v>14.331496800781714</v>
      </c>
      <c r="D20" s="44">
        <f t="shared" si="0"/>
        <v>737.57401294926115</v>
      </c>
      <c r="E20" s="5">
        <v>-4</v>
      </c>
      <c r="F20" s="1">
        <f t="shared" ref="F20" si="25">E20+G20</f>
        <v>12.212217424950456</v>
      </c>
      <c r="G20" s="44">
        <f t="shared" si="1"/>
        <v>16.212217424950456</v>
      </c>
      <c r="H20" s="3">
        <f t="shared" si="2"/>
        <v>737.57401294926115</v>
      </c>
      <c r="I20" s="2">
        <f t="shared" ref="I20" si="26">((B20-E20)-(A20-F20))/LN((B20-E20)/(A20-F20))</f>
        <v>3.8120785821037209</v>
      </c>
      <c r="J20" s="2">
        <f t="shared" si="3"/>
        <v>3.8120786101561386</v>
      </c>
      <c r="K20" s="1"/>
      <c r="L20" s="4">
        <f t="shared" si="4"/>
        <v>0.82944945472707698</v>
      </c>
      <c r="M20" s="6">
        <v>15.354009286644356</v>
      </c>
      <c r="N20" s="4">
        <f>M20-L20</f>
        <v>14.524559831917278</v>
      </c>
      <c r="O20" s="44">
        <f t="shared" si="5"/>
        <v>747.51004940143685</v>
      </c>
      <c r="P20" s="5">
        <v>20</v>
      </c>
      <c r="Q20" s="1">
        <f t="shared" si="12"/>
        <v>8.7143242985573472</v>
      </c>
      <c r="R20" s="44">
        <f t="shared" si="6"/>
        <v>11.285675701442653</v>
      </c>
      <c r="S20" s="3">
        <f t="shared" si="7"/>
        <v>747.51004940143685</v>
      </c>
      <c r="T20" s="2">
        <f t="shared" ref="T20" si="27">((Q20-L20)-(P20-M20))/LN((Q20-L20)/(P20-M20))</f>
        <v>6.1233290103408171</v>
      </c>
      <c r="U20" s="2">
        <f t="shared" ref="U20" si="28">S20/$I$9</f>
        <v>6.1233285904035268</v>
      </c>
      <c r="W20" s="12">
        <v>-4</v>
      </c>
      <c r="X20" s="12">
        <v>58</v>
      </c>
      <c r="Y20" s="37">
        <f t="shared" si="8"/>
        <v>42779.292751057146</v>
      </c>
      <c r="Z20" s="38">
        <f t="shared" si="10"/>
        <v>42.779292751057149</v>
      </c>
    </row>
    <row r="21" spans="1:26" x14ac:dyDescent="0.25">
      <c r="A21" s="4">
        <f t="shared" si="9"/>
        <v>15.354009286644356</v>
      </c>
      <c r="B21" s="6">
        <v>1.626063762002232</v>
      </c>
      <c r="C21" s="4">
        <f t="shared" ref="C21" si="29">A21-B21</f>
        <v>13.727945524642124</v>
      </c>
      <c r="D21" s="44">
        <f t="shared" si="0"/>
        <v>706.512097857556</v>
      </c>
      <c r="E21" s="5">
        <v>-3</v>
      </c>
      <c r="F21" s="1">
        <f t="shared" ref="F21" si="30">E21+G21</f>
        <v>12.529462186478252</v>
      </c>
      <c r="G21" s="44">
        <f t="shared" si="1"/>
        <v>15.529462186478252</v>
      </c>
      <c r="H21" s="3">
        <f t="shared" si="2"/>
        <v>706.512097857556</v>
      </c>
      <c r="I21" s="2">
        <f t="shared" ref="I21" si="31">((B21-E21)-(A21-F21))/LN((B21-E21)/(A21-F21))</f>
        <v>3.6515380629216132</v>
      </c>
      <c r="J21" s="2">
        <f t="shared" si="3"/>
        <v>3.6515381626448447</v>
      </c>
      <c r="K21" s="1"/>
      <c r="L21" s="4">
        <f t="shared" si="4"/>
        <v>1.626063762002232</v>
      </c>
      <c r="M21" s="6">
        <v>15.547069360136799</v>
      </c>
      <c r="N21" s="4">
        <f>M21-L21</f>
        <v>13.921005598134567</v>
      </c>
      <c r="O21" s="44">
        <f t="shared" si="5"/>
        <v>716.4479820938999</v>
      </c>
      <c r="P21" s="5">
        <v>20</v>
      </c>
      <c r="Q21" s="1">
        <f t="shared" si="12"/>
        <v>9.1832897907670521</v>
      </c>
      <c r="R21" s="44">
        <f t="shared" si="6"/>
        <v>10.816710209232948</v>
      </c>
      <c r="S21" s="3">
        <f t="shared" si="7"/>
        <v>716.4479820938999</v>
      </c>
      <c r="T21" s="2">
        <f t="shared" ref="T21" si="32">((Q21-L21)-(P21-M21))/LN((Q21-L21)/(P21-M21))</f>
        <v>5.8688795441838959</v>
      </c>
      <c r="U21" s="2">
        <f t="shared" ref="U21" si="33">S21/$I$9</f>
        <v>5.8688795097877096</v>
      </c>
      <c r="W21" s="12">
        <v>-3</v>
      </c>
      <c r="X21" s="12">
        <v>89</v>
      </c>
      <c r="Y21" s="37">
        <f t="shared" si="8"/>
        <v>62879.576709322486</v>
      </c>
      <c r="Z21" s="38">
        <f t="shared" si="10"/>
        <v>62.879576709322485</v>
      </c>
    </row>
    <row r="22" spans="1:26" x14ac:dyDescent="0.25">
      <c r="A22" s="4">
        <f t="shared" si="9"/>
        <v>15.547069360136799</v>
      </c>
      <c r="B22" s="6">
        <v>2.4226773516896389</v>
      </c>
      <c r="C22" s="4">
        <f t="shared" ref="C22" si="34">A22-B22</f>
        <v>13.12439200844716</v>
      </c>
      <c r="D22" s="44">
        <f t="shared" si="0"/>
        <v>675.45006748084927</v>
      </c>
      <c r="E22" s="5">
        <v>-2</v>
      </c>
      <c r="F22" s="1">
        <f t="shared" ref="F22" si="35">E22+G22</f>
        <v>12.846704413988473</v>
      </c>
      <c r="G22" s="44">
        <f t="shared" si="1"/>
        <v>14.846704413988473</v>
      </c>
      <c r="H22" s="3">
        <f t="shared" si="2"/>
        <v>675.45006748084927</v>
      </c>
      <c r="I22" s="2">
        <f t="shared" ref="I22" si="36">((B22-E22)-(A22-F22))/LN((B22-E22)/(A22-F22))</f>
        <v>3.4909969859319543</v>
      </c>
      <c r="J22" s="2">
        <f t="shared" si="3"/>
        <v>3.4909971192943794</v>
      </c>
      <c r="K22" s="1"/>
      <c r="L22" s="4">
        <f t="shared" ref="L22:L43" si="37">B22</f>
        <v>2.4226773516896389</v>
      </c>
      <c r="M22" s="6">
        <v>15.740128968925706</v>
      </c>
      <c r="N22" s="4">
        <f t="shared" ref="N22:N43" si="38">M22-L22</f>
        <v>13.317451617236067</v>
      </c>
      <c r="O22" s="44">
        <f t="shared" si="5"/>
        <v>685.38592780111128</v>
      </c>
      <c r="P22" s="5">
        <v>20</v>
      </c>
      <c r="Q22" s="1">
        <f t="shared" si="12"/>
        <v>9.6522550864841108</v>
      </c>
      <c r="R22" s="44">
        <f t="shared" si="6"/>
        <v>10.347744913515889</v>
      </c>
      <c r="S22" s="3">
        <f t="shared" si="7"/>
        <v>685.38592780111128</v>
      </c>
      <c r="T22" s="2">
        <f t="shared" ref="T22:T43" si="39">((Q22-L22)-(P22-M22))/LN((Q22-L22)/(P22-M22))</f>
        <v>5.6144305774846073</v>
      </c>
      <c r="U22" s="2">
        <f t="shared" ref="U22:U43" si="40">S22/$I$9</f>
        <v>5.6144305357839448</v>
      </c>
      <c r="W22" s="12">
        <v>-2</v>
      </c>
      <c r="X22" s="12">
        <v>127</v>
      </c>
      <c r="Y22" s="37">
        <f t="shared" si="8"/>
        <v>85782.158570067855</v>
      </c>
      <c r="Z22" s="38">
        <f t="shared" si="10"/>
        <v>85.78215857006785</v>
      </c>
    </row>
    <row r="23" spans="1:26" x14ac:dyDescent="0.25">
      <c r="A23" s="4">
        <f t="shared" si="9"/>
        <v>15.740128968925706</v>
      </c>
      <c r="B23" s="6">
        <v>3.2192908297517149</v>
      </c>
      <c r="C23" s="4">
        <f t="shared" ref="C23:C43" si="41">A23-B23</f>
        <v>12.520838139173991</v>
      </c>
      <c r="D23" s="44">
        <f t="shared" si="0"/>
        <v>644.38801893288587</v>
      </c>
      <c r="E23" s="5">
        <v>-1</v>
      </c>
      <c r="F23" s="1">
        <f t="shared" ref="F23:F43" si="42">E23+G23</f>
        <v>13.16394624208608</v>
      </c>
      <c r="G23" s="44">
        <f t="shared" si="1"/>
        <v>14.16394624208608</v>
      </c>
      <c r="H23" s="3">
        <f t="shared" si="2"/>
        <v>644.38801893288587</v>
      </c>
      <c r="I23" s="2">
        <f t="shared" ref="I23:I43" si="43">((B23-E23)-(A23-F23))/LN((B23-E23)/(A23-F23))</f>
        <v>3.330455822531853</v>
      </c>
      <c r="J23" s="2">
        <f t="shared" si="3"/>
        <v>3.3304559820275643</v>
      </c>
      <c r="K23" s="1"/>
      <c r="L23" s="4">
        <f t="shared" si="37"/>
        <v>3.2192908297517149</v>
      </c>
      <c r="M23" s="6">
        <v>15.933187909842019</v>
      </c>
      <c r="N23" s="4">
        <f t="shared" si="38"/>
        <v>12.713897080090304</v>
      </c>
      <c r="O23" s="44">
        <f t="shared" si="5"/>
        <v>654.32384488092021</v>
      </c>
      <c r="P23" s="5">
        <v>20</v>
      </c>
      <c r="Q23" s="1">
        <f t="shared" si="12"/>
        <v>10.121220814408842</v>
      </c>
      <c r="R23" s="44">
        <f t="shared" si="6"/>
        <v>9.8787791855911582</v>
      </c>
      <c r="S23" s="3">
        <f t="shared" si="7"/>
        <v>654.32384488092021</v>
      </c>
      <c r="T23" s="2">
        <f t="shared" si="39"/>
        <v>5.3599822419848788</v>
      </c>
      <c r="U23" s="2">
        <f t="shared" si="40"/>
        <v>5.3599813272749826</v>
      </c>
      <c r="W23" s="12">
        <v>-1</v>
      </c>
      <c r="X23" s="12">
        <v>208</v>
      </c>
      <c r="Y23" s="37">
        <f t="shared" si="8"/>
        <v>134032.70793804026</v>
      </c>
      <c r="Z23" s="38">
        <f t="shared" si="10"/>
        <v>134.03270793804026</v>
      </c>
    </row>
    <row r="24" spans="1:26" x14ac:dyDescent="0.25">
      <c r="A24" s="4">
        <f t="shared" si="9"/>
        <v>15.933187909842019</v>
      </c>
      <c r="B24" s="6">
        <v>4.015903960610288</v>
      </c>
      <c r="C24" s="4">
        <f t="shared" si="41"/>
        <v>11.917283949231731</v>
      </c>
      <c r="D24" s="44">
        <f t="shared" si="0"/>
        <v>613.3259538816086</v>
      </c>
      <c r="E24" s="5">
        <v>0</v>
      </c>
      <c r="F24" s="1">
        <f t="shared" si="42"/>
        <v>13.481187707433227</v>
      </c>
      <c r="G24" s="44">
        <f t="shared" si="1"/>
        <v>13.481187707433227</v>
      </c>
      <c r="H24" s="3">
        <f t="shared" si="2"/>
        <v>613.3259538816086</v>
      </c>
      <c r="I24" s="2">
        <f t="shared" si="43"/>
        <v>3.1699143298018408</v>
      </c>
      <c r="J24" s="2">
        <f t="shared" si="3"/>
        <v>3.1699147594649979</v>
      </c>
      <c r="K24" s="1"/>
      <c r="L24" s="4">
        <f t="shared" si="37"/>
        <v>4.015903960610288</v>
      </c>
      <c r="M24" s="6">
        <v>16.126246252030615</v>
      </c>
      <c r="N24" s="4">
        <f t="shared" si="38"/>
        <v>12.110342291420327</v>
      </c>
      <c r="O24" s="44">
        <f t="shared" si="5"/>
        <v>623.26174901597358</v>
      </c>
      <c r="P24" s="5">
        <v>20</v>
      </c>
      <c r="Q24" s="1">
        <f t="shared" si="12"/>
        <v>10.590186737769493</v>
      </c>
      <c r="R24" s="44">
        <f t="shared" si="6"/>
        <v>9.4098132622305073</v>
      </c>
      <c r="S24" s="3">
        <f t="shared" si="7"/>
        <v>623.26174901597358</v>
      </c>
      <c r="T24" s="2">
        <f t="shared" si="39"/>
        <v>5.105534495613071</v>
      </c>
      <c r="U24" s="2">
        <f t="shared" si="40"/>
        <v>5.1055320127273225</v>
      </c>
      <c r="W24" s="12">
        <v>0</v>
      </c>
      <c r="X24" s="12">
        <v>234</v>
      </c>
      <c r="Y24" s="37">
        <f t="shared" si="8"/>
        <v>143518.27320829642</v>
      </c>
      <c r="Z24" s="38">
        <f t="shared" si="10"/>
        <v>143.51827320829642</v>
      </c>
    </row>
    <row r="25" spans="1:26" x14ac:dyDescent="0.25">
      <c r="A25" s="4">
        <f t="shared" si="9"/>
        <v>16.126246252030615</v>
      </c>
      <c r="B25" s="6">
        <v>4.812517477633957</v>
      </c>
      <c r="C25" s="4">
        <f t="shared" si="41"/>
        <v>11.313728774396658</v>
      </c>
      <c r="D25" s="44">
        <f t="shared" si="0"/>
        <v>582.26383814258008</v>
      </c>
      <c r="E25" s="5">
        <v>1</v>
      </c>
      <c r="F25" s="1">
        <f t="shared" si="42"/>
        <v>13.798428058640193</v>
      </c>
      <c r="G25" s="44">
        <f t="shared" si="1"/>
        <v>12.798428058640193</v>
      </c>
      <c r="H25" s="3">
        <f t="shared" si="2"/>
        <v>582.26383814258008</v>
      </c>
      <c r="I25" s="2">
        <f t="shared" si="43"/>
        <v>3.0093733078363449</v>
      </c>
      <c r="J25" s="2">
        <f t="shared" si="3"/>
        <v>3.0093732749277837</v>
      </c>
      <c r="K25" s="1"/>
      <c r="L25" s="4">
        <f t="shared" si="37"/>
        <v>4.812517477633957</v>
      </c>
      <c r="M25" s="6">
        <v>16.319306233875761</v>
      </c>
      <c r="N25" s="4">
        <f t="shared" si="38"/>
        <v>11.506788756241804</v>
      </c>
      <c r="O25" s="44">
        <f t="shared" si="5"/>
        <v>592.19971766227331</v>
      </c>
      <c r="P25" s="5">
        <v>20</v>
      </c>
      <c r="Q25" s="1">
        <f t="shared" si="12"/>
        <v>11.059151687159284</v>
      </c>
      <c r="R25" s="44">
        <f t="shared" si="6"/>
        <v>8.9408483128407159</v>
      </c>
      <c r="S25" s="3">
        <f t="shared" si="7"/>
        <v>592.19971766227331</v>
      </c>
      <c r="T25" s="2">
        <f t="shared" si="39"/>
        <v>4.8510851890585744</v>
      </c>
      <c r="U25" s="2">
        <f t="shared" si="40"/>
        <v>4.85108322663217</v>
      </c>
      <c r="W25" s="12">
        <v>1</v>
      </c>
      <c r="X25" s="12">
        <v>252</v>
      </c>
      <c r="Y25" s="37">
        <f t="shared" si="8"/>
        <v>146730.48721193019</v>
      </c>
      <c r="Z25" s="38">
        <f t="shared" si="10"/>
        <v>146.73048721193018</v>
      </c>
    </row>
    <row r="26" spans="1:26" x14ac:dyDescent="0.25">
      <c r="A26" s="4">
        <f t="shared" si="9"/>
        <v>16.319306233875761</v>
      </c>
      <c r="B26" s="6">
        <v>5.6091311449943833</v>
      </c>
      <c r="C26" s="4">
        <f t="shared" si="41"/>
        <v>10.710175088881378</v>
      </c>
      <c r="D26" s="44">
        <f t="shared" si="0"/>
        <v>551.20179905176167</v>
      </c>
      <c r="E26" s="5">
        <v>2</v>
      </c>
      <c r="F26" s="1">
        <f t="shared" si="42"/>
        <v>14.115670094610214</v>
      </c>
      <c r="G26" s="44">
        <f t="shared" si="1"/>
        <v>12.115670094610214</v>
      </c>
      <c r="H26" s="3">
        <f t="shared" si="2"/>
        <v>551.20179905176167</v>
      </c>
      <c r="I26" s="2">
        <f t="shared" si="43"/>
        <v>2.8488323232945794</v>
      </c>
      <c r="J26" s="2">
        <f t="shared" si="3"/>
        <v>2.8488321865392909</v>
      </c>
      <c r="K26" s="1"/>
      <c r="L26" s="4">
        <f t="shared" si="37"/>
        <v>5.6091311449943833</v>
      </c>
      <c r="M26" s="6">
        <v>16.512366215720899</v>
      </c>
      <c r="N26" s="4">
        <f t="shared" si="38"/>
        <v>10.903235070726517</v>
      </c>
      <c r="O26" s="44">
        <f t="shared" si="5"/>
        <v>561.13767857145444</v>
      </c>
      <c r="P26" s="5">
        <v>20</v>
      </c>
      <c r="Q26" s="1">
        <f t="shared" si="12"/>
        <v>11.528116753361701</v>
      </c>
      <c r="R26" s="44">
        <f t="shared" si="6"/>
        <v>8.4718832466382992</v>
      </c>
      <c r="S26" s="3">
        <f t="shared" si="7"/>
        <v>561.13767857145444</v>
      </c>
      <c r="T26" s="2">
        <f t="shared" si="39"/>
        <v>4.596635868344551</v>
      </c>
      <c r="U26" s="2">
        <f t="shared" si="40"/>
        <v>4.5966343771573737</v>
      </c>
      <c r="W26" s="12">
        <v>2</v>
      </c>
      <c r="X26" s="12">
        <v>250</v>
      </c>
      <c r="Y26" s="37">
        <f t="shared" si="8"/>
        <v>137800.44976294041</v>
      </c>
      <c r="Z26" s="38">
        <f t="shared" si="10"/>
        <v>137.80044976294042</v>
      </c>
    </row>
    <row r="27" spans="1:26" x14ac:dyDescent="0.25">
      <c r="A27" s="4">
        <f t="shared" si="9"/>
        <v>16.512366215720899</v>
      </c>
      <c r="B27" s="6">
        <v>6.4057448123548104</v>
      </c>
      <c r="C27" s="4">
        <f t="shared" si="41"/>
        <v>10.106621403366088</v>
      </c>
      <c r="D27" s="44">
        <f t="shared" si="0"/>
        <v>520.13975996094268</v>
      </c>
      <c r="E27" s="5">
        <v>3</v>
      </c>
      <c r="F27" s="1">
        <f t="shared" si="42"/>
        <v>14.432912130580224</v>
      </c>
      <c r="G27" s="44">
        <f t="shared" si="1"/>
        <v>11.432912130580224</v>
      </c>
      <c r="H27" s="3">
        <f t="shared" si="2"/>
        <v>520.13975996094268</v>
      </c>
      <c r="I27" s="2">
        <f t="shared" si="43"/>
        <v>2.6882913387528169</v>
      </c>
      <c r="J27" s="2">
        <f t="shared" si="3"/>
        <v>2.688291098150795</v>
      </c>
      <c r="K27" s="1"/>
      <c r="L27" s="4">
        <f t="shared" si="37"/>
        <v>6.4057448123548104</v>
      </c>
      <c r="M27" s="6">
        <v>16.705426197565998</v>
      </c>
      <c r="N27" s="4">
        <f t="shared" si="38"/>
        <v>10.299681385211187</v>
      </c>
      <c r="O27" s="44">
        <f t="shared" si="5"/>
        <v>530.07563948063341</v>
      </c>
      <c r="P27" s="5">
        <v>20</v>
      </c>
      <c r="Q27" s="1">
        <f t="shared" si="12"/>
        <v>11.99708181956415</v>
      </c>
      <c r="R27" s="44">
        <f t="shared" si="6"/>
        <v>8.0029181804358505</v>
      </c>
      <c r="S27" s="3">
        <f t="shared" si="7"/>
        <v>530.07563948063341</v>
      </c>
      <c r="T27" s="2">
        <f t="shared" si="39"/>
        <v>4.3421865476305621</v>
      </c>
      <c r="U27" s="2">
        <f t="shared" si="40"/>
        <v>4.3421855276825605</v>
      </c>
      <c r="W27" s="12">
        <v>3</v>
      </c>
      <c r="X27" s="12">
        <v>300</v>
      </c>
      <c r="Y27" s="37">
        <f t="shared" si="8"/>
        <v>156041.92798828281</v>
      </c>
      <c r="Z27" s="38">
        <f t="shared" si="10"/>
        <v>156.04192798828282</v>
      </c>
    </row>
    <row r="28" spans="1:26" x14ac:dyDescent="0.25">
      <c r="A28" s="4">
        <f t="shared" si="9"/>
        <v>16.705426197565998</v>
      </c>
      <c r="B28" s="6">
        <v>7.2023584797152402</v>
      </c>
      <c r="C28" s="4">
        <f t="shared" si="41"/>
        <v>9.5030677178507581</v>
      </c>
      <c r="D28" s="44">
        <f t="shared" si="0"/>
        <v>489.07772087012165</v>
      </c>
      <c r="E28" s="5">
        <v>4</v>
      </c>
      <c r="F28" s="1">
        <f t="shared" si="42"/>
        <v>14.750154166550187</v>
      </c>
      <c r="G28" s="44">
        <f t="shared" si="1"/>
        <v>10.750154166550187</v>
      </c>
      <c r="H28" s="3">
        <f t="shared" si="2"/>
        <v>489.07772087012165</v>
      </c>
      <c r="I28" s="2">
        <f t="shared" si="43"/>
        <v>2.5277503542110589</v>
      </c>
      <c r="J28" s="2">
        <f t="shared" si="3"/>
        <v>2.5277500097622885</v>
      </c>
      <c r="K28" s="1"/>
      <c r="L28" s="4">
        <f t="shared" si="37"/>
        <v>7.2023584797152402</v>
      </c>
      <c r="M28" s="6">
        <v>16.898486179411201</v>
      </c>
      <c r="N28" s="4">
        <f t="shared" si="38"/>
        <v>9.6961276996959604</v>
      </c>
      <c r="O28" s="44">
        <f t="shared" si="5"/>
        <v>499.01360038981773</v>
      </c>
      <c r="P28" s="5">
        <v>20</v>
      </c>
      <c r="Q28" s="1">
        <f t="shared" si="12"/>
        <v>12.466046885766517</v>
      </c>
      <c r="R28" s="44">
        <f t="shared" si="6"/>
        <v>7.5339531142334826</v>
      </c>
      <c r="S28" s="3">
        <f t="shared" si="7"/>
        <v>499.01360038981773</v>
      </c>
      <c r="T28" s="2">
        <f t="shared" si="39"/>
        <v>4.0877372269164729</v>
      </c>
      <c r="U28" s="2">
        <f t="shared" si="40"/>
        <v>4.0877366782077917</v>
      </c>
      <c r="W28" s="12">
        <v>4</v>
      </c>
      <c r="X28" s="12">
        <v>362</v>
      </c>
      <c r="Y28" s="37">
        <f t="shared" si="8"/>
        <v>177046.13495498404</v>
      </c>
      <c r="Z28" s="38">
        <f t="shared" si="10"/>
        <v>177.04613495498404</v>
      </c>
    </row>
    <row r="29" spans="1:26" x14ac:dyDescent="0.25">
      <c r="A29" s="4">
        <f t="shared" si="9"/>
        <v>16.898486179411201</v>
      </c>
      <c r="B29" s="6">
        <v>7.9989721470756701</v>
      </c>
      <c r="C29" s="4">
        <f t="shared" si="41"/>
        <v>8.8995140323355315</v>
      </c>
      <c r="D29" s="44">
        <f t="shared" si="0"/>
        <v>458.01568177930591</v>
      </c>
      <c r="E29" s="5">
        <v>5</v>
      </c>
      <c r="F29" s="1">
        <f t="shared" si="42"/>
        <v>15.067396202520268</v>
      </c>
      <c r="G29" s="44">
        <f t="shared" si="1"/>
        <v>10.067396202520268</v>
      </c>
      <c r="H29" s="3">
        <f t="shared" si="2"/>
        <v>458.01568177930591</v>
      </c>
      <c r="I29" s="2">
        <f t="shared" si="43"/>
        <v>2.3672093696692924</v>
      </c>
      <c r="J29" s="2">
        <f t="shared" si="3"/>
        <v>2.3672089213738094</v>
      </c>
      <c r="K29" s="1"/>
      <c r="L29" s="4">
        <f t="shared" si="37"/>
        <v>7.9989721470756701</v>
      </c>
      <c r="M29" s="6">
        <v>17.0915461612563</v>
      </c>
      <c r="N29" s="4">
        <f t="shared" si="38"/>
        <v>9.0925740141806308</v>
      </c>
      <c r="O29" s="44">
        <f t="shared" si="5"/>
        <v>467.95156129899675</v>
      </c>
      <c r="P29" s="5">
        <v>20</v>
      </c>
      <c r="Q29" s="1">
        <f t="shared" si="12"/>
        <v>12.935011951968965</v>
      </c>
      <c r="R29" s="44">
        <f t="shared" si="6"/>
        <v>7.0649880480310348</v>
      </c>
      <c r="S29" s="3">
        <f t="shared" si="7"/>
        <v>467.95156129899675</v>
      </c>
      <c r="T29" s="2">
        <f t="shared" si="39"/>
        <v>3.8332879062024787</v>
      </c>
      <c r="U29" s="2">
        <f t="shared" si="40"/>
        <v>3.8332878287329786</v>
      </c>
      <c r="W29" s="12">
        <v>5</v>
      </c>
      <c r="X29" s="12">
        <v>376</v>
      </c>
      <c r="Y29" s="37">
        <f t="shared" si="8"/>
        <v>172213.89634901902</v>
      </c>
      <c r="Z29" s="38">
        <f t="shared" si="10"/>
        <v>172.21389634901902</v>
      </c>
    </row>
    <row r="30" spans="1:26" x14ac:dyDescent="0.25">
      <c r="A30" s="4">
        <f t="shared" si="9"/>
        <v>17.0915461612563</v>
      </c>
      <c r="B30" s="6">
        <v>8.7955858144360892</v>
      </c>
      <c r="C30" s="4">
        <f t="shared" si="41"/>
        <v>8.2959603468202108</v>
      </c>
      <c r="D30" s="44">
        <f t="shared" si="0"/>
        <v>426.95364268848533</v>
      </c>
      <c r="E30" s="5">
        <v>6</v>
      </c>
      <c r="F30" s="1">
        <f t="shared" si="42"/>
        <v>15.384638238490242</v>
      </c>
      <c r="G30" s="44">
        <f t="shared" si="1"/>
        <v>9.3846382384902416</v>
      </c>
      <c r="H30" s="3">
        <f t="shared" si="2"/>
        <v>426.95364268848533</v>
      </c>
      <c r="I30" s="2">
        <f t="shared" si="43"/>
        <v>2.2066683851275242</v>
      </c>
      <c r="J30" s="2">
        <f t="shared" si="3"/>
        <v>2.2066678329853056</v>
      </c>
      <c r="K30" s="1"/>
      <c r="L30" s="4">
        <f t="shared" si="37"/>
        <v>8.7955858144360892</v>
      </c>
      <c r="M30" s="6">
        <v>17.284606143101499</v>
      </c>
      <c r="N30" s="4">
        <f t="shared" si="38"/>
        <v>8.4890203286654096</v>
      </c>
      <c r="O30" s="44">
        <f t="shared" si="5"/>
        <v>436.88952220818129</v>
      </c>
      <c r="P30" s="5">
        <v>20</v>
      </c>
      <c r="Q30" s="1">
        <f t="shared" si="12"/>
        <v>13.40397701817133</v>
      </c>
      <c r="R30" s="44">
        <f t="shared" si="6"/>
        <v>6.5960229818286695</v>
      </c>
      <c r="S30" s="3">
        <f t="shared" si="7"/>
        <v>436.88952220818129</v>
      </c>
      <c r="T30" s="2">
        <f t="shared" si="39"/>
        <v>3.5788385854883908</v>
      </c>
      <c r="U30" s="2">
        <f t="shared" si="40"/>
        <v>3.5788389792582112</v>
      </c>
      <c r="W30" s="12">
        <v>6</v>
      </c>
      <c r="X30" s="12">
        <v>385</v>
      </c>
      <c r="Y30" s="37">
        <f t="shared" si="8"/>
        <v>164377.15243506685</v>
      </c>
      <c r="Z30" s="38">
        <f t="shared" si="10"/>
        <v>164.37715243506685</v>
      </c>
    </row>
    <row r="31" spans="1:26" x14ac:dyDescent="0.25">
      <c r="A31" s="4">
        <f t="shared" si="9"/>
        <v>17.284606143101499</v>
      </c>
      <c r="B31" s="6">
        <v>9.5921994817965199</v>
      </c>
      <c r="C31" s="4">
        <f t="shared" si="41"/>
        <v>7.6924066613049789</v>
      </c>
      <c r="D31" s="44">
        <f t="shared" si="0"/>
        <v>395.89160359766936</v>
      </c>
      <c r="E31" s="5">
        <v>7</v>
      </c>
      <c r="F31" s="1">
        <f t="shared" si="42"/>
        <v>15.701880274460317</v>
      </c>
      <c r="G31" s="44">
        <f t="shared" si="1"/>
        <v>8.7018802744603168</v>
      </c>
      <c r="H31" s="3">
        <f t="shared" si="2"/>
        <v>395.89160359766936</v>
      </c>
      <c r="I31" s="2">
        <f t="shared" si="43"/>
        <v>2.0461274005857581</v>
      </c>
      <c r="J31" s="2">
        <f t="shared" si="3"/>
        <v>2.0461267445968252</v>
      </c>
      <c r="K31" s="1"/>
      <c r="L31" s="4">
        <f t="shared" si="37"/>
        <v>9.5921994817965199</v>
      </c>
      <c r="M31" s="6">
        <v>17.477666124946602</v>
      </c>
      <c r="N31" s="4">
        <f t="shared" si="38"/>
        <v>7.8854666431500817</v>
      </c>
      <c r="O31" s="44">
        <f t="shared" si="5"/>
        <v>405.82748311736037</v>
      </c>
      <c r="P31" s="5">
        <v>20</v>
      </c>
      <c r="Q31" s="1">
        <f t="shared" si="12"/>
        <v>13.872942084373777</v>
      </c>
      <c r="R31" s="44">
        <f t="shared" si="6"/>
        <v>6.1270579156262226</v>
      </c>
      <c r="S31" s="3">
        <f t="shared" si="7"/>
        <v>405.82748311736037</v>
      </c>
      <c r="T31" s="2">
        <f t="shared" si="39"/>
        <v>3.3243892647743869</v>
      </c>
      <c r="U31" s="2">
        <f t="shared" si="40"/>
        <v>3.3243901297833989</v>
      </c>
      <c r="W31" s="12">
        <v>7</v>
      </c>
      <c r="X31" s="12">
        <v>450</v>
      </c>
      <c r="Y31" s="37">
        <f t="shared" si="8"/>
        <v>178151.22161895121</v>
      </c>
      <c r="Z31" s="38">
        <f t="shared" si="10"/>
        <v>178.15122161895121</v>
      </c>
    </row>
    <row r="32" spans="1:26" x14ac:dyDescent="0.25">
      <c r="A32" s="4">
        <f t="shared" si="9"/>
        <v>17.477666124946602</v>
      </c>
      <c r="B32" s="6">
        <v>10.388813149156899</v>
      </c>
      <c r="C32" s="4">
        <f t="shared" si="41"/>
        <v>7.0888529757897025</v>
      </c>
      <c r="D32" s="44">
        <f t="shared" si="0"/>
        <v>364.82956450685106</v>
      </c>
      <c r="E32" s="5">
        <v>8</v>
      </c>
      <c r="F32" s="1">
        <f t="shared" si="42"/>
        <v>16.01912231043034</v>
      </c>
      <c r="G32" s="44">
        <f t="shared" si="1"/>
        <v>8.0191223104303404</v>
      </c>
      <c r="H32" s="3">
        <f t="shared" si="2"/>
        <v>364.82956450685106</v>
      </c>
      <c r="I32" s="2">
        <f t="shared" si="43"/>
        <v>1.8855864160439437</v>
      </c>
      <c r="J32" s="2">
        <f t="shared" si="3"/>
        <v>1.8855856562083331</v>
      </c>
      <c r="K32" s="1"/>
      <c r="L32" s="4">
        <f t="shared" si="37"/>
        <v>10.388813149156899</v>
      </c>
      <c r="M32" s="6">
        <v>17.670726106791701</v>
      </c>
      <c r="N32" s="4">
        <f t="shared" si="38"/>
        <v>7.2819129576348018</v>
      </c>
      <c r="O32" s="44">
        <f t="shared" si="5"/>
        <v>374.7654440265419</v>
      </c>
      <c r="P32" s="5">
        <v>20</v>
      </c>
      <c r="Q32" s="1">
        <f t="shared" si="12"/>
        <v>14.341907150576187</v>
      </c>
      <c r="R32" s="44">
        <f t="shared" si="6"/>
        <v>5.6580928494238121</v>
      </c>
      <c r="S32" s="3">
        <f t="shared" si="7"/>
        <v>374.7654440265419</v>
      </c>
      <c r="T32" s="2">
        <f t="shared" si="39"/>
        <v>3.0699399440603883</v>
      </c>
      <c r="U32" s="2">
        <f t="shared" si="40"/>
        <v>3.0699412803086066</v>
      </c>
      <c r="W32" s="12">
        <v>8</v>
      </c>
      <c r="X32" s="12">
        <v>503</v>
      </c>
      <c r="Y32" s="37">
        <f t="shared" si="8"/>
        <v>183509.27094694608</v>
      </c>
      <c r="Z32" s="38">
        <f t="shared" si="10"/>
        <v>183.50927094694609</v>
      </c>
    </row>
    <row r="33" spans="1:26" x14ac:dyDescent="0.25">
      <c r="A33" s="4">
        <f t="shared" si="9"/>
        <v>17.670726106791701</v>
      </c>
      <c r="B33" s="6">
        <v>11.185426816517399</v>
      </c>
      <c r="C33" s="4">
        <f t="shared" si="41"/>
        <v>6.4852992902743019</v>
      </c>
      <c r="D33" s="44">
        <f t="shared" si="0"/>
        <v>333.76752541602639</v>
      </c>
      <c r="E33" s="5">
        <v>9</v>
      </c>
      <c r="F33" s="1">
        <f t="shared" si="42"/>
        <v>16.336364346400224</v>
      </c>
      <c r="G33" s="44">
        <f t="shared" si="1"/>
        <v>7.3363643464002246</v>
      </c>
      <c r="H33" s="3">
        <f t="shared" si="2"/>
        <v>333.76752541602639</v>
      </c>
      <c r="I33" s="2">
        <f t="shared" si="43"/>
        <v>1.7250454315022621</v>
      </c>
      <c r="J33" s="2">
        <f t="shared" si="3"/>
        <v>1.7250445678198079</v>
      </c>
      <c r="K33" s="1"/>
      <c r="L33" s="4">
        <f t="shared" si="37"/>
        <v>11.185426816517399</v>
      </c>
      <c r="M33" s="6">
        <v>17.8637860886369</v>
      </c>
      <c r="N33" s="4">
        <f t="shared" si="38"/>
        <v>6.6783592721195006</v>
      </c>
      <c r="O33" s="44">
        <f t="shared" si="5"/>
        <v>343.70340493572235</v>
      </c>
      <c r="P33" s="5">
        <v>20</v>
      </c>
      <c r="Q33" s="1">
        <f t="shared" si="12"/>
        <v>14.810872216778614</v>
      </c>
      <c r="R33" s="44">
        <f t="shared" si="6"/>
        <v>5.1891277832213856</v>
      </c>
      <c r="S33" s="3">
        <f t="shared" si="7"/>
        <v>343.70340493572235</v>
      </c>
      <c r="T33" s="2">
        <f t="shared" si="39"/>
        <v>2.81549062334628</v>
      </c>
      <c r="U33" s="2">
        <f t="shared" si="40"/>
        <v>2.8154924308338054</v>
      </c>
      <c r="W33" s="12">
        <v>9</v>
      </c>
      <c r="X33" s="12">
        <v>502</v>
      </c>
      <c r="Y33" s="37">
        <f t="shared" si="8"/>
        <v>167551.29775884523</v>
      </c>
      <c r="Z33" s="38">
        <f t="shared" si="10"/>
        <v>167.55129775884524</v>
      </c>
    </row>
    <row r="34" spans="1:26" x14ac:dyDescent="0.25">
      <c r="A34" s="4">
        <f t="shared" si="9"/>
        <v>17.8637860886369</v>
      </c>
      <c r="B34" s="6">
        <v>11.9820404838778</v>
      </c>
      <c r="C34" s="4">
        <f t="shared" si="41"/>
        <v>5.8817456047591001</v>
      </c>
      <c r="D34" s="44">
        <f t="shared" si="0"/>
        <v>302.70548632521195</v>
      </c>
      <c r="E34" s="5">
        <v>10</v>
      </c>
      <c r="F34" s="1">
        <f t="shared" si="42"/>
        <v>16.653606382370334</v>
      </c>
      <c r="G34" s="44">
        <f t="shared" si="1"/>
        <v>6.6536063823703335</v>
      </c>
      <c r="H34" s="3">
        <f t="shared" si="2"/>
        <v>302.70548632521195</v>
      </c>
      <c r="I34" s="2">
        <f t="shared" si="43"/>
        <v>1.5645044469604603</v>
      </c>
      <c r="J34" s="2">
        <f t="shared" si="3"/>
        <v>1.5645034794313355</v>
      </c>
      <c r="K34" s="1"/>
      <c r="L34" s="4">
        <f t="shared" si="37"/>
        <v>11.9820404838778</v>
      </c>
      <c r="M34" s="6">
        <v>18.056846070481999</v>
      </c>
      <c r="N34" s="4">
        <f t="shared" si="38"/>
        <v>6.0748055866041994</v>
      </c>
      <c r="O34" s="44">
        <f t="shared" si="5"/>
        <v>312.64136584490279</v>
      </c>
      <c r="P34" s="5">
        <v>20</v>
      </c>
      <c r="Q34" s="1">
        <f t="shared" si="12"/>
        <v>15.279837282981042</v>
      </c>
      <c r="R34" s="44">
        <f t="shared" si="6"/>
        <v>4.7201627170189591</v>
      </c>
      <c r="S34" s="3">
        <f t="shared" si="7"/>
        <v>312.64136584490279</v>
      </c>
      <c r="T34" s="2">
        <f t="shared" si="39"/>
        <v>2.5610413026322676</v>
      </c>
      <c r="U34" s="2">
        <f t="shared" si="40"/>
        <v>2.5610435813590042</v>
      </c>
      <c r="W34" s="12">
        <v>10</v>
      </c>
      <c r="X34" s="12">
        <v>445</v>
      </c>
      <c r="Y34" s="37">
        <f t="shared" si="8"/>
        <v>134703.94141471933</v>
      </c>
      <c r="Z34" s="38">
        <f t="shared" si="10"/>
        <v>134.70394141471934</v>
      </c>
    </row>
    <row r="35" spans="1:26" x14ac:dyDescent="0.25">
      <c r="A35" s="4">
        <f t="shared" si="9"/>
        <v>18.056846070481999</v>
      </c>
      <c r="B35" s="6">
        <v>12.7786541512382</v>
      </c>
      <c r="C35" s="4">
        <f t="shared" si="41"/>
        <v>5.2781919192437989</v>
      </c>
      <c r="D35" s="44">
        <f t="shared" si="0"/>
        <v>271.6434472343924</v>
      </c>
      <c r="E35" s="5">
        <v>11</v>
      </c>
      <c r="F35" s="1">
        <f t="shared" si="42"/>
        <v>16.970848418340331</v>
      </c>
      <c r="G35" s="44">
        <f t="shared" si="1"/>
        <v>5.9708484183403305</v>
      </c>
      <c r="H35" s="3">
        <f t="shared" si="2"/>
        <v>271.6434472343924</v>
      </c>
      <c r="I35" s="2">
        <f t="shared" si="43"/>
        <v>1.4039634624186665</v>
      </c>
      <c r="J35" s="2">
        <f t="shared" si="3"/>
        <v>1.4039623910428367</v>
      </c>
      <c r="K35" s="1"/>
      <c r="L35" s="4">
        <f t="shared" si="37"/>
        <v>12.7786541512382</v>
      </c>
      <c r="M35" s="6">
        <v>18.249906052327098</v>
      </c>
      <c r="N35" s="4">
        <f t="shared" si="38"/>
        <v>5.4712519010888983</v>
      </c>
      <c r="O35" s="44">
        <f t="shared" si="5"/>
        <v>281.57932675408324</v>
      </c>
      <c r="P35" s="5">
        <v>20</v>
      </c>
      <c r="Q35" s="1">
        <f t="shared" si="12"/>
        <v>15.748802349183467</v>
      </c>
      <c r="R35" s="44">
        <f t="shared" si="6"/>
        <v>4.2511976508165317</v>
      </c>
      <c r="S35" s="3">
        <f t="shared" si="7"/>
        <v>281.57932675408318</v>
      </c>
      <c r="T35" s="2">
        <f t="shared" si="39"/>
        <v>2.306591981918245</v>
      </c>
      <c r="U35" s="2">
        <f t="shared" si="40"/>
        <v>2.3065947318842026</v>
      </c>
      <c r="W35" s="12">
        <v>11</v>
      </c>
      <c r="X35" s="12">
        <v>374</v>
      </c>
      <c r="Y35" s="37">
        <f t="shared" si="8"/>
        <v>101594.64926566275</v>
      </c>
      <c r="Z35" s="38">
        <f t="shared" si="10"/>
        <v>101.59464926566275</v>
      </c>
    </row>
    <row r="36" spans="1:26" x14ac:dyDescent="0.25">
      <c r="A36" s="4">
        <f t="shared" si="9"/>
        <v>18.249906052327098</v>
      </c>
      <c r="B36" s="6">
        <v>13.575267818598601</v>
      </c>
      <c r="C36" s="4">
        <f t="shared" si="41"/>
        <v>4.6746382337284977</v>
      </c>
      <c r="D36" s="44">
        <f t="shared" si="0"/>
        <v>240.58140814357284</v>
      </c>
      <c r="E36" s="5">
        <v>12</v>
      </c>
      <c r="F36" s="1">
        <f t="shared" si="42"/>
        <v>17.288090454310328</v>
      </c>
      <c r="G36" s="44">
        <f t="shared" si="1"/>
        <v>5.2880904543103266</v>
      </c>
      <c r="H36" s="3">
        <f t="shared" si="2"/>
        <v>240.58140814357284</v>
      </c>
      <c r="I36" s="2">
        <f t="shared" si="43"/>
        <v>1.2434224778768712</v>
      </c>
      <c r="J36" s="2">
        <f t="shared" si="3"/>
        <v>1.2434213026543381</v>
      </c>
      <c r="K36" s="1"/>
      <c r="L36" s="4">
        <f t="shared" si="37"/>
        <v>13.575267818598601</v>
      </c>
      <c r="M36" s="6">
        <v>18.442966034172301</v>
      </c>
      <c r="N36" s="4">
        <f t="shared" si="38"/>
        <v>4.8676982155737001</v>
      </c>
      <c r="O36" s="44">
        <f t="shared" si="5"/>
        <v>250.51728766326897</v>
      </c>
      <c r="P36" s="5">
        <v>20</v>
      </c>
      <c r="Q36" s="1">
        <f t="shared" si="12"/>
        <v>16.217767415385815</v>
      </c>
      <c r="R36" s="44">
        <f t="shared" si="6"/>
        <v>3.7822325846141851</v>
      </c>
      <c r="S36" s="3">
        <f t="shared" si="7"/>
        <v>250.51728766326897</v>
      </c>
      <c r="T36" s="2">
        <f t="shared" si="39"/>
        <v>2.0521426612041149</v>
      </c>
      <c r="U36" s="2">
        <f t="shared" si="40"/>
        <v>2.0521458824094454</v>
      </c>
      <c r="W36" s="12">
        <v>12</v>
      </c>
      <c r="X36" s="12">
        <v>374</v>
      </c>
      <c r="Y36" s="37">
        <f t="shared" si="8"/>
        <v>89977.44664569624</v>
      </c>
      <c r="Z36" s="38">
        <f t="shared" si="10"/>
        <v>89.977446645696233</v>
      </c>
    </row>
    <row r="37" spans="1:26" x14ac:dyDescent="0.25">
      <c r="A37" s="4">
        <f t="shared" si="9"/>
        <v>18.442966034172301</v>
      </c>
      <c r="B37" s="6">
        <v>14.371881485959101</v>
      </c>
      <c r="C37" s="4">
        <f t="shared" si="41"/>
        <v>4.0710845482132001</v>
      </c>
      <c r="D37" s="44">
        <f t="shared" si="0"/>
        <v>209.51936905275346</v>
      </c>
      <c r="E37" s="5">
        <v>13</v>
      </c>
      <c r="F37" s="1">
        <f t="shared" si="42"/>
        <v>17.605332490280325</v>
      </c>
      <c r="G37" s="44">
        <f t="shared" si="1"/>
        <v>4.6053324902803272</v>
      </c>
      <c r="H37" s="3">
        <f t="shared" si="2"/>
        <v>209.51936905275346</v>
      </c>
      <c r="I37" s="2">
        <f t="shared" si="43"/>
        <v>1.0828814933351769</v>
      </c>
      <c r="J37" s="2">
        <f t="shared" si="3"/>
        <v>1.0828802142658402</v>
      </c>
      <c r="K37" s="1"/>
      <c r="L37" s="4">
        <f t="shared" si="37"/>
        <v>14.371881485959101</v>
      </c>
      <c r="M37" s="6">
        <v>18.6360260160174</v>
      </c>
      <c r="N37" s="4">
        <f t="shared" si="38"/>
        <v>4.2641445300582994</v>
      </c>
      <c r="O37" s="44">
        <f t="shared" si="5"/>
        <v>219.45524857244428</v>
      </c>
      <c r="P37" s="5">
        <v>20</v>
      </c>
      <c r="Q37" s="1">
        <f t="shared" si="12"/>
        <v>16.686732481588319</v>
      </c>
      <c r="R37" s="44">
        <f t="shared" si="6"/>
        <v>3.3132675184116809</v>
      </c>
      <c r="S37" s="3">
        <f t="shared" si="7"/>
        <v>219.45524857244428</v>
      </c>
      <c r="T37" s="2">
        <f t="shared" si="39"/>
        <v>1.7976933404900544</v>
      </c>
      <c r="U37" s="2">
        <f t="shared" si="40"/>
        <v>1.797697032934602</v>
      </c>
      <c r="W37" s="12">
        <v>13</v>
      </c>
      <c r="X37" s="12">
        <v>396</v>
      </c>
      <c r="Y37" s="37">
        <f t="shared" si="8"/>
        <v>82969.670144890377</v>
      </c>
      <c r="Z37" s="38">
        <f t="shared" si="10"/>
        <v>82.969670144890372</v>
      </c>
    </row>
    <row r="38" spans="1:26" x14ac:dyDescent="0.25">
      <c r="A38" s="4">
        <f t="shared" si="9"/>
        <v>18.6360260160174</v>
      </c>
      <c r="B38" s="6">
        <v>15.168495153319499</v>
      </c>
      <c r="C38" s="4">
        <f t="shared" si="41"/>
        <v>3.4675308626979007</v>
      </c>
      <c r="D38" s="44">
        <f t="shared" si="0"/>
        <v>178.45732996193402</v>
      </c>
      <c r="E38" s="5">
        <v>14</v>
      </c>
      <c r="F38" s="1">
        <f t="shared" si="42"/>
        <v>17.922574526250326</v>
      </c>
      <c r="G38" s="44">
        <f t="shared" si="1"/>
        <v>3.922574526250326</v>
      </c>
      <c r="H38" s="3">
        <f t="shared" si="2"/>
        <v>178.45732996193402</v>
      </c>
      <c r="I38" s="2">
        <f t="shared" si="43"/>
        <v>0.92234050879337315</v>
      </c>
      <c r="J38" s="2">
        <f t="shared" si="3"/>
        <v>0.92233912587734201</v>
      </c>
      <c r="L38" s="4">
        <f t="shared" si="37"/>
        <v>15.168495153319499</v>
      </c>
      <c r="M38" s="6">
        <v>18.829085997862599</v>
      </c>
      <c r="N38" s="4">
        <f t="shared" si="38"/>
        <v>3.6605908445430995</v>
      </c>
      <c r="O38" s="44">
        <f t="shared" si="5"/>
        <v>188.39320948162995</v>
      </c>
      <c r="P38" s="5">
        <v>20</v>
      </c>
      <c r="Q38" s="1">
        <f t="shared" si="12"/>
        <v>17.155697547790666</v>
      </c>
      <c r="R38" s="44">
        <f t="shared" si="6"/>
        <v>2.8443024522093334</v>
      </c>
      <c r="S38" s="3">
        <f t="shared" si="7"/>
        <v>188.39320948162995</v>
      </c>
      <c r="T38" s="2">
        <f t="shared" si="39"/>
        <v>1.5432440197758841</v>
      </c>
      <c r="U38" s="2">
        <f t="shared" si="40"/>
        <v>1.5432481834598437</v>
      </c>
      <c r="W38" s="12">
        <v>14</v>
      </c>
      <c r="X38" s="12">
        <v>376</v>
      </c>
      <c r="Y38" s="37">
        <f t="shared" si="8"/>
        <v>67099.956065687191</v>
      </c>
      <c r="Z38" s="38">
        <f t="shared" si="10"/>
        <v>67.099956065687195</v>
      </c>
    </row>
    <row r="39" spans="1:26" x14ac:dyDescent="0.25">
      <c r="A39" s="4">
        <f t="shared" si="9"/>
        <v>18.829085997862599</v>
      </c>
      <c r="B39" s="6">
        <v>15.965108820679999</v>
      </c>
      <c r="C39" s="4">
        <f t="shared" si="41"/>
        <v>2.8639771771825995</v>
      </c>
      <c r="D39" s="44">
        <f t="shared" si="0"/>
        <v>147.39529087111444</v>
      </c>
      <c r="E39" s="5">
        <v>15</v>
      </c>
      <c r="F39" s="1">
        <f t="shared" si="42"/>
        <v>18.239816562220323</v>
      </c>
      <c r="G39" s="44">
        <f t="shared" si="1"/>
        <v>3.2398165622203217</v>
      </c>
      <c r="H39" s="3">
        <f t="shared" si="2"/>
        <v>147.39529087111444</v>
      </c>
      <c r="I39" s="2">
        <f t="shared" si="43"/>
        <v>0.76179952425166853</v>
      </c>
      <c r="J39" s="2">
        <f t="shared" si="3"/>
        <v>0.76179803748884312</v>
      </c>
      <c r="L39" s="4">
        <f t="shared" si="37"/>
        <v>15.965108820679999</v>
      </c>
      <c r="M39" s="6">
        <v>19.022145979707702</v>
      </c>
      <c r="N39" s="4">
        <f t="shared" si="38"/>
        <v>3.0570371590277023</v>
      </c>
      <c r="O39" s="44">
        <f t="shared" si="5"/>
        <v>157.33117039080545</v>
      </c>
      <c r="P39" s="5">
        <v>20</v>
      </c>
      <c r="Q39" s="1">
        <f t="shared" si="12"/>
        <v>17.624662613993166</v>
      </c>
      <c r="R39" s="44">
        <f t="shared" si="6"/>
        <v>2.3753373860068319</v>
      </c>
      <c r="S39" s="3">
        <f t="shared" si="7"/>
        <v>157.33117039080545</v>
      </c>
      <c r="T39" s="2">
        <f t="shared" si="39"/>
        <v>1.2887946990617518</v>
      </c>
      <c r="U39" s="2">
        <f t="shared" si="40"/>
        <v>1.2887993339850021</v>
      </c>
      <c r="W39" s="12">
        <v>15</v>
      </c>
      <c r="X39" s="12">
        <v>394</v>
      </c>
      <c r="Y39" s="37">
        <f t="shared" si="8"/>
        <v>58073.744603219093</v>
      </c>
      <c r="Z39" s="38">
        <f t="shared" si="10"/>
        <v>58.07374460321909</v>
      </c>
    </row>
    <row r="40" spans="1:26" x14ac:dyDescent="0.25">
      <c r="A40" s="4">
        <f t="shared" si="9"/>
        <v>19.022145979707702</v>
      </c>
      <c r="B40" s="6">
        <v>16.761722488040402</v>
      </c>
      <c r="C40" s="4">
        <f t="shared" si="41"/>
        <v>2.2604234916673001</v>
      </c>
      <c r="D40" s="44">
        <f t="shared" si="0"/>
        <v>116.33325178029499</v>
      </c>
      <c r="E40" s="5">
        <v>16</v>
      </c>
      <c r="F40" s="1">
        <f t="shared" si="42"/>
        <v>18.55705859819032</v>
      </c>
      <c r="G40" s="44">
        <f t="shared" si="1"/>
        <v>2.5570585981903204</v>
      </c>
      <c r="H40" s="3">
        <f t="shared" si="2"/>
        <v>116.33325178029499</v>
      </c>
      <c r="I40" s="2">
        <f t="shared" si="43"/>
        <v>0.60125853970985532</v>
      </c>
      <c r="J40" s="2">
        <f t="shared" si="3"/>
        <v>0.60125694910034488</v>
      </c>
      <c r="L40" s="4">
        <f t="shared" si="37"/>
        <v>16.761722488040402</v>
      </c>
      <c r="M40" s="6">
        <v>19.215205961552801</v>
      </c>
      <c r="N40" s="4">
        <f t="shared" si="38"/>
        <v>2.4534834735123994</v>
      </c>
      <c r="O40" s="44">
        <f t="shared" si="5"/>
        <v>126.2691312999858</v>
      </c>
      <c r="P40" s="5">
        <v>20</v>
      </c>
      <c r="Q40" s="1">
        <f t="shared" si="12"/>
        <v>18.093627680195596</v>
      </c>
      <c r="R40" s="44">
        <f t="shared" si="6"/>
        <v>1.9063723198044038</v>
      </c>
      <c r="S40" s="3">
        <f t="shared" si="7"/>
        <v>126.2691312999858</v>
      </c>
      <c r="T40" s="2">
        <f t="shared" si="39"/>
        <v>1.0343453783475611</v>
      </c>
      <c r="U40" s="2">
        <f t="shared" si="40"/>
        <v>1.0343504845102003</v>
      </c>
      <c r="W40" s="12">
        <v>16</v>
      </c>
      <c r="X40" s="12">
        <v>354</v>
      </c>
      <c r="Y40" s="37">
        <f t="shared" si="8"/>
        <v>41181.971130224425</v>
      </c>
      <c r="Z40" s="38">
        <f t="shared" si="10"/>
        <v>41.181971130224426</v>
      </c>
    </row>
    <row r="41" spans="1:26" x14ac:dyDescent="0.25">
      <c r="A41" s="4">
        <f t="shared" si="9"/>
        <v>19.215205961552801</v>
      </c>
      <c r="B41" s="6">
        <v>17.558336155400799</v>
      </c>
      <c r="C41" s="4">
        <f t="shared" si="41"/>
        <v>1.6568698061520024</v>
      </c>
      <c r="D41" s="44">
        <f t="shared" si="0"/>
        <v>85.271212689475604</v>
      </c>
      <c r="E41" s="5">
        <v>17</v>
      </c>
      <c r="F41" s="1">
        <f t="shared" si="42"/>
        <v>18.874300634160321</v>
      </c>
      <c r="G41" s="44">
        <f t="shared" si="1"/>
        <v>1.8743006341603208</v>
      </c>
      <c r="H41" s="3">
        <f t="shared" si="2"/>
        <v>85.271212689475604</v>
      </c>
      <c r="I41" s="2">
        <f t="shared" si="43"/>
        <v>0.44071755516801558</v>
      </c>
      <c r="J41" s="2">
        <f t="shared" si="3"/>
        <v>0.44071586071184704</v>
      </c>
      <c r="L41" s="4">
        <f t="shared" si="37"/>
        <v>17.558336155400799</v>
      </c>
      <c r="M41" s="6">
        <v>19.408265943398</v>
      </c>
      <c r="N41" s="4">
        <f t="shared" si="38"/>
        <v>1.8499297879972012</v>
      </c>
      <c r="O41" s="44">
        <f t="shared" si="5"/>
        <v>95.207092209171535</v>
      </c>
      <c r="P41" s="5">
        <v>20</v>
      </c>
      <c r="Q41" s="1">
        <f t="shared" si="12"/>
        <v>18.562592746397943</v>
      </c>
      <c r="R41" s="44">
        <f t="shared" si="6"/>
        <v>1.437407253602057</v>
      </c>
      <c r="S41" s="3">
        <f t="shared" si="7"/>
        <v>95.207092209171535</v>
      </c>
      <c r="T41" s="2">
        <f t="shared" si="39"/>
        <v>0.77989605763313574</v>
      </c>
      <c r="U41" s="2">
        <f t="shared" si="40"/>
        <v>0.77990163503544241</v>
      </c>
      <c r="W41" s="12">
        <v>17</v>
      </c>
      <c r="X41" s="12">
        <v>347</v>
      </c>
      <c r="Y41" s="37">
        <f t="shared" si="8"/>
        <v>29589.110803248033</v>
      </c>
      <c r="Z41" s="38">
        <f t="shared" si="10"/>
        <v>29.589110803248033</v>
      </c>
    </row>
    <row r="42" spans="1:26" x14ac:dyDescent="0.25">
      <c r="A42" s="4">
        <f t="shared" si="9"/>
        <v>19.408265943398</v>
      </c>
      <c r="B42" s="6">
        <v>18.354949822761199</v>
      </c>
      <c r="C42" s="4">
        <f t="shared" si="41"/>
        <v>1.0533161206368007</v>
      </c>
      <c r="D42" s="44">
        <f t="shared" si="0"/>
        <v>54.209173598661174</v>
      </c>
      <c r="E42" s="5">
        <v>18</v>
      </c>
      <c r="F42" s="1">
        <f t="shared" si="42"/>
        <v>19.191542670130431</v>
      </c>
      <c r="G42" s="44">
        <f t="shared" si="1"/>
        <v>1.1915426701304299</v>
      </c>
      <c r="H42" s="3">
        <f t="shared" si="2"/>
        <v>54.209173598661174</v>
      </c>
      <c r="I42" s="2">
        <f t="shared" si="43"/>
        <v>0.28017657062611606</v>
      </c>
      <c r="J42" s="2">
        <f t="shared" si="3"/>
        <v>0.28017477232337479</v>
      </c>
      <c r="L42" s="4">
        <f t="shared" si="37"/>
        <v>18.354949822761199</v>
      </c>
      <c r="M42" s="6">
        <v>19.601325925243099</v>
      </c>
      <c r="N42" s="4">
        <f t="shared" si="38"/>
        <v>1.2463761024819</v>
      </c>
      <c r="O42" s="44">
        <f t="shared" si="5"/>
        <v>64.145053118351981</v>
      </c>
      <c r="P42" s="5">
        <v>20</v>
      </c>
      <c r="Q42" s="1">
        <f t="shared" si="12"/>
        <v>19.031557812600369</v>
      </c>
      <c r="R42" s="44">
        <f t="shared" si="6"/>
        <v>0.96844218739963028</v>
      </c>
      <c r="S42" s="3">
        <f t="shared" si="7"/>
        <v>64.145053118351981</v>
      </c>
      <c r="T42" s="2">
        <f t="shared" si="39"/>
        <v>0.5254467369184519</v>
      </c>
      <c r="U42" s="2">
        <f t="shared" si="40"/>
        <v>0.52545278556064134</v>
      </c>
      <c r="W42" s="12">
        <v>18</v>
      </c>
      <c r="X42" s="12">
        <v>310</v>
      </c>
      <c r="Y42" s="37">
        <f t="shared" si="8"/>
        <v>16804.843815584965</v>
      </c>
      <c r="Z42" s="38">
        <f t="shared" si="10"/>
        <v>16.804843815584967</v>
      </c>
    </row>
    <row r="43" spans="1:26" x14ac:dyDescent="0.25">
      <c r="A43" s="4">
        <f t="shared" si="9"/>
        <v>19.601325925243099</v>
      </c>
      <c r="B43" s="6">
        <v>19.151563490121699</v>
      </c>
      <c r="C43" s="4">
        <f t="shared" si="41"/>
        <v>0.44976243512140002</v>
      </c>
      <c r="D43" s="44">
        <f t="shared" si="0"/>
        <v>23.147134507836494</v>
      </c>
      <c r="E43" s="5">
        <v>19</v>
      </c>
      <c r="F43" s="1">
        <f t="shared" si="42"/>
        <v>19.508784706100315</v>
      </c>
      <c r="G43" s="44">
        <f t="shared" si="1"/>
        <v>0.50878470610031368</v>
      </c>
      <c r="H43" s="3">
        <f t="shared" si="2"/>
        <v>23.147134507836494</v>
      </c>
      <c r="I43" s="2">
        <f t="shared" si="43"/>
        <v>0.11963558608405861</v>
      </c>
      <c r="J43" s="2">
        <f t="shared" si="3"/>
        <v>0.11963368393484955</v>
      </c>
      <c r="L43" s="4">
        <f t="shared" si="37"/>
        <v>19.151563490121699</v>
      </c>
      <c r="M43" s="6">
        <v>19.794385907088301</v>
      </c>
      <c r="N43" s="4">
        <f t="shared" si="38"/>
        <v>0.64282241696660236</v>
      </c>
      <c r="O43" s="44">
        <f t="shared" si="5"/>
        <v>33.083014027532606</v>
      </c>
      <c r="P43" s="5">
        <v>20</v>
      </c>
      <c r="Q43" s="1">
        <f t="shared" si="12"/>
        <v>19.500522878802794</v>
      </c>
      <c r="R43" s="44">
        <f t="shared" si="6"/>
        <v>0.49947712119720633</v>
      </c>
      <c r="S43" s="3">
        <f t="shared" si="7"/>
        <v>33.083014027532606</v>
      </c>
      <c r="T43" s="2">
        <f t="shared" si="39"/>
        <v>0.27099741620233014</v>
      </c>
      <c r="U43" s="2">
        <f t="shared" si="40"/>
        <v>0.27100393608584167</v>
      </c>
      <c r="W43" s="12">
        <v>19</v>
      </c>
      <c r="X43" s="12">
        <v>254</v>
      </c>
      <c r="Y43" s="37">
        <f t="shared" si="8"/>
        <v>5879.3721649904692</v>
      </c>
      <c r="Z43" s="38">
        <f t="shared" si="10"/>
        <v>5.8793721649904693</v>
      </c>
    </row>
    <row r="44" spans="1:26" x14ac:dyDescent="0.25">
      <c r="A44" s="4">
        <f t="shared" si="9"/>
        <v>19.794385907088301</v>
      </c>
      <c r="B44" s="6">
        <v>19.948177157482199</v>
      </c>
      <c r="C44" s="4">
        <f t="shared" ref="C44" si="44">A44-B44</f>
        <v>-0.15379125039389763</v>
      </c>
      <c r="D44" s="44">
        <f t="shared" si="0"/>
        <v>-7.9149045829828824</v>
      </c>
      <c r="E44" s="5">
        <v>20</v>
      </c>
      <c r="F44" s="1">
        <f t="shared" ref="F44" si="45">E44+G44</f>
        <v>19.826026742070315</v>
      </c>
      <c r="G44" s="44">
        <f t="shared" si="1"/>
        <v>-0.1739732579296859</v>
      </c>
      <c r="H44" s="3">
        <f t="shared" si="2"/>
        <v>-7.9149045829828815</v>
      </c>
      <c r="I44" s="2">
        <f t="shared" ref="I44" si="46">((B44-E44)-(A44-F44))/LN((B44-E44)/(A44-F44))</f>
        <v>-4.0905398455031126E-2</v>
      </c>
      <c r="J44" s="2">
        <f t="shared" si="3"/>
        <v>-4.0907404453648273E-2</v>
      </c>
      <c r="L44" s="4">
        <f t="shared" ref="L44" si="47">B44</f>
        <v>19.948177157482199</v>
      </c>
      <c r="M44" s="6">
        <v>19.9874458889335</v>
      </c>
      <c r="N44" s="4">
        <f t="shared" ref="N44" si="48">M44-L44</f>
        <v>3.9268731451301164E-2</v>
      </c>
      <c r="O44" s="44">
        <f t="shared" si="5"/>
        <v>2.020974936713047</v>
      </c>
      <c r="P44" s="5">
        <v>20</v>
      </c>
      <c r="Q44" s="1">
        <f t="shared" si="12"/>
        <v>19.96948794500522</v>
      </c>
      <c r="R44" s="44">
        <f t="shared" si="6"/>
        <v>3.0512054994779571E-2</v>
      </c>
      <c r="S44" s="3">
        <f t="shared" si="7"/>
        <v>2.020974936713047</v>
      </c>
      <c r="T44" s="2">
        <f t="shared" ref="T44" si="49">((Q44-L44)-(P44-M44))/LN((Q44-L44)/(P44-M44))</f>
        <v>1.6548095423331358E-2</v>
      </c>
      <c r="U44" s="2">
        <f t="shared" ref="U44" si="50">S44/$I$9</f>
        <v>1.6555086611040513E-2</v>
      </c>
      <c r="W44" s="12">
        <v>20</v>
      </c>
      <c r="X44" s="12">
        <v>210</v>
      </c>
      <c r="Y44" s="37">
        <v>0</v>
      </c>
      <c r="Z44" s="38">
        <f t="shared" si="10"/>
        <v>0</v>
      </c>
    </row>
    <row r="45" spans="1:26" x14ac:dyDescent="0.25">
      <c r="W45" s="14"/>
      <c r="X45" s="14">
        <f>SUM(X15:X44)</f>
        <v>8005</v>
      </c>
      <c r="Y45" s="14">
        <f t="shared" ref="Y45:Z45" si="51">SUM(Y15:Y44)</f>
        <v>2640923.0676408117</v>
      </c>
      <c r="Z45" s="14">
        <f t="shared" si="51"/>
        <v>2640.9230676408115</v>
      </c>
    </row>
    <row r="46" spans="1:26" x14ac:dyDescent="0.25">
      <c r="W46" s="14"/>
      <c r="X46" s="14"/>
      <c r="Y46" s="14"/>
    </row>
    <row r="47" spans="1:26" x14ac:dyDescent="0.25">
      <c r="W47" s="14"/>
      <c r="X47" s="14"/>
      <c r="Y47" s="14"/>
    </row>
  </sheetData>
  <scenarios current="0" sqref="T20">
    <scenario name="teste" locked="1" count="1" user="Auteur" comment="Créé par Auteur le 07/01/2021">
      <inputCells r="M20" val="16,9155888771612" numFmtId="2"/>
    </scenario>
  </scenarios>
  <mergeCells count="2">
    <mergeCell ref="A11:J11"/>
    <mergeCell ref="L11:U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12" zoomScale="130" zoomScaleNormal="130" workbookViewId="0">
      <selection activeCell="E12" sqref="E12:J15"/>
    </sheetView>
  </sheetViews>
  <sheetFormatPr baseColWidth="10" defaultColWidth="9.140625" defaultRowHeight="15" x14ac:dyDescent="0.25"/>
  <sheetData>
    <row r="1" spans="1:10" hidden="1" x14ac:dyDescent="0.25"/>
    <row r="2" spans="1:10" hidden="1" x14ac:dyDescent="0.25"/>
    <row r="3" spans="1:10" hidden="1" x14ac:dyDescent="0.25"/>
    <row r="4" spans="1:10" hidden="1" x14ac:dyDescent="0.25"/>
    <row r="5" spans="1:10" hidden="1" x14ac:dyDescent="0.25"/>
    <row r="6" spans="1:10" hidden="1" x14ac:dyDescent="0.25"/>
    <row r="7" spans="1:10" hidden="1" x14ac:dyDescent="0.25"/>
    <row r="8" spans="1:10" hidden="1" x14ac:dyDescent="0.25"/>
    <row r="9" spans="1:10" hidden="1" x14ac:dyDescent="0.25"/>
    <row r="10" spans="1:10" hidden="1" x14ac:dyDescent="0.25"/>
    <row r="11" spans="1:10" hidden="1" x14ac:dyDescent="0.25"/>
    <row r="12" spans="1:10" x14ac:dyDescent="0.25">
      <c r="A12" s="54" t="str">
        <f>Soufflage_extraction!A12</f>
        <v>EAU  Aéro</v>
      </c>
      <c r="B12" s="54"/>
      <c r="C12" s="54"/>
      <c r="D12" s="54"/>
      <c r="E12" s="54" t="str">
        <f>Soufflage_extraction!E12</f>
        <v>AIR  Aéro soufflage</v>
      </c>
      <c r="F12" s="54"/>
      <c r="G12" s="54"/>
      <c r="H12" s="54"/>
      <c r="I12" s="54"/>
      <c r="J12" s="54"/>
    </row>
    <row r="13" spans="1:10" x14ac:dyDescent="0.25">
      <c r="A13" s="18" t="str">
        <f>Soufflage_extraction!A13</f>
        <v>Tentrée</v>
      </c>
      <c r="B13" s="18" t="str">
        <f>Soufflage_extraction!B13</f>
        <v>Tsortie</v>
      </c>
      <c r="C13" s="18" t="str">
        <f>Soufflage_extraction!C13</f>
        <v>DeltaT</v>
      </c>
      <c r="D13" s="18" t="str">
        <f>Soufflage_extraction!D13</f>
        <v xml:space="preserve">P </v>
      </c>
      <c r="E13" s="18" t="str">
        <f>Soufflage_extraction!E13</f>
        <v>Tentrée</v>
      </c>
      <c r="F13" s="18" t="str">
        <f>Soufflage_extraction!F13</f>
        <v>Tsortie</v>
      </c>
      <c r="G13" s="18" t="str">
        <f>Soufflage_extraction!G13</f>
        <v>DeltaT</v>
      </c>
      <c r="H13" s="18" t="str">
        <f>Soufflage_extraction!H13</f>
        <v>Precup</v>
      </c>
      <c r="I13" s="18" t="str">
        <f>Soufflage_extraction!I13</f>
        <v>DTLM.2</v>
      </c>
      <c r="J13" s="18" t="str">
        <f>Soufflage_extraction!J13</f>
        <v>DTLM</v>
      </c>
    </row>
    <row r="14" spans="1:10" x14ac:dyDescent="0.25">
      <c r="A14" s="18" t="str">
        <f>Soufflage_extraction!A14</f>
        <v>°C</v>
      </c>
      <c r="B14" s="18" t="str">
        <f>Soufflage_extraction!B14</f>
        <v>°C</v>
      </c>
      <c r="C14" s="18" t="str">
        <f>Soufflage_extraction!C14</f>
        <v>°C</v>
      </c>
      <c r="D14" s="18" t="str">
        <f>Soufflage_extraction!D14</f>
        <v>kW</v>
      </c>
      <c r="E14" s="18" t="str">
        <f>Soufflage_extraction!E14</f>
        <v>°C</v>
      </c>
      <c r="F14" s="18" t="str">
        <f>Soufflage_extraction!F14</f>
        <v>°C</v>
      </c>
      <c r="G14" s="18" t="str">
        <f>Soufflage_extraction!G14</f>
        <v>°C</v>
      </c>
      <c r="H14" s="18" t="str">
        <f>Soufflage_extraction!H14</f>
        <v>kW</v>
      </c>
      <c r="I14" s="18"/>
      <c r="J14" s="18"/>
    </row>
    <row r="15" spans="1:10" x14ac:dyDescent="0.25">
      <c r="A15" s="4">
        <f>Soufflage_extraction!A16</f>
        <v>14.401194188486118</v>
      </c>
      <c r="B15" s="4">
        <f>Soufflage_extraction!B16</f>
        <v>-2.3538572494742374</v>
      </c>
      <c r="C15" s="4">
        <f>A15-B15</f>
        <v>16.755051437960354</v>
      </c>
      <c r="D15" s="4">
        <f>Soufflage_extraction!D16</f>
        <v>862.30284931533686</v>
      </c>
      <c r="E15" s="4">
        <f>Soufflage_extraction!E16</f>
        <v>-8</v>
      </c>
      <c r="F15" s="4">
        <f>Soufflage_extraction!F16</f>
        <v>10.95381484951562</v>
      </c>
      <c r="G15" s="4">
        <f>Soufflage_extraction!G16</f>
        <v>18.95381484951562</v>
      </c>
      <c r="H15" s="4">
        <f>Soufflage_extraction!H16</f>
        <v>862.30284931533686</v>
      </c>
      <c r="I15" s="4">
        <f>Soufflage_extraction!I16</f>
        <v>4.4567274728814219</v>
      </c>
      <c r="J15" s="4">
        <f>Soufflage_extraction!J16</f>
        <v>4.4567273109414947</v>
      </c>
    </row>
  </sheetData>
  <mergeCells count="2">
    <mergeCell ref="A12:D12"/>
    <mergeCell ref="E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Soufflage_extraction</vt:lpstr>
      <vt:lpstr>extraction</vt:lpstr>
      <vt:lpstr>_C3</vt:lpstr>
      <vt:lpstr>_C4</vt:lpstr>
      <vt:lpstr>_C5</vt:lpstr>
      <vt:lpstr>_C7</vt:lpstr>
      <vt:lpstr>_F3</vt:lpstr>
      <vt:lpstr>_F4</vt:lpstr>
      <vt:lpstr>_F7</vt:lpstr>
      <vt:lpstr>_F9</vt:lpstr>
      <vt:lpstr>_I3</vt:lpstr>
      <vt:lpstr>_I4</vt:lpstr>
      <vt:lpstr>_I7</vt:lpstr>
      <vt:lpstr>F9_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2021-02-06T07:38:00Z</dcterms:modified>
</cp:coreProperties>
</file>