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fif" ContentType="image/jpeg"/>
  <Default Extension="png" ContentType="image/png"/>
  <Default Extension="rels" ContentType="application/vnd.openxmlformats-package.relationships+xml"/>
  <Default Extension="svg" ContentType="image/svg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slicerCaches/slicerCache6.xml" ContentType="application/vnd.ms-excel.slicerCache+xml"/>
  <Override PartName="/xl/slicerCaches/slicerCache7.xml" ContentType="application/vnd.ms-excel.slicerCache+xml"/>
  <Override PartName="/xl/slicerCaches/slicerCache8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charts/chart8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charts/chart9.xml" ContentType="application/vnd.openxmlformats-officedocument.drawingml.chart+xml"/>
  <Override PartName="/xl/charts/style9.xml" ContentType="application/vnd.ms-office.chartstyle+xml"/>
  <Override PartName="/xl/charts/colors9.xml" ContentType="application/vnd.ms-office.chartcolorstyle+xml"/>
  <Override PartName="/xl/charts/chart10.xml" ContentType="application/vnd.openxmlformats-officedocument.drawingml.chart+xml"/>
  <Override PartName="/xl/charts/style10.xml" ContentType="application/vnd.ms-office.chartstyle+xml"/>
  <Override PartName="/xl/charts/colors10.xml" ContentType="application/vnd.ms-office.chartcolorsty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pivotTables/pivotTable7.xml" ContentType="application/vnd.openxmlformats-officedocument.spreadsheetml.pivotTable+xml"/>
  <Override PartName="/xl/pivotTables/pivotTable8.xml" ContentType="application/vnd.openxmlformats-officedocument.spreadsheetml.pivotTable+xml"/>
  <Override PartName="/xl/pivotTables/pivotTable9.xml" ContentType="application/vnd.openxmlformats-officedocument.spreadsheetml.pivotTable+xml"/>
  <Override PartName="/xl/pivotTables/pivotTable10.xml" ContentType="application/vnd.openxmlformats-officedocument.spreadsheetml.pivotTable+xml"/>
  <Override PartName="/xl/drawings/drawing4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slicers/slicer2.xml" ContentType="application/vnd.ms-excel.slicer+xml"/>
  <Override PartName="/xl/charts/chart11.xml" ContentType="application/vnd.openxmlformats-officedocument.drawingml.chart+xml"/>
  <Override PartName="/xl/charts/style11.xml" ContentType="application/vnd.ms-office.chartstyle+xml"/>
  <Override PartName="/xl/charts/colors11.xml" ContentType="application/vnd.ms-office.chartcolorstyle+xml"/>
  <Override PartName="/xl/charts/chart12.xml" ContentType="application/vnd.openxmlformats-officedocument.drawingml.chart+xml"/>
  <Override PartName="/xl/charts/style12.xml" ContentType="application/vnd.ms-office.chartstyle+xml"/>
  <Override PartName="/xl/charts/colors12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 codeName="{AE6600E7-7A62-396C-DE95-9942FA9DD81E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33634\Desktop\TAF\MACROS-TdB\"/>
    </mc:Choice>
  </mc:AlternateContent>
  <xr:revisionPtr revIDLastSave="0" documentId="13_ncr:1_{B372ED66-EEF4-4AFF-AD31-6B54CC464CE7}" xr6:coauthVersionLast="47" xr6:coauthVersionMax="47" xr10:uidLastSave="{00000000-0000-0000-0000-000000000000}"/>
  <bookViews>
    <workbookView xWindow="-120" yWindow="-120" windowWidth="24240" windowHeight="13140" tabRatio="450" xr2:uid="{F10F3BDA-7905-4958-9E89-CE462B7114FD}"/>
  </bookViews>
  <sheets>
    <sheet name="TdB" sheetId="4" r:id="rId1"/>
    <sheet name="SAISIE" sheetId="2" r:id="rId2"/>
    <sheet name="DATA" sheetId="1" r:id="rId3"/>
    <sheet name="INFO" sheetId="3" r:id="rId4"/>
  </sheets>
  <definedNames>
    <definedName name="Segment_catégorie">#N/A</definedName>
    <definedName name="Segment_Famille">#N/A</definedName>
    <definedName name="Segment_Fournisseur">#N/A</definedName>
    <definedName name="Segment_marque">#N/A</definedName>
    <definedName name="Segment_Mois">#N/A</definedName>
    <definedName name="Segment_N°parc">#N/A</definedName>
    <definedName name="Segment_Sous_famille">#N/A</definedName>
    <definedName name="Segment_type">#N/A</definedName>
  </definedNames>
  <calcPr calcId="191029"/>
  <pivotCaches>
    <pivotCache cacheId="0" r:id="rId5"/>
  </pivotCaches>
  <extLst>
    <ext xmlns:x14="http://schemas.microsoft.com/office/spreadsheetml/2009/9/main" uri="{BBE1A952-AA13-448e-AADC-164F8A28A991}">
      <x14:slicerCaches>
        <x14:slicerCache r:id="rId6"/>
        <x14:slicerCache r:id="rId7"/>
        <x14:slicerCache r:id="rId8"/>
        <x14:slicerCache r:id="rId9"/>
        <x14:slicerCache r:id="rId10"/>
        <x14:slicerCache r:id="rId11"/>
        <x14:slicerCache r:id="rId12"/>
        <x14:slicerCache r:id="rId13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R1" i="3" l="1"/>
  <c r="N5" i="4" s="1"/>
  <c r="BL1" i="3"/>
  <c r="N13" i="4" s="1"/>
  <c r="AZ1" i="3"/>
  <c r="N10" i="4" s="1"/>
  <c r="AT1" i="3"/>
  <c r="N7" i="4" s="1"/>
  <c r="AN1" i="3"/>
  <c r="AM1" i="3" s="1"/>
  <c r="M8" i="4" s="1"/>
  <c r="AH1" i="3"/>
  <c r="N11" i="4" s="1"/>
  <c r="AD1" i="3"/>
  <c r="N9" i="4" s="1"/>
  <c r="V2" i="1"/>
  <c r="V3" i="1"/>
  <c r="V4" i="1"/>
  <c r="V5" i="1"/>
  <c r="V6" i="1"/>
  <c r="V7" i="1"/>
  <c r="V8" i="1"/>
  <c r="V9" i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AF1" i="1"/>
  <c r="U2" i="1"/>
  <c r="U23" i="1"/>
  <c r="U3" i="1"/>
  <c r="U4" i="1"/>
  <c r="U5" i="1"/>
  <c r="U6" i="1"/>
  <c r="U7" i="1"/>
  <c r="U8" i="1"/>
  <c r="U9" i="1"/>
  <c r="U10" i="1"/>
  <c r="U11" i="1"/>
  <c r="U12" i="1"/>
  <c r="U13" i="1"/>
  <c r="U14" i="1"/>
  <c r="U15" i="1"/>
  <c r="U16" i="1"/>
  <c r="U17" i="1"/>
  <c r="U18" i="1"/>
  <c r="AA1" i="3"/>
  <c r="Z1" i="3" s="1"/>
  <c r="M6" i="4" s="1"/>
  <c r="BF1" i="3"/>
  <c r="BE1" i="3" s="1"/>
  <c r="M12" i="4" s="1"/>
  <c r="U19" i="1"/>
  <c r="U20" i="1"/>
  <c r="U21" i="1"/>
  <c r="U22" i="1"/>
  <c r="AU1" i="3"/>
  <c r="M9" i="3"/>
  <c r="I40" i="4" a="1"/>
  <c r="I40" i="4" s="1"/>
  <c r="I41" i="4" a="1"/>
  <c r="I41" i="4" s="1"/>
  <c r="I42" i="4" a="1"/>
  <c r="I42" i="4" s="1"/>
  <c r="I43" i="4" a="1"/>
  <c r="I43" i="4" s="1"/>
  <c r="I44" i="4" a="1"/>
  <c r="I44" i="4" s="1"/>
  <c r="I39" i="4" a="1"/>
  <c r="I39" i="4" s="1"/>
  <c r="A40" i="4" a="1"/>
  <c r="A40" i="4" s="1"/>
  <c r="A41" i="4" a="1"/>
  <c r="A41" i="4" s="1"/>
  <c r="A42" i="4" a="1"/>
  <c r="A42" i="4" s="1"/>
  <c r="A43" i="4" a="1"/>
  <c r="A43" i="4" s="1"/>
  <c r="A44" i="4" a="1"/>
  <c r="A44" i="4" s="1"/>
  <c r="A45" i="4" a="1"/>
  <c r="A45" i="4" s="1"/>
  <c r="A39" i="4" a="1"/>
  <c r="A39" i="4" s="1"/>
  <c r="I32" i="4" a="1"/>
  <c r="I32" i="4" s="1"/>
  <c r="I33" i="4" a="1"/>
  <c r="I33" i="4" s="1"/>
  <c r="I34" i="4" a="1"/>
  <c r="I34" i="4" s="1"/>
  <c r="I35" i="4" a="1"/>
  <c r="I35" i="4" s="1"/>
  <c r="I36" i="4" a="1"/>
  <c r="I36" i="4" s="1"/>
  <c r="I31" i="4" a="1"/>
  <c r="I31" i="4" s="1"/>
  <c r="A32" i="4" a="1"/>
  <c r="A32" i="4" s="1"/>
  <c r="A33" i="4" a="1"/>
  <c r="A33" i="4" s="1"/>
  <c r="A34" i="4" a="1"/>
  <c r="A34" i="4" s="1"/>
  <c r="A35" i="4" a="1"/>
  <c r="A35" i="4" s="1"/>
  <c r="A36" i="4" a="1"/>
  <c r="A36" i="4" s="1"/>
  <c r="A31" i="4" a="1"/>
  <c r="A31" i="4" s="1"/>
  <c r="I24" i="4" a="1"/>
  <c r="I24" i="4" s="1"/>
  <c r="I25" i="4" a="1"/>
  <c r="I25" i="4" s="1"/>
  <c r="I26" i="4" a="1"/>
  <c r="I26" i="4" s="1"/>
  <c r="I27" i="4" a="1"/>
  <c r="I27" i="4" s="1"/>
  <c r="I28" i="4" a="1"/>
  <c r="I28" i="4" s="1"/>
  <c r="I23" i="4" a="1"/>
  <c r="I23" i="4" s="1"/>
  <c r="A24" i="4" a="1"/>
  <c r="A24" i="4" s="1"/>
  <c r="A25" i="4" a="1"/>
  <c r="A25" i="4" s="1"/>
  <c r="A26" i="4" a="1"/>
  <c r="A26" i="4" s="1"/>
  <c r="A27" i="4" a="1"/>
  <c r="A27" i="4" s="1"/>
  <c r="A28" i="4" a="1"/>
  <c r="A28" i="4" s="1"/>
  <c r="A23" i="4" a="1"/>
  <c r="A23" i="4" s="1"/>
  <c r="I16" i="4" a="1"/>
  <c r="I16" i="4" s="1"/>
  <c r="I17" i="4" a="1"/>
  <c r="I17" i="4" s="1"/>
  <c r="I18" i="4" a="1"/>
  <c r="I18" i="4" s="1"/>
  <c r="I19" i="4" a="1"/>
  <c r="I19" i="4" s="1"/>
  <c r="I20" i="4" a="1"/>
  <c r="I20" i="4" s="1"/>
  <c r="I15" i="4" a="1"/>
  <c r="I15" i="4" s="1"/>
  <c r="A16" i="4" a="1"/>
  <c r="A16" i="4" s="1"/>
  <c r="A17" i="4" a="1"/>
  <c r="A17" i="4" s="1"/>
  <c r="A18" i="4" a="1"/>
  <c r="A18" i="4" s="1"/>
  <c r="A19" i="4" a="1"/>
  <c r="A19" i="4" s="1"/>
  <c r="A20" i="4" a="1"/>
  <c r="A20" i="4" s="1"/>
  <c r="A15" i="4" a="1"/>
  <c r="A15" i="4" s="1"/>
  <c r="AJ1" i="1"/>
  <c r="AH1" i="1"/>
  <c r="J20" i="4"/>
  <c r="D34" i="4"/>
  <c r="L24" i="4"/>
  <c r="L39" i="4"/>
  <c r="J16" i="4"/>
  <c r="D27" i="4"/>
  <c r="K31" i="4"/>
  <c r="J33" i="4"/>
  <c r="J36" i="4"/>
  <c r="B18" i="4"/>
  <c r="L28" i="4"/>
  <c r="C18" i="4"/>
  <c r="D35" i="4"/>
  <c r="B26" i="4"/>
  <c r="J15" i="4"/>
  <c r="K41" i="4"/>
  <c r="J41" i="4"/>
  <c r="D43" i="4"/>
  <c r="C35" i="4"/>
  <c r="B43" i="4"/>
  <c r="L20" i="4"/>
  <c r="D18" i="4"/>
  <c r="J43" i="4"/>
  <c r="B20" i="4"/>
  <c r="L41" i="4"/>
  <c r="C40" i="4"/>
  <c r="J32" i="4"/>
  <c r="L27" i="4"/>
  <c r="D39" i="4"/>
  <c r="J18" i="4"/>
  <c r="B25" i="4"/>
  <c r="B24" i="4"/>
  <c r="D31" i="4"/>
  <c r="L16" i="4"/>
  <c r="C39" i="4"/>
  <c r="B39" i="4"/>
  <c r="J39" i="4"/>
  <c r="L23" i="4"/>
  <c r="D19" i="4"/>
  <c r="C43" i="4"/>
  <c r="B36" i="4"/>
  <c r="L40" i="4"/>
  <c r="B32" i="4"/>
  <c r="K40" i="4"/>
  <c r="J31" i="4"/>
  <c r="K25" i="4"/>
  <c r="B27" i="4"/>
  <c r="D41" i="4"/>
  <c r="C36" i="4"/>
  <c r="B28" i="4"/>
  <c r="J44" i="4"/>
  <c r="C33" i="4"/>
  <c r="B23" i="4"/>
  <c r="C15" i="4"/>
  <c r="J42" i="4"/>
  <c r="B35" i="4"/>
  <c r="K17" i="4"/>
  <c r="L34" i="4"/>
  <c r="K26" i="4"/>
  <c r="C16" i="4"/>
  <c r="B42" i="4"/>
  <c r="C31" i="4"/>
  <c r="K19" i="4"/>
  <c r="D17" i="4"/>
  <c r="BQ1" i="3" l="1"/>
  <c r="M5" i="4" s="1"/>
  <c r="N6" i="4"/>
  <c r="BK1" i="3"/>
  <c r="M13" i="4" s="1"/>
  <c r="N8" i="4"/>
  <c r="N12" i="4"/>
  <c r="AC1" i="3"/>
  <c r="M9" i="4" s="1"/>
  <c r="AY1" i="3"/>
  <c r="M10" i="4" s="1"/>
  <c r="AG1" i="3"/>
  <c r="M11" i="4" s="1"/>
  <c r="AS1" i="3"/>
  <c r="M7" i="4" s="1"/>
  <c r="AL1" i="1"/>
  <c r="H15" i="2"/>
  <c r="D19" i="2"/>
  <c r="D17" i="2"/>
  <c r="D15" i="2"/>
  <c r="D13" i="2"/>
  <c r="J40" i="4"/>
  <c r="D25" i="4"/>
  <c r="C24" i="4"/>
  <c r="C27" i="4"/>
  <c r="L15" i="4"/>
  <c r="C34" i="4"/>
  <c r="K43" i="4"/>
  <c r="J35" i="4"/>
  <c r="L43" i="4"/>
  <c r="B40" i="4"/>
  <c r="K20" i="4"/>
  <c r="D32" i="4"/>
  <c r="K44" i="4"/>
  <c r="K28" i="4"/>
  <c r="L17" i="4"/>
  <c r="C45" i="4"/>
  <c r="L31" i="4"/>
  <c r="D15" i="4"/>
  <c r="D20" i="4"/>
  <c r="K27" i="4"/>
  <c r="K39" i="4"/>
  <c r="D44" i="4"/>
  <c r="C42" i="4"/>
  <c r="K32" i="4"/>
  <c r="J17" i="4"/>
  <c r="D26" i="4"/>
  <c r="D23" i="4"/>
  <c r="C28" i="4"/>
  <c r="L32" i="4"/>
  <c r="B41" i="4"/>
  <c r="K36" i="4"/>
  <c r="D42" i="4"/>
  <c r="B16" i="4"/>
  <c r="L44" i="4"/>
  <c r="K16" i="4"/>
  <c r="B34" i="4"/>
  <c r="C41" i="4"/>
  <c r="C25" i="4"/>
  <c r="D28" i="4"/>
  <c r="L18" i="4"/>
  <c r="L33" i="4"/>
  <c r="L26" i="4"/>
  <c r="D45" i="4"/>
  <c r="J19" i="4"/>
  <c r="L35" i="4"/>
  <c r="B31" i="4"/>
  <c r="K23" i="4"/>
  <c r="B17" i="4"/>
  <c r="K18" i="4"/>
  <c r="D33" i="4"/>
  <c r="B33" i="4"/>
  <c r="D40" i="4"/>
  <c r="L25" i="4"/>
  <c r="C19" i="4"/>
  <c r="L42" i="4"/>
  <c r="D36" i="4"/>
  <c r="D24" i="4"/>
  <c r="C26" i="4"/>
  <c r="C23" i="4"/>
  <c r="L19" i="4"/>
  <c r="B19" i="4"/>
  <c r="D16" i="4"/>
  <c r="K34" i="4"/>
  <c r="B44" i="4"/>
  <c r="L36" i="4"/>
  <c r="J34" i="4"/>
  <c r="C17" i="4"/>
  <c r="K15" i="4"/>
  <c r="C32" i="4"/>
  <c r="K33" i="4"/>
  <c r="C20" i="4"/>
  <c r="B45" i="4"/>
  <c r="K24" i="4"/>
  <c r="K42" i="4"/>
  <c r="K35" i="4"/>
  <c r="B15" i="4"/>
  <c r="J25" i="4"/>
  <c r="J28" i="4"/>
  <c r="J26" i="4"/>
  <c r="J24" i="4"/>
  <c r="J23" i="4"/>
  <c r="J27" i="4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<sst xmlns="http://schemas.openxmlformats.org/spreadsheetml/2006/main" count="771" uniqueCount="245">
  <si>
    <t>Date BL/BS</t>
  </si>
  <si>
    <t>N°BL/BS</t>
  </si>
  <si>
    <t>Fournisseur</t>
  </si>
  <si>
    <t>N°parc</t>
  </si>
  <si>
    <t>Famille</t>
  </si>
  <si>
    <t>Sous famille</t>
  </si>
  <si>
    <t>Désignation</t>
  </si>
  <si>
    <t>Référence</t>
  </si>
  <si>
    <t>Code article</t>
  </si>
  <si>
    <t>Quantité</t>
  </si>
  <si>
    <t>Prix U</t>
  </si>
  <si>
    <t>Montant</t>
  </si>
  <si>
    <t>Demandeur</t>
  </si>
  <si>
    <t>N°FI</t>
  </si>
  <si>
    <t>Mois</t>
  </si>
  <si>
    <t>matricule</t>
  </si>
  <si>
    <t>marque</t>
  </si>
  <si>
    <t>type</t>
  </si>
  <si>
    <t>catégorie</t>
  </si>
  <si>
    <t>mouvement</t>
  </si>
  <si>
    <t>service</t>
  </si>
  <si>
    <t>Mouvement</t>
  </si>
  <si>
    <t>Marque</t>
  </si>
  <si>
    <t>Matricule</t>
  </si>
  <si>
    <t>Type</t>
  </si>
  <si>
    <t>Catégorie</t>
  </si>
  <si>
    <t>Service</t>
  </si>
  <si>
    <t>MOUVEMENT</t>
  </si>
  <si>
    <t>INVENTAIRE</t>
  </si>
  <si>
    <t>ENTREE</t>
  </si>
  <si>
    <t>SORTIE</t>
  </si>
  <si>
    <t>FOURNISSEURS</t>
  </si>
  <si>
    <t>FRNSR1</t>
  </si>
  <si>
    <t>FRNSR2</t>
  </si>
  <si>
    <t>FRNSR3</t>
  </si>
  <si>
    <t>FRNSR4</t>
  </si>
  <si>
    <t>FRNSR5</t>
  </si>
  <si>
    <t>FRNSR6</t>
  </si>
  <si>
    <t>FRNSR7</t>
  </si>
  <si>
    <t>FRNSR8</t>
  </si>
  <si>
    <t>FRNSR9</t>
  </si>
  <si>
    <t>FRNSR10</t>
  </si>
  <si>
    <t>FRNSR11</t>
  </si>
  <si>
    <t>FRNSR12</t>
  </si>
  <si>
    <t>FRNSR13</t>
  </si>
  <si>
    <t>FRNSR14</t>
  </si>
  <si>
    <t>FRNSR15</t>
  </si>
  <si>
    <t>FRNSR16</t>
  </si>
  <si>
    <t>FRNSR17</t>
  </si>
  <si>
    <t>MAT1</t>
  </si>
  <si>
    <t>MAT2</t>
  </si>
  <si>
    <t>MAT3</t>
  </si>
  <si>
    <t>MAT4</t>
  </si>
  <si>
    <t>MAT5</t>
  </si>
  <si>
    <t>MAT6</t>
  </si>
  <si>
    <t>MAT7</t>
  </si>
  <si>
    <t>MAT8</t>
  </si>
  <si>
    <t>MAT9</t>
  </si>
  <si>
    <t>MAT10</t>
  </si>
  <si>
    <t>MAT11</t>
  </si>
  <si>
    <t>MAT12</t>
  </si>
  <si>
    <t>MAT13</t>
  </si>
  <si>
    <t>MAT14</t>
  </si>
  <si>
    <t>MAT15</t>
  </si>
  <si>
    <t>MAT16</t>
  </si>
  <si>
    <t>MAT17</t>
  </si>
  <si>
    <t>MAT18</t>
  </si>
  <si>
    <t>MAT19</t>
  </si>
  <si>
    <t>MAT20</t>
  </si>
  <si>
    <t>MAT21</t>
  </si>
  <si>
    <t>MAT22</t>
  </si>
  <si>
    <t>MAT23</t>
  </si>
  <si>
    <t>MAT24</t>
  </si>
  <si>
    <t>MAT25</t>
  </si>
  <si>
    <t>MAT26</t>
  </si>
  <si>
    <t>MAT27</t>
  </si>
  <si>
    <t>MAT28</t>
  </si>
  <si>
    <t>MAT29</t>
  </si>
  <si>
    <t>MAT30</t>
  </si>
  <si>
    <t>MAT31</t>
  </si>
  <si>
    <t>MAT32</t>
  </si>
  <si>
    <t>MAT33</t>
  </si>
  <si>
    <t>MAT34</t>
  </si>
  <si>
    <t>MRQ1</t>
  </si>
  <si>
    <t>MRQ2</t>
  </si>
  <si>
    <t>MRQ3</t>
  </si>
  <si>
    <t>MRQ4</t>
  </si>
  <si>
    <t>MRQ5</t>
  </si>
  <si>
    <t>TYPE1</t>
  </si>
  <si>
    <t>TYPE2</t>
  </si>
  <si>
    <t>TYPE3</t>
  </si>
  <si>
    <t>TYPE4</t>
  </si>
  <si>
    <t>TYPE5</t>
  </si>
  <si>
    <t>TYPE6</t>
  </si>
  <si>
    <t>TYPE7</t>
  </si>
  <si>
    <t>TYPE8</t>
  </si>
  <si>
    <t>TYPE9</t>
  </si>
  <si>
    <t>CAT1</t>
  </si>
  <si>
    <t>CAT2</t>
  </si>
  <si>
    <t>CAT3</t>
  </si>
  <si>
    <t>CAT4</t>
  </si>
  <si>
    <t>CAT5</t>
  </si>
  <si>
    <t>PRC 1</t>
  </si>
  <si>
    <t>PRC 2</t>
  </si>
  <si>
    <t>PRC 3</t>
  </si>
  <si>
    <t>PRC 4</t>
  </si>
  <si>
    <t>PRC 5</t>
  </si>
  <si>
    <t>PRC 6</t>
  </si>
  <si>
    <t>PRC 7</t>
  </si>
  <si>
    <t>PRC 8</t>
  </si>
  <si>
    <t>PRC 9</t>
  </si>
  <si>
    <t>PRC 10</t>
  </si>
  <si>
    <t>PRC 11</t>
  </si>
  <si>
    <t>PRC 12</t>
  </si>
  <si>
    <t>PRC 13</t>
  </si>
  <si>
    <t>PRC 14</t>
  </si>
  <si>
    <t>PRC 15</t>
  </si>
  <si>
    <t>PRC 16</t>
  </si>
  <si>
    <t>PRC 17</t>
  </si>
  <si>
    <t>PRC 18</t>
  </si>
  <si>
    <t>PRC 19</t>
  </si>
  <si>
    <t>PRC 20</t>
  </si>
  <si>
    <t>PRC 21</t>
  </si>
  <si>
    <t>PRC 22</t>
  </si>
  <si>
    <t>PRC 23</t>
  </si>
  <si>
    <t>PRC 24</t>
  </si>
  <si>
    <t>PRC 25</t>
  </si>
  <si>
    <t>PRC 26</t>
  </si>
  <si>
    <t>PRC 27</t>
  </si>
  <si>
    <t>PRC 28</t>
  </si>
  <si>
    <t>PRC 29</t>
  </si>
  <si>
    <t>PRC 30</t>
  </si>
  <si>
    <t>PRC 31</t>
  </si>
  <si>
    <t>PRC 32</t>
  </si>
  <si>
    <t>PRC 33</t>
  </si>
  <si>
    <t>PRC 34</t>
  </si>
  <si>
    <t>LUBRIFIANT</t>
  </si>
  <si>
    <t>CHASSIS</t>
  </si>
  <si>
    <t>MOTEUR</t>
  </si>
  <si>
    <t>DIRECTION</t>
  </si>
  <si>
    <t>FREINAGE</t>
  </si>
  <si>
    <t>DEMANDEUR</t>
  </si>
  <si>
    <t>SERVICE</t>
  </si>
  <si>
    <t>SRV1</t>
  </si>
  <si>
    <t>SRV2</t>
  </si>
  <si>
    <t>SRV3</t>
  </si>
  <si>
    <t>SRV4</t>
  </si>
  <si>
    <t>2546-KL</t>
  </si>
  <si>
    <t>4578R69FF</t>
  </si>
  <si>
    <t xml:space="preserve">FILTRE A HUILE </t>
  </si>
  <si>
    <t>A020122-001</t>
  </si>
  <si>
    <t>68923-AL</t>
  </si>
  <si>
    <t>5364F896</t>
  </si>
  <si>
    <t xml:space="preserve">HUILE MOTEUR </t>
  </si>
  <si>
    <t>FI0040122-001</t>
  </si>
  <si>
    <t>BOITE A VITESSE</t>
  </si>
  <si>
    <t>FAMILLE</t>
  </si>
  <si>
    <t>EQUIPEMENT</t>
  </si>
  <si>
    <t>TRANSMISSION</t>
  </si>
  <si>
    <t>SOUS-FAMILLE</t>
  </si>
  <si>
    <t>PNEU/JANTE</t>
  </si>
  <si>
    <t>PNEUMATIQUE</t>
  </si>
  <si>
    <t>CIRCUIT PNEUMATIQUE</t>
  </si>
  <si>
    <t>CABINE</t>
  </si>
  <si>
    <t>CHAUDRONNERIE</t>
  </si>
  <si>
    <t>VERINS</t>
  </si>
  <si>
    <t>POMPE</t>
  </si>
  <si>
    <t>VIDANGE</t>
  </si>
  <si>
    <t>PTO</t>
  </si>
  <si>
    <t>SAISIE</t>
  </si>
  <si>
    <t>SOLDE</t>
  </si>
  <si>
    <t>HUILE MOTEUR</t>
  </si>
  <si>
    <t>BL-011221-003</t>
  </si>
  <si>
    <t>CA-011221-001</t>
  </si>
  <si>
    <t>FI-040122-003</t>
  </si>
  <si>
    <t>BL-010122-003</t>
  </si>
  <si>
    <t>CA-010122-003</t>
  </si>
  <si>
    <t>4526G96</t>
  </si>
  <si>
    <t xml:space="preserve">DISQUE D'EMBRAYAGE </t>
  </si>
  <si>
    <t>STOCK</t>
  </si>
  <si>
    <t>BL-010122-006</t>
  </si>
  <si>
    <t>CA-010122-045</t>
  </si>
  <si>
    <t>13R22,5</t>
  </si>
  <si>
    <t>pneu</t>
  </si>
  <si>
    <t>BS-010122-012</t>
  </si>
  <si>
    <t>fi-040122-012</t>
  </si>
  <si>
    <t>fi-040122-024</t>
  </si>
  <si>
    <t>BS-010122-015</t>
  </si>
  <si>
    <t>fi-040122-025</t>
  </si>
  <si>
    <t>BS-050222-003</t>
  </si>
  <si>
    <t>fi-050222-025</t>
  </si>
  <si>
    <t>Étiquettes de lignes</t>
  </si>
  <si>
    <t>Total général</t>
  </si>
  <si>
    <t>Somme de Montant</t>
  </si>
  <si>
    <t>Étiquettes de colonnes</t>
  </si>
  <si>
    <t>5364H851</t>
  </si>
  <si>
    <t>BS-050222-053</t>
  </si>
  <si>
    <t>CA-011221-012</t>
  </si>
  <si>
    <t>FI-050122-0013</t>
  </si>
  <si>
    <t>758649P65</t>
  </si>
  <si>
    <t xml:space="preserve">POMPE HYDRAULIQUE </t>
  </si>
  <si>
    <t>CA-050522-015</t>
  </si>
  <si>
    <t>FI-050522-014</t>
  </si>
  <si>
    <t>BS-050522-022</t>
  </si>
  <si>
    <t>BL-050522-053</t>
  </si>
  <si>
    <t>(vide)</t>
  </si>
  <si>
    <t>FOURNISSEUR</t>
  </si>
  <si>
    <t>VALEUR STOCK:</t>
  </si>
  <si>
    <t>VEHICULES</t>
  </si>
  <si>
    <t>MARQUE</t>
  </si>
  <si>
    <t>CATEGORIE</t>
  </si>
  <si>
    <t>MRQ6</t>
  </si>
  <si>
    <t>S/FAMILLE</t>
  </si>
  <si>
    <t>AGM1</t>
  </si>
  <si>
    <t>AGM2</t>
  </si>
  <si>
    <t>AGM3</t>
  </si>
  <si>
    <t>AGM4</t>
  </si>
  <si>
    <t>AGM5</t>
  </si>
  <si>
    <t>AGM6</t>
  </si>
  <si>
    <t>AGM7</t>
  </si>
  <si>
    <t>AGM8</t>
  </si>
  <si>
    <t>AGM9</t>
  </si>
  <si>
    <t>AGM10</t>
  </si>
  <si>
    <t>DAGM2</t>
  </si>
  <si>
    <t>AGENT Mce</t>
  </si>
  <si>
    <t xml:space="preserve"> </t>
  </si>
  <si>
    <t/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</si>
  <si>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</si>
  <si>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</si>
  <si>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</si>
  <si>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</si>
  <si>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</si>
  <si>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</si>
  <si>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</si>
  <si>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</si>
  <si>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</si>
  <si>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</si>
  <si>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</si>
  <si>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</si>
  <si>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--</t>
  </si>
  <si>
    <t>MOIS</t>
  </si>
  <si>
    <t>VEHICULE</t>
  </si>
  <si>
    <t>SEVICE</t>
  </si>
  <si>
    <t>AGENT</t>
  </si>
  <si>
    <t>SORTIE-MAX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</si>
</sst>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4">
    <numFmt numFmtId="164" formatCode="#,##0.00[$MAD]" x16r2:formatCode16="#,##0.00[$MAD-zgh-Tfng-MA]"/>
    <numFmt numFmtId="165" formatCode="#,##0\ [$DH-380C]"/>
    <numFmt numFmtId="166" formatCode="#,##0\ &quot;€&quot;"/>
    <numFmt numFmtId="167" formatCode="#,##0.00\ [$DH-380C]"/>
  </numFmts>
  <fonts count="28" x14ac:knownFonts="1">
    <font>
      <sz val="11"/>
      <color theme="1"/>
      <name val="Calibri"/>
      <family val="2"/>
      <scheme val="minor"/>
    </font>
    <font>
      <b/>
      <sz val="14"/>
      <color theme="1"/>
      <name val="Arial Rounded MT Bold"/>
      <family val="2"/>
    </font>
    <font>
      <sz val="11"/>
      <color theme="1"/>
      <name val="Arial Rounded MT Bold"/>
      <family val="2"/>
    </font>
    <font>
      <b/>
      <sz val="14"/>
      <name val="Arial Rounded MT Bold"/>
      <family val="2"/>
    </font>
    <font>
      <sz val="72"/>
      <color rgb="FFFF0000"/>
      <name val="Calibri"/>
      <family val="2"/>
      <scheme val="minor"/>
    </font>
    <font>
      <sz val="8"/>
      <name val="Calibri"/>
      <family val="2"/>
      <scheme val="minor"/>
    </font>
    <font>
      <sz val="8"/>
      <color theme="1"/>
      <name val="Arial Nova"/>
      <family val="2"/>
    </font>
    <font>
      <u/>
      <sz val="11"/>
      <color theme="1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8"/>
      <color theme="1"/>
      <name val="Arial Nova"/>
      <family val="2"/>
    </font>
    <font>
      <b/>
      <sz val="9"/>
      <color theme="1"/>
      <name val="Calibri"/>
      <family val="2"/>
      <scheme val="minor"/>
    </font>
    <font>
      <sz val="10"/>
      <color theme="1"/>
      <name val="Arial Nova"/>
      <family val="2"/>
    </font>
    <font>
      <sz val="10"/>
      <name val="Arial Nova"/>
      <family val="2"/>
    </font>
    <font>
      <sz val="10"/>
      <color theme="4" tint="-0.249977111117893"/>
      <name val="Arial Nova"/>
      <family val="2"/>
    </font>
    <font>
      <sz val="8"/>
      <color theme="1"/>
      <name val="Arial Narrow"/>
      <family val="2"/>
    </font>
    <font>
      <b/>
      <sz val="8"/>
      <name val="Arial Narrow"/>
      <family val="2"/>
    </font>
    <font>
      <sz val="8"/>
      <color theme="1"/>
      <name val="Calibri"/>
      <family val="2"/>
      <scheme val="minor"/>
    </font>
    <font>
      <sz val="9"/>
      <color theme="0"/>
      <name val="Calibri"/>
      <family val="2"/>
      <scheme val="minor"/>
    </font>
    <font>
      <sz val="8"/>
      <color theme="1"/>
      <name val="Abadi"/>
      <family val="2"/>
    </font>
    <font>
      <b/>
      <u/>
      <sz val="8"/>
      <color rgb="FFFF0000"/>
      <name val="Abadi"/>
      <family val="2"/>
    </font>
    <font>
      <b/>
      <sz val="8"/>
      <color theme="0"/>
      <name val="Arial Narrow"/>
      <family val="2"/>
    </font>
    <font>
      <b/>
      <u/>
      <sz val="8"/>
      <color rgb="FF002060"/>
      <name val="Abadi"/>
      <family val="2"/>
    </font>
    <font>
      <b/>
      <sz val="9"/>
      <color rgb="FF002060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8"/>
      <color rgb="FF002060"/>
      <name val="Abadi"/>
      <family val="2"/>
    </font>
    <font>
      <b/>
      <u/>
      <sz val="9"/>
      <color theme="10"/>
      <name val="Calibri"/>
      <family val="2"/>
      <scheme val="minor"/>
    </font>
    <font>
      <b/>
      <sz val="9"/>
      <color theme="1"/>
      <name val="Arial Nova"/>
      <family val="2"/>
    </font>
    <font>
      <b/>
      <sz val="9"/>
      <color theme="0"/>
      <name val="Arial Nova"/>
      <family val="2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6" tint="0.79998168889431442"/>
        <bgColor indexed="64"/>
      </patternFill>
    </fill>
  </fills>
  <borders count="33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theme="4"/>
      </top>
      <bottom style="thin">
        <color theme="4"/>
      </bottom>
      <diagonal/>
    </border>
    <border>
      <left/>
      <right/>
      <top/>
      <bottom style="thin">
        <color theme="4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/>
      <bottom style="thin">
        <color theme="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theme="0"/>
      </right>
      <top style="medium">
        <color indexed="64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medium">
        <color indexed="64"/>
      </top>
      <bottom style="thin">
        <color theme="0"/>
      </bottom>
      <diagonal/>
    </border>
    <border>
      <left style="thin">
        <color theme="0"/>
      </left>
      <right style="medium">
        <color indexed="64"/>
      </right>
      <top style="medium">
        <color indexed="64"/>
      </top>
      <bottom style="thin">
        <color theme="0"/>
      </bottom>
      <diagonal/>
    </border>
    <border>
      <left style="medium">
        <color indexed="64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medium">
        <color indexed="64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medium">
        <color indexed="64"/>
      </bottom>
      <diagonal/>
    </border>
    <border>
      <left style="thin">
        <color theme="0"/>
      </left>
      <right style="medium">
        <color indexed="64"/>
      </right>
      <top style="thin">
        <color theme="0"/>
      </top>
      <bottom style="medium">
        <color indexed="64"/>
      </bottom>
      <diagonal/>
    </border>
    <border>
      <left style="medium">
        <color indexed="64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medium">
        <color indexed="64"/>
      </right>
      <top style="thin">
        <color theme="0"/>
      </top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medium">
        <color indexed="64"/>
      </right>
      <top/>
      <bottom style="thin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/>
      <right style="medium">
        <color indexed="64"/>
      </right>
      <top style="thin">
        <color theme="0"/>
      </top>
      <bottom style="thin">
        <color theme="0"/>
      </bottom>
      <diagonal/>
    </border>
    <border>
      <left/>
      <right style="medium">
        <color indexed="64"/>
      </right>
      <top style="thin">
        <color theme="0"/>
      </top>
      <bottom/>
      <diagonal/>
    </border>
    <border>
      <left style="thin">
        <color theme="0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18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0" borderId="3" xfId="0" applyBorder="1"/>
    <xf numFmtId="0" fontId="1" fillId="0" borderId="1" xfId="0" applyFont="1" applyBorder="1" applyAlignment="1">
      <alignment horizontal="center"/>
    </xf>
    <xf numFmtId="0" fontId="2" fillId="0" borderId="1" xfId="0" applyFont="1" applyBorder="1"/>
    <xf numFmtId="0" fontId="1" fillId="0" borderId="5" xfId="0" applyFont="1" applyBorder="1" applyAlignment="1">
      <alignment horizontal="center"/>
    </xf>
    <xf numFmtId="0" fontId="2" fillId="0" borderId="5" xfId="0" applyFont="1" applyBorder="1"/>
    <xf numFmtId="0" fontId="2" fillId="0" borderId="4" xfId="0" applyFont="1" applyBorder="1"/>
    <xf numFmtId="14" fontId="1" fillId="2" borderId="6" xfId="0" applyNumberFormat="1" applyFont="1" applyFill="1" applyBorder="1" applyAlignment="1">
      <alignment horizontal="center" vertical="center"/>
    </xf>
    <xf numFmtId="0" fontId="2" fillId="2" borderId="1" xfId="0" applyFont="1" applyFill="1" applyBorder="1"/>
    <xf numFmtId="0" fontId="1" fillId="2" borderId="6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2" fontId="3" fillId="2" borderId="6" xfId="0" applyNumberFormat="1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2" fillId="2" borderId="7" xfId="0" applyFont="1" applyFill="1" applyBorder="1"/>
    <xf numFmtId="0" fontId="2" fillId="0" borderId="3" xfId="0" applyFont="1" applyBorder="1"/>
    <xf numFmtId="0" fontId="1" fillId="0" borderId="7" xfId="0" applyFont="1" applyBorder="1" applyAlignment="1">
      <alignment horizontal="center"/>
    </xf>
    <xf numFmtId="0" fontId="2" fillId="0" borderId="7" xfId="0" applyFont="1" applyBorder="1"/>
    <xf numFmtId="14" fontId="1" fillId="3" borderId="9" xfId="0" applyNumberFormat="1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3" fillId="3" borderId="9" xfId="0" applyFont="1" applyFill="1" applyBorder="1" applyAlignment="1">
      <alignment horizontal="center" vertical="center"/>
    </xf>
    <xf numFmtId="2" fontId="3" fillId="3" borderId="9" xfId="0" applyNumberFormat="1" applyFont="1" applyFill="1" applyBorder="1" applyAlignment="1">
      <alignment horizontal="center" vertical="center"/>
    </xf>
    <xf numFmtId="0" fontId="6" fillId="0" borderId="0" xfId="0" applyFont="1" applyAlignment="1">
      <alignment vertical="center"/>
    </xf>
    <xf numFmtId="0" fontId="1" fillId="0" borderId="4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0" fillId="0" borderId="13" xfId="0" applyBorder="1"/>
    <xf numFmtId="0" fontId="2" fillId="0" borderId="2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14" fontId="2" fillId="0" borderId="2" xfId="0" applyNumberFormat="1" applyFont="1" applyBorder="1" applyAlignment="1" applyProtection="1">
      <alignment horizontal="center" vertical="center"/>
      <protection locked="0"/>
    </xf>
    <xf numFmtId="0" fontId="2" fillId="0" borderId="2" xfId="0" applyFont="1" applyBorder="1" applyAlignment="1" applyProtection="1">
      <alignment horizontal="center" vertical="center"/>
      <protection locked="0"/>
    </xf>
    <xf numFmtId="0" fontId="6" fillId="0" borderId="0" xfId="0" applyFont="1"/>
    <xf numFmtId="0" fontId="9" fillId="0" borderId="0" xfId="0" applyFont="1" applyAlignment="1">
      <alignment vertical="center"/>
    </xf>
    <xf numFmtId="164" fontId="9" fillId="5" borderId="0" xfId="0" applyNumberFormat="1" applyFont="1" applyFill="1" applyAlignment="1">
      <alignment vertical="center"/>
    </xf>
    <xf numFmtId="165" fontId="9" fillId="0" borderId="0" xfId="0" applyNumberFormat="1" applyFont="1" applyAlignment="1">
      <alignment vertical="center"/>
    </xf>
    <xf numFmtId="1" fontId="6" fillId="0" borderId="0" xfId="0" applyNumberFormat="1" applyFont="1"/>
    <xf numFmtId="14" fontId="11" fillId="2" borderId="0" xfId="0" applyNumberFormat="1" applyFont="1" applyFill="1" applyAlignment="1">
      <alignment horizontal="center" vertical="center"/>
    </xf>
    <xf numFmtId="0" fontId="12" fillId="2" borderId="0" xfId="0" applyFont="1" applyFill="1" applyAlignment="1">
      <alignment horizontal="center" vertical="center"/>
    </xf>
    <xf numFmtId="0" fontId="11" fillId="2" borderId="0" xfId="0" applyFont="1" applyFill="1" applyAlignment="1">
      <alignment horizontal="left" vertical="center"/>
    </xf>
    <xf numFmtId="1" fontId="12" fillId="2" borderId="0" xfId="0" applyNumberFormat="1" applyFont="1" applyFill="1" applyAlignment="1">
      <alignment horizontal="center" vertical="center"/>
    </xf>
    <xf numFmtId="0" fontId="11" fillId="2" borderId="0" xfId="0" applyFont="1" applyFill="1" applyAlignment="1">
      <alignment horizontal="center" vertical="center"/>
    </xf>
    <xf numFmtId="0" fontId="13" fillId="2" borderId="0" xfId="0" applyFont="1" applyFill="1" applyAlignment="1">
      <alignment horizontal="center" vertical="center"/>
    </xf>
    <xf numFmtId="0" fontId="13" fillId="2" borderId="0" xfId="0" applyFont="1" applyFill="1" applyAlignment="1">
      <alignment horizontal="left" vertical="center"/>
    </xf>
    <xf numFmtId="164" fontId="11" fillId="2" borderId="0" xfId="0" applyNumberFormat="1" applyFont="1" applyFill="1" applyAlignment="1">
      <alignment horizontal="center" vertical="center"/>
    </xf>
    <xf numFmtId="0" fontId="0" fillId="2" borderId="0" xfId="0" applyFill="1" applyAlignment="1">
      <alignment horizontal="center" vertical="center" wrapText="1"/>
    </xf>
    <xf numFmtId="14" fontId="12" fillId="2" borderId="0" xfId="0" applyNumberFormat="1" applyFont="1" applyFill="1" applyAlignment="1">
      <alignment horizontal="center" vertical="center"/>
    </xf>
    <xf numFmtId="0" fontId="12" fillId="2" borderId="0" xfId="0" applyFont="1" applyFill="1" applyAlignment="1">
      <alignment horizontal="left" vertical="center"/>
    </xf>
    <xf numFmtId="0" fontId="12" fillId="2" borderId="10" xfId="0" applyFont="1" applyFill="1" applyBorder="1" applyAlignment="1">
      <alignment horizontal="center" vertical="center"/>
    </xf>
    <xf numFmtId="0" fontId="12" fillId="2" borderId="10" xfId="0" applyFont="1" applyFill="1" applyBorder="1" applyAlignment="1">
      <alignment horizontal="left" vertical="center"/>
    </xf>
    <xf numFmtId="0" fontId="12" fillId="2" borderId="0" xfId="0" applyFont="1" applyFill="1" applyAlignment="1">
      <alignment horizontal="center" vertical="center" wrapText="1"/>
    </xf>
    <xf numFmtId="0" fontId="14" fillId="0" borderId="0" xfId="0" applyFont="1" applyAlignment="1">
      <alignment horizontal="center"/>
    </xf>
    <xf numFmtId="0" fontId="15" fillId="0" borderId="11" xfId="0" applyFont="1" applyBorder="1" applyAlignment="1">
      <alignment horizontal="center" vertical="center"/>
    </xf>
    <xf numFmtId="0" fontId="14" fillId="0" borderId="0" xfId="0" applyFont="1" applyAlignment="1">
      <alignment horizontal="left"/>
    </xf>
    <xf numFmtId="0" fontId="16" fillId="0" borderId="0" xfId="0" pivotButton="1" applyFont="1"/>
    <xf numFmtId="0" fontId="16" fillId="0" borderId="0" xfId="0" applyFont="1"/>
    <xf numFmtId="0" fontId="15" fillId="0" borderId="0" xfId="0" applyFont="1" applyAlignment="1">
      <alignment horizontal="center" vertical="center"/>
    </xf>
    <xf numFmtId="0" fontId="16" fillId="0" borderId="0" xfId="0" applyFont="1" applyAlignment="1">
      <alignment horizontal="left"/>
    </xf>
    <xf numFmtId="0" fontId="15" fillId="0" borderId="10" xfId="0" applyFont="1" applyBorder="1" applyAlignment="1">
      <alignment horizontal="center" vertical="center"/>
    </xf>
    <xf numFmtId="17" fontId="14" fillId="0" borderId="0" xfId="0" applyNumberFormat="1" applyFont="1" applyAlignment="1">
      <alignment horizontal="center"/>
    </xf>
    <xf numFmtId="164" fontId="12" fillId="2" borderId="0" xfId="0" applyNumberFormat="1" applyFont="1" applyFill="1" applyAlignment="1">
      <alignment horizontal="center" vertical="center"/>
    </xf>
    <xf numFmtId="0" fontId="20" fillId="6" borderId="0" xfId="0" applyFont="1" applyFill="1" applyAlignment="1">
      <alignment horizontal="center"/>
    </xf>
    <xf numFmtId="166" fontId="20" fillId="6" borderId="0" xfId="0" applyNumberFormat="1" applyFont="1" applyFill="1" applyAlignment="1">
      <alignment horizontal="center"/>
    </xf>
    <xf numFmtId="166" fontId="16" fillId="0" borderId="0" xfId="0" applyNumberFormat="1" applyFont="1"/>
    <xf numFmtId="1" fontId="0" fillId="2" borderId="0" xfId="0" applyNumberFormat="1" applyFill="1" applyAlignment="1">
      <alignment horizontal="center" vertical="center" wrapText="1"/>
    </xf>
    <xf numFmtId="1" fontId="0" fillId="2" borderId="25" xfId="0" applyNumberFormat="1" applyFill="1" applyBorder="1" applyAlignment="1">
      <alignment horizontal="center" vertical="center" wrapText="1"/>
    </xf>
    <xf numFmtId="14" fontId="6" fillId="0" borderId="0" xfId="0" applyNumberFormat="1" applyFont="1" applyAlignment="1">
      <alignment vertical="center"/>
    </xf>
    <xf numFmtId="0" fontId="25" fillId="5" borderId="16" xfId="1" applyFont="1" applyFill="1" applyBorder="1" applyProtection="1">
      <protection locked="0"/>
    </xf>
    <xf numFmtId="0" fontId="8" fillId="0" borderId="17" xfId="0" applyFont="1" applyBorder="1" applyProtection="1">
      <protection locked="0"/>
    </xf>
    <xf numFmtId="0" fontId="10" fillId="0" borderId="17" xfId="0" applyFont="1" applyBorder="1" applyProtection="1">
      <protection locked="0"/>
    </xf>
    <xf numFmtId="0" fontId="8" fillId="0" borderId="18" xfId="0" applyFont="1" applyBorder="1" applyProtection="1">
      <protection locked="0"/>
    </xf>
    <xf numFmtId="0" fontId="8" fillId="0" borderId="4" xfId="0" applyFont="1" applyBorder="1" applyProtection="1">
      <protection locked="0"/>
    </xf>
    <xf numFmtId="0" fontId="8" fillId="0" borderId="1" xfId="0" applyFont="1" applyBorder="1" applyProtection="1">
      <protection locked="0"/>
    </xf>
    <xf numFmtId="0" fontId="10" fillId="0" borderId="19" xfId="0" applyFont="1" applyBorder="1" applyProtection="1">
      <protection locked="0"/>
    </xf>
    <xf numFmtId="0" fontId="10" fillId="0" borderId="1" xfId="0" applyFont="1" applyBorder="1" applyProtection="1">
      <protection locked="0"/>
    </xf>
    <xf numFmtId="0" fontId="8" fillId="0" borderId="20" xfId="0" applyFont="1" applyBorder="1" applyProtection="1">
      <protection locked="0"/>
    </xf>
    <xf numFmtId="0" fontId="10" fillId="0" borderId="23" xfId="0" applyFont="1" applyBorder="1" applyProtection="1">
      <protection locked="0"/>
    </xf>
    <xf numFmtId="0" fontId="8" fillId="0" borderId="5" xfId="0" applyFont="1" applyBorder="1" applyProtection="1">
      <protection locked="0"/>
    </xf>
    <xf numFmtId="0" fontId="10" fillId="0" borderId="5" xfId="0" applyFont="1" applyBorder="1" applyProtection="1">
      <protection locked="0"/>
    </xf>
    <xf numFmtId="0" fontId="8" fillId="0" borderId="24" xfId="0" applyFont="1" applyBorder="1" applyProtection="1">
      <protection locked="0"/>
    </xf>
    <xf numFmtId="0" fontId="10" fillId="0" borderId="16" xfId="0" applyFont="1" applyBorder="1" applyProtection="1">
      <protection locked="0"/>
    </xf>
    <xf numFmtId="0" fontId="8" fillId="0" borderId="3" xfId="0" applyFont="1" applyBorder="1" applyProtection="1">
      <protection locked="0"/>
    </xf>
    <xf numFmtId="0" fontId="8" fillId="0" borderId="28" xfId="0" applyFont="1" applyBorder="1" applyProtection="1">
      <protection locked="0"/>
    </xf>
    <xf numFmtId="0" fontId="8" fillId="0" borderId="30" xfId="0" applyFont="1" applyBorder="1" applyProtection="1">
      <protection locked="0"/>
    </xf>
    <xf numFmtId="0" fontId="10" fillId="2" borderId="7" xfId="0" applyFont="1" applyFill="1" applyBorder="1" applyProtection="1">
      <protection locked="0"/>
    </xf>
    <xf numFmtId="0" fontId="8" fillId="2" borderId="7" xfId="0" applyFont="1" applyFill="1" applyBorder="1" applyProtection="1">
      <protection locked="0"/>
    </xf>
    <xf numFmtId="0" fontId="8" fillId="2" borderId="13" xfId="0" applyFont="1" applyFill="1" applyBorder="1" applyProtection="1">
      <protection locked="0"/>
    </xf>
    <xf numFmtId="0" fontId="8" fillId="2" borderId="26" xfId="0" applyFont="1" applyFill="1" applyBorder="1" applyProtection="1">
      <protection locked="0"/>
    </xf>
    <xf numFmtId="0" fontId="10" fillId="2" borderId="1" xfId="0" applyFont="1" applyFill="1" applyBorder="1" applyProtection="1">
      <protection locked="0"/>
    </xf>
    <xf numFmtId="0" fontId="8" fillId="2" borderId="1" xfId="0" applyFont="1" applyFill="1" applyBorder="1" applyProtection="1">
      <protection locked="0"/>
    </xf>
    <xf numFmtId="0" fontId="8" fillId="2" borderId="3" xfId="0" applyFont="1" applyFill="1" applyBorder="1" applyProtection="1">
      <protection locked="0"/>
    </xf>
    <xf numFmtId="0" fontId="8" fillId="2" borderId="29" xfId="0" applyFont="1" applyFill="1" applyBorder="1" applyProtection="1">
      <protection locked="0"/>
    </xf>
    <xf numFmtId="0" fontId="23" fillId="0" borderId="19" xfId="0" applyFont="1" applyBorder="1" applyProtection="1">
      <protection locked="0"/>
    </xf>
    <xf numFmtId="0" fontId="17" fillId="0" borderId="1" xfId="0" applyFont="1" applyBorder="1" applyProtection="1">
      <protection locked="0"/>
    </xf>
    <xf numFmtId="0" fontId="23" fillId="0" borderId="1" xfId="0" applyFont="1" applyBorder="1" applyProtection="1">
      <protection locked="0"/>
    </xf>
    <xf numFmtId="0" fontId="17" fillId="0" borderId="3" xfId="0" applyFont="1" applyBorder="1" applyProtection="1">
      <protection locked="0"/>
    </xf>
    <xf numFmtId="0" fontId="17" fillId="0" borderId="29" xfId="0" applyFont="1" applyBorder="1" applyProtection="1">
      <protection locked="0"/>
    </xf>
    <xf numFmtId="0" fontId="17" fillId="0" borderId="4" xfId="0" applyFont="1" applyBorder="1" applyProtection="1">
      <protection locked="0"/>
    </xf>
    <xf numFmtId="0" fontId="19" fillId="0" borderId="19" xfId="0" applyFont="1" applyBorder="1" applyProtection="1">
      <protection locked="0"/>
    </xf>
    <xf numFmtId="0" fontId="21" fillId="0" borderId="3" xfId="0" applyFont="1" applyBorder="1" applyAlignment="1" applyProtection="1">
      <alignment horizontal="center"/>
      <protection locked="0"/>
    </xf>
    <xf numFmtId="0" fontId="22" fillId="0" borderId="1" xfId="0" applyFont="1" applyBorder="1" applyProtection="1">
      <protection locked="0"/>
    </xf>
    <xf numFmtId="0" fontId="21" fillId="0" borderId="13" xfId="0" applyFont="1" applyBorder="1" applyAlignment="1" applyProtection="1">
      <alignment horizontal="center"/>
      <protection locked="0"/>
    </xf>
    <xf numFmtId="0" fontId="8" fillId="0" borderId="7" xfId="0" applyFont="1" applyBorder="1" applyProtection="1">
      <protection locked="0"/>
    </xf>
    <xf numFmtId="0" fontId="24" fillId="0" borderId="19" xfId="0" applyFont="1" applyBorder="1" applyProtection="1">
      <protection locked="0"/>
    </xf>
    <xf numFmtId="0" fontId="8" fillId="0" borderId="21" xfId="0" applyFont="1" applyBorder="1" applyProtection="1">
      <protection locked="0"/>
    </xf>
    <xf numFmtId="0" fontId="10" fillId="0" borderId="21" xfId="0" applyFont="1" applyBorder="1" applyProtection="1">
      <protection locked="0"/>
    </xf>
    <xf numFmtId="0" fontId="8" fillId="0" borderId="22" xfId="0" applyFont="1" applyBorder="1" applyProtection="1">
      <protection locked="0"/>
    </xf>
    <xf numFmtId="0" fontId="10" fillId="0" borderId="7" xfId="0" applyFont="1" applyBorder="1" applyProtection="1">
      <protection locked="0"/>
    </xf>
    <xf numFmtId="0" fontId="27" fillId="7" borderId="27" xfId="0" applyFont="1" applyFill="1" applyBorder="1" applyProtection="1">
      <protection locked="0"/>
    </xf>
    <xf numFmtId="167" fontId="18" fillId="0" borderId="1" xfId="0" applyNumberFormat="1" applyFont="1" applyBorder="1" applyProtection="1">
      <protection locked="0"/>
    </xf>
    <xf numFmtId="0" fontId="26" fillId="8" borderId="27" xfId="0" applyFont="1" applyFill="1" applyBorder="1" applyAlignment="1" applyProtection="1">
      <alignment horizontal="right"/>
      <protection locked="0"/>
    </xf>
    <xf numFmtId="0" fontId="27" fillId="7" borderId="31" xfId="0" applyFont="1" applyFill="1" applyBorder="1" applyAlignment="1" applyProtection="1">
      <alignment horizontal="center"/>
      <protection locked="0"/>
    </xf>
    <xf numFmtId="0" fontId="27" fillId="7" borderId="32" xfId="0" applyFont="1" applyFill="1" applyBorder="1" applyAlignment="1" applyProtection="1">
      <alignment horizontal="center"/>
      <protection locked="0"/>
    </xf>
    <xf numFmtId="0" fontId="4" fillId="0" borderId="14" xfId="0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16" fillId="0" borderId="0" xfId="0" applyNumberFormat="1" applyFont="1"/>
  </cellXfs>
  <cellStyles count="2">
    <cellStyle name="Lien hypertexte" xfId="1" builtinId="8"/>
    <cellStyle name="Normal" xfId="0" builtinId="0"/>
  </cellStyles>
  <dxfs count="150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Narrow"/>
        <family val="2"/>
        <scheme val="none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Narrow"/>
        <family val="2"/>
        <scheme val="none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Narrow"/>
        <family val="2"/>
        <scheme val="none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Narrow"/>
        <family val="2"/>
        <scheme val="none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Narrow"/>
        <family val="2"/>
        <scheme val="none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Narrow"/>
        <family val="2"/>
        <scheme val="none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Narrow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Narrow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Narrow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Narrow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Narrow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Narrow"/>
        <family val="2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Arial Narrow"/>
        <family val="2"/>
        <scheme val="none"/>
      </font>
      <numFmt numFmtId="22" formatCode="mmm\-yy"/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/>
        </top>
        <bottom style="thin">
          <color theme="4"/>
        </bottom>
      </border>
    </dxf>
    <dxf>
      <border outline="0">
        <top style="thin">
          <color theme="4"/>
        </top>
      </border>
    </dxf>
    <dxf>
      <font>
        <strike val="0"/>
        <outline val="0"/>
        <shadow val="0"/>
        <u val="none"/>
        <vertAlign val="baseline"/>
        <sz val="8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</dxf>
    <dxf>
      <border outline="0">
        <bottom style="thin">
          <color theme="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Arial Narrow"/>
        <family val="2"/>
        <scheme val="none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Arial Narrow"/>
        <family val="2"/>
        <scheme val="none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Arial Narrow"/>
        <family val="2"/>
        <scheme val="none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Arial Narrow"/>
        <family val="2"/>
        <scheme val="none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Arial Narrow"/>
        <family val="2"/>
        <scheme val="none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Arial Narrow"/>
        <family val="2"/>
        <scheme val="none"/>
      </font>
      <alignment horizontal="center" textRotation="0" wrapText="0" indent="0" justifyLastLine="0" shrinkToFit="0" readingOrder="0"/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numFmt numFmtId="166" formatCode="#,##0\ &quot;€&quot;"/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numFmt numFmtId="166" formatCode="#,##0\ &quot;€&quot;"/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numFmt numFmtId="166" formatCode="#,##0\ &quot;€&quot;"/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numFmt numFmtId="166" formatCode="#,##0\ &quot;€&quot;"/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numFmt numFmtId="166" formatCode="#,##0\ &quot;€&quot;"/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numFmt numFmtId="166" formatCode="#,##0\ &quot;€&quot;"/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numFmt numFmtId="166" formatCode="#,##0\ &quot;€&quot;"/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numFmt numFmtId="166" formatCode="#,##0\ &quot;€&quot;"/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ova"/>
        <family val="2"/>
        <scheme val="none"/>
      </font>
      <numFmt numFmtId="0" formatCode="General"/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ova"/>
        <family val="2"/>
        <scheme val="none"/>
      </font>
      <numFmt numFmtId="0" formatCode="General"/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ova"/>
        <family val="2"/>
        <scheme val="none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ova"/>
        <family val="2"/>
        <scheme val="none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ova"/>
        <family val="2"/>
        <scheme val="none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ova"/>
        <family val="2"/>
        <scheme val="none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ova"/>
        <family val="2"/>
        <scheme val="none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ova"/>
        <family val="2"/>
        <scheme val="none"/>
      </font>
      <numFmt numFmtId="1" formatCode="0"/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ova"/>
        <family val="2"/>
        <scheme val="none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ova"/>
        <family val="2"/>
        <scheme val="none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ova"/>
        <family val="2"/>
        <scheme val="none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ova"/>
        <family val="2"/>
        <scheme val="none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ova"/>
        <family val="2"/>
        <scheme val="none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ova"/>
        <family val="2"/>
        <scheme val="none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ova"/>
        <family val="2"/>
        <scheme val="none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ova"/>
        <family val="2"/>
        <scheme val="none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ova"/>
        <family val="2"/>
        <scheme val="none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ova"/>
        <family val="2"/>
        <scheme val="none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ova"/>
        <family val="2"/>
        <scheme val="none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ova"/>
        <family val="2"/>
        <scheme val="none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ova"/>
        <family val="2"/>
        <scheme val="none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ova"/>
        <family val="2"/>
        <scheme val="none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ova"/>
        <family val="2"/>
        <scheme val="none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ova"/>
        <family val="2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 patternType="darkUp">
          <fgColor theme="6" tint="-0.24994659260841701"/>
          <bgColor rgb="FF0070C0"/>
        </patternFill>
      </fill>
    </dxf>
  </dxfs>
  <tableStyles count="8" defaultTableStyle="TableStyleMedium2" defaultPivotStyle="PivotStyleLight16">
    <tableStyle name="Style de segment 1" pivot="0" table="0" count="1" xr9:uid="{DD9C6F1B-D621-4C72-84D2-0F5566006BEF}"/>
    <tableStyle name="Style de segment 2" pivot="0" table="0" count="1" xr9:uid="{8DBF34C5-B99E-4BB2-B440-3219479E3AD9}"/>
    <tableStyle name="Style de segment 3" pivot="0" table="0" count="1" xr9:uid="{2A5813BC-93FC-432F-8671-325DA7632A81}"/>
    <tableStyle name="Style de segment 4" pivot="0" table="0" count="1" xr9:uid="{FDCA2D78-A4DC-45B0-8417-8899D36B3391}"/>
    <tableStyle name="Style de segment 5" pivot="0" table="0" count="1" xr9:uid="{C5C219E1-F958-48DA-9F9C-E9027363705A}"/>
    <tableStyle name="Style de segment 6" pivot="0" table="0" count="0" xr9:uid="{993E443B-90D8-4848-8D6C-377103162CF9}"/>
    <tableStyle name="Style de segment 7" pivot="0" table="0" count="0" xr9:uid="{757F073C-E923-4306-9442-8101C16FE3AE}"/>
    <tableStyle name="Style de segment 8" pivot="0" table="0" count="1" xr9:uid="{FCE41AFB-07C0-4C79-B53C-1CCD66AC68D4}">
      <tableStyleElement type="wholeTable" dxfId="149"/>
    </tableStyle>
  </tableStyles>
  <colors>
    <mruColors>
      <color rgb="FF00445C"/>
    </mruColors>
  </colors>
  <extLst>
    <ext xmlns:x14="http://schemas.microsoft.com/office/spreadsheetml/2009/9/main" uri="{46F421CA-312F-682f-3DD2-61675219B42D}">
      <x14:dxfs count="5">
        <dxf>
          <fill>
            <gradientFill>
              <stop position="0">
                <color theme="2" tint="-0.49803155613879818"/>
              </stop>
              <stop position="1">
                <color theme="6" tint="0.40000610370189521"/>
              </stop>
            </gradientFill>
          </fill>
        </dxf>
        <dxf>
          <font>
            <color theme="1"/>
          </font>
          <fill>
            <patternFill>
              <bgColor rgb="FF00B0F0"/>
            </patternFill>
          </fill>
        </dxf>
        <dxf>
          <fill>
            <patternFill>
              <bgColor theme="0"/>
            </patternFill>
          </fill>
        </dxf>
        <dxf>
          <font>
            <b/>
            <i val="0"/>
            <color theme="0"/>
          </font>
          <fill>
            <patternFill>
              <bgColor theme="8" tint="-0.499984740745262"/>
            </patternFill>
          </fill>
        </dxf>
        <dxf>
          <font>
            <b/>
            <i val="0"/>
            <color theme="0"/>
          </font>
          <fill>
            <patternFill>
              <bgColor rgb="FF002060"/>
            </patternFill>
          </fill>
        </dxf>
      </x14:dxfs>
    </ext>
    <ext xmlns:x14="http://schemas.microsoft.com/office/spreadsheetml/2009/9/main" uri="{EB79DEF2-80B8-43e5-95BD-54CBDDF9020C}">
      <x14:slicerStyles defaultSlicerStyle="SlicerStyleLight1">
        <x14:slicerStyle name="Style de segment 1">
          <x14:slicerStyleElements>
            <x14:slicerStyleElement type="hoveredUnselectedItemWithData" dxfId="4"/>
          </x14:slicerStyleElements>
        </x14:slicerStyle>
        <x14:slicerStyle name="Style de segment 2">
          <x14:slicerStyleElements>
            <x14:slicerStyleElement type="selectedItemWithData" dxfId="3"/>
          </x14:slicerStyleElements>
        </x14:slicerStyle>
        <x14:slicerStyle name="Style de segment 3">
          <x14:slicerStyleElements>
            <x14:slicerStyleElement type="selectedItemWithData" dxfId="2"/>
          </x14:slicerStyleElements>
        </x14:slicerStyle>
        <x14:slicerStyle name="Style de segment 4">
          <x14:slicerStyleElements>
            <x14:slicerStyleElement type="hoveredSelectedItemWithData" dxfId="1"/>
          </x14:slicerStyleElements>
        </x14:slicerStyle>
        <x14:slicerStyle name="Style de segment 5">
          <x14:slicerStyleElements>
            <x14:slicerStyleElement type="hoveredSelectedItemWithData" dxfId="0"/>
          </x14:slicerStyleElements>
        </x14:slicerStyle>
        <x14:slicerStyle name="Style de segment 6"/>
        <x14:slicerStyle name="Style de segment 7"/>
        <x14:slicerStyle name="Style de segment 8"/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3.xml"/><Relationship Id="rId13" Type="http://schemas.microsoft.com/office/2007/relationships/slicerCache" Target="slicerCaches/slicerCache8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microsoft.com/office/2007/relationships/slicerCache" Target="slicerCaches/slicerCache2.xml"/><Relationship Id="rId12" Type="http://schemas.microsoft.com/office/2007/relationships/slicerCache" Target="slicerCaches/slicerCache7.xml"/><Relationship Id="rId17" Type="http://schemas.openxmlformats.org/officeDocument/2006/relationships/sheetMetadata" Target="metadata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11" Type="http://schemas.microsoft.com/office/2007/relationships/slicerCache" Target="slicerCaches/slicerCache6.xml"/><Relationship Id="rId5" Type="http://schemas.openxmlformats.org/officeDocument/2006/relationships/pivotCacheDefinition" Target="pivotCache/pivotCacheDefinition1.xml"/><Relationship Id="rId15" Type="http://schemas.openxmlformats.org/officeDocument/2006/relationships/styles" Target="styles.xml"/><Relationship Id="rId10" Type="http://schemas.microsoft.com/office/2007/relationships/slicerCache" Target="slicerCaches/slicerCache5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microsoft.com/office/2007/relationships/slicerCache" Target="slicerCaches/slicerCache4.xml"/><Relationship Id="rId1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_rels/chart9.xml.rels><?xml version="1.0" encoding="UTF-8" standalone="yes"?>
<Relationships xmlns="http://schemas.openxmlformats.org/package/2006/relationships"><Relationship Id="rId2" Type="http://schemas.microsoft.com/office/2011/relationships/chartColorStyle" Target="colors9.xml"/><Relationship Id="rId1" Type="http://schemas.microsoft.com/office/2011/relationships/chartStyle" Target="style9.xml"/></Relationships>
</file>

<file path=xl/charts/_rels/chart10.xml.rels><?xml version="1.0" encoding="UTF-8" standalone="yes"?>
<Relationships xmlns="http://schemas.openxmlformats.org/package/2006/relationships"><Relationship Id="rId2" Type="http://schemas.microsoft.com/office/2011/relationships/chartColorStyle" Target="colors10.xml"/><Relationship Id="rId1" Type="http://schemas.microsoft.com/office/2011/relationships/chartStyle" Target="style10.xml"/></Relationships>
</file>

<file path=xl/charts/_rels/chart11.xml.rels><?xml version="1.0" encoding="UTF-8" standalone="yes"?>
<Relationships xmlns="http://schemas.openxmlformats.org/package/2006/relationships"><Relationship Id="rId2" Type="http://schemas.microsoft.com/office/2011/relationships/chartColorStyle" Target="colors11.xml"/><Relationship Id="rId1" Type="http://schemas.microsoft.com/office/2011/relationships/chartStyle" Target="style11.xml"/></Relationships>
</file>

<file path=xl/charts/_rels/chart12.xml.rels><?xml version="1.0" encoding="UTF-8" standalone="yes"?>
<Relationships xmlns="http://schemas.openxmlformats.org/package/2006/relationships"><Relationship Id="rId2" Type="http://schemas.microsoft.com/office/2011/relationships/chartColorStyle" Target="colors12.xml"/><Relationship Id="rId1" Type="http://schemas.microsoft.com/office/2011/relationships/chartStyle" Target="style1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"/>
          <c:y val="0.13793103448275862"/>
          <c:w val="1"/>
          <c:h val="0.68547741877092949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TdB!$B$14</c:f>
              <c:strCache>
                <c:ptCount val="1"/>
                <c:pt idx="0">
                  <c:v>ENTREE</c:v>
                </c:pt>
              </c:strCache>
            </c:strRef>
          </c:tx>
          <c:spPr>
            <a:solidFill>
              <a:srgbClr val="FF0000"/>
            </a:solidFill>
            <a:ln>
              <a:noFill/>
            </a:ln>
            <a:effectLst/>
            <a:scene3d>
              <a:camera prst="orthographicFront"/>
              <a:lightRig rig="threePt" dir="t"/>
            </a:scene3d>
            <a:sp3d prstMaterial="matte">
              <a:bevelT w="63500" h="63500" prst="artDeco"/>
              <a:contourClr>
                <a:srgbClr val="000000"/>
              </a:contourClr>
            </a:sp3d>
          </c:spPr>
          <c:invertIfNegative val="0"/>
          <c:cat>
            <c:strRef>
              <c:f>TdB!$A$15:$A$20</c:f>
              <c:strCache>
                <c:ptCount val="6"/>
                <c:pt idx="0">
                  <c:v>FRNSR2</c:v>
                </c:pt>
                <c:pt idx="1">
                  <c:v>FRNSR3</c:v>
                </c:pt>
                <c:pt idx="2">
                  <c:v>FRNSR4</c:v>
                </c:pt>
                <c:pt idx="3">
                  <c:v>FRNSR6</c:v>
                </c:pt>
                <c:pt idx="4">
                  <c:v>FRNSR7</c:v>
                </c:pt>
                <c:pt idx="5">
                  <c:v>FRNSR10</c:v>
                </c:pt>
              </c:strCache>
            </c:strRef>
          </c:cat>
          <c:val>
            <c:numRef>
              <c:f>TdB!$B$15:$B$20</c:f>
              <c:numCache>
                <c:formatCode>#\ ##0.00\ [$DH-380C]</c:formatCode>
                <c:ptCount val="6"/>
                <c:pt idx="0">
                  <c:v>2426</c:v>
                </c:pt>
                <c:pt idx="1">
                  <c:v>0</c:v>
                </c:pt>
                <c:pt idx="2">
                  <c:v>4800</c:v>
                </c:pt>
                <c:pt idx="3">
                  <c:v>24000</c:v>
                </c:pt>
                <c:pt idx="4">
                  <c:v>27669.599999999999</c:v>
                </c:pt>
                <c:pt idx="5">
                  <c:v>22400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005-4E76-BAEB-5DE8D905A590}"/>
            </c:ext>
          </c:extLst>
        </c:ser>
        <c:ser>
          <c:idx val="1"/>
          <c:order val="1"/>
          <c:tx>
            <c:strRef>
              <c:f>TdB!$C$14</c:f>
              <c:strCache>
                <c:ptCount val="1"/>
                <c:pt idx="0">
                  <c:v>INVENTAIRE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TdB!$A$15:$A$20</c:f>
              <c:strCache>
                <c:ptCount val="6"/>
                <c:pt idx="0">
                  <c:v>FRNSR2</c:v>
                </c:pt>
                <c:pt idx="1">
                  <c:v>FRNSR3</c:v>
                </c:pt>
                <c:pt idx="2">
                  <c:v>FRNSR4</c:v>
                </c:pt>
                <c:pt idx="3">
                  <c:v>FRNSR6</c:v>
                </c:pt>
                <c:pt idx="4">
                  <c:v>FRNSR7</c:v>
                </c:pt>
                <c:pt idx="5">
                  <c:v>FRNSR10</c:v>
                </c:pt>
              </c:strCache>
            </c:strRef>
          </c:cat>
          <c:val>
            <c:numRef>
              <c:f>TdB!$C$15:$C$20</c:f>
              <c:numCache>
                <c:formatCode>#\ ##0.00\ [$DH-380C]</c:formatCode>
                <c:ptCount val="6"/>
                <c:pt idx="0">
                  <c:v>2196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C005-4E76-BAEB-5DE8D905A590}"/>
            </c:ext>
          </c:extLst>
        </c:ser>
        <c:ser>
          <c:idx val="2"/>
          <c:order val="2"/>
          <c:tx>
            <c:strRef>
              <c:f>TdB!$D$14</c:f>
              <c:strCache>
                <c:ptCount val="1"/>
                <c:pt idx="0">
                  <c:v>SORTIE</c:v>
                </c:pt>
              </c:strCache>
            </c:strRef>
          </c:tx>
          <c:spPr>
            <a:solidFill>
              <a:srgbClr val="00B050"/>
            </a:solidFill>
            <a:ln>
              <a:noFill/>
            </a:ln>
            <a:effectLst/>
            <a:scene3d>
              <a:camera prst="orthographicFront"/>
              <a:lightRig rig="threePt" dir="t"/>
            </a:scene3d>
            <a:sp3d>
              <a:bevelT w="190500" h="38100"/>
            </a:sp3d>
          </c:spPr>
          <c:invertIfNegative val="0"/>
          <c:cat>
            <c:strRef>
              <c:f>TdB!$A$15:$A$20</c:f>
              <c:strCache>
                <c:ptCount val="6"/>
                <c:pt idx="0">
                  <c:v>FRNSR2</c:v>
                </c:pt>
                <c:pt idx="1">
                  <c:v>FRNSR3</c:v>
                </c:pt>
                <c:pt idx="2">
                  <c:v>FRNSR4</c:v>
                </c:pt>
                <c:pt idx="3">
                  <c:v>FRNSR6</c:v>
                </c:pt>
                <c:pt idx="4">
                  <c:v>FRNSR7</c:v>
                </c:pt>
                <c:pt idx="5">
                  <c:v>FRNSR10</c:v>
                </c:pt>
              </c:strCache>
            </c:strRef>
          </c:cat>
          <c:val>
            <c:numRef>
              <c:f>TdB!$D$15:$D$20</c:f>
              <c:numCache>
                <c:formatCode>#\ ##0.00\ [$DH-380C]</c:formatCode>
                <c:ptCount val="6"/>
                <c:pt idx="0">
                  <c:v>0</c:v>
                </c:pt>
                <c:pt idx="1">
                  <c:v>549</c:v>
                </c:pt>
                <c:pt idx="2">
                  <c:v>4800</c:v>
                </c:pt>
                <c:pt idx="3">
                  <c:v>14400</c:v>
                </c:pt>
                <c:pt idx="4">
                  <c:v>1098</c:v>
                </c:pt>
                <c:pt idx="5">
                  <c:v>5600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C005-4E76-BAEB-5DE8D905A59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axId val="1926732303"/>
        <c:axId val="1874994319"/>
      </c:barChart>
      <c:catAx>
        <c:axId val="192673230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700" b="1" i="0" u="none" strike="noStrike" kern="1200" baseline="0">
                <a:solidFill>
                  <a:schemeClr val="accent5">
                    <a:lumMod val="50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74994319"/>
        <c:crosses val="autoZero"/>
        <c:auto val="1"/>
        <c:lblAlgn val="ctr"/>
        <c:lblOffset val="100"/>
        <c:noMultiLvlLbl val="0"/>
      </c:catAx>
      <c:valAx>
        <c:axId val="1874994319"/>
        <c:scaling>
          <c:orientation val="minMax"/>
        </c:scaling>
        <c:delete val="1"/>
        <c:axPos val="l"/>
        <c:numFmt formatCode="#\ ##0.00\ [$DH-380C]" sourceLinked="1"/>
        <c:majorTickMark val="none"/>
        <c:minorTickMark val="none"/>
        <c:tickLblPos val="nextTo"/>
        <c:crossAx val="1926732303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1.3784681748618272E-3"/>
          <c:y val="1.2929676893836605E-2"/>
          <c:w val="0.57911056892536317"/>
          <c:h val="0.1939668748303014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700" b="1" i="0" u="none" strike="noStrike" kern="1200" baseline="0">
              <a:solidFill>
                <a:srgbClr val="002060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1.5141170937447847E-2"/>
          <c:y val="3.864734299516908E-2"/>
          <c:w val="0.98485882906255218"/>
          <c:h val="0.78552398341511664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TdB!$J$14</c:f>
              <c:strCache>
                <c:ptCount val="1"/>
                <c:pt idx="0">
                  <c:v>ENTREE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TdB!$I$15:$I$20</c:f>
              <c:strCache>
                <c:ptCount val="6"/>
                <c:pt idx="0">
                  <c:v>PRC 1</c:v>
                </c:pt>
                <c:pt idx="1">
                  <c:v>PRC 11</c:v>
                </c:pt>
                <c:pt idx="2">
                  <c:v>PRC 13</c:v>
                </c:pt>
                <c:pt idx="3">
                  <c:v>PRC 3</c:v>
                </c:pt>
                <c:pt idx="4">
                  <c:v>PRC 8</c:v>
                </c:pt>
                <c:pt idx="5">
                  <c:v>STOCK</c:v>
                </c:pt>
              </c:strCache>
            </c:strRef>
          </c:cat>
          <c:val>
            <c:numRef>
              <c:f>TdB!$J$15:$J$20</c:f>
              <c:numCache>
                <c:formatCode>#\ ##0.00\ [$DH-380C]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81295.600000000006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75E-4404-8F00-717F7FD633ED}"/>
            </c:ext>
          </c:extLst>
        </c:ser>
        <c:ser>
          <c:idx val="1"/>
          <c:order val="1"/>
          <c:tx>
            <c:strRef>
              <c:f>TdB!$K$14</c:f>
              <c:strCache>
                <c:ptCount val="1"/>
                <c:pt idx="0">
                  <c:v>INVENTAIRE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TdB!$I$15:$I$20</c:f>
              <c:strCache>
                <c:ptCount val="6"/>
                <c:pt idx="0">
                  <c:v>PRC 1</c:v>
                </c:pt>
                <c:pt idx="1">
                  <c:v>PRC 11</c:v>
                </c:pt>
                <c:pt idx="2">
                  <c:v>PRC 13</c:v>
                </c:pt>
                <c:pt idx="3">
                  <c:v>PRC 3</c:v>
                </c:pt>
                <c:pt idx="4">
                  <c:v>PRC 8</c:v>
                </c:pt>
                <c:pt idx="5">
                  <c:v>STOCK</c:v>
                </c:pt>
              </c:strCache>
            </c:strRef>
          </c:cat>
          <c:val>
            <c:numRef>
              <c:f>TdB!$K$15:$K$20</c:f>
              <c:numCache>
                <c:formatCode>#\ ##0.00\ [$DH-380C]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2196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275E-4404-8F00-717F7FD633ED}"/>
            </c:ext>
          </c:extLst>
        </c:ser>
        <c:ser>
          <c:idx val="2"/>
          <c:order val="2"/>
          <c:tx>
            <c:strRef>
              <c:f>TdB!$L$14</c:f>
              <c:strCache>
                <c:ptCount val="1"/>
                <c:pt idx="0">
                  <c:v>SORTIE</c:v>
                </c:pt>
              </c:strCache>
            </c:strRef>
          </c:tx>
          <c:spPr>
            <a:solidFill>
              <a:srgbClr val="FF0000"/>
            </a:solidFill>
            <a:ln>
              <a:noFill/>
            </a:ln>
            <a:effectLst/>
          </c:spPr>
          <c:invertIfNegative val="0"/>
          <c:cat>
            <c:strRef>
              <c:f>TdB!$I$15:$I$20</c:f>
              <c:strCache>
                <c:ptCount val="6"/>
                <c:pt idx="0">
                  <c:v>PRC 1</c:v>
                </c:pt>
                <c:pt idx="1">
                  <c:v>PRC 11</c:v>
                </c:pt>
                <c:pt idx="2">
                  <c:v>PRC 13</c:v>
                </c:pt>
                <c:pt idx="3">
                  <c:v>PRC 3</c:v>
                </c:pt>
                <c:pt idx="4">
                  <c:v>PRC 8</c:v>
                </c:pt>
                <c:pt idx="5">
                  <c:v>STOCK</c:v>
                </c:pt>
              </c:strCache>
            </c:strRef>
          </c:cat>
          <c:val>
            <c:numRef>
              <c:f>TdB!$L$15:$L$20</c:f>
              <c:numCache>
                <c:formatCode>#\ ##0.00\ [$DH-380C]</c:formatCode>
                <c:ptCount val="6"/>
                <c:pt idx="0">
                  <c:v>4800</c:v>
                </c:pt>
                <c:pt idx="1">
                  <c:v>4800</c:v>
                </c:pt>
                <c:pt idx="2">
                  <c:v>549</c:v>
                </c:pt>
                <c:pt idx="3">
                  <c:v>10949</c:v>
                </c:pt>
                <c:pt idx="4">
                  <c:v>4800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275E-4404-8F00-717F7FD633E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874991407"/>
        <c:axId val="1875008879"/>
      </c:barChart>
      <c:catAx>
        <c:axId val="1874991407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700" b="1" i="0" u="none" strike="noStrike" kern="1200" baseline="0">
                <a:solidFill>
                  <a:srgbClr val="002060"/>
                </a:solidFill>
                <a:latin typeface="Arial Nova" panose="020B0504020202020204" pitchFamily="34" charset="0"/>
                <a:ea typeface="+mn-ea"/>
                <a:cs typeface="+mn-cs"/>
              </a:defRPr>
            </a:pPr>
            <a:endParaRPr lang="fr-FR"/>
          </a:p>
        </c:txPr>
        <c:crossAx val="1875008879"/>
        <c:crosses val="autoZero"/>
        <c:auto val="1"/>
        <c:lblAlgn val="ctr"/>
        <c:lblOffset val="100"/>
        <c:noMultiLvlLbl val="0"/>
      </c:catAx>
      <c:valAx>
        <c:axId val="1875008879"/>
        <c:scaling>
          <c:orientation val="minMax"/>
        </c:scaling>
        <c:delete val="1"/>
        <c:axPos val="l"/>
        <c:numFmt formatCode="#\ ##0.00\ [$DH-380C]" sourceLinked="1"/>
        <c:majorTickMark val="none"/>
        <c:minorTickMark val="none"/>
        <c:tickLblPos val="nextTo"/>
        <c:crossAx val="1874991407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1.0416154628070337E-2"/>
          <c:y val="1.9096577885138726E-2"/>
          <c:w val="0.62734877793455002"/>
          <c:h val="0.13898893073148466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700" b="1" i="0" u="none" strike="noStrike" kern="1200" baseline="0">
              <a:solidFill>
                <a:srgbClr val="002060"/>
              </a:solidFill>
              <a:latin typeface="Arial Nova" panose="020B0504020202020204" pitchFamily="34" charset="0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3.0555555555555555E-2"/>
          <c:y val="2.318840579710145E-2"/>
          <c:w val="0.93888888888888888"/>
          <c:h val="0.76581718589524128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TdB!$L$38</c:f>
              <c:strCache>
                <c:ptCount val="1"/>
                <c:pt idx="0">
                  <c:v>SORTIE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TdB!$I$39:$I$44</c:f>
              <c:strCache>
                <c:ptCount val="6"/>
                <c:pt idx="0">
                  <c:v>AGM2</c:v>
                </c:pt>
                <c:pt idx="1">
                  <c:v>AGM3</c:v>
                </c:pt>
                <c:pt idx="2">
                  <c:v>AGM4</c:v>
                </c:pt>
                <c:pt idx="3">
                  <c:v>AGM7</c:v>
                </c:pt>
                <c:pt idx="4">
                  <c:v>DAGM2</c:v>
                </c:pt>
                <c:pt idx="5">
                  <c:v>(vide)</c:v>
                </c:pt>
              </c:strCache>
            </c:strRef>
          </c:cat>
          <c:val>
            <c:numRef>
              <c:f>TdB!$L$39:$L$44</c:f>
              <c:numCache>
                <c:formatCode>#\ ##0.00\ [$DH-380C]</c:formatCode>
                <c:ptCount val="6"/>
                <c:pt idx="0">
                  <c:v>549</c:v>
                </c:pt>
                <c:pt idx="1">
                  <c:v>5600</c:v>
                </c:pt>
                <c:pt idx="2">
                  <c:v>5349</c:v>
                </c:pt>
                <c:pt idx="3">
                  <c:v>10149</c:v>
                </c:pt>
                <c:pt idx="4">
                  <c:v>4800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0A8-4B43-AF53-9DEEC579DF1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875022607"/>
        <c:axId val="1875017199"/>
      </c:barChart>
      <c:catAx>
        <c:axId val="1875022607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accent5">
                    <a:lumMod val="50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75017199"/>
        <c:crosses val="autoZero"/>
        <c:auto val="1"/>
        <c:lblAlgn val="ctr"/>
        <c:lblOffset val="100"/>
        <c:noMultiLvlLbl val="0"/>
      </c:catAx>
      <c:valAx>
        <c:axId val="1875017199"/>
        <c:scaling>
          <c:orientation val="minMax"/>
        </c:scaling>
        <c:delete val="1"/>
        <c:axPos val="l"/>
        <c:numFmt formatCode="#\ ##0.00\ [$DH-380C]" sourceLinked="1"/>
        <c:majorTickMark val="none"/>
        <c:minorTickMark val="none"/>
        <c:tickLblPos val="nextTo"/>
        <c:crossAx val="1875022607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4.2145593869731802E-2"/>
          <c:y val="0.12535612535612536"/>
          <c:w val="0.91570881226053635"/>
          <c:h val="0.83937994930120907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TdB!$B$30</c:f>
              <c:strCache>
                <c:ptCount val="1"/>
                <c:pt idx="0">
                  <c:v>ENTREE</c:v>
                </c:pt>
              </c:strCache>
            </c:strRef>
          </c:tx>
          <c:spPr>
            <a:solidFill>
              <a:srgbClr val="00B050"/>
            </a:solidFill>
            <a:ln>
              <a:noFill/>
            </a:ln>
            <a:effectLst/>
            <a:scene3d>
              <a:camera prst="orthographicFront"/>
              <a:lightRig rig="threePt" dir="t"/>
            </a:scene3d>
            <a:sp3d prstMaterial="matte">
              <a:bevelT w="63500" h="63500" prst="artDeco"/>
              <a:contourClr>
                <a:srgbClr val="000000"/>
              </a:contourClr>
            </a:sp3d>
          </c:spPr>
          <c:invertIfNegative val="0"/>
          <c:cat>
            <c:strRef>
              <c:f>TdB!$A$31:$A$36</c:f>
              <c:strCache>
                <c:ptCount val="6"/>
                <c:pt idx="0">
                  <c:v>CHASSIS</c:v>
                </c:pt>
                <c:pt idx="1">
                  <c:v>LUBRIFIANT</c:v>
                </c:pt>
                <c:pt idx="2">
                  <c:v>PNEUMATIQUE</c:v>
                </c:pt>
                <c:pt idx="3">
                  <c:v>EQUIPEMENT</c:v>
                </c:pt>
                <c:pt idx="4">
                  <c:v>0</c:v>
                </c:pt>
                <c:pt idx="5">
                  <c:v>0</c:v>
                </c:pt>
              </c:strCache>
            </c:strRef>
          </c:cat>
          <c:val>
            <c:numRef>
              <c:f>TdB!$B$31:$B$36</c:f>
              <c:numCache>
                <c:formatCode>#\ ##0.00\ [$DH-380C]</c:formatCode>
                <c:ptCount val="6"/>
                <c:pt idx="0">
                  <c:v>5030</c:v>
                </c:pt>
                <c:pt idx="1">
                  <c:v>29865.599999999999</c:v>
                </c:pt>
                <c:pt idx="2">
                  <c:v>24000</c:v>
                </c:pt>
                <c:pt idx="3">
                  <c:v>22400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20D-4942-B948-E9C02F7DA59E}"/>
            </c:ext>
          </c:extLst>
        </c:ser>
        <c:ser>
          <c:idx val="2"/>
          <c:order val="2"/>
          <c:tx>
            <c:strRef>
              <c:f>TdB!$D$30</c:f>
              <c:strCache>
                <c:ptCount val="1"/>
                <c:pt idx="0">
                  <c:v>SORTIE</c:v>
                </c:pt>
              </c:strCache>
            </c:strRef>
          </c:tx>
          <c:spPr>
            <a:solidFill>
              <a:srgbClr val="FF0000"/>
            </a:solidFill>
            <a:ln>
              <a:noFill/>
            </a:ln>
            <a:effectLst/>
            <a:scene3d>
              <a:camera prst="orthographicFront"/>
              <a:lightRig rig="threePt" dir="t"/>
            </a:scene3d>
            <a:sp3d prstMaterial="matte">
              <a:bevelT w="63500" h="63500" prst="artDeco"/>
              <a:contourClr>
                <a:srgbClr val="000000"/>
              </a:contourClr>
            </a:sp3d>
          </c:spPr>
          <c:invertIfNegative val="0"/>
          <c:cat>
            <c:strRef>
              <c:f>TdB!$A$31:$A$36</c:f>
              <c:strCache>
                <c:ptCount val="6"/>
                <c:pt idx="0">
                  <c:v>CHASSIS</c:v>
                </c:pt>
                <c:pt idx="1">
                  <c:v>LUBRIFIANT</c:v>
                </c:pt>
                <c:pt idx="2">
                  <c:v>PNEUMATIQUE</c:v>
                </c:pt>
                <c:pt idx="3">
                  <c:v>EQUIPEMENT</c:v>
                </c:pt>
                <c:pt idx="4">
                  <c:v>0</c:v>
                </c:pt>
                <c:pt idx="5">
                  <c:v>0</c:v>
                </c:pt>
              </c:strCache>
            </c:strRef>
          </c:cat>
          <c:val>
            <c:numRef>
              <c:f>TdB!$D$31:$D$36</c:f>
              <c:numCache>
                <c:formatCode>#\ ##0.00\ [$DH-380C]</c:formatCode>
                <c:ptCount val="6"/>
                <c:pt idx="0">
                  <c:v>4800</c:v>
                </c:pt>
                <c:pt idx="1">
                  <c:v>1647</c:v>
                </c:pt>
                <c:pt idx="2">
                  <c:v>14400</c:v>
                </c:pt>
                <c:pt idx="3">
                  <c:v>5600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320D-4942-B948-E9C02F7DA59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axId val="1931876719"/>
        <c:axId val="1931877551"/>
      </c:barChart>
      <c:lineChart>
        <c:grouping val="standard"/>
        <c:varyColors val="0"/>
        <c:ser>
          <c:idx val="1"/>
          <c:order val="1"/>
          <c:tx>
            <c:strRef>
              <c:f>TdB!$C$30</c:f>
              <c:strCache>
                <c:ptCount val="1"/>
                <c:pt idx="0">
                  <c:v>INVENTAIRE</c:v>
                </c:pt>
              </c:strCache>
            </c:strRef>
          </c:tx>
          <c:spPr>
            <a:ln w="28575" cap="rnd">
              <a:solidFill>
                <a:srgbClr val="0070C0"/>
              </a:solidFill>
              <a:round/>
            </a:ln>
            <a:effectLst/>
          </c:spPr>
          <c:marker>
            <c:symbol val="triangle"/>
            <c:size val="7"/>
            <c:spPr>
              <a:solidFill>
                <a:srgbClr val="0070C0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strRef>
              <c:f>TdB!$A$31:$A$36</c:f>
              <c:strCache>
                <c:ptCount val="6"/>
                <c:pt idx="0">
                  <c:v>CHASSIS</c:v>
                </c:pt>
                <c:pt idx="1">
                  <c:v>LUBRIFIANT</c:v>
                </c:pt>
                <c:pt idx="2">
                  <c:v>PNEUMATIQUE</c:v>
                </c:pt>
                <c:pt idx="3">
                  <c:v>EQUIPEMENT</c:v>
                </c:pt>
                <c:pt idx="4">
                  <c:v>0</c:v>
                </c:pt>
                <c:pt idx="5">
                  <c:v>0</c:v>
                </c:pt>
              </c:strCache>
            </c:strRef>
          </c:cat>
          <c:val>
            <c:numRef>
              <c:f>TdB!$C$31:$C$36</c:f>
              <c:numCache>
                <c:formatCode>#\ ##0.00\ [$DH-380C]</c:formatCode>
                <c:ptCount val="6"/>
                <c:pt idx="0">
                  <c:v>0</c:v>
                </c:pt>
                <c:pt idx="1">
                  <c:v>2196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1-320D-4942-B948-E9C02F7DA59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931876719"/>
        <c:axId val="1931877551"/>
      </c:lineChart>
      <c:catAx>
        <c:axId val="193187671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600" b="1" i="0" u="none" strike="noStrike" kern="1200" baseline="0">
                <a:solidFill>
                  <a:srgbClr val="00206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31877551"/>
        <c:crosses val="autoZero"/>
        <c:auto val="1"/>
        <c:lblAlgn val="ctr"/>
        <c:lblOffset val="100"/>
        <c:noMultiLvlLbl val="0"/>
      </c:catAx>
      <c:valAx>
        <c:axId val="1931877551"/>
        <c:scaling>
          <c:orientation val="minMax"/>
        </c:scaling>
        <c:delete val="1"/>
        <c:axPos val="l"/>
        <c:numFmt formatCode="#\ ##0.00\ [$DH-380C]" sourceLinked="1"/>
        <c:majorTickMark val="none"/>
        <c:minorTickMark val="none"/>
        <c:tickLblPos val="nextTo"/>
        <c:crossAx val="1931876719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8.3015054152713545E-3"/>
          <c:y val="2.6103147362989843E-2"/>
          <c:w val="0.69220924970585573"/>
          <c:h val="0.16478004352020101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700" b="1" i="0" u="none" strike="noStrike" kern="1200" baseline="0">
              <a:solidFill>
                <a:srgbClr val="002060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2.8842999316811134E-2"/>
          <c:y val="5.0925925925925923E-2"/>
          <c:w val="0.94231400136637777"/>
          <c:h val="0.88169728783902013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TdB!$B$38</c:f>
              <c:strCache>
                <c:ptCount val="1"/>
                <c:pt idx="0">
                  <c:v>ENTREE</c:v>
                </c:pt>
              </c:strCache>
            </c:strRef>
          </c:tx>
          <c:spPr>
            <a:solidFill>
              <a:srgbClr val="00B050"/>
            </a:solidFill>
            <a:ln>
              <a:noFill/>
            </a:ln>
            <a:effectLst/>
          </c:spPr>
          <c:invertIfNegative val="0"/>
          <c:cat>
            <c:strRef>
              <c:f>TdB!$A$39:$A$41</c:f>
              <c:strCache>
                <c:ptCount val="3"/>
                <c:pt idx="0">
                  <c:v>SRV1</c:v>
                </c:pt>
                <c:pt idx="1">
                  <c:v>SRV2</c:v>
                </c:pt>
                <c:pt idx="2">
                  <c:v>SRV3</c:v>
                </c:pt>
              </c:strCache>
            </c:strRef>
          </c:cat>
          <c:val>
            <c:numRef>
              <c:f>TdB!$B$39:$B$41</c:f>
              <c:numCache>
                <c:formatCode>#\ ##0.00\ [$DH-380C]</c:formatCode>
                <c:ptCount val="3"/>
                <c:pt idx="0">
                  <c:v>31226</c:v>
                </c:pt>
                <c:pt idx="1">
                  <c:v>50069.600000000013</c:v>
                </c:pt>
                <c:pt idx="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0CC-4E30-A8CE-E0E22F11B72E}"/>
            </c:ext>
          </c:extLst>
        </c:ser>
        <c:ser>
          <c:idx val="1"/>
          <c:order val="1"/>
          <c:tx>
            <c:strRef>
              <c:f>TdB!$C$38</c:f>
              <c:strCache>
                <c:ptCount val="1"/>
                <c:pt idx="0">
                  <c:v>INVENTAIRE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TdB!$A$39:$A$41</c:f>
              <c:strCache>
                <c:ptCount val="3"/>
                <c:pt idx="0">
                  <c:v>SRV1</c:v>
                </c:pt>
                <c:pt idx="1">
                  <c:v>SRV2</c:v>
                </c:pt>
                <c:pt idx="2">
                  <c:v>SRV3</c:v>
                </c:pt>
              </c:strCache>
            </c:strRef>
          </c:cat>
          <c:val>
            <c:numRef>
              <c:f>TdB!$C$39:$C$41</c:f>
              <c:numCache>
                <c:formatCode>#\ ##0.00\ [$DH-380C]</c:formatCode>
                <c:ptCount val="3"/>
                <c:pt idx="0">
                  <c:v>0</c:v>
                </c:pt>
                <c:pt idx="1">
                  <c:v>0</c:v>
                </c:pt>
                <c:pt idx="2">
                  <c:v>2196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D0CC-4E30-A8CE-E0E22F11B72E}"/>
            </c:ext>
          </c:extLst>
        </c:ser>
        <c:ser>
          <c:idx val="2"/>
          <c:order val="2"/>
          <c:tx>
            <c:strRef>
              <c:f>TdB!$D$38</c:f>
              <c:strCache>
                <c:ptCount val="1"/>
                <c:pt idx="0">
                  <c:v>SORTIE</c:v>
                </c:pt>
              </c:strCache>
            </c:strRef>
          </c:tx>
          <c:spPr>
            <a:solidFill>
              <a:srgbClr val="FF0000"/>
            </a:solidFill>
            <a:ln>
              <a:noFill/>
            </a:ln>
            <a:effectLst/>
          </c:spPr>
          <c:invertIfNegative val="0"/>
          <c:cat>
            <c:strRef>
              <c:f>TdB!$A$39:$A$41</c:f>
              <c:strCache>
                <c:ptCount val="3"/>
                <c:pt idx="0">
                  <c:v>SRV1</c:v>
                </c:pt>
                <c:pt idx="1">
                  <c:v>SRV2</c:v>
                </c:pt>
                <c:pt idx="2">
                  <c:v>SRV3</c:v>
                </c:pt>
              </c:strCache>
            </c:strRef>
          </c:cat>
          <c:val>
            <c:numRef>
              <c:f>TdB!$D$39:$D$41</c:f>
              <c:numCache>
                <c:formatCode>#\ ##0.00\ [$DH-380C]</c:formatCode>
                <c:ptCount val="3"/>
                <c:pt idx="0">
                  <c:v>14400</c:v>
                </c:pt>
                <c:pt idx="1">
                  <c:v>12047</c:v>
                </c:pt>
                <c:pt idx="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D0CC-4E30-A8CE-E0E22F11B72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952949855"/>
        <c:axId val="1952942783"/>
      </c:barChart>
      <c:catAx>
        <c:axId val="1952949855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700" b="1" i="0" u="none" strike="noStrike" kern="1200" baseline="0">
                <a:solidFill>
                  <a:srgbClr val="002060"/>
                </a:solidFill>
                <a:latin typeface="Arial Nova" panose="020B0504020202020204" pitchFamily="34" charset="0"/>
                <a:ea typeface="+mn-ea"/>
                <a:cs typeface="+mn-cs"/>
              </a:defRPr>
            </a:pPr>
            <a:endParaRPr lang="fr-FR"/>
          </a:p>
        </c:txPr>
        <c:crossAx val="1952942783"/>
        <c:crosses val="autoZero"/>
        <c:auto val="1"/>
        <c:lblAlgn val="ctr"/>
        <c:lblOffset val="100"/>
        <c:noMultiLvlLbl val="0"/>
      </c:catAx>
      <c:valAx>
        <c:axId val="1952942783"/>
        <c:scaling>
          <c:orientation val="minMax"/>
        </c:scaling>
        <c:delete val="1"/>
        <c:axPos val="l"/>
        <c:numFmt formatCode="#\ ##0.00\ [$DH-380C]" sourceLinked="1"/>
        <c:majorTickMark val="none"/>
        <c:minorTickMark val="none"/>
        <c:tickLblPos val="nextTo"/>
        <c:crossAx val="1952949855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2.010712506670884E-2"/>
          <c:y val="0.12481310525839442"/>
          <c:w val="0.52508666966375195"/>
          <c:h val="0.1653489003529731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700" b="1" i="0" u="none" strike="noStrike" kern="1200" baseline="0">
              <a:solidFill>
                <a:srgbClr val="002060"/>
              </a:solidFill>
              <a:latin typeface="Arial Nova" panose="020B0504020202020204" pitchFamily="34" charset="0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2.5413959177432919E-2"/>
          <c:y val="1.8518518518518517E-2"/>
          <c:w val="0.95761350219572072"/>
          <c:h val="0.82465223097112861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TdB!$B$22</c:f>
              <c:strCache>
                <c:ptCount val="1"/>
                <c:pt idx="0">
                  <c:v>ENTREE</c:v>
                </c:pt>
              </c:strCache>
            </c:strRef>
          </c:tx>
          <c:spPr>
            <a:solidFill>
              <a:srgbClr val="00B050"/>
            </a:solidFill>
            <a:ln>
              <a:noFill/>
            </a:ln>
            <a:effectLst/>
          </c:spPr>
          <c:invertIfNegative val="0"/>
          <c:cat>
            <c:strRef>
              <c:f>TdB!$A$23:$A$28</c:f>
              <c:strCache>
                <c:ptCount val="6"/>
                <c:pt idx="0">
                  <c:v>STOCK</c:v>
                </c:pt>
                <c:pt idx="1">
                  <c:v>MRQ3</c:v>
                </c:pt>
                <c:pt idx="2">
                  <c:v>MRQ2</c:v>
                </c:pt>
                <c:pt idx="3">
                  <c:v>MRQ5</c:v>
                </c:pt>
                <c:pt idx="4">
                  <c:v>MRQ6</c:v>
                </c:pt>
                <c:pt idx="5">
                  <c:v>MRQ1</c:v>
                </c:pt>
              </c:strCache>
            </c:strRef>
          </c:cat>
          <c:val>
            <c:numRef>
              <c:f>TdB!$B$23:$B$28</c:f>
              <c:numCache>
                <c:formatCode>#\ ##0.00\ [$DH-380C]</c:formatCode>
                <c:ptCount val="6"/>
                <c:pt idx="0">
                  <c:v>81295.600000000006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F3D-4803-AB93-41F1AC9E76B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axId val="1417682704"/>
        <c:axId val="1417686864"/>
      </c:barChart>
      <c:barChart>
        <c:barDir val="col"/>
        <c:grouping val="clustered"/>
        <c:varyColors val="0"/>
        <c:ser>
          <c:idx val="2"/>
          <c:order val="2"/>
          <c:tx>
            <c:strRef>
              <c:f>TdB!$D$22</c:f>
              <c:strCache>
                <c:ptCount val="1"/>
                <c:pt idx="0">
                  <c:v>SORTIE</c:v>
                </c:pt>
              </c:strCache>
            </c:strRef>
          </c:tx>
          <c:spPr>
            <a:solidFill>
              <a:srgbClr val="FF0000"/>
            </a:solidFill>
            <a:ln>
              <a:noFill/>
            </a:ln>
            <a:effectLst/>
            <a:scene3d>
              <a:camera prst="orthographicFront"/>
              <a:lightRig rig="threePt" dir="t"/>
            </a:scene3d>
            <a:sp3d>
              <a:bevelT w="190500" h="38100"/>
            </a:sp3d>
          </c:spPr>
          <c:invertIfNegative val="0"/>
          <c:cat>
            <c:strRef>
              <c:f>TdB!$A$23:$A$28</c:f>
              <c:strCache>
                <c:ptCount val="6"/>
                <c:pt idx="0">
                  <c:v>STOCK</c:v>
                </c:pt>
                <c:pt idx="1">
                  <c:v>MRQ3</c:v>
                </c:pt>
                <c:pt idx="2">
                  <c:v>MRQ2</c:v>
                </c:pt>
                <c:pt idx="3">
                  <c:v>MRQ5</c:v>
                </c:pt>
                <c:pt idx="4">
                  <c:v>MRQ6</c:v>
                </c:pt>
                <c:pt idx="5">
                  <c:v>MRQ1</c:v>
                </c:pt>
              </c:strCache>
            </c:strRef>
          </c:cat>
          <c:val>
            <c:numRef>
              <c:f>TdB!$D$23:$D$28</c:f>
              <c:numCache>
                <c:formatCode>#\ ##0.00\ [$DH-380C]</c:formatCode>
                <c:ptCount val="6"/>
                <c:pt idx="0">
                  <c:v>0</c:v>
                </c:pt>
                <c:pt idx="1">
                  <c:v>274.5</c:v>
                </c:pt>
                <c:pt idx="2">
                  <c:v>5623.5</c:v>
                </c:pt>
                <c:pt idx="3">
                  <c:v>4800</c:v>
                </c:pt>
                <c:pt idx="4">
                  <c:v>4800</c:v>
                </c:pt>
                <c:pt idx="5">
                  <c:v>10400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5F3D-4803-AB93-41F1AC9E76B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axId val="1455097648"/>
        <c:axId val="1455094736"/>
      </c:barChart>
      <c:lineChart>
        <c:grouping val="standard"/>
        <c:varyColors val="0"/>
        <c:ser>
          <c:idx val="1"/>
          <c:order val="1"/>
          <c:tx>
            <c:strRef>
              <c:f>TdB!$C$22</c:f>
              <c:strCache>
                <c:ptCount val="1"/>
                <c:pt idx="0">
                  <c:v>INVENTAIRE</c:v>
                </c:pt>
              </c:strCache>
            </c:strRef>
          </c:tx>
          <c:spPr>
            <a:ln w="28575" cap="rnd">
              <a:solidFill>
                <a:srgbClr val="0070C0"/>
              </a:solidFill>
              <a:round/>
            </a:ln>
            <a:effectLst/>
          </c:spPr>
          <c:marker>
            <c:symbol val="triangle"/>
            <c:size val="8"/>
            <c:spPr>
              <a:solidFill>
                <a:srgbClr val="0070C0"/>
              </a:solidFill>
              <a:ln w="9525">
                <a:solidFill>
                  <a:srgbClr val="0070C0"/>
                </a:solidFill>
              </a:ln>
              <a:effectLst/>
            </c:spPr>
          </c:marker>
          <c:cat>
            <c:strRef>
              <c:f>TdB!$A$23:$A$28</c:f>
              <c:strCache>
                <c:ptCount val="6"/>
                <c:pt idx="0">
                  <c:v>STOCK</c:v>
                </c:pt>
                <c:pt idx="1">
                  <c:v>MRQ3</c:v>
                </c:pt>
                <c:pt idx="2">
                  <c:v>MRQ2</c:v>
                </c:pt>
                <c:pt idx="3">
                  <c:v>MRQ5</c:v>
                </c:pt>
                <c:pt idx="4">
                  <c:v>MRQ6</c:v>
                </c:pt>
                <c:pt idx="5">
                  <c:v>MRQ1</c:v>
                </c:pt>
              </c:strCache>
            </c:strRef>
          </c:cat>
          <c:val>
            <c:numRef>
              <c:f>TdB!$C$23:$C$28</c:f>
              <c:numCache>
                <c:formatCode>#\ ##0.00\ [$DH-380C]</c:formatCode>
                <c:ptCount val="6"/>
                <c:pt idx="0">
                  <c:v>2196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5F3D-4803-AB93-41F1AC9E76B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455097648"/>
        <c:axId val="1455094736"/>
      </c:lineChart>
      <c:catAx>
        <c:axId val="141768270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rgbClr val="0070C0"/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700" b="1" i="0" u="none" strike="noStrike" kern="1200" baseline="0">
                <a:solidFill>
                  <a:srgbClr val="00206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17686864"/>
        <c:crosses val="autoZero"/>
        <c:auto val="1"/>
        <c:lblAlgn val="ctr"/>
        <c:lblOffset val="100"/>
        <c:noMultiLvlLbl val="0"/>
      </c:catAx>
      <c:valAx>
        <c:axId val="1417686864"/>
        <c:scaling>
          <c:orientation val="minMax"/>
        </c:scaling>
        <c:delete val="1"/>
        <c:axPos val="l"/>
        <c:numFmt formatCode="#\ ##0.00\ [$DH-380C]" sourceLinked="1"/>
        <c:majorTickMark val="out"/>
        <c:minorTickMark val="none"/>
        <c:tickLblPos val="nextTo"/>
        <c:crossAx val="1417682704"/>
        <c:crosses val="autoZero"/>
        <c:crossBetween val="between"/>
      </c:valAx>
      <c:valAx>
        <c:axId val="1455094736"/>
        <c:scaling>
          <c:orientation val="minMax"/>
        </c:scaling>
        <c:delete val="1"/>
        <c:axPos val="r"/>
        <c:numFmt formatCode="#\ ##0.00\ [$DH-380C]" sourceLinked="1"/>
        <c:majorTickMark val="out"/>
        <c:minorTickMark val="none"/>
        <c:tickLblPos val="nextTo"/>
        <c:crossAx val="1455097648"/>
        <c:crosses val="max"/>
        <c:crossBetween val="between"/>
      </c:valAx>
      <c:catAx>
        <c:axId val="1455097648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1455094736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5.9404224957317195E-3"/>
          <c:y val="4.0637603226426526E-3"/>
          <c:w val="0.7651807685888975"/>
          <c:h val="0.15593880033288521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700" b="1" i="0" u="none" strike="noStrike" kern="1200" baseline="0">
              <a:solidFill>
                <a:srgbClr val="002060"/>
              </a:solidFill>
              <a:latin typeface="Arial Nova" panose="020B0504020202020204" pitchFamily="34" charset="0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4.2328035915505123E-2"/>
          <c:y val="3.0769230769230771E-2"/>
          <c:w val="0.93843194775926531"/>
          <c:h val="0.78258186957399556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TdB!$J$22</c:f>
              <c:strCache>
                <c:ptCount val="1"/>
                <c:pt idx="0">
                  <c:v>ENTREE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TdB!$I$23:$I$28</c:f>
              <c:strCache>
                <c:ptCount val="6"/>
                <c:pt idx="0">
                  <c:v>CAT1</c:v>
                </c:pt>
                <c:pt idx="1">
                  <c:v>CAT2</c:v>
                </c:pt>
                <c:pt idx="2">
                  <c:v>STOCK</c:v>
                </c:pt>
                <c:pt idx="3">
                  <c:v>CAT3</c:v>
                </c:pt>
                <c:pt idx="4">
                  <c:v>CAT4</c:v>
                </c:pt>
                <c:pt idx="5">
                  <c:v>CAT5</c:v>
                </c:pt>
              </c:strCache>
            </c:strRef>
          </c:cat>
          <c:val>
            <c:numRef>
              <c:f>TdB!$J$23:$J$28</c:f>
              <c:numCache>
                <c:formatCode>#\ ##0.00\ [$DH-380C]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514-47F9-945B-44152B0526F5}"/>
            </c:ext>
          </c:extLst>
        </c:ser>
        <c:ser>
          <c:idx val="2"/>
          <c:order val="2"/>
          <c:tx>
            <c:strRef>
              <c:f>TdB!$L$22</c:f>
              <c:strCache>
                <c:ptCount val="1"/>
                <c:pt idx="0">
                  <c:v>SORTIE</c:v>
                </c:pt>
              </c:strCache>
            </c:strRef>
          </c:tx>
          <c:spPr>
            <a:solidFill>
              <a:srgbClr val="FF0000"/>
            </a:solidFill>
            <a:ln>
              <a:noFill/>
            </a:ln>
            <a:effectLst/>
            <a:scene3d>
              <a:camera prst="orthographicFront"/>
              <a:lightRig rig="threePt" dir="t"/>
            </a:scene3d>
            <a:sp3d prstMaterial="matte">
              <a:bevelT w="63500" h="63500" prst="artDeco"/>
              <a:contourClr>
                <a:srgbClr val="000000"/>
              </a:contourClr>
            </a:sp3d>
          </c:spPr>
          <c:invertIfNegative val="0"/>
          <c:cat>
            <c:strRef>
              <c:f>TdB!$I$23:$I$28</c:f>
              <c:strCache>
                <c:ptCount val="6"/>
                <c:pt idx="0">
                  <c:v>CAT1</c:v>
                </c:pt>
                <c:pt idx="1">
                  <c:v>CAT2</c:v>
                </c:pt>
                <c:pt idx="2">
                  <c:v>STOCK</c:v>
                </c:pt>
                <c:pt idx="3">
                  <c:v>CAT3</c:v>
                </c:pt>
                <c:pt idx="4">
                  <c:v>CAT4</c:v>
                </c:pt>
                <c:pt idx="5">
                  <c:v>CAT5</c:v>
                </c:pt>
              </c:strCache>
            </c:strRef>
          </c:cat>
          <c:val>
            <c:numRef>
              <c:f>TdB!$L$23:$L$28</c:f>
              <c:numCache>
                <c:formatCode>#\ ##0.00\ [$DH-380C]</c:formatCode>
                <c:ptCount val="6"/>
                <c:pt idx="0">
                  <c:v>10400</c:v>
                </c:pt>
                <c:pt idx="1">
                  <c:v>10423.5</c:v>
                </c:pt>
                <c:pt idx="2">
                  <c:v>0</c:v>
                </c:pt>
                <c:pt idx="3">
                  <c:v>549</c:v>
                </c:pt>
                <c:pt idx="4">
                  <c:v>274.5</c:v>
                </c:pt>
                <c:pt idx="5">
                  <c:v>4800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5514-47F9-945B-44152B0526F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axId val="796153712"/>
        <c:axId val="796152880"/>
      </c:barChart>
      <c:lineChart>
        <c:grouping val="standard"/>
        <c:varyColors val="0"/>
        <c:ser>
          <c:idx val="1"/>
          <c:order val="1"/>
          <c:tx>
            <c:strRef>
              <c:f>TdB!$K$22</c:f>
              <c:strCache>
                <c:ptCount val="1"/>
                <c:pt idx="0">
                  <c:v>INVENTAIRE</c:v>
                </c:pt>
              </c:strCache>
            </c:strRef>
          </c:tx>
          <c:spPr>
            <a:ln w="28575" cap="rnd">
              <a:solidFill>
                <a:srgbClr val="0070C0"/>
              </a:solidFill>
              <a:round/>
            </a:ln>
            <a:effectLst/>
          </c:spPr>
          <c:marker>
            <c:symbol val="triangle"/>
            <c:size val="7"/>
            <c:spPr>
              <a:solidFill>
                <a:srgbClr val="0070C0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strRef>
              <c:f>TdB!$I$23:$I$28</c:f>
              <c:strCache>
                <c:ptCount val="6"/>
                <c:pt idx="0">
                  <c:v>CAT1</c:v>
                </c:pt>
                <c:pt idx="1">
                  <c:v>CAT2</c:v>
                </c:pt>
                <c:pt idx="2">
                  <c:v>STOCK</c:v>
                </c:pt>
                <c:pt idx="3">
                  <c:v>CAT3</c:v>
                </c:pt>
                <c:pt idx="4">
                  <c:v>CAT4</c:v>
                </c:pt>
                <c:pt idx="5">
                  <c:v>CAT5</c:v>
                </c:pt>
              </c:strCache>
            </c:strRef>
          </c:cat>
          <c:val>
            <c:numRef>
              <c:f>TdB!$K$23:$K$28</c:f>
              <c:numCache>
                <c:formatCode>#\ ##0.00\ [$DH-380C]</c:formatCode>
                <c:ptCount val="6"/>
                <c:pt idx="0">
                  <c:v>0</c:v>
                </c:pt>
                <c:pt idx="1">
                  <c:v>0</c:v>
                </c:pt>
                <c:pt idx="2">
                  <c:v>2196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5514-47F9-945B-44152B0526F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796153712"/>
        <c:axId val="796152880"/>
      </c:lineChart>
      <c:catAx>
        <c:axId val="79615371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700" b="1" i="0" u="none" strike="noStrike" kern="1200" baseline="0">
                <a:solidFill>
                  <a:srgbClr val="002060"/>
                </a:solidFill>
                <a:latin typeface="Arial Nova" panose="020B0504020202020204" pitchFamily="34" charset="0"/>
                <a:ea typeface="+mn-ea"/>
                <a:cs typeface="+mn-cs"/>
              </a:defRPr>
            </a:pPr>
            <a:endParaRPr lang="fr-FR"/>
          </a:p>
        </c:txPr>
        <c:crossAx val="796152880"/>
        <c:crosses val="autoZero"/>
        <c:auto val="1"/>
        <c:lblAlgn val="ctr"/>
        <c:lblOffset val="100"/>
        <c:noMultiLvlLbl val="0"/>
      </c:catAx>
      <c:valAx>
        <c:axId val="796152880"/>
        <c:scaling>
          <c:orientation val="minMax"/>
        </c:scaling>
        <c:delete val="1"/>
        <c:axPos val="l"/>
        <c:numFmt formatCode="#\ ##0.00\ [$DH-380C]" sourceLinked="1"/>
        <c:majorTickMark val="none"/>
        <c:minorTickMark val="none"/>
        <c:tickLblPos val="nextTo"/>
        <c:crossAx val="79615371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1.323410130792722E-2"/>
          <c:y val="6.4090450232183044E-3"/>
          <c:w val="0.78882764066194144"/>
          <c:h val="0.17307813446396125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700" b="1" i="0" u="none" strike="noStrike" kern="1200" baseline="0">
              <a:solidFill>
                <a:srgbClr val="002060"/>
              </a:solidFill>
              <a:latin typeface="Arial Nova" panose="020B0504020202020204" pitchFamily="34" charset="0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3.8394415357766144E-2"/>
          <c:y val="9.1097308488612833E-2"/>
          <c:w val="0.92321116928446767"/>
          <c:h val="0.66096281443080485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TdB!$J$30</c:f>
              <c:strCache>
                <c:ptCount val="1"/>
                <c:pt idx="0">
                  <c:v>ENTREE</c:v>
                </c:pt>
              </c:strCache>
            </c:strRef>
          </c:tx>
          <c:spPr>
            <a:solidFill>
              <a:srgbClr val="FF0000"/>
            </a:solidFill>
            <a:ln>
              <a:noFill/>
            </a:ln>
            <a:effectLst/>
            <a:scene3d>
              <a:camera prst="orthographicFront"/>
              <a:lightRig rig="threePt" dir="t"/>
            </a:scene3d>
            <a:sp3d prstMaterial="matte">
              <a:bevelT w="63500" h="63500" prst="artDeco"/>
              <a:contourClr>
                <a:srgbClr val="000000"/>
              </a:contourClr>
            </a:sp3d>
          </c:spPr>
          <c:invertIfNegative val="0"/>
          <c:cat>
            <c:strRef>
              <c:f>TdB!$I$31:$I$34</c:f>
              <c:strCache>
                <c:ptCount val="4"/>
                <c:pt idx="0">
                  <c:v>BOITE A VITESSE</c:v>
                </c:pt>
                <c:pt idx="1">
                  <c:v>MOTEUR</c:v>
                </c:pt>
                <c:pt idx="2">
                  <c:v>PNEU/JANTE</c:v>
                </c:pt>
                <c:pt idx="3">
                  <c:v>POMPE</c:v>
                </c:pt>
              </c:strCache>
            </c:strRef>
          </c:cat>
          <c:val>
            <c:numRef>
              <c:f>TdB!$J$31:$J$34</c:f>
              <c:numCache>
                <c:formatCode>#\ ##0.00\ [$DH-380C]</c:formatCode>
                <c:ptCount val="4"/>
                <c:pt idx="0">
                  <c:v>4800</c:v>
                </c:pt>
                <c:pt idx="1">
                  <c:v>30095.599999999999</c:v>
                </c:pt>
                <c:pt idx="2">
                  <c:v>24000</c:v>
                </c:pt>
                <c:pt idx="3">
                  <c:v>22400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A90-4042-82FA-EE23430C0F54}"/>
            </c:ext>
          </c:extLst>
        </c:ser>
        <c:ser>
          <c:idx val="2"/>
          <c:order val="2"/>
          <c:tx>
            <c:strRef>
              <c:f>TdB!$L$30</c:f>
              <c:strCache>
                <c:ptCount val="1"/>
                <c:pt idx="0">
                  <c:v>SORTIE</c:v>
                </c:pt>
              </c:strCache>
            </c:strRef>
          </c:tx>
          <c:spPr>
            <a:solidFill>
              <a:srgbClr val="00B050"/>
            </a:solidFill>
            <a:ln>
              <a:noFill/>
            </a:ln>
            <a:effectLst/>
            <a:scene3d>
              <a:camera prst="orthographicFront"/>
              <a:lightRig rig="threePt" dir="t"/>
            </a:scene3d>
            <a:sp3d prstMaterial="matte">
              <a:bevelT w="63500" h="63500" prst="artDeco"/>
              <a:contourClr>
                <a:srgbClr val="000000"/>
              </a:contourClr>
            </a:sp3d>
          </c:spPr>
          <c:invertIfNegative val="0"/>
          <c:cat>
            <c:strRef>
              <c:f>TdB!$I$31:$I$34</c:f>
              <c:strCache>
                <c:ptCount val="4"/>
                <c:pt idx="0">
                  <c:v>BOITE A VITESSE</c:v>
                </c:pt>
                <c:pt idx="1">
                  <c:v>MOTEUR</c:v>
                </c:pt>
                <c:pt idx="2">
                  <c:v>PNEU/JANTE</c:v>
                </c:pt>
                <c:pt idx="3">
                  <c:v>POMPE</c:v>
                </c:pt>
              </c:strCache>
            </c:strRef>
          </c:cat>
          <c:val>
            <c:numRef>
              <c:f>TdB!$L$31:$L$34</c:f>
              <c:numCache>
                <c:formatCode>#\ ##0.00\ [$DH-380C]</c:formatCode>
                <c:ptCount val="4"/>
                <c:pt idx="0">
                  <c:v>4800</c:v>
                </c:pt>
                <c:pt idx="1">
                  <c:v>1647</c:v>
                </c:pt>
                <c:pt idx="2">
                  <c:v>14400</c:v>
                </c:pt>
                <c:pt idx="3">
                  <c:v>5600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7A90-4042-82FA-EE23430C0F5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axId val="2139936639"/>
        <c:axId val="2139935807"/>
      </c:barChart>
      <c:lineChart>
        <c:grouping val="standard"/>
        <c:varyColors val="0"/>
        <c:ser>
          <c:idx val="1"/>
          <c:order val="1"/>
          <c:tx>
            <c:strRef>
              <c:f>TdB!$K$30</c:f>
              <c:strCache>
                <c:ptCount val="1"/>
                <c:pt idx="0">
                  <c:v>INVENTAIRE</c:v>
                </c:pt>
              </c:strCache>
            </c:strRef>
          </c:tx>
          <c:spPr>
            <a:ln w="28575" cap="rnd">
              <a:solidFill>
                <a:srgbClr val="0070C0"/>
              </a:solidFill>
              <a:round/>
            </a:ln>
            <a:effectLst/>
          </c:spPr>
          <c:marker>
            <c:symbol val="triangle"/>
            <c:size val="9"/>
            <c:spPr>
              <a:solidFill>
                <a:srgbClr val="0070C0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strRef>
              <c:f>TdB!$I$31:$I$34</c:f>
              <c:strCache>
                <c:ptCount val="4"/>
                <c:pt idx="0">
                  <c:v>BOITE A VITESSE</c:v>
                </c:pt>
                <c:pt idx="1">
                  <c:v>MOTEUR</c:v>
                </c:pt>
                <c:pt idx="2">
                  <c:v>PNEU/JANTE</c:v>
                </c:pt>
                <c:pt idx="3">
                  <c:v>POMPE</c:v>
                </c:pt>
              </c:strCache>
            </c:strRef>
          </c:cat>
          <c:val>
            <c:numRef>
              <c:f>TdB!$K$31:$K$34</c:f>
              <c:numCache>
                <c:formatCode>#\ ##0.00\ [$DH-380C]</c:formatCode>
                <c:ptCount val="4"/>
                <c:pt idx="0">
                  <c:v>0</c:v>
                </c:pt>
                <c:pt idx="1">
                  <c:v>2196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7A90-4042-82FA-EE23430C0F5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139936639"/>
        <c:axId val="2139935807"/>
      </c:lineChart>
      <c:catAx>
        <c:axId val="213993663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7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Arial Nova" panose="020B0504020202020204" pitchFamily="34" charset="0"/>
                <a:ea typeface="+mn-ea"/>
                <a:cs typeface="+mn-cs"/>
              </a:defRPr>
            </a:pPr>
            <a:endParaRPr lang="fr-FR"/>
          </a:p>
        </c:txPr>
        <c:crossAx val="2139935807"/>
        <c:crosses val="autoZero"/>
        <c:auto val="1"/>
        <c:lblAlgn val="ctr"/>
        <c:lblOffset val="100"/>
        <c:noMultiLvlLbl val="0"/>
      </c:catAx>
      <c:valAx>
        <c:axId val="2139935807"/>
        <c:scaling>
          <c:orientation val="minMax"/>
        </c:scaling>
        <c:delete val="1"/>
        <c:axPos val="l"/>
        <c:numFmt formatCode="#\ ##0.00\ [$DH-380C]" sourceLinked="1"/>
        <c:majorTickMark val="none"/>
        <c:minorTickMark val="none"/>
        <c:tickLblPos val="nextTo"/>
        <c:crossAx val="2139936639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1.6585178161630316E-2"/>
          <c:y val="1.5526972171956808E-2"/>
          <c:w val="0.69306949196795431"/>
          <c:h val="0.11913336919841541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700" b="1" i="0" u="none" strike="noStrike" kern="1200" baseline="0">
              <a:solidFill>
                <a:srgbClr val="002060"/>
              </a:solidFill>
              <a:latin typeface="Arial Nova" panose="020B0504020202020204" pitchFamily="34" charset="0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[TdB-GESTION STOCK.xlsm.xlsm]INFO!Tableau croisé dynamique10</c:name>
    <c:fmtId val="20"/>
  </c:pivotSource>
  <c:chart>
    <c:autoTitleDeleted val="0"/>
    <c:pivotFmts>
      <c:pivotFmt>
        <c:idx val="0"/>
        <c:spPr>
          <a:solidFill>
            <a:srgbClr val="00B050"/>
          </a:solidFill>
          <a:ln>
            <a:solidFill>
              <a:srgbClr val="FF0000"/>
            </a:solidFill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 w="9525">
              <a:solidFill>
                <a:schemeClr val="accent1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 w="9525">
              <a:solidFill>
                <a:schemeClr val="accent2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rgbClr val="FF0000"/>
          </a:solidFill>
          <a:ln>
            <a:solidFill>
              <a:srgbClr val="00B050"/>
            </a:solidFill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rgbClr val="00B050"/>
          </a:solidFill>
          <a:ln>
            <a:solidFill>
              <a:srgbClr val="FF0000"/>
            </a:solidFill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rgbClr val="FF0000"/>
          </a:solidFill>
          <a:ln>
            <a:solidFill>
              <a:srgbClr val="00B050"/>
            </a:solidFill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rgbClr val="00B050"/>
          </a:solidFill>
          <a:ln>
            <a:solidFill>
              <a:srgbClr val="FF0000"/>
            </a:solidFill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cene3d>
            <a:camera prst="orthographicFront"/>
            <a:lightRig rig="threePt" dir="t"/>
          </a:scene3d>
          <a:sp3d>
            <a:bevelT w="190500" h="381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rgbClr val="FF0000"/>
          </a:solidFill>
          <a:ln>
            <a:solidFill>
              <a:srgbClr val="00B050"/>
            </a:solidFill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>
        <c:manualLayout>
          <c:layoutTarget val="inner"/>
          <c:xMode val="edge"/>
          <c:yMode val="edge"/>
          <c:x val="7.3224852201624932E-2"/>
          <c:y val="4.8179997237187459E-2"/>
          <c:w val="0.92677514779837511"/>
          <c:h val="0.59620803978450065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INFO!$BR$7:$BR$8</c:f>
              <c:strCache>
                <c:ptCount val="1"/>
                <c:pt idx="0">
                  <c:v>SORTIE</c:v>
                </c:pt>
              </c:strCache>
            </c:strRef>
          </c:tx>
          <c:spPr>
            <a:solidFill>
              <a:srgbClr val="FF0000"/>
            </a:solidFill>
            <a:ln>
              <a:solidFill>
                <a:srgbClr val="00B050"/>
              </a:solidFill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INFO!$BQ$9:$BQ$20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INFO!$BR$9:$BR$20</c:f>
              <c:numCache>
                <c:formatCode>General</c:formatCode>
                <c:ptCount val="12"/>
                <c:pt idx="0">
                  <c:v>10149</c:v>
                </c:pt>
                <c:pt idx="1">
                  <c:v>4800</c:v>
                </c:pt>
                <c:pt idx="2">
                  <c:v>549</c:v>
                </c:pt>
                <c:pt idx="3">
                  <c:v>549</c:v>
                </c:pt>
                <c:pt idx="4">
                  <c:v>5600</c:v>
                </c:pt>
                <c:pt idx="10">
                  <c:v>4800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A896-4845-922F-F797F8B9F3D5}"/>
            </c:ext>
          </c:extLst>
        </c:ser>
        <c:ser>
          <c:idx val="1"/>
          <c:order val="1"/>
          <c:tx>
            <c:strRef>
              <c:f>INFO!$BS$7:$BS$8</c:f>
              <c:strCache>
                <c:ptCount val="1"/>
                <c:pt idx="0">
                  <c:v>INVENTAIRE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INFO!$BQ$9:$BQ$20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INFO!$BS$9:$BS$20</c:f>
              <c:numCache>
                <c:formatCode>General</c:formatCode>
                <c:ptCount val="12"/>
                <c:pt idx="9">
                  <c:v>2196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21F0-4DB1-875F-1809479F4872}"/>
            </c:ext>
          </c:extLst>
        </c:ser>
        <c:ser>
          <c:idx val="2"/>
          <c:order val="2"/>
          <c:tx>
            <c:strRef>
              <c:f>INFO!$BT$7:$BT$8</c:f>
              <c:strCache>
                <c:ptCount val="1"/>
                <c:pt idx="0">
                  <c:v>ENTREE</c:v>
                </c:pt>
              </c:strCache>
            </c:strRef>
          </c:tx>
          <c:spPr>
            <a:solidFill>
              <a:srgbClr val="00B050"/>
            </a:solidFill>
            <a:ln>
              <a:solidFill>
                <a:srgbClr val="FF0000"/>
              </a:solidFill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cene3d>
              <a:camera prst="orthographicFront"/>
              <a:lightRig rig="threePt" dir="t"/>
            </a:scene3d>
            <a:sp3d>
              <a:bevelT w="190500" h="38100"/>
            </a:sp3d>
          </c:spPr>
          <c:invertIfNegative val="0"/>
          <c:cat>
            <c:strRef>
              <c:f>INFO!$BQ$9:$BQ$20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INFO!$BT$9:$BT$20</c:f>
              <c:numCache>
                <c:formatCode>General</c:formatCode>
                <c:ptCount val="12"/>
                <c:pt idx="0">
                  <c:v>26196</c:v>
                </c:pt>
                <c:pt idx="3">
                  <c:v>15811.2</c:v>
                </c:pt>
                <c:pt idx="4">
                  <c:v>22400</c:v>
                </c:pt>
                <c:pt idx="5">
                  <c:v>3952.8</c:v>
                </c:pt>
                <c:pt idx="6">
                  <c:v>3952.8</c:v>
                </c:pt>
                <c:pt idx="7">
                  <c:v>4800</c:v>
                </c:pt>
                <c:pt idx="8">
                  <c:v>3952.8</c:v>
                </c:pt>
                <c:pt idx="11">
                  <c:v>230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21F0-4DB1-875F-1809479F487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-24"/>
        <c:axId val="594159760"/>
        <c:axId val="594167248"/>
      </c:barChart>
      <c:catAx>
        <c:axId val="59415976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700" b="1" i="0" u="none" strike="noStrike" kern="1200" baseline="0">
                <a:solidFill>
                  <a:srgbClr val="002060"/>
                </a:solidFill>
                <a:latin typeface="Arial Nova" panose="020B0504020202020204" pitchFamily="34" charset="0"/>
                <a:ea typeface="+mn-ea"/>
                <a:cs typeface="+mn-cs"/>
              </a:defRPr>
            </a:pPr>
            <a:endParaRPr lang="fr-FR"/>
          </a:p>
        </c:txPr>
        <c:crossAx val="594167248"/>
        <c:crosses val="autoZero"/>
        <c:auto val="1"/>
        <c:lblAlgn val="ctr"/>
        <c:lblOffset val="100"/>
        <c:noMultiLvlLbl val="0"/>
      </c:catAx>
      <c:valAx>
        <c:axId val="594167248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59415976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43657520368302255"/>
          <c:y val="2.5088410001381407E-2"/>
          <c:w val="0.14362657091561939"/>
          <c:h val="0.3798266335129161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700" b="1" i="0" u="none" strike="noStrike" kern="1200" baseline="0">
              <a:solidFill>
                <a:srgbClr val="002060"/>
              </a:solidFill>
              <a:latin typeface="Arial Nova" panose="020B0504020202020204" pitchFamily="34" charset="0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[TdB-GESTION STOCK.xlsm.xlsm]INFO!Tableau croisé dynamique2</c:name>
    <c:fmtId val="15"/>
  </c:pivotSource>
  <c:chart>
    <c:autoTitleDeleted val="1"/>
    <c:pivotFmts>
      <c:pivotFmt>
        <c:idx val="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</c:pivotFmt>
      <c:pivotFmt>
        <c:idx val="2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</c:pivotFmt>
      <c:pivotFmt>
        <c:idx val="4"/>
      </c:pivotFmt>
      <c:pivotFmt>
        <c:idx val="5"/>
      </c:pivotFmt>
      <c:pivotFmt>
        <c:idx val="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rgbClr val="00B050"/>
          </a:solidFill>
          <a:ln>
            <a:noFill/>
          </a:ln>
          <a:effectLst/>
          <a:scene3d>
            <a:camera prst="orthographicFront"/>
            <a:lightRig rig="threePt" dir="t"/>
          </a:scene3d>
          <a:sp3d prstMaterial="metal">
            <a:bevelT w="38100" h="57150" prst="angle"/>
          </a:sp3d>
        </c:spPr>
        <c:dLbl>
          <c:idx val="0"/>
          <c:layout>
            <c:manualLayout>
              <c:x val="0.10424314607732857"/>
              <c:y val="-6.6918238993710688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/>
          <a:scene3d>
            <a:camera prst="orthographicFront"/>
            <a:lightRig rig="threePt" dir="t"/>
          </a:scene3d>
          <a:sp3d prstMaterial="metal">
            <a:bevelT w="38100" h="57150" prst="angle"/>
          </a:sp3d>
        </c:spPr>
        <c:dLbl>
          <c:idx val="0"/>
          <c:layout>
            <c:manualLayout>
              <c:x val="-1.0761864226431153E-2"/>
              <c:y val="0.25366876310272535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rgbClr val="FF0000"/>
          </a:solidFill>
          <a:ln>
            <a:noFill/>
          </a:ln>
          <a:effectLst/>
          <a:scene3d>
            <a:camera prst="orthographicFront"/>
            <a:lightRig rig="threePt" dir="t"/>
          </a:scene3d>
          <a:sp3d prstMaterial="metal">
            <a:bevelT w="38100" h="57150" prst="angle"/>
          </a:sp3d>
        </c:spPr>
        <c:dLbl>
          <c:idx val="0"/>
          <c:layout>
            <c:manualLayout>
              <c:x val="-7.6620557565439465E-2"/>
              <c:y val="0.11949685534591196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>
        <c:manualLayout>
          <c:layoutTarget val="inner"/>
          <c:xMode val="edge"/>
          <c:yMode val="edge"/>
          <c:x val="5.3619621076777153E-2"/>
          <c:y val="4.1868634345235148E-2"/>
          <c:w val="0.68491409162090033"/>
          <c:h val="0.95813136565476487"/>
        </c:manualLayout>
      </c:layout>
      <c:pieChart>
        <c:varyColors val="1"/>
        <c:ser>
          <c:idx val="0"/>
          <c:order val="0"/>
          <c:tx>
            <c:strRef>
              <c:f>INFO!$V$1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rgbClr val="00B050"/>
              </a:solidFill>
              <a:ln>
                <a:noFill/>
              </a:ln>
              <a:effectLst/>
              <a:scene3d>
                <a:camera prst="orthographicFront"/>
                <a:lightRig rig="threePt" dir="t"/>
              </a:scene3d>
              <a:sp3d prstMaterial="metal">
                <a:bevelT w="38100" h="57150" prst="angle"/>
              </a:sp3d>
            </c:spPr>
            <c:extLst>
              <c:ext xmlns:c16="http://schemas.microsoft.com/office/drawing/2014/chart" uri="{C3380CC4-5D6E-409C-BE32-E72D297353CC}">
                <c16:uniqueId val="{00000001-E9D1-4954-84E1-C096F913C5B4}"/>
              </c:ext>
            </c:extLst>
          </c:dPt>
          <c:dPt>
            <c:idx val="1"/>
            <c:bubble3D val="0"/>
            <c:spPr>
              <a:gradFill rotWithShape="1">
                <a:gsLst>
                  <a:gs pos="0">
                    <a:schemeClr val="accent2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2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2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/>
              <a:scene3d>
                <a:camera prst="orthographicFront"/>
                <a:lightRig rig="threePt" dir="t"/>
              </a:scene3d>
              <a:sp3d prstMaterial="metal">
                <a:bevelT w="38100" h="57150" prst="angle"/>
              </a:sp3d>
            </c:spPr>
            <c:extLst>
              <c:ext xmlns:c16="http://schemas.microsoft.com/office/drawing/2014/chart" uri="{C3380CC4-5D6E-409C-BE32-E72D297353CC}">
                <c16:uniqueId val="{00000003-E9D1-4954-84E1-C096F913C5B4}"/>
              </c:ext>
            </c:extLst>
          </c:dPt>
          <c:dPt>
            <c:idx val="2"/>
            <c:bubble3D val="0"/>
            <c:spPr>
              <a:solidFill>
                <a:srgbClr val="FF0000"/>
              </a:solidFill>
              <a:ln>
                <a:noFill/>
              </a:ln>
              <a:effectLst/>
              <a:scene3d>
                <a:camera prst="orthographicFront"/>
                <a:lightRig rig="threePt" dir="t"/>
              </a:scene3d>
              <a:sp3d prstMaterial="metal">
                <a:bevelT w="38100" h="57150" prst="angle"/>
              </a:sp3d>
            </c:spPr>
            <c:extLst>
              <c:ext xmlns:c16="http://schemas.microsoft.com/office/drawing/2014/chart" uri="{C3380CC4-5D6E-409C-BE32-E72D297353CC}">
                <c16:uniqueId val="{00000005-E9D1-4954-84E1-C096F913C5B4}"/>
              </c:ext>
            </c:extLst>
          </c:dPt>
          <c:dLbls>
            <c:dLbl>
              <c:idx val="0"/>
              <c:layout>
                <c:manualLayout>
                  <c:x val="0.10424314607732857"/>
                  <c:y val="-6.6918238993710688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E9D1-4954-84E1-C096F913C5B4}"/>
                </c:ext>
              </c:extLst>
            </c:dLbl>
            <c:dLbl>
              <c:idx val="1"/>
              <c:layout>
                <c:manualLayout>
                  <c:x val="-1.0761864226431153E-2"/>
                  <c:y val="0.25366876310272535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E9D1-4954-84E1-C096F913C5B4}"/>
                </c:ext>
              </c:extLst>
            </c:dLbl>
            <c:dLbl>
              <c:idx val="2"/>
              <c:layout>
                <c:manualLayout>
                  <c:x val="-7.6620557565439465E-2"/>
                  <c:y val="0.11949685534591196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E9D1-4954-84E1-C096F913C5B4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>
                  <a:solidFill>
                    <a:schemeClr val="tx2">
                      <a:lumMod val="35000"/>
                      <a:lumOff val="65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INFO!$U$2:$U$5</c:f>
              <c:strCache>
                <c:ptCount val="3"/>
                <c:pt idx="0">
                  <c:v>ENTREE</c:v>
                </c:pt>
                <c:pt idx="1">
                  <c:v>INVENTAIRE</c:v>
                </c:pt>
                <c:pt idx="2">
                  <c:v>SORTIE</c:v>
                </c:pt>
              </c:strCache>
            </c:strRef>
          </c:cat>
          <c:val>
            <c:numRef>
              <c:f>INFO!$V$2:$V$5</c:f>
              <c:numCache>
                <c:formatCode>General</c:formatCode>
                <c:ptCount val="3"/>
                <c:pt idx="0">
                  <c:v>81295.600000000006</c:v>
                </c:pt>
                <c:pt idx="1">
                  <c:v>2196</c:v>
                </c:pt>
                <c:pt idx="2">
                  <c:v>26447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E9D1-4954-84E1-C096F913C5B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66563003154017508"/>
          <c:y val="6.075372653889962E-3"/>
          <c:w val="0.325924700588897"/>
          <c:h val="0.50595817032304924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[TdB-GESTION STOCK.xlsm.xlsm]INFO!Tableau croisé dynamique10</c:name>
    <c:fmtId val="17"/>
  </c:pivotSource>
  <c:chart>
    <c:autoTitleDeleted val="0"/>
    <c:pivotFmts>
      <c:pivotFmt>
        <c:idx val="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 w="9525">
              <a:solidFill>
                <a:schemeClr val="accent2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>
        <c:manualLayout>
          <c:layoutTarget val="inner"/>
          <c:xMode val="edge"/>
          <c:yMode val="edge"/>
          <c:x val="7.3224852201624932E-2"/>
          <c:y val="4.8179997237187459E-2"/>
          <c:w val="0.92677514779837511"/>
          <c:h val="0.58743610995993922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INFO!$BR$7:$BR$8</c:f>
              <c:strCache>
                <c:ptCount val="1"/>
                <c:pt idx="0">
                  <c:v>SORTIE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INFO!$BQ$9:$BQ$20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INFO!$BR$9:$BR$20</c:f>
              <c:numCache>
                <c:formatCode>General</c:formatCode>
                <c:ptCount val="12"/>
                <c:pt idx="0">
                  <c:v>10149</c:v>
                </c:pt>
                <c:pt idx="1">
                  <c:v>4800</c:v>
                </c:pt>
                <c:pt idx="2">
                  <c:v>549</c:v>
                </c:pt>
                <c:pt idx="3">
                  <c:v>549</c:v>
                </c:pt>
                <c:pt idx="4">
                  <c:v>5600</c:v>
                </c:pt>
                <c:pt idx="10">
                  <c:v>4800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F967-45B2-B779-97DE56603EA0}"/>
            </c:ext>
          </c:extLst>
        </c:ser>
        <c:ser>
          <c:idx val="1"/>
          <c:order val="1"/>
          <c:tx>
            <c:strRef>
              <c:f>INFO!$BS$7:$BS$8</c:f>
              <c:strCache>
                <c:ptCount val="1"/>
                <c:pt idx="0">
                  <c:v>INVENTAIRE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INFO!$BQ$9:$BQ$20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INFO!$BS$9:$BS$20</c:f>
              <c:numCache>
                <c:formatCode>General</c:formatCode>
                <c:ptCount val="12"/>
                <c:pt idx="9">
                  <c:v>2196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28D8-47CD-B62A-C843D5CFF26D}"/>
            </c:ext>
          </c:extLst>
        </c:ser>
        <c:ser>
          <c:idx val="2"/>
          <c:order val="2"/>
          <c:tx>
            <c:strRef>
              <c:f>INFO!$BT$7:$BT$8</c:f>
              <c:strCache>
                <c:ptCount val="1"/>
                <c:pt idx="0">
                  <c:v>ENTREE</c:v>
                </c:pt>
              </c:strCache>
            </c:strRef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INFO!$BQ$9:$BQ$20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INFO!$BT$9:$BT$20</c:f>
              <c:numCache>
                <c:formatCode>General</c:formatCode>
                <c:ptCount val="12"/>
                <c:pt idx="0">
                  <c:v>26196</c:v>
                </c:pt>
                <c:pt idx="3">
                  <c:v>15811.2</c:v>
                </c:pt>
                <c:pt idx="4">
                  <c:v>22400</c:v>
                </c:pt>
                <c:pt idx="5">
                  <c:v>3952.8</c:v>
                </c:pt>
                <c:pt idx="6">
                  <c:v>3952.8</c:v>
                </c:pt>
                <c:pt idx="7">
                  <c:v>4800</c:v>
                </c:pt>
                <c:pt idx="8">
                  <c:v>3952.8</c:v>
                </c:pt>
                <c:pt idx="11">
                  <c:v>230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28D8-47CD-B62A-C843D5CFF26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-24"/>
        <c:axId val="594159760"/>
        <c:axId val="594167248"/>
      </c:barChart>
      <c:catAx>
        <c:axId val="59415976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700" b="1" i="0" u="none" strike="noStrike" kern="1200" baseline="0">
                <a:solidFill>
                  <a:srgbClr val="002060"/>
                </a:solidFill>
                <a:latin typeface="Arial Nova" panose="020B0504020202020204" pitchFamily="34" charset="0"/>
                <a:ea typeface="+mn-ea"/>
                <a:cs typeface="+mn-cs"/>
              </a:defRPr>
            </a:pPr>
            <a:endParaRPr lang="fr-FR"/>
          </a:p>
        </c:txPr>
        <c:crossAx val="594167248"/>
        <c:crosses val="autoZero"/>
        <c:auto val="1"/>
        <c:lblAlgn val="ctr"/>
        <c:lblOffset val="100"/>
        <c:noMultiLvlLbl val="0"/>
      </c:catAx>
      <c:valAx>
        <c:axId val="594167248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59415976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5.5964799289656558E-2"/>
          <c:y val="2.5088410001381411E-2"/>
          <c:w val="0.13805003063551205"/>
          <c:h val="0.34571046882612727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700" b="1" i="0" u="none" strike="noStrike" kern="1200" baseline="0">
              <a:solidFill>
                <a:srgbClr val="002060"/>
              </a:solidFill>
              <a:latin typeface="Arial Nova" panose="020B0504020202020204" pitchFamily="34" charset="0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[TdB-GESTION STOCK.xlsm.xlsm]INFO!Tableau croisé dynamique2</c:name>
    <c:fmtId val="13"/>
  </c:pivotSource>
  <c:chart>
    <c:autoTitleDeleted val="1"/>
    <c:pivotFmts>
      <c:pivotFmt>
        <c:idx val="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cene3d>
            <a:camera prst="orthographicFront"/>
            <a:lightRig rig="threePt" dir="t"/>
          </a:scene3d>
          <a:sp3d>
            <a:bevelT w="139700" h="1397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cene3d>
            <a:camera prst="orthographicFront"/>
            <a:lightRig rig="threePt" dir="t"/>
          </a:scene3d>
          <a:sp3d>
            <a:bevelT w="139700" h="139700"/>
          </a:sp3d>
        </c:spPr>
      </c:pivotFmt>
      <c:pivotFmt>
        <c:idx val="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cene3d>
            <a:camera prst="orthographicFront"/>
            <a:lightRig rig="threePt" dir="t"/>
          </a:scene3d>
          <a:sp3d>
            <a:bevelT w="139700" h="139700"/>
          </a:sp3d>
        </c:spPr>
      </c:pivotFmt>
    </c:pivotFmts>
    <c:plotArea>
      <c:layout>
        <c:manualLayout>
          <c:layoutTarget val="inner"/>
          <c:xMode val="edge"/>
          <c:yMode val="edge"/>
          <c:x val="9.8437471435473545E-2"/>
          <c:y val="0.14249781277340332"/>
          <c:w val="0.7020713346442532"/>
          <c:h val="0.85750218722659666"/>
        </c:manualLayout>
      </c:layout>
      <c:pieChart>
        <c:varyColors val="1"/>
        <c:ser>
          <c:idx val="0"/>
          <c:order val="0"/>
          <c:tx>
            <c:strRef>
              <c:f>INFO!$V$1</c:f>
              <c:strCache>
                <c:ptCount val="1"/>
                <c:pt idx="0">
                  <c:v>Total</c:v>
                </c:pt>
              </c:strCache>
            </c:strRef>
          </c:tx>
          <c:spPr>
            <a:scene3d>
              <a:camera prst="orthographicFront"/>
              <a:lightRig rig="threePt" dir="t"/>
            </a:scene3d>
            <a:sp3d>
              <a:bevelT w="139700" h="139700"/>
            </a:sp3d>
          </c:spPr>
          <c:dPt>
            <c:idx val="0"/>
            <c:bubble3D val="0"/>
            <c:spPr>
              <a:gradFill rotWithShape="1">
                <a:gsLst>
                  <a:gs pos="0">
                    <a:schemeClr val="accent1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1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1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cene3d>
                <a:camera prst="orthographicFront"/>
                <a:lightRig rig="threePt" dir="t"/>
              </a:scene3d>
              <a:sp3d>
                <a:bevelT w="139700" h="139700"/>
              </a:sp3d>
            </c:spPr>
            <c:extLst>
              <c:ext xmlns:c16="http://schemas.microsoft.com/office/drawing/2014/chart" uri="{C3380CC4-5D6E-409C-BE32-E72D297353CC}">
                <c16:uniqueId val="{00000001-EB2E-4ADC-8BC1-2CAEBFBCA36B}"/>
              </c:ext>
            </c:extLst>
          </c:dPt>
          <c:dPt>
            <c:idx val="1"/>
            <c:bubble3D val="0"/>
            <c:spPr>
              <a:gradFill rotWithShape="1">
                <a:gsLst>
                  <a:gs pos="0">
                    <a:schemeClr val="accent2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2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2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cene3d>
                <a:camera prst="orthographicFront"/>
                <a:lightRig rig="threePt" dir="t"/>
              </a:scene3d>
              <a:sp3d>
                <a:bevelT w="139700" h="139700"/>
              </a:sp3d>
            </c:spPr>
            <c:extLst>
              <c:ext xmlns:c16="http://schemas.microsoft.com/office/drawing/2014/chart" uri="{C3380CC4-5D6E-409C-BE32-E72D297353CC}">
                <c16:uniqueId val="{00000003-EB2E-4ADC-8BC1-2CAEBFBCA36B}"/>
              </c:ext>
            </c:extLst>
          </c:dPt>
          <c:dPt>
            <c:idx val="2"/>
            <c:bubble3D val="0"/>
            <c:spPr>
              <a:gradFill rotWithShape="1">
                <a:gsLst>
                  <a:gs pos="0">
                    <a:schemeClr val="accent3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3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3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cene3d>
                <a:camera prst="orthographicFront"/>
                <a:lightRig rig="threePt" dir="t"/>
              </a:scene3d>
              <a:sp3d>
                <a:bevelT w="139700" h="139700"/>
              </a:sp3d>
            </c:spPr>
            <c:extLst>
              <c:ext xmlns:c16="http://schemas.microsoft.com/office/drawing/2014/chart" uri="{C3380CC4-5D6E-409C-BE32-E72D297353CC}">
                <c16:uniqueId val="{00000002-300F-41C6-B2C7-FA00AAD7E7A0}"/>
              </c:ext>
            </c:extLst>
          </c:dPt>
          <c:cat>
            <c:strRef>
              <c:f>INFO!$U$2:$U$5</c:f>
              <c:strCache>
                <c:ptCount val="3"/>
                <c:pt idx="0">
                  <c:v>ENTREE</c:v>
                </c:pt>
                <c:pt idx="1">
                  <c:v>INVENTAIRE</c:v>
                </c:pt>
                <c:pt idx="2">
                  <c:v>SORTIE</c:v>
                </c:pt>
              </c:strCache>
            </c:strRef>
          </c:cat>
          <c:val>
            <c:numRef>
              <c:f>INFO!$V$2:$V$5</c:f>
              <c:numCache>
                <c:formatCode>General</c:formatCode>
                <c:ptCount val="3"/>
                <c:pt idx="0">
                  <c:v>81295.600000000006</c:v>
                </c:pt>
                <c:pt idx="1">
                  <c:v>2196</c:v>
                </c:pt>
                <c:pt idx="2">
                  <c:v>26447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00F-41C6-B2C7-FA00AAD7E7A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5.4985962575573574E-2"/>
          <c:y val="6.0753864100320789E-3"/>
          <c:w val="0.65645682349407819"/>
          <c:h val="0.11182815689705458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700" b="1" i="0" u="none" strike="noStrike" kern="1200" baseline="0">
              <a:solidFill>
                <a:srgbClr val="002060"/>
              </a:solidFill>
              <a:latin typeface="Arial Nova" panose="020B0504020202020204" pitchFamily="34" charset="0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8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9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10.xml><?xml version="1.0" encoding="utf-8"?>
<cs:chartStyle xmlns:cs="http://schemas.microsoft.com/office/drawing/2012/chartStyle" xmlns:a="http://schemas.openxmlformats.org/drawingml/2006/main" id="255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3">
      <cs:styleClr val="auto"/>
    </cs:fillRef>
    <cs:effectRef idx="2"/>
    <cs:fontRef idx="minor">
      <a:schemeClr val="tx2"/>
    </cs:fontRef>
    <cs:spPr>
      <a:ln w="12700">
        <a:solidFill>
          <a:schemeClr val="lt2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defRPr sz="900" kern="1200"/>
  </cs:valueAxis>
  <cs:wall>
    <cs:lnRef idx="0"/>
    <cs:fillRef idx="0"/>
    <cs:effectRef idx="0"/>
    <cs:fontRef idx="minor">
      <a:schemeClr val="tx2"/>
    </cs:fontRef>
  </cs:wall>
</cs:chartStyle>
</file>

<file path=xl/charts/style11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12.xml><?xml version="1.0" encoding="utf-8"?>
<cs:chartStyle xmlns:cs="http://schemas.microsoft.com/office/drawing/2012/chartStyle" xmlns:a="http://schemas.openxmlformats.org/drawingml/2006/main" id="257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trlProps/ctrlProp1.xml><?xml version="1.0" encoding="utf-8"?>
<formControlPr xmlns="http://schemas.microsoft.com/office/spreadsheetml/2009/9/main" objectType="Scroll" dx="22" fmlaLink="$A$13" max="10" min="1" page="10"/>
</file>

<file path=xl/ctrlProps/ctrlProp2.xml><?xml version="1.0" encoding="utf-8"?>
<formControlPr xmlns="http://schemas.microsoft.com/office/spreadsheetml/2009/9/main" objectType="Scroll" dx="22" fmlaLink="$I$13" max="8" min="1" page="6"/>
</file>

<file path=xl/ctrlProps/ctrlProp3.xml><?xml version="1.0" encoding="utf-8"?>
<formControlPr xmlns="http://schemas.microsoft.com/office/spreadsheetml/2009/9/main" objectType="Scroll" dx="22" fmlaLink="$A$21" max="12" min="1" page="10"/>
</file>

<file path=xl/ctrlProps/ctrlProp4.xml><?xml version="1.0" encoding="utf-8"?>
<formControlPr xmlns="http://schemas.microsoft.com/office/spreadsheetml/2009/9/main" objectType="Scroll" dx="22" fmlaLink="$I$21" max="12" min="1" page="10"/>
</file>

<file path=xl/ctrlProps/ctrlProp5.xml><?xml version="1.0" encoding="utf-8"?>
<formControlPr xmlns="http://schemas.microsoft.com/office/spreadsheetml/2009/9/main" objectType="Scroll" dx="22" fmlaLink="$A$29" max="12" min="1" page="10"/>
</file>

<file path=xl/ctrlProps/ctrlProp6.xml><?xml version="1.0" encoding="utf-8"?>
<formControlPr xmlns="http://schemas.microsoft.com/office/spreadsheetml/2009/9/main" objectType="Scroll" dx="22" fmlaLink="$A$37" max="12" min="1" page="10"/>
</file>

<file path=xl/ctrlProps/ctrlProp7.xml><?xml version="1.0" encoding="utf-8"?>
<formControlPr xmlns="http://schemas.microsoft.com/office/spreadsheetml/2009/9/main" objectType="Scroll" dx="22" fmlaLink="$I$29" max="12" min="1" page="10"/>
</file>

<file path=xl/ctrlProps/ctrlProp8.xml><?xml version="1.0" encoding="utf-8"?>
<formControlPr xmlns="http://schemas.microsoft.com/office/spreadsheetml/2009/9/main" objectType="Scroll" dx="22" fmlaLink="$I$37" max="12" min="1" page="10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5.png"/><Relationship Id="rId13" Type="http://schemas.openxmlformats.org/officeDocument/2006/relationships/image" Target="../media/image10.svg"/><Relationship Id="rId18" Type="http://schemas.openxmlformats.org/officeDocument/2006/relationships/chart" Target="../charts/chart5.xml"/><Relationship Id="rId3" Type="http://schemas.openxmlformats.org/officeDocument/2006/relationships/image" Target="../media/image2.svg"/><Relationship Id="rId21" Type="http://schemas.openxmlformats.org/officeDocument/2006/relationships/chart" Target="../charts/chart8.xml"/><Relationship Id="rId7" Type="http://schemas.openxmlformats.org/officeDocument/2006/relationships/hyperlink" Target="#INFO!A1"/><Relationship Id="rId12" Type="http://schemas.openxmlformats.org/officeDocument/2006/relationships/image" Target="../media/image9.png"/><Relationship Id="rId17" Type="http://schemas.openxmlformats.org/officeDocument/2006/relationships/chart" Target="../charts/chart4.xml"/><Relationship Id="rId2" Type="http://schemas.openxmlformats.org/officeDocument/2006/relationships/image" Target="../media/image1.png"/><Relationship Id="rId16" Type="http://schemas.openxmlformats.org/officeDocument/2006/relationships/chart" Target="../charts/chart3.xml"/><Relationship Id="rId20" Type="http://schemas.openxmlformats.org/officeDocument/2006/relationships/chart" Target="../charts/chart7.xml"/><Relationship Id="rId1" Type="http://schemas.openxmlformats.org/officeDocument/2006/relationships/hyperlink" Target="#DATA!A1"/><Relationship Id="rId6" Type="http://schemas.openxmlformats.org/officeDocument/2006/relationships/image" Target="../media/image4.svg"/><Relationship Id="rId11" Type="http://schemas.openxmlformats.org/officeDocument/2006/relationships/image" Target="../media/image8.svg"/><Relationship Id="rId5" Type="http://schemas.openxmlformats.org/officeDocument/2006/relationships/image" Target="../media/image3.png"/><Relationship Id="rId15" Type="http://schemas.openxmlformats.org/officeDocument/2006/relationships/chart" Target="../charts/chart2.xml"/><Relationship Id="rId23" Type="http://schemas.openxmlformats.org/officeDocument/2006/relationships/chart" Target="../charts/chart10.xml"/><Relationship Id="rId10" Type="http://schemas.openxmlformats.org/officeDocument/2006/relationships/image" Target="../media/image7.png"/><Relationship Id="rId19" Type="http://schemas.openxmlformats.org/officeDocument/2006/relationships/chart" Target="../charts/chart6.xml"/><Relationship Id="rId4" Type="http://schemas.openxmlformats.org/officeDocument/2006/relationships/hyperlink" Target="#SAISIE!A1"/><Relationship Id="rId9" Type="http://schemas.openxmlformats.org/officeDocument/2006/relationships/image" Target="../media/image6.svg"/><Relationship Id="rId14" Type="http://schemas.openxmlformats.org/officeDocument/2006/relationships/chart" Target="../charts/chart1.xml"/><Relationship Id="rId22" Type="http://schemas.openxmlformats.org/officeDocument/2006/relationships/chart" Target="../charts/chart9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11.jfif"/><Relationship Id="rId2" Type="http://schemas.openxmlformats.org/officeDocument/2006/relationships/hyperlink" Target="#TdB!A1"/><Relationship Id="rId1" Type="http://schemas.openxmlformats.org/officeDocument/2006/relationships/hyperlink" Target="#DATA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SAISIE!A1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2.xml"/><Relationship Id="rId1" Type="http://schemas.openxmlformats.org/officeDocument/2006/relationships/chart" Target="../charts/chart1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49</xdr:col>
      <xdr:colOff>47625</xdr:colOff>
      <xdr:row>0</xdr:row>
      <xdr:rowOff>66676</xdr:rowOff>
    </xdr:from>
    <xdr:to>
      <xdr:col>49</xdr:col>
      <xdr:colOff>638175</xdr:colOff>
      <xdr:row>3</xdr:row>
      <xdr:rowOff>9526</xdr:rowOff>
    </xdr:to>
    <xdr:pic>
      <xdr:nvPicPr>
        <xdr:cNvPr id="5" name="Graphique 4" descr="Diagramme de Gantt contour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3"/>
            </a:ext>
          </a:extLst>
        </a:blip>
        <a:stretch>
          <a:fillRect/>
        </a:stretch>
      </xdr:blipFill>
      <xdr:spPr>
        <a:xfrm>
          <a:off x="13649325" y="66676"/>
          <a:ext cx="590550" cy="571500"/>
        </a:xfrm>
        <a:prstGeom prst="rect">
          <a:avLst/>
        </a:prstGeom>
      </xdr:spPr>
    </xdr:pic>
    <xdr:clientData/>
  </xdr:twoCellAnchor>
  <xdr:twoCellAnchor editAs="oneCell">
    <xdr:from>
      <xdr:col>48</xdr:col>
      <xdr:colOff>219075</xdr:colOff>
      <xdr:row>0</xdr:row>
      <xdr:rowOff>28575</xdr:rowOff>
    </xdr:from>
    <xdr:to>
      <xdr:col>49</xdr:col>
      <xdr:colOff>190501</xdr:colOff>
      <xdr:row>3</xdr:row>
      <xdr:rowOff>28575</xdr:rowOff>
    </xdr:to>
    <xdr:pic>
      <xdr:nvPicPr>
        <xdr:cNvPr id="9" name="Graphique 8" descr="Architecture avec un remplissage uni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6"/>
            </a:ext>
          </a:extLst>
        </a:blip>
        <a:stretch>
          <a:fillRect/>
        </a:stretch>
      </xdr:blipFill>
      <xdr:spPr>
        <a:xfrm>
          <a:off x="39271575" y="28575"/>
          <a:ext cx="752476" cy="628650"/>
        </a:xfrm>
        <a:prstGeom prst="rect">
          <a:avLst/>
        </a:prstGeom>
      </xdr:spPr>
    </xdr:pic>
    <xdr:clientData/>
  </xdr:twoCellAnchor>
  <xdr:twoCellAnchor>
    <xdr:from>
      <xdr:col>3</xdr:col>
      <xdr:colOff>561975</xdr:colOff>
      <xdr:row>0</xdr:row>
      <xdr:rowOff>47624</xdr:rowOff>
    </xdr:from>
    <xdr:to>
      <xdr:col>8</xdr:col>
      <xdr:colOff>285750</xdr:colOff>
      <xdr:row>2</xdr:row>
      <xdr:rowOff>171449</xdr:rowOff>
    </xdr:to>
    <xdr:sp macro="" textlink="">
      <xdr:nvSpPr>
        <xdr:cNvPr id="15" name="Rectangle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/>
      </xdr:nvSpPr>
      <xdr:spPr>
        <a:xfrm>
          <a:off x="3448050" y="47624"/>
          <a:ext cx="4410075" cy="5429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16</xdr:col>
      <xdr:colOff>38100</xdr:colOff>
      <xdr:row>3</xdr:row>
      <xdr:rowOff>66676</xdr:rowOff>
    </xdr:to>
    <xdr:grpSp>
      <xdr:nvGrpSpPr>
        <xdr:cNvPr id="4" name="Group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GrpSpPr/>
      </xdr:nvGrpSpPr>
      <xdr:grpSpPr>
        <a:xfrm>
          <a:off x="0" y="0"/>
          <a:ext cx="14849475" cy="695326"/>
          <a:chOff x="0" y="0"/>
          <a:chExt cx="14649449" cy="695326"/>
        </a:xfrm>
      </xdr:grpSpPr>
      <xdr:grpSp>
        <xdr:nvGrpSpPr>
          <xdr:cNvPr id="14" name="Groupe 13">
            <a:extLst>
              <a:ext uri="{FF2B5EF4-FFF2-40B4-BE49-F238E27FC236}">
                <a16:creationId xmlns:a16="http://schemas.microsoft.com/office/drawing/2014/main" id="{00000000-0008-0000-0000-00000E000000}"/>
              </a:ext>
            </a:extLst>
          </xdr:cNvPr>
          <xdr:cNvGrpSpPr/>
        </xdr:nvGrpSpPr>
        <xdr:grpSpPr>
          <a:xfrm>
            <a:off x="0" y="0"/>
            <a:ext cx="14649449" cy="647700"/>
            <a:chOff x="0" y="0"/>
            <a:chExt cx="15447149" cy="647700"/>
          </a:xfrm>
          <a:gradFill flip="none" rotWithShape="1">
            <a:gsLst>
              <a:gs pos="0">
                <a:schemeClr val="accent1">
                  <a:lumMod val="60000"/>
                  <a:lumOff val="40000"/>
                  <a:shade val="30000"/>
                  <a:satMod val="115000"/>
                </a:schemeClr>
              </a:gs>
              <a:gs pos="50000">
                <a:schemeClr val="accent1">
                  <a:lumMod val="60000"/>
                  <a:lumOff val="40000"/>
                  <a:shade val="67500"/>
                  <a:satMod val="115000"/>
                </a:schemeClr>
              </a:gs>
              <a:gs pos="100000">
                <a:schemeClr val="accent1">
                  <a:lumMod val="60000"/>
                  <a:lumOff val="40000"/>
                  <a:shade val="100000"/>
                  <a:satMod val="115000"/>
                </a:schemeClr>
              </a:gs>
            </a:gsLst>
            <a:path path="circle">
              <a:fillToRect l="100000" t="100000"/>
            </a:path>
            <a:tileRect r="-100000" b="-100000"/>
          </a:gradFill>
        </xdr:grpSpPr>
        <xdr:sp macro="" textlink="">
          <xdr:nvSpPr>
            <xdr:cNvPr id="2" name="Rectangle 1">
              <a:extLst>
                <a:ext uri="{FF2B5EF4-FFF2-40B4-BE49-F238E27FC236}">
                  <a16:creationId xmlns:a16="http://schemas.microsoft.com/office/drawing/2014/main" id="{00000000-0008-0000-0000-000002000000}"/>
                </a:ext>
              </a:extLst>
            </xdr:cNvPr>
            <xdr:cNvSpPr/>
          </xdr:nvSpPr>
          <xdr:spPr>
            <a:xfrm>
              <a:off x="0" y="9525"/>
              <a:ext cx="15392400" cy="638175"/>
            </a:xfrm>
            <a:prstGeom prst="rect">
              <a:avLst/>
            </a:prstGeom>
            <a:grpFill/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r>
                <a:rPr lang="fr-FR" sz="1400" b="1" u="sng">
                  <a:solidFill>
                    <a:schemeClr val="bg1"/>
                  </a:solidFill>
                  <a:latin typeface="Arial Nova Cond Light" panose="020B0306020202020204" pitchFamily="34" charset="0"/>
                </a:rPr>
                <a:t>TABLEAU</a:t>
              </a:r>
              <a:r>
                <a:rPr lang="fr-FR" sz="1400" b="1" u="sng" baseline="0">
                  <a:solidFill>
                    <a:schemeClr val="bg1"/>
                  </a:solidFill>
                  <a:latin typeface="Arial Nova Cond Light" panose="020B0306020202020204" pitchFamily="34" charset="0"/>
                </a:rPr>
                <a:t> DE BORD   </a:t>
              </a:r>
            </a:p>
            <a:p>
              <a:pPr algn="l"/>
              <a:r>
                <a:rPr lang="fr-FR" sz="1400" b="1" u="sng" baseline="0">
                  <a:solidFill>
                    <a:schemeClr val="bg1"/>
                  </a:solidFill>
                  <a:latin typeface="Arial Nova Cond Light" panose="020B0306020202020204" pitchFamily="34" charset="0"/>
                </a:rPr>
                <a:t>GESTION DES STOCK</a:t>
              </a:r>
              <a:endParaRPr lang="fr-FR" sz="1400" b="1" u="sng">
                <a:solidFill>
                  <a:schemeClr val="bg1"/>
                </a:solidFill>
                <a:latin typeface="Arial Nova Cond Light" panose="020B0306020202020204" pitchFamily="34" charset="0"/>
              </a:endParaRPr>
            </a:p>
          </xdr:txBody>
        </xdr:sp>
        <xdr:pic>
          <xdr:nvPicPr>
            <xdr:cNvPr id="7" name="Graphique 6" descr="Engrenages avec un remplissage uni">
              <a:hlinkClick xmlns:r="http://schemas.openxmlformats.org/officeDocument/2006/relationships" r:id="rId7"/>
              <a:extLst>
                <a:ext uri="{FF2B5EF4-FFF2-40B4-BE49-F238E27FC236}">
                  <a16:creationId xmlns:a16="http://schemas.microsoft.com/office/drawing/2014/main" id="{00000000-0008-0000-0000-000007000000}"/>
                </a:ext>
              </a:extLst>
            </xdr:cNvPr>
            <xdr:cNvPicPr>
              <a:picLocks noChangeAspect="1"/>
            </xdr:cNvPicPr>
          </xdr:nvPicPr>
          <xdr:blipFill>
            <a:blip xmlns:r="http://schemas.openxmlformats.org/officeDocument/2006/relationships" r:embed="rId8">
              <a:extLst>
                <a:ext uri="{28A0092B-C50C-407E-A947-70E740481C1C}">
                  <a14:useLocalDpi xmlns:a14="http://schemas.microsoft.com/office/drawing/2010/main" val="0"/>
                </a:ext>
                <a:ext uri="{96DAC541-7B7A-43D3-8B79-37D633B846F1}">
                  <asvg:svgBlip xmlns:asvg="http://schemas.microsoft.com/office/drawing/2016/SVG/main" r:embed="rId9"/>
                </a:ext>
              </a:extLst>
            </a:blip>
            <a:stretch>
              <a:fillRect/>
            </a:stretch>
          </xdr:blipFill>
          <xdr:spPr>
            <a:xfrm>
              <a:off x="14792325" y="38100"/>
              <a:ext cx="654824" cy="542925"/>
            </a:xfrm>
            <a:prstGeom prst="rect">
              <a:avLst/>
            </a:prstGeom>
          </xdr:spPr>
        </xdr:pic>
        <xdr:pic>
          <xdr:nvPicPr>
            <xdr:cNvPr id="12" name="Graphique 11" descr="Diagramme de Gantt contour">
              <a:hlinkClick xmlns:r="http://schemas.openxmlformats.org/officeDocument/2006/relationships" r:id="rId1"/>
              <a:extLst>
                <a:ext uri="{FF2B5EF4-FFF2-40B4-BE49-F238E27FC236}">
                  <a16:creationId xmlns:a16="http://schemas.microsoft.com/office/drawing/2014/main" id="{00000000-0008-0000-0000-00000C000000}"/>
                </a:ext>
              </a:extLst>
            </xdr:cNvPr>
            <xdr:cNvPicPr>
              <a:picLocks noChangeAspect="1"/>
            </xdr:cNvPicPr>
          </xdr:nvPicPr>
          <xdr:blipFill>
            <a:blip xmlns:r="http://schemas.openxmlformats.org/officeDocument/2006/relationships" r:embed="rId10">
              <a:extLst>
                <a:ext uri="{28A0092B-C50C-407E-A947-70E740481C1C}">
                  <a14:useLocalDpi xmlns:a14="http://schemas.microsoft.com/office/drawing/2010/main" val="0"/>
                </a:ext>
                <a:ext uri="{96DAC541-7B7A-43D3-8B79-37D633B846F1}">
                  <asvg:svgBlip xmlns:asvg="http://schemas.microsoft.com/office/drawing/2016/SVG/main" r:embed="rId11"/>
                </a:ext>
              </a:extLst>
            </a:blip>
            <a:stretch>
              <a:fillRect/>
            </a:stretch>
          </xdr:blipFill>
          <xdr:spPr>
            <a:xfrm>
              <a:off x="14297025" y="28576"/>
              <a:ext cx="590550" cy="571500"/>
            </a:xfrm>
            <a:prstGeom prst="rect">
              <a:avLst/>
            </a:prstGeom>
          </xdr:spPr>
        </xdr:pic>
        <xdr:pic>
          <xdr:nvPicPr>
            <xdr:cNvPr id="13" name="Graphique 12" descr="Architecture avec un remplissage uni">
              <a:hlinkClick xmlns:r="http://schemas.openxmlformats.org/officeDocument/2006/relationships" r:id="rId4"/>
              <a:extLst>
                <a:ext uri="{FF2B5EF4-FFF2-40B4-BE49-F238E27FC236}">
                  <a16:creationId xmlns:a16="http://schemas.microsoft.com/office/drawing/2014/main" id="{00000000-0008-0000-0000-00000D000000}"/>
                </a:ext>
              </a:extLst>
            </xdr:cNvPr>
            <xdr:cNvPicPr>
              <a:picLocks noChangeAspect="1"/>
            </xdr:cNvPicPr>
          </xdr:nvPicPr>
          <xdr:blipFill>
            <a:blip xmlns:r="http://schemas.openxmlformats.org/officeDocument/2006/relationships" r:embed="rId12">
              <a:extLst>
                <a:ext uri="{28A0092B-C50C-407E-A947-70E740481C1C}">
                  <a14:useLocalDpi xmlns:a14="http://schemas.microsoft.com/office/drawing/2010/main" val="0"/>
                </a:ext>
                <a:ext uri="{96DAC541-7B7A-43D3-8B79-37D633B846F1}">
                  <asvg:svgBlip xmlns:asvg="http://schemas.microsoft.com/office/drawing/2016/SVG/main" r:embed="rId13"/>
                </a:ext>
              </a:extLst>
            </a:blip>
            <a:stretch>
              <a:fillRect/>
            </a:stretch>
          </xdr:blipFill>
          <xdr:spPr>
            <a:xfrm>
              <a:off x="13611225" y="0"/>
              <a:ext cx="752476" cy="628650"/>
            </a:xfrm>
            <a:prstGeom prst="rect">
              <a:avLst/>
            </a:prstGeom>
          </xdr:spPr>
        </xdr:pic>
      </xdr:grpSp>
      <xdr:sp macro="" textlink="DATA!AK1">
        <xdr:nvSpPr>
          <xdr:cNvPr id="16" name="ZoneTexte 15">
            <a:extLst>
              <a:ext uri="{FF2B5EF4-FFF2-40B4-BE49-F238E27FC236}">
                <a16:creationId xmlns:a16="http://schemas.microsoft.com/office/drawing/2014/main" id="{00000000-0008-0000-0000-000010000000}"/>
              </a:ext>
            </a:extLst>
          </xdr:cNvPr>
          <xdr:cNvSpPr txBox="1"/>
        </xdr:nvSpPr>
        <xdr:spPr>
          <a:xfrm>
            <a:off x="2129043" y="390526"/>
            <a:ext cx="1521374" cy="3048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fld id="{4BCDC40C-0C00-40AA-98EE-89FCD508F397}" type="TxLink">
              <a:rPr lang="en-US" sz="1200" b="1" i="0" u="sng" strike="noStrike">
                <a:solidFill>
                  <a:schemeClr val="bg1"/>
                </a:solidFill>
                <a:latin typeface="Arial Nova"/>
              </a:rPr>
              <a:pPr algn="ctr"/>
              <a:t>VALEUR STOCK:</a:t>
            </a:fld>
            <a:endParaRPr lang="fr-FR" sz="2000" b="1" u="sng">
              <a:solidFill>
                <a:schemeClr val="bg1"/>
              </a:solidFill>
            </a:endParaRPr>
          </a:p>
        </xdr:txBody>
      </xdr:sp>
    </xdr:grpSp>
    <xdr:clientData/>
  </xdr:twoCellAnchor>
  <xdr:twoCellAnchor>
    <xdr:from>
      <xdr:col>3</xdr:col>
      <xdr:colOff>476250</xdr:colOff>
      <xdr:row>1</xdr:row>
      <xdr:rowOff>180975</xdr:rowOff>
    </xdr:from>
    <xdr:to>
      <xdr:col>4</xdr:col>
      <xdr:colOff>628650</xdr:colOff>
      <xdr:row>3</xdr:row>
      <xdr:rowOff>47625</xdr:rowOff>
    </xdr:to>
    <xdr:sp macro="" textlink="DATA!AL1">
      <xdr:nvSpPr>
        <xdr:cNvPr id="19" name="ZoneTexte 18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SpPr txBox="1"/>
      </xdr:nvSpPr>
      <xdr:spPr>
        <a:xfrm>
          <a:off x="3419475" y="390525"/>
          <a:ext cx="1133475" cy="2857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fld id="{C7F4D3F6-01C1-42DC-AB24-A3491BC7C8A8}" type="TxLink">
            <a:rPr lang="en-US" sz="1400" b="1" i="0" u="sng" strike="noStrike">
              <a:solidFill>
                <a:schemeClr val="bg1"/>
              </a:solidFill>
              <a:latin typeface="Arial Nova"/>
            </a:rPr>
            <a:pPr algn="ctr"/>
            <a:t>57 045 DH</a:t>
          </a:fld>
          <a:endParaRPr lang="fr-FR" sz="2400" u="sng">
            <a:solidFill>
              <a:schemeClr val="bg1"/>
            </a:solidFill>
          </a:endParaRPr>
        </a:p>
      </xdr:txBody>
    </xdr:sp>
    <xdr:clientData/>
  </xdr:twoCellAnchor>
  <xdr:twoCellAnchor editAs="oneCell">
    <xdr:from>
      <xdr:col>0</xdr:col>
      <xdr:colOff>9523</xdr:colOff>
      <xdr:row>3</xdr:row>
      <xdr:rowOff>9525</xdr:rowOff>
    </xdr:from>
    <xdr:to>
      <xdr:col>1</xdr:col>
      <xdr:colOff>914400</xdr:colOff>
      <xdr:row>11</xdr:row>
      <xdr:rowOff>76200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0" name="Famille 1">
              <a:extLst>
                <a:ext uri="{FF2B5EF4-FFF2-40B4-BE49-F238E27FC236}">
                  <a16:creationId xmlns:a16="http://schemas.microsoft.com/office/drawing/2014/main" id="{00000000-0008-0000-0000-000014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Famille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523" y="638175"/>
              <a:ext cx="1885952" cy="14192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733425</xdr:colOff>
          <xdr:row>12</xdr:row>
          <xdr:rowOff>28575</xdr:rowOff>
        </xdr:from>
        <xdr:to>
          <xdr:col>0</xdr:col>
          <xdr:colOff>962025</xdr:colOff>
          <xdr:row>20</xdr:row>
          <xdr:rowOff>47625</xdr:rowOff>
        </xdr:to>
        <xdr:sp macro="" textlink="">
          <xdr:nvSpPr>
            <xdr:cNvPr id="1025" name="Scroll Bar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800100</xdr:colOff>
          <xdr:row>12</xdr:row>
          <xdr:rowOff>47625</xdr:rowOff>
        </xdr:from>
        <xdr:to>
          <xdr:col>9</xdr:col>
          <xdr:colOff>0</xdr:colOff>
          <xdr:row>20</xdr:row>
          <xdr:rowOff>19050</xdr:rowOff>
        </xdr:to>
        <xdr:sp macro="" textlink="">
          <xdr:nvSpPr>
            <xdr:cNvPr id="1027" name="Scroll Bar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733425</xdr:colOff>
          <xdr:row>20</xdr:row>
          <xdr:rowOff>85725</xdr:rowOff>
        </xdr:from>
        <xdr:to>
          <xdr:col>0</xdr:col>
          <xdr:colOff>933450</xdr:colOff>
          <xdr:row>28</xdr:row>
          <xdr:rowOff>38100</xdr:rowOff>
        </xdr:to>
        <xdr:sp macro="" textlink="">
          <xdr:nvSpPr>
            <xdr:cNvPr id="1028" name="Scroll Bar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800100</xdr:colOff>
          <xdr:row>20</xdr:row>
          <xdr:rowOff>95250</xdr:rowOff>
        </xdr:from>
        <xdr:to>
          <xdr:col>8</xdr:col>
          <xdr:colOff>971550</xdr:colOff>
          <xdr:row>28</xdr:row>
          <xdr:rowOff>47625</xdr:rowOff>
        </xdr:to>
        <xdr:sp macro="" textlink="">
          <xdr:nvSpPr>
            <xdr:cNvPr id="1029" name="Scroll Bar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742950</xdr:colOff>
          <xdr:row>28</xdr:row>
          <xdr:rowOff>76200</xdr:rowOff>
        </xdr:from>
        <xdr:to>
          <xdr:col>0</xdr:col>
          <xdr:colOff>942975</xdr:colOff>
          <xdr:row>36</xdr:row>
          <xdr:rowOff>104775</xdr:rowOff>
        </xdr:to>
        <xdr:sp macro="" textlink="">
          <xdr:nvSpPr>
            <xdr:cNvPr id="1076" name="Scroll Bar 52" hidden="1">
              <a:extLst>
                <a:ext uri="{63B3BB69-23CF-44E3-9099-C40C66FF867C}">
                  <a14:compatExt spid="_x0000_s1076"/>
                </a:ext>
                <a:ext uri="{FF2B5EF4-FFF2-40B4-BE49-F238E27FC236}">
                  <a16:creationId xmlns:a16="http://schemas.microsoft.com/office/drawing/2014/main" id="{00000000-0008-0000-0000-00003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733425</xdr:colOff>
          <xdr:row>36</xdr:row>
          <xdr:rowOff>142875</xdr:rowOff>
        </xdr:from>
        <xdr:to>
          <xdr:col>0</xdr:col>
          <xdr:colOff>933450</xdr:colOff>
          <xdr:row>44</xdr:row>
          <xdr:rowOff>95250</xdr:rowOff>
        </xdr:to>
        <xdr:sp macro="" textlink="">
          <xdr:nvSpPr>
            <xdr:cNvPr id="1078" name="Scroll Bar 54" hidden="1">
              <a:extLst>
                <a:ext uri="{63B3BB69-23CF-44E3-9099-C40C66FF867C}">
                  <a14:compatExt spid="_x0000_s1078"/>
                </a:ext>
                <a:ext uri="{FF2B5EF4-FFF2-40B4-BE49-F238E27FC236}">
                  <a16:creationId xmlns:a16="http://schemas.microsoft.com/office/drawing/2014/main" id="{00000000-0008-0000-0000-00003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790575</xdr:colOff>
          <xdr:row>28</xdr:row>
          <xdr:rowOff>28575</xdr:rowOff>
        </xdr:from>
        <xdr:to>
          <xdr:col>8</xdr:col>
          <xdr:colOff>962025</xdr:colOff>
          <xdr:row>35</xdr:row>
          <xdr:rowOff>133350</xdr:rowOff>
        </xdr:to>
        <xdr:sp macro="" textlink="">
          <xdr:nvSpPr>
            <xdr:cNvPr id="1116" name="Scroll Bar 92" hidden="1">
              <a:extLst>
                <a:ext uri="{63B3BB69-23CF-44E3-9099-C40C66FF867C}">
                  <a14:compatExt spid="_x0000_s1116"/>
                </a:ext>
                <a:ext uri="{FF2B5EF4-FFF2-40B4-BE49-F238E27FC236}">
                  <a16:creationId xmlns:a16="http://schemas.microsoft.com/office/drawing/2014/main" id="{00000000-0008-0000-0000-00005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790575</xdr:colOff>
          <xdr:row>36</xdr:row>
          <xdr:rowOff>19050</xdr:rowOff>
        </xdr:from>
        <xdr:to>
          <xdr:col>8</xdr:col>
          <xdr:colOff>962025</xdr:colOff>
          <xdr:row>43</xdr:row>
          <xdr:rowOff>123825</xdr:rowOff>
        </xdr:to>
        <xdr:sp macro="" textlink="">
          <xdr:nvSpPr>
            <xdr:cNvPr id="1118" name="Scroll Bar 94" hidden="1">
              <a:extLst>
                <a:ext uri="{63B3BB69-23CF-44E3-9099-C40C66FF867C}">
                  <a14:compatExt spid="_x0000_s1118"/>
                </a:ext>
                <a:ext uri="{FF2B5EF4-FFF2-40B4-BE49-F238E27FC236}">
                  <a16:creationId xmlns:a16="http://schemas.microsoft.com/office/drawing/2014/main" id="{00000000-0008-0000-0000-00005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 editAs="absolute">
    <xdr:from>
      <xdr:col>3</xdr:col>
      <xdr:colOff>909636</xdr:colOff>
      <xdr:row>12</xdr:row>
      <xdr:rowOff>114300</xdr:rowOff>
    </xdr:from>
    <xdr:to>
      <xdr:col>15</xdr:col>
      <xdr:colOff>457200</xdr:colOff>
      <xdr:row>44</xdr:row>
      <xdr:rowOff>19050</xdr:rowOff>
    </xdr:to>
    <xdr:grpSp>
      <xdr:nvGrpSpPr>
        <xdr:cNvPr id="21" name="Groupe 20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GrpSpPr/>
      </xdr:nvGrpSpPr>
      <xdr:grpSpPr>
        <a:xfrm>
          <a:off x="3852861" y="2133600"/>
          <a:ext cx="10787064" cy="4781550"/>
          <a:chOff x="3852861" y="2133600"/>
          <a:chExt cx="10701339" cy="4781550"/>
        </a:xfrm>
      </xdr:grpSpPr>
      <xdr:graphicFrame macro="">
        <xdr:nvGraphicFramePr>
          <xdr:cNvPr id="6" name="Graphique 5">
            <a:extLst>
              <a:ext uri="{FF2B5EF4-FFF2-40B4-BE49-F238E27FC236}">
                <a16:creationId xmlns:a16="http://schemas.microsoft.com/office/drawing/2014/main" id="{00000000-0008-0000-0000-000006000000}"/>
              </a:ext>
            </a:extLst>
          </xdr:cNvPr>
          <xdr:cNvGraphicFramePr/>
        </xdr:nvGraphicFramePr>
        <xdr:xfrm>
          <a:off x="3952875" y="2133600"/>
          <a:ext cx="3381375" cy="1104900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14"/>
          </a:graphicData>
        </a:graphic>
      </xdr:graphicFrame>
      <xdr:graphicFrame macro="">
        <xdr:nvGraphicFramePr>
          <xdr:cNvPr id="8" name="Graphique 7">
            <a:extLst>
              <a:ext uri="{FF2B5EF4-FFF2-40B4-BE49-F238E27FC236}">
                <a16:creationId xmlns:a16="http://schemas.microsoft.com/office/drawing/2014/main" id="{00000000-0008-0000-0000-000008000000}"/>
              </a:ext>
            </a:extLst>
          </xdr:cNvPr>
          <xdr:cNvGraphicFramePr/>
        </xdr:nvGraphicFramePr>
        <xdr:xfrm>
          <a:off x="11182350" y="2152650"/>
          <a:ext cx="3295650" cy="1085849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15"/>
          </a:graphicData>
        </a:graphic>
      </xdr:graphicFrame>
      <xdr:graphicFrame macro="">
        <xdr:nvGraphicFramePr>
          <xdr:cNvPr id="10" name="Graphique 9">
            <a:extLst>
              <a:ext uri="{FF2B5EF4-FFF2-40B4-BE49-F238E27FC236}">
                <a16:creationId xmlns:a16="http://schemas.microsoft.com/office/drawing/2014/main" id="{00000000-0008-0000-0000-00000A000000}"/>
              </a:ext>
            </a:extLst>
          </xdr:cNvPr>
          <xdr:cNvGraphicFramePr/>
        </xdr:nvGraphicFramePr>
        <xdr:xfrm>
          <a:off x="11277600" y="5819775"/>
          <a:ext cx="3228975" cy="1095375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16"/>
          </a:graphicData>
        </a:graphic>
      </xdr:graphicFrame>
      <xdr:graphicFrame macro="">
        <xdr:nvGraphicFramePr>
          <xdr:cNvPr id="18" name="Graphique 17">
            <a:extLst>
              <a:ext uri="{FF2B5EF4-FFF2-40B4-BE49-F238E27FC236}">
                <a16:creationId xmlns:a16="http://schemas.microsoft.com/office/drawing/2014/main" id="{00000000-0008-0000-0000-000012000000}"/>
              </a:ext>
            </a:extLst>
          </xdr:cNvPr>
          <xdr:cNvGraphicFramePr/>
        </xdr:nvGraphicFramePr>
        <xdr:xfrm>
          <a:off x="3933825" y="4562475"/>
          <a:ext cx="3314700" cy="1114425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17"/>
          </a:graphicData>
        </a:graphic>
      </xdr:graphicFrame>
      <xdr:graphicFrame macro="">
        <xdr:nvGraphicFramePr>
          <xdr:cNvPr id="24" name="Graphique 23">
            <a:extLst>
              <a:ext uri="{FF2B5EF4-FFF2-40B4-BE49-F238E27FC236}">
                <a16:creationId xmlns:a16="http://schemas.microsoft.com/office/drawing/2014/main" id="{00000000-0008-0000-0000-000018000000}"/>
              </a:ext>
            </a:extLst>
          </xdr:cNvPr>
          <xdr:cNvGraphicFramePr/>
        </xdr:nvGraphicFramePr>
        <xdr:xfrm>
          <a:off x="3852861" y="5514975"/>
          <a:ext cx="3376614" cy="1104900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18"/>
          </a:graphicData>
        </a:graphic>
      </xdr:graphicFrame>
      <xdr:graphicFrame macro="">
        <xdr:nvGraphicFramePr>
          <xdr:cNvPr id="22" name="Graphique 21">
            <a:extLst>
              <a:ext uri="{FF2B5EF4-FFF2-40B4-BE49-F238E27FC236}">
                <a16:creationId xmlns:a16="http://schemas.microsoft.com/office/drawing/2014/main" id="{00000000-0008-0000-0000-000016000000}"/>
              </a:ext>
            </a:extLst>
          </xdr:cNvPr>
          <xdr:cNvGraphicFramePr/>
        </xdr:nvGraphicFramePr>
        <xdr:xfrm>
          <a:off x="3943350" y="3343275"/>
          <a:ext cx="3295650" cy="1171575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19"/>
          </a:graphicData>
        </a:graphic>
      </xdr:graphicFrame>
      <xdr:graphicFrame macro="">
        <xdr:nvGraphicFramePr>
          <xdr:cNvPr id="23" name="Graphique 22">
            <a:extLst>
              <a:ext uri="{FF2B5EF4-FFF2-40B4-BE49-F238E27FC236}">
                <a16:creationId xmlns:a16="http://schemas.microsoft.com/office/drawing/2014/main" id="{00000000-0008-0000-0000-000017000000}"/>
              </a:ext>
            </a:extLst>
          </xdr:cNvPr>
          <xdr:cNvGraphicFramePr/>
        </xdr:nvGraphicFramePr>
        <xdr:xfrm>
          <a:off x="11253787" y="3228975"/>
          <a:ext cx="3300413" cy="1238250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20"/>
          </a:graphicData>
        </a:graphic>
      </xdr:graphicFrame>
      <xdr:graphicFrame macro="">
        <xdr:nvGraphicFramePr>
          <xdr:cNvPr id="11" name="Graphique 10">
            <a:extLst>
              <a:ext uri="{FF2B5EF4-FFF2-40B4-BE49-F238E27FC236}">
                <a16:creationId xmlns:a16="http://schemas.microsoft.com/office/drawing/2014/main" id="{00000000-0008-0000-0000-00000B000000}"/>
              </a:ext>
            </a:extLst>
          </xdr:cNvPr>
          <xdr:cNvGraphicFramePr/>
        </xdr:nvGraphicFramePr>
        <xdr:xfrm>
          <a:off x="10887075" y="4486275"/>
          <a:ext cx="3638550" cy="1533525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21"/>
          </a:graphicData>
        </a:graphic>
      </xdr:graphicFrame>
    </xdr:grpSp>
    <xdr:clientData/>
  </xdr:twoCellAnchor>
  <xdr:twoCellAnchor editAs="oneCell">
    <xdr:from>
      <xdr:col>2</xdr:col>
      <xdr:colOff>142873</xdr:colOff>
      <xdr:row>0</xdr:row>
      <xdr:rowOff>28576</xdr:rowOff>
    </xdr:from>
    <xdr:to>
      <xdr:col>13</xdr:col>
      <xdr:colOff>409575</xdr:colOff>
      <xdr:row>2</xdr:row>
      <xdr:rowOff>38100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8" name="Mois 1">
              <a:extLst>
                <a:ext uri="{FF2B5EF4-FFF2-40B4-BE49-F238E27FC236}">
                  <a16:creationId xmlns:a16="http://schemas.microsoft.com/office/drawing/2014/main" id="{00000000-0008-0000-0000-00003A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105023" y="28576"/>
              <a:ext cx="10620377" cy="42862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2</xdr:col>
      <xdr:colOff>0</xdr:colOff>
      <xdr:row>3</xdr:row>
      <xdr:rowOff>0</xdr:rowOff>
    </xdr:from>
    <xdr:to>
      <xdr:col>7</xdr:col>
      <xdr:colOff>828675</xdr:colOff>
      <xdr:row>12</xdr:row>
      <xdr:rowOff>57150</xdr:rowOff>
    </xdr:to>
    <xdr:graphicFrame macro="">
      <xdr:nvGraphicFramePr>
        <xdr:cNvPr id="57" name="Graphique 56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2"/>
        </a:graphicData>
      </a:graphic>
    </xdr:graphicFrame>
    <xdr:clientData/>
  </xdr:twoCellAnchor>
  <xdr:twoCellAnchor editAs="absolute">
    <xdr:from>
      <xdr:col>7</xdr:col>
      <xdr:colOff>762001</xdr:colOff>
      <xdr:row>2</xdr:row>
      <xdr:rowOff>180975</xdr:rowOff>
    </xdr:from>
    <xdr:to>
      <xdr:col>10</xdr:col>
      <xdr:colOff>781051</xdr:colOff>
      <xdr:row>12</xdr:row>
      <xdr:rowOff>95250</xdr:rowOff>
    </xdr:to>
    <xdr:graphicFrame macro="">
      <xdr:nvGraphicFramePr>
        <xdr:cNvPr id="59" name="Graphique 58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3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68291</xdr:colOff>
      <xdr:row>1</xdr:row>
      <xdr:rowOff>523876</xdr:rowOff>
    </xdr:from>
    <xdr:to>
      <xdr:col>11</xdr:col>
      <xdr:colOff>95251</xdr:colOff>
      <xdr:row>5</xdr:row>
      <xdr:rowOff>1</xdr:rowOff>
    </xdr:to>
    <xdr:sp macro="[0]!VALIDE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7916891" y="1076326"/>
          <a:ext cx="2312960" cy="666750"/>
        </a:xfrm>
        <a:prstGeom prst="roundRect">
          <a:avLst/>
        </a:prstGeom>
        <a:ln>
          <a:noFill/>
        </a:ln>
        <a:effectLst>
          <a:outerShdw blurRad="184150" dist="241300" dir="11520000" sx="110000" sy="110000" algn="ctr">
            <a:srgbClr val="000000">
              <a:alpha val="18000"/>
            </a:srgbClr>
          </a:outerShdw>
        </a:effectLst>
        <a:scene3d>
          <a:camera prst="perspectiveFront" fov="5100000">
            <a:rot lat="0" lon="0" rev="0"/>
          </a:camera>
          <a:lightRig rig="flood" dir="t">
            <a:rot lat="0" lon="0" rev="13800000"/>
          </a:lightRig>
        </a:scene3d>
        <a:sp3d extrusionH="107950" prstMaterial="plastic">
          <a:bevelT w="82550" h="63500" prst="divot"/>
          <a:bevelB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>
              <a:latin typeface="Arial Rounded MT Bold" panose="020F0704030504030204" pitchFamily="34" charset="0"/>
            </a:rPr>
            <a:t>VALIDER</a:t>
          </a:r>
        </a:p>
      </xdr:txBody>
    </xdr:sp>
    <xdr:clientData/>
  </xdr:twoCellAnchor>
  <xdr:twoCellAnchor>
    <xdr:from>
      <xdr:col>1</xdr:col>
      <xdr:colOff>114301</xdr:colOff>
      <xdr:row>0</xdr:row>
      <xdr:rowOff>209550</xdr:rowOff>
    </xdr:from>
    <xdr:to>
      <xdr:col>11</xdr:col>
      <xdr:colOff>95251</xdr:colOff>
      <xdr:row>1</xdr:row>
      <xdr:rowOff>428625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2324101" y="209550"/>
          <a:ext cx="7905750" cy="771525"/>
        </a:xfrm>
        <a:prstGeom prst="roundRect">
          <a:avLst/>
        </a:prstGeom>
        <a:ln>
          <a:noFill/>
        </a:ln>
        <a:effectLst>
          <a:outerShdw blurRad="184150" dist="241300" dir="11520000" sx="110000" sy="110000" algn="ctr">
            <a:srgbClr val="000000">
              <a:alpha val="18000"/>
            </a:srgbClr>
          </a:outerShdw>
        </a:effectLst>
        <a:scene3d>
          <a:camera prst="perspectiveFront" fov="5100000">
            <a:rot lat="0" lon="0" rev="0"/>
          </a:camera>
          <a:lightRig rig="flood" dir="t">
            <a:rot lat="0" lon="0" rev="13800000"/>
          </a:lightRig>
        </a:scene3d>
        <a:sp3d extrusionH="107950" prstMaterial="plastic">
          <a:bevelT w="82550" h="63500" prst="divot"/>
          <a:bevelB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4000">
              <a:latin typeface="Arial Rounded MT Bold" panose="020F0704030504030204" pitchFamily="34" charset="0"/>
            </a:rPr>
            <a:t>GESTION DE STOCK</a:t>
          </a:r>
        </a:p>
      </xdr:txBody>
    </xdr:sp>
    <xdr:clientData/>
  </xdr:twoCellAnchor>
  <xdr:twoCellAnchor>
    <xdr:from>
      <xdr:col>8</xdr:col>
      <xdr:colOff>68291</xdr:colOff>
      <xdr:row>6</xdr:row>
      <xdr:rowOff>9526</xdr:rowOff>
    </xdr:from>
    <xdr:to>
      <xdr:col>11</xdr:col>
      <xdr:colOff>95251</xdr:colOff>
      <xdr:row>9</xdr:row>
      <xdr:rowOff>28576</xdr:rowOff>
    </xdr:to>
    <xdr:sp macro="[0]!RETOUR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7916891" y="1809751"/>
          <a:ext cx="2312960" cy="666750"/>
        </a:xfrm>
        <a:prstGeom prst="roundRect">
          <a:avLst/>
        </a:prstGeom>
        <a:ln>
          <a:noFill/>
        </a:ln>
        <a:effectLst>
          <a:outerShdw blurRad="184150" dist="241300" dir="11520000" sx="110000" sy="110000" algn="ctr">
            <a:srgbClr val="000000">
              <a:alpha val="18000"/>
            </a:srgbClr>
          </a:outerShdw>
        </a:effectLst>
        <a:scene3d>
          <a:camera prst="perspectiveFront" fov="5100000">
            <a:rot lat="0" lon="0" rev="0"/>
          </a:camera>
          <a:lightRig rig="flood" dir="t">
            <a:rot lat="0" lon="0" rev="13800000"/>
          </a:lightRig>
        </a:scene3d>
        <a:sp3d extrusionH="107950" prstMaterial="plastic">
          <a:bevelT w="82550" h="63500" prst="divot"/>
          <a:bevelB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2800">
              <a:solidFill>
                <a:schemeClr val="lt1"/>
              </a:solidFill>
              <a:latin typeface="Arial Rounded MT Bold" panose="020F0704030504030204" pitchFamily="34" charset="0"/>
              <a:ea typeface="+mn-ea"/>
              <a:cs typeface="+mn-cs"/>
            </a:rPr>
            <a:t>RETOUR</a:t>
          </a:r>
        </a:p>
      </xdr:txBody>
    </xdr:sp>
    <xdr:clientData/>
  </xdr:twoCellAnchor>
  <xdr:twoCellAnchor>
    <xdr:from>
      <xdr:col>8</xdr:col>
      <xdr:colOff>68291</xdr:colOff>
      <xdr:row>10</xdr:row>
      <xdr:rowOff>47625</xdr:rowOff>
    </xdr:from>
    <xdr:to>
      <xdr:col>11</xdr:col>
      <xdr:colOff>95251</xdr:colOff>
      <xdr:row>13</xdr:row>
      <xdr:rowOff>38100</xdr:rowOff>
    </xdr:to>
    <xdr:sp macro="[0]!ACTUALISER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7916891" y="2552700"/>
          <a:ext cx="2312960" cy="638175"/>
        </a:xfrm>
        <a:prstGeom prst="roundRect">
          <a:avLst/>
        </a:prstGeom>
        <a:ln>
          <a:noFill/>
        </a:ln>
        <a:effectLst>
          <a:outerShdw blurRad="184150" dist="241300" dir="11520000" sx="110000" sy="110000" algn="ctr">
            <a:srgbClr val="000000">
              <a:alpha val="18000"/>
            </a:srgbClr>
          </a:outerShdw>
        </a:effectLst>
        <a:scene3d>
          <a:camera prst="perspectiveFront" fov="5100000">
            <a:rot lat="0" lon="0" rev="0"/>
          </a:camera>
          <a:lightRig rig="flood" dir="t">
            <a:rot lat="0" lon="0" rev="13800000"/>
          </a:lightRig>
        </a:scene3d>
        <a:sp3d extrusionH="107950" prstMaterial="plastic">
          <a:bevelT w="82550" h="63500" prst="divot"/>
          <a:bevelB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2800">
              <a:solidFill>
                <a:schemeClr val="lt1"/>
              </a:solidFill>
              <a:latin typeface="Arial Rounded MT Bold" panose="020F0704030504030204" pitchFamily="34" charset="0"/>
              <a:ea typeface="+mn-ea"/>
              <a:cs typeface="+mn-cs"/>
            </a:rPr>
            <a:t>ACTU</a:t>
          </a:r>
        </a:p>
      </xdr:txBody>
    </xdr:sp>
    <xdr:clientData/>
  </xdr:twoCellAnchor>
  <xdr:twoCellAnchor>
    <xdr:from>
      <xdr:col>8</xdr:col>
      <xdr:colOff>87341</xdr:colOff>
      <xdr:row>14</xdr:row>
      <xdr:rowOff>19051</xdr:rowOff>
    </xdr:from>
    <xdr:to>
      <xdr:col>11</xdr:col>
      <xdr:colOff>114301</xdr:colOff>
      <xdr:row>16</xdr:row>
      <xdr:rowOff>276226</xdr:rowOff>
    </xdr:to>
    <xdr:sp macro="" textlink="">
      <xdr:nvSpPr>
        <xdr:cNvPr id="6" name="Rectangle : coins arrondis 5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/>
      </xdr:nvSpPr>
      <xdr:spPr>
        <a:xfrm>
          <a:off x="7935941" y="3228976"/>
          <a:ext cx="2312960" cy="609600"/>
        </a:xfrm>
        <a:prstGeom prst="roundRect">
          <a:avLst/>
        </a:prstGeom>
        <a:ln>
          <a:noFill/>
        </a:ln>
        <a:effectLst>
          <a:outerShdw blurRad="184150" dist="241300" dir="11520000" sx="110000" sy="110000" algn="ctr">
            <a:srgbClr val="000000">
              <a:alpha val="18000"/>
            </a:srgbClr>
          </a:outerShdw>
        </a:effectLst>
        <a:scene3d>
          <a:camera prst="perspectiveFront" fov="5100000">
            <a:rot lat="0" lon="0" rev="0"/>
          </a:camera>
          <a:lightRig rig="flood" dir="t">
            <a:rot lat="0" lon="0" rev="13800000"/>
          </a:lightRig>
        </a:scene3d>
        <a:sp3d extrusionH="107950" prstMaterial="plastic">
          <a:bevelT w="82550" h="63500" prst="divot"/>
          <a:bevelB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2800">
              <a:solidFill>
                <a:schemeClr val="lt1"/>
              </a:solidFill>
              <a:latin typeface="Arial Rounded MT Bold" panose="020F0704030504030204" pitchFamily="34" charset="0"/>
              <a:ea typeface="+mn-ea"/>
              <a:cs typeface="+mn-cs"/>
            </a:rPr>
            <a:t>DATA</a:t>
          </a:r>
        </a:p>
      </xdr:txBody>
    </xdr:sp>
    <xdr:clientData/>
  </xdr:twoCellAnchor>
  <xdr:twoCellAnchor>
    <xdr:from>
      <xdr:col>8</xdr:col>
      <xdr:colOff>104775</xdr:colOff>
      <xdr:row>18</xdr:row>
      <xdr:rowOff>9525</xdr:rowOff>
    </xdr:from>
    <xdr:to>
      <xdr:col>11</xdr:col>
      <xdr:colOff>131735</xdr:colOff>
      <xdr:row>20</xdr:row>
      <xdr:rowOff>266700</xdr:rowOff>
    </xdr:to>
    <xdr:sp macro="" textlink="">
      <xdr:nvSpPr>
        <xdr:cNvPr id="7" name="Rectangle : coins arrondis 6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>
          <a:off x="7953375" y="3924300"/>
          <a:ext cx="2312960" cy="609600"/>
        </a:xfrm>
        <a:prstGeom prst="roundRect">
          <a:avLst/>
        </a:prstGeom>
        <a:ln>
          <a:noFill/>
        </a:ln>
        <a:effectLst>
          <a:outerShdw blurRad="184150" dist="241300" dir="11520000" sx="110000" sy="110000" algn="ctr">
            <a:srgbClr val="000000">
              <a:alpha val="18000"/>
            </a:srgbClr>
          </a:outerShdw>
        </a:effectLst>
        <a:scene3d>
          <a:camera prst="perspectiveFront" fov="5100000">
            <a:rot lat="0" lon="0" rev="0"/>
          </a:camera>
          <a:lightRig rig="flood" dir="t">
            <a:rot lat="0" lon="0" rev="13800000"/>
          </a:lightRig>
        </a:scene3d>
        <a:sp3d extrusionH="107950" prstMaterial="plastic">
          <a:bevelT w="82550" h="63500" prst="divot"/>
          <a:bevelB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2800">
              <a:solidFill>
                <a:schemeClr val="lt1"/>
              </a:solidFill>
              <a:latin typeface="Arial Rounded MT Bold" panose="020F0704030504030204" pitchFamily="34" charset="0"/>
              <a:ea typeface="+mn-ea"/>
              <a:cs typeface="+mn-cs"/>
            </a:rPr>
            <a:t>TdB</a:t>
          </a:r>
        </a:p>
      </xdr:txBody>
    </xdr:sp>
    <xdr:clientData/>
  </xdr:twoCellAnchor>
  <xdr:twoCellAnchor editAs="oneCell">
    <xdr:from>
      <xdr:col>0</xdr:col>
      <xdr:colOff>28575</xdr:colOff>
      <xdr:row>0</xdr:row>
      <xdr:rowOff>28575</xdr:rowOff>
    </xdr:from>
    <xdr:to>
      <xdr:col>0</xdr:col>
      <xdr:colOff>2181225</xdr:colOff>
      <xdr:row>1</xdr:row>
      <xdr:rowOff>523875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8575" y="28575"/>
          <a:ext cx="2152650" cy="104775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9524</xdr:colOff>
      <xdr:row>0</xdr:row>
      <xdr:rowOff>114299</xdr:rowOff>
    </xdr:from>
    <xdr:to>
      <xdr:col>0</xdr:col>
      <xdr:colOff>914399</xdr:colOff>
      <xdr:row>3</xdr:row>
      <xdr:rowOff>19050</xdr:rowOff>
    </xdr:to>
    <xdr:sp macro="" textlink="">
      <xdr:nvSpPr>
        <xdr:cNvPr id="2" name="Flèche : droit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9524" y="114299"/>
          <a:ext cx="904875" cy="476251"/>
        </a:xfrm>
        <a:prstGeom prst="right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 i="1" u="sng"/>
            <a:t>SAISIE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47625</xdr:colOff>
      <xdr:row>5</xdr:row>
      <xdr:rowOff>76200</xdr:rowOff>
    </xdr:from>
    <xdr:to>
      <xdr:col>15</xdr:col>
      <xdr:colOff>0</xdr:colOff>
      <xdr:row>19</xdr:row>
      <xdr:rowOff>47625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Fournisseur">
              <a:extLst>
                <a:ext uri="{FF2B5EF4-FFF2-40B4-BE49-F238E27FC236}">
                  <a16:creationId xmlns:a16="http://schemas.microsoft.com/office/drawing/2014/main" id="{00000000-0008-0000-0300-000004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Fournisseur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296150" y="885825"/>
              <a:ext cx="1828800" cy="25812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12</xdr:col>
      <xdr:colOff>47625</xdr:colOff>
      <xdr:row>7</xdr:row>
      <xdr:rowOff>0</xdr:rowOff>
    </xdr:from>
    <xdr:to>
      <xdr:col>15</xdr:col>
      <xdr:colOff>0</xdr:colOff>
      <xdr:row>21</xdr:row>
      <xdr:rowOff>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N°parc">
              <a:extLst>
                <a:ext uri="{FF2B5EF4-FFF2-40B4-BE49-F238E27FC236}">
                  <a16:creationId xmlns:a16="http://schemas.microsoft.com/office/drawing/2014/main" id="{00000000-0008-0000-0300-000005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°parc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296150" y="1162050"/>
              <a:ext cx="1828800" cy="25812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12</xdr:col>
      <xdr:colOff>47625</xdr:colOff>
      <xdr:row>8</xdr:row>
      <xdr:rowOff>57150</xdr:rowOff>
    </xdr:from>
    <xdr:to>
      <xdr:col>15</xdr:col>
      <xdr:colOff>0</xdr:colOff>
      <xdr:row>22</xdr:row>
      <xdr:rowOff>85725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6" name="marque">
              <a:extLst>
                <a:ext uri="{FF2B5EF4-FFF2-40B4-BE49-F238E27FC236}">
                  <a16:creationId xmlns:a16="http://schemas.microsoft.com/office/drawing/2014/main" id="{00000000-0008-0000-0300-000006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arqu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296150" y="1409700"/>
              <a:ext cx="1828800" cy="25812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12</xdr:col>
      <xdr:colOff>47625</xdr:colOff>
      <xdr:row>9</xdr:row>
      <xdr:rowOff>123825</xdr:rowOff>
    </xdr:from>
    <xdr:to>
      <xdr:col>15</xdr:col>
      <xdr:colOff>0</xdr:colOff>
      <xdr:row>24</xdr:row>
      <xdr:rowOff>47625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7" name="type">
              <a:extLst>
                <a:ext uri="{FF2B5EF4-FFF2-40B4-BE49-F238E27FC236}">
                  <a16:creationId xmlns:a16="http://schemas.microsoft.com/office/drawing/2014/main" id="{00000000-0008-0000-0300-000007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yp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296150" y="1666875"/>
              <a:ext cx="1828800" cy="26098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12</xdr:col>
      <xdr:colOff>47625</xdr:colOff>
      <xdr:row>11</xdr:row>
      <xdr:rowOff>76200</xdr:rowOff>
    </xdr:from>
    <xdr:to>
      <xdr:col>15</xdr:col>
      <xdr:colOff>0</xdr:colOff>
      <xdr:row>26</xdr:row>
      <xdr:rowOff>57150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8" name="catégorie">
              <a:extLst>
                <a:ext uri="{FF2B5EF4-FFF2-40B4-BE49-F238E27FC236}">
                  <a16:creationId xmlns:a16="http://schemas.microsoft.com/office/drawing/2014/main" id="{00000000-0008-0000-0300-000008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atégori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296150" y="2000250"/>
              <a:ext cx="1828800" cy="26384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59</xdr:col>
      <xdr:colOff>247650</xdr:colOff>
      <xdr:row>2</xdr:row>
      <xdr:rowOff>19050</xdr:rowOff>
    </xdr:from>
    <xdr:to>
      <xdr:col>66</xdr:col>
      <xdr:colOff>609600</xdr:colOff>
      <xdr:row>4</xdr:row>
      <xdr:rowOff>104775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9" name="Famille">
              <a:extLst>
                <a:ext uri="{FF2B5EF4-FFF2-40B4-BE49-F238E27FC236}">
                  <a16:creationId xmlns:a16="http://schemas.microsoft.com/office/drawing/2014/main" id="{00000000-0008-0000-0300-000009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Famill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4091225" y="342900"/>
              <a:ext cx="5734050" cy="4095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12</xdr:col>
      <xdr:colOff>47625</xdr:colOff>
      <xdr:row>12</xdr:row>
      <xdr:rowOff>104775</xdr:rowOff>
    </xdr:from>
    <xdr:to>
      <xdr:col>15</xdr:col>
      <xdr:colOff>0</xdr:colOff>
      <xdr:row>27</xdr:row>
      <xdr:rowOff>57150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10" name="Sous famille">
              <a:extLst>
                <a:ext uri="{FF2B5EF4-FFF2-40B4-BE49-F238E27FC236}">
                  <a16:creationId xmlns:a16="http://schemas.microsoft.com/office/drawing/2014/main" id="{00000000-0008-0000-0300-00000A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ous famill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296150" y="2219325"/>
              <a:ext cx="1828800" cy="25812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62</xdr:col>
      <xdr:colOff>428625</xdr:colOff>
      <xdr:row>24</xdr:row>
      <xdr:rowOff>180975</xdr:rowOff>
    </xdr:from>
    <xdr:to>
      <xdr:col>73</xdr:col>
      <xdr:colOff>219075</xdr:colOff>
      <xdr:row>27</xdr:row>
      <xdr:rowOff>47625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Mois">
              <a:extLst>
                <a:ext uri="{FF2B5EF4-FFF2-40B4-BE49-F238E27FC236}">
                  <a16:creationId xmlns:a16="http://schemas.microsoft.com/office/drawing/2014/main" id="{00000000-0008-0000-0300-000003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6501050" y="4524375"/>
              <a:ext cx="8191500" cy="4095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66</xdr:col>
      <xdr:colOff>461961</xdr:colOff>
      <xdr:row>20</xdr:row>
      <xdr:rowOff>95250</xdr:rowOff>
    </xdr:from>
    <xdr:to>
      <xdr:col>74</xdr:col>
      <xdr:colOff>447674</xdr:colOff>
      <xdr:row>29</xdr:row>
      <xdr:rowOff>57150</xdr:rowOff>
    </xdr:to>
    <xdr:graphicFrame macro="">
      <xdr:nvGraphicFramePr>
        <xdr:cNvPr id="13" name="Graphique 12">
          <a:extLst>
            <a:ext uri="{FF2B5EF4-FFF2-40B4-BE49-F238E27FC236}">
              <a16:creationId xmlns:a16="http://schemas.microsoft.com/office/drawing/2014/main" id="{00000000-0008-0000-0300-00000D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28</xdr:col>
      <xdr:colOff>128587</xdr:colOff>
      <xdr:row>12</xdr:row>
      <xdr:rowOff>38100</xdr:rowOff>
    </xdr:from>
    <xdr:to>
      <xdr:col>32</xdr:col>
      <xdr:colOff>685800</xdr:colOff>
      <xdr:row>27</xdr:row>
      <xdr:rowOff>152400</xdr:rowOff>
    </xdr:to>
    <xdr:graphicFrame macro="">
      <xdr:nvGraphicFramePr>
        <xdr:cNvPr id="14" name="Graphique 13">
          <a:extLst>
            <a:ext uri="{FF2B5EF4-FFF2-40B4-BE49-F238E27FC236}">
              <a16:creationId xmlns:a16="http://schemas.microsoft.com/office/drawing/2014/main" id="{00000000-0008-0000-0300-00000E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33634" refreshedDate="44571.604201273149" createdVersion="7" refreshedVersion="7" minRefreshableVersion="3" recordCount="22" xr:uid="{E8DB41A0-AF61-4F88-B0E1-52854C5B572B}">
  <cacheSource type="worksheet">
    <worksheetSource name="Tableau4"/>
  </cacheSource>
  <cacheFields count="22">
    <cacheField name="Date BL/BS" numFmtId="14">
      <sharedItems containsSemiMixedTypes="0" containsNonDate="0" containsDate="1" containsString="0" minDate="2022-01-02T00:00:00" maxDate="2022-12-03T00:00:00"/>
    </cacheField>
    <cacheField name="mouvement" numFmtId="0">
      <sharedItems count="3">
        <s v="SORTIE"/>
        <s v="ENTREE"/>
        <s v="INVENTAIRE"/>
      </sharedItems>
    </cacheField>
    <cacheField name="N°BL/BS" numFmtId="0">
      <sharedItems containsMixedTypes="1" containsNumber="1" containsInteger="1" minValue="52368" maxValue="52368" count="11">
        <s v="BS-050522-022"/>
        <s v="BL-050522-053"/>
        <s v="BS-050222-053"/>
        <s v="BS-050222-003"/>
        <s v="BS-010122-015"/>
        <s v="BS-010122-012"/>
        <s v="BL-010122-006"/>
        <s v="BL-010122-003"/>
        <s v="BL-011221-003"/>
        <n v="52368"/>
        <s v="2546-KL"/>
      </sharedItems>
    </cacheField>
    <cacheField name="Fournisseur" numFmtId="0">
      <sharedItems count="6">
        <s v="FRNSR10"/>
        <s v="FRNSR7"/>
        <s v="FRNSR6"/>
        <s v="FRNSR4"/>
        <s v="FRNSR2"/>
        <s v="FRNSR3"/>
      </sharedItems>
    </cacheField>
    <cacheField name="N°parc" numFmtId="0">
      <sharedItems containsBlank="1" count="9">
        <s v="PRC 3"/>
        <s v="STOCK"/>
        <s v="PRC 6"/>
        <s v="PRC 13"/>
        <s v="PRC 11"/>
        <s v="PRC 8"/>
        <s v="PRC 1"/>
        <m u="1"/>
        <s v="PRC 2" u="1"/>
      </sharedItems>
    </cacheField>
    <cacheField name="matricule" numFmtId="0">
      <sharedItems count="7">
        <s v="MAT3"/>
        <s v="STOCK"/>
        <s v="MAT6"/>
        <s v="MAT13"/>
        <s v="MAT11"/>
        <s v="MAT8"/>
        <s v="MAT1"/>
      </sharedItems>
    </cacheField>
    <cacheField name="marque" numFmtId="0">
      <sharedItems count="8">
        <s v="MRQ1"/>
        <s v="STOCK"/>
        <s v="MRQ4"/>
        <s v="MRQ2"/>
        <s v="MRQ3"/>
        <s v="MRQ5"/>
        <s v="MRQ6"/>
        <s v="" u="1"/>
      </sharedItems>
    </cacheField>
    <cacheField name="type" numFmtId="0">
      <sharedItems count="5">
        <s v="TYPE1"/>
        <s v="STOCK"/>
        <s v="TYPE3"/>
        <s v="TYPE4"/>
        <s v="TYPE2" u="1"/>
      </sharedItems>
    </cacheField>
    <cacheField name="catégorie" numFmtId="0">
      <sharedItems count="6">
        <s v="CAT1"/>
        <s v="STOCK"/>
        <s v="CAT3"/>
        <s v="CAT4"/>
        <s v="CAT2"/>
        <s v="CAT5"/>
      </sharedItems>
    </cacheField>
    <cacheField name="Code article" numFmtId="0">
      <sharedItems containsMixedTypes="1" containsNumber="1" containsInteger="1" minValue="45782" maxValue="45782"/>
    </cacheField>
    <cacheField name="Référence" numFmtId="0">
      <sharedItems count="6">
        <s v="758649P65"/>
        <s v="5364H851"/>
        <s v="5364F896"/>
        <s v="13R22,5"/>
        <s v="4526G96"/>
        <s v="4578R69FF"/>
      </sharedItems>
    </cacheField>
    <cacheField name="Désignation" numFmtId="0">
      <sharedItems count="6">
        <s v="POMPE HYDRAULIQUE "/>
        <s v="HUILE MOTEUR "/>
        <s v="pneu"/>
        <s v="DISQUE D'EMBRAYAGE "/>
        <s v="HUILE MOTEUR"/>
        <s v="FILTRE A HUILE "/>
      </sharedItems>
    </cacheField>
    <cacheField name="Famille" numFmtId="0">
      <sharedItems count="4">
        <s v="EQUIPEMENT"/>
        <s v="LUBRIFIANT"/>
        <s v="PNEUMATIQUE"/>
        <s v="CHASSIS"/>
      </sharedItems>
    </cacheField>
    <cacheField name="Sous famille" numFmtId="0">
      <sharedItems count="4">
        <s v="POMPE"/>
        <s v="MOTEUR"/>
        <s v="PNEU/JANTE"/>
        <s v="BOITE A VITESSE"/>
      </sharedItems>
    </cacheField>
    <cacheField name="Quantité" numFmtId="1">
      <sharedItems containsSemiMixedTypes="0" containsString="0" containsNumber="1" containsInteger="1" minValue="1" maxValue="216"/>
    </cacheField>
    <cacheField name="Prix U" numFmtId="164">
      <sharedItems containsSemiMixedTypes="0" containsString="0" containsNumber="1" minValue="18.3" maxValue="5600"/>
    </cacheField>
    <cacheField name="Montant" numFmtId="164">
      <sharedItems containsSemiMixedTypes="0" containsString="0" containsNumber="1" minValue="230" maxValue="24000"/>
    </cacheField>
    <cacheField name="Demandeur" numFmtId="0">
      <sharedItems containsBlank="1" count="6">
        <s v="AGM3"/>
        <m/>
        <s v="AGM2"/>
        <s v="AGM7"/>
        <s v="DAGM2"/>
        <s v="AGM4"/>
      </sharedItems>
    </cacheField>
    <cacheField name="service" numFmtId="0">
      <sharedItems containsBlank="1" count="4">
        <s v="SRV2"/>
        <s v="SRV1"/>
        <s v="SRV3"/>
        <m u="1"/>
      </sharedItems>
    </cacheField>
    <cacheField name="N°FI" numFmtId="0">
      <sharedItems containsBlank="1"/>
    </cacheField>
    <cacheField name="SOLDE" numFmtId="0">
      <sharedItems containsSemiMixedTypes="0" containsString="0" containsNumber="1" containsInteger="1" minValue="0" maxValue="1476"/>
    </cacheField>
    <cacheField name="Mois" numFmtId="0">
      <sharedItems count="12">
        <s v="mai"/>
        <s v="avril"/>
        <s v="juin"/>
        <s v="juillet"/>
        <s v="septembre"/>
        <s v="mars"/>
        <s v="février"/>
        <s v="janvier"/>
        <s v="novembre"/>
        <s v="août"/>
        <s v="octobre"/>
        <s v="décembre"/>
      </sharedItems>
    </cacheField>
  </cacheFields>
  <extLst>
    <ext xmlns:x14="http://schemas.microsoft.com/office/spreadsheetml/2009/9/main" uri="{725AE2AE-9491-48be-B2B4-4EB974FC3084}">
      <x14:pivotCacheDefinition pivotCacheId="89237297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2">
  <r>
    <d v="2022-05-05T00:00:00"/>
    <x v="0"/>
    <x v="0"/>
    <x v="0"/>
    <x v="0"/>
    <x v="0"/>
    <x v="0"/>
    <x v="0"/>
    <x v="0"/>
    <s v="CA-050522-015"/>
    <x v="0"/>
    <x v="0"/>
    <x v="0"/>
    <x v="0"/>
    <n v="1"/>
    <n v="5600"/>
    <n v="5600"/>
    <x v="0"/>
    <x v="0"/>
    <s v="FI-050522-014"/>
    <n v="0"/>
    <x v="0"/>
  </r>
  <r>
    <d v="2022-05-05T00:00:00"/>
    <x v="1"/>
    <x v="1"/>
    <x v="0"/>
    <x v="1"/>
    <x v="1"/>
    <x v="1"/>
    <x v="1"/>
    <x v="1"/>
    <s v="CA-050522-015"/>
    <x v="0"/>
    <x v="0"/>
    <x v="0"/>
    <x v="0"/>
    <n v="4"/>
    <n v="5600"/>
    <n v="22400"/>
    <x v="1"/>
    <x v="0"/>
    <m/>
    <n v="0"/>
    <x v="0"/>
  </r>
  <r>
    <d v="2022-04-05T00:00:00"/>
    <x v="0"/>
    <x v="2"/>
    <x v="1"/>
    <x v="2"/>
    <x v="2"/>
    <x v="2"/>
    <x v="2"/>
    <x v="2"/>
    <s v="CA-011221-012"/>
    <x v="1"/>
    <x v="1"/>
    <x v="1"/>
    <x v="1"/>
    <n v="30"/>
    <n v="18.3"/>
    <n v="549"/>
    <x v="2"/>
    <x v="0"/>
    <s v="FI-050122-0013"/>
    <n v="186"/>
    <x v="1"/>
  </r>
  <r>
    <d v="2022-06-05T00:00:00"/>
    <x v="1"/>
    <x v="2"/>
    <x v="1"/>
    <x v="1"/>
    <x v="1"/>
    <x v="1"/>
    <x v="1"/>
    <x v="1"/>
    <s v="CA-011221-012"/>
    <x v="1"/>
    <x v="1"/>
    <x v="1"/>
    <x v="1"/>
    <n v="216"/>
    <n v="18.3"/>
    <n v="3952.8"/>
    <x v="1"/>
    <x v="0"/>
    <m/>
    <n v="216"/>
    <x v="2"/>
  </r>
  <r>
    <d v="2022-04-05T00:00:00"/>
    <x v="1"/>
    <x v="3"/>
    <x v="1"/>
    <x v="1"/>
    <x v="1"/>
    <x v="1"/>
    <x v="1"/>
    <x v="1"/>
    <s v="CA-011221-001"/>
    <x v="2"/>
    <x v="1"/>
    <x v="1"/>
    <x v="1"/>
    <n v="216"/>
    <n v="18.3"/>
    <n v="3952.8"/>
    <x v="1"/>
    <x v="0"/>
    <m/>
    <n v="1476"/>
    <x v="1"/>
  </r>
  <r>
    <d v="2022-07-05T00:00:00"/>
    <x v="1"/>
    <x v="3"/>
    <x v="1"/>
    <x v="1"/>
    <x v="1"/>
    <x v="1"/>
    <x v="1"/>
    <x v="1"/>
    <s v="CA-011221-001"/>
    <x v="2"/>
    <x v="1"/>
    <x v="1"/>
    <x v="1"/>
    <n v="216"/>
    <n v="18.3"/>
    <n v="3952.8"/>
    <x v="1"/>
    <x v="0"/>
    <m/>
    <n v="1476"/>
    <x v="3"/>
  </r>
  <r>
    <d v="2022-04-05T00:00:00"/>
    <x v="1"/>
    <x v="3"/>
    <x v="1"/>
    <x v="1"/>
    <x v="1"/>
    <x v="1"/>
    <x v="1"/>
    <x v="1"/>
    <s v="CA-011221-001"/>
    <x v="2"/>
    <x v="1"/>
    <x v="1"/>
    <x v="1"/>
    <n v="216"/>
    <n v="18.3"/>
    <n v="3952.8"/>
    <x v="1"/>
    <x v="0"/>
    <m/>
    <n v="1476"/>
    <x v="1"/>
  </r>
  <r>
    <d v="2022-09-05T00:00:00"/>
    <x v="1"/>
    <x v="3"/>
    <x v="1"/>
    <x v="1"/>
    <x v="1"/>
    <x v="1"/>
    <x v="1"/>
    <x v="1"/>
    <s v="CA-011221-001"/>
    <x v="2"/>
    <x v="1"/>
    <x v="1"/>
    <x v="1"/>
    <n v="216"/>
    <n v="18.3"/>
    <n v="3952.8"/>
    <x v="1"/>
    <x v="0"/>
    <m/>
    <n v="1476"/>
    <x v="4"/>
  </r>
  <r>
    <d v="2022-04-05T00:00:00"/>
    <x v="1"/>
    <x v="3"/>
    <x v="1"/>
    <x v="1"/>
    <x v="1"/>
    <x v="1"/>
    <x v="1"/>
    <x v="1"/>
    <s v="CA-011221-001"/>
    <x v="2"/>
    <x v="1"/>
    <x v="1"/>
    <x v="1"/>
    <n v="216"/>
    <n v="18.3"/>
    <n v="3952.8"/>
    <x v="1"/>
    <x v="0"/>
    <m/>
    <n v="1476"/>
    <x v="1"/>
  </r>
  <r>
    <d v="2022-04-05T00:00:00"/>
    <x v="1"/>
    <x v="3"/>
    <x v="1"/>
    <x v="1"/>
    <x v="1"/>
    <x v="1"/>
    <x v="1"/>
    <x v="1"/>
    <s v="CA-011221-001"/>
    <x v="2"/>
    <x v="1"/>
    <x v="1"/>
    <x v="1"/>
    <n v="216"/>
    <n v="18.3"/>
    <n v="3952.8"/>
    <x v="1"/>
    <x v="0"/>
    <m/>
    <n v="1476"/>
    <x v="1"/>
  </r>
  <r>
    <d v="2022-03-05T00:00:00"/>
    <x v="0"/>
    <x v="3"/>
    <x v="1"/>
    <x v="3"/>
    <x v="3"/>
    <x v="3"/>
    <x v="3"/>
    <x v="3"/>
    <s v="CA-011221-001"/>
    <x v="2"/>
    <x v="1"/>
    <x v="1"/>
    <x v="1"/>
    <n v="15"/>
    <n v="18.3"/>
    <n v="274.5"/>
    <x v="3"/>
    <x v="0"/>
    <s v="fi-050222-025"/>
    <n v="1476"/>
    <x v="5"/>
  </r>
  <r>
    <d v="2022-03-05T00:00:00"/>
    <x v="0"/>
    <x v="3"/>
    <x v="1"/>
    <x v="3"/>
    <x v="3"/>
    <x v="4"/>
    <x v="3"/>
    <x v="4"/>
    <s v="CA-011221-001"/>
    <x v="2"/>
    <x v="1"/>
    <x v="1"/>
    <x v="1"/>
    <n v="15"/>
    <n v="18.3"/>
    <n v="274.5"/>
    <x v="3"/>
    <x v="0"/>
    <s v="fi-050222-025"/>
    <n v="1476"/>
    <x v="5"/>
  </r>
  <r>
    <d v="2022-02-05T00:00:00"/>
    <x v="0"/>
    <x v="4"/>
    <x v="2"/>
    <x v="4"/>
    <x v="4"/>
    <x v="3"/>
    <x v="3"/>
    <x v="4"/>
    <s v="CA-010122-045"/>
    <x v="3"/>
    <x v="2"/>
    <x v="2"/>
    <x v="2"/>
    <n v="2"/>
    <n v="2400"/>
    <n v="4800"/>
    <x v="3"/>
    <x v="0"/>
    <s v="fi-040122-025"/>
    <n v="4"/>
    <x v="6"/>
  </r>
  <r>
    <d v="2022-01-04T00:00:00"/>
    <x v="0"/>
    <x v="5"/>
    <x v="2"/>
    <x v="5"/>
    <x v="5"/>
    <x v="0"/>
    <x v="2"/>
    <x v="4"/>
    <s v="CA-010122-045"/>
    <x v="3"/>
    <x v="2"/>
    <x v="2"/>
    <x v="2"/>
    <n v="2"/>
    <n v="2400"/>
    <n v="4800"/>
    <x v="3"/>
    <x v="1"/>
    <s v="fi-040122-024"/>
    <n v="4"/>
    <x v="7"/>
  </r>
  <r>
    <d v="2022-11-04T00:00:00"/>
    <x v="0"/>
    <x v="5"/>
    <x v="2"/>
    <x v="0"/>
    <x v="0"/>
    <x v="5"/>
    <x v="0"/>
    <x v="5"/>
    <s v="CA-010122-045"/>
    <x v="3"/>
    <x v="2"/>
    <x v="2"/>
    <x v="2"/>
    <n v="2"/>
    <n v="2400"/>
    <n v="4800"/>
    <x v="4"/>
    <x v="1"/>
    <s v="fi-040122-012"/>
    <n v="4"/>
    <x v="8"/>
  </r>
  <r>
    <d v="2022-01-04T00:00:00"/>
    <x v="1"/>
    <x v="6"/>
    <x v="2"/>
    <x v="1"/>
    <x v="1"/>
    <x v="1"/>
    <x v="1"/>
    <x v="1"/>
    <s v="CA-010122-045"/>
    <x v="3"/>
    <x v="2"/>
    <x v="2"/>
    <x v="2"/>
    <n v="10"/>
    <n v="2400"/>
    <n v="24000"/>
    <x v="1"/>
    <x v="1"/>
    <m/>
    <n v="4"/>
    <x v="7"/>
  </r>
  <r>
    <d v="2022-01-04T00:00:00"/>
    <x v="0"/>
    <x v="7"/>
    <x v="3"/>
    <x v="6"/>
    <x v="6"/>
    <x v="6"/>
    <x v="0"/>
    <x v="0"/>
    <s v="CA-010122-003"/>
    <x v="4"/>
    <x v="3"/>
    <x v="3"/>
    <x v="3"/>
    <n v="2"/>
    <n v="2400"/>
    <n v="4800"/>
    <x v="5"/>
    <x v="1"/>
    <m/>
    <n v="0"/>
    <x v="7"/>
  </r>
  <r>
    <d v="2022-08-04T00:00:00"/>
    <x v="1"/>
    <x v="7"/>
    <x v="3"/>
    <x v="1"/>
    <x v="1"/>
    <x v="1"/>
    <x v="1"/>
    <x v="1"/>
    <s v="CA-010122-003"/>
    <x v="4"/>
    <x v="3"/>
    <x v="3"/>
    <x v="3"/>
    <n v="2"/>
    <n v="2400"/>
    <n v="4800"/>
    <x v="5"/>
    <x v="1"/>
    <m/>
    <n v="0"/>
    <x v="9"/>
  </r>
  <r>
    <d v="2022-01-04T00:00:00"/>
    <x v="1"/>
    <x v="8"/>
    <x v="4"/>
    <x v="1"/>
    <x v="1"/>
    <x v="1"/>
    <x v="1"/>
    <x v="1"/>
    <s v="CA-011221-001"/>
    <x v="2"/>
    <x v="4"/>
    <x v="1"/>
    <x v="1"/>
    <n v="120"/>
    <n v="18.3"/>
    <n v="2196"/>
    <x v="0"/>
    <x v="1"/>
    <s v="FI-040122-003"/>
    <n v="1476"/>
    <x v="7"/>
  </r>
  <r>
    <d v="2022-10-04T00:00:00"/>
    <x v="2"/>
    <x v="8"/>
    <x v="4"/>
    <x v="1"/>
    <x v="1"/>
    <x v="1"/>
    <x v="1"/>
    <x v="1"/>
    <s v="CA-011221-001"/>
    <x v="2"/>
    <x v="4"/>
    <x v="1"/>
    <x v="1"/>
    <n v="120"/>
    <n v="18.3"/>
    <n v="2196"/>
    <x v="1"/>
    <x v="2"/>
    <m/>
    <n v="1476"/>
    <x v="10"/>
  </r>
  <r>
    <d v="2022-01-02T00:00:00"/>
    <x v="0"/>
    <x v="9"/>
    <x v="5"/>
    <x v="0"/>
    <x v="0"/>
    <x v="3"/>
    <x v="0"/>
    <x v="4"/>
    <s v="68923-AL"/>
    <x v="2"/>
    <x v="1"/>
    <x v="1"/>
    <x v="1"/>
    <n v="30"/>
    <n v="18.3"/>
    <n v="549"/>
    <x v="5"/>
    <x v="0"/>
    <s v="FI0040122-001"/>
    <n v="1476"/>
    <x v="7"/>
  </r>
  <r>
    <d v="2022-12-02T00:00:00"/>
    <x v="1"/>
    <x v="10"/>
    <x v="4"/>
    <x v="1"/>
    <x v="1"/>
    <x v="1"/>
    <x v="1"/>
    <x v="1"/>
    <n v="45782"/>
    <x v="5"/>
    <x v="5"/>
    <x v="3"/>
    <x v="1"/>
    <n v="1"/>
    <n v="230"/>
    <n v="230"/>
    <x v="2"/>
    <x v="1"/>
    <s v="A020122-001"/>
    <n v="1"/>
    <x v="1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9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0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1CA4514-A2C3-417B-A749-B14953235375}" name="Tableau croisé dynamique10" cacheId="0" applyNumberFormats="0" applyBorderFormats="0" applyFontFormats="0" applyPatternFormats="0" applyAlignmentFormats="0" applyWidthHeightFormats="1" dataCaption="Valeurs" updatedVersion="8" minRefreshableVersion="3" useAutoFormatting="1" rowGrandTotals="0" colGrandTotals="0" itemPrintTitles="1" createdVersion="7" indent="0" outline="1" outlineData="1" multipleFieldFilters="0" chartFormat="21" rowHeaderCaption="">
  <location ref="BQ7:BT20" firstHeaderRow="1" firstDataRow="2" firstDataCol="1"/>
  <pivotFields count="22">
    <pivotField numFmtId="14" showAll="0" defaultSubtotal="0"/>
    <pivotField axis="axisCol" showAll="0" sortType="descending" defaultSubtotal="0">
      <items count="3">
        <item x="0"/>
        <item x="2"/>
        <item x="1"/>
      </items>
    </pivotField>
    <pivotField showAll="0" defaultSubtotal="0">
      <items count="11">
        <item x="9"/>
        <item x="10"/>
        <item x="7"/>
        <item x="6"/>
        <item x="8"/>
        <item x="1"/>
        <item x="5"/>
        <item x="4"/>
        <item x="3"/>
        <item x="2"/>
        <item x="0"/>
      </items>
    </pivotField>
    <pivotField showAll="0" defaultSubtotal="0">
      <items count="6">
        <item x="0"/>
        <item x="4"/>
        <item x="5"/>
        <item x="3"/>
        <item x="2"/>
        <item x="1"/>
      </items>
    </pivotField>
    <pivotField showAll="0" defaultSubtotal="0">
      <items count="9">
        <item x="6"/>
        <item x="4"/>
        <item x="3"/>
        <item m="1" x="8"/>
        <item x="0"/>
        <item x="2"/>
        <item x="5"/>
        <item x="1"/>
        <item m="1" x="7"/>
      </items>
    </pivotField>
    <pivotField showAll="0" defaultSubtotal="0">
      <items count="7">
        <item x="6"/>
        <item x="4"/>
        <item x="3"/>
        <item x="0"/>
        <item x="2"/>
        <item x="5"/>
        <item x="1"/>
      </items>
    </pivotField>
    <pivotField showAll="0" defaultSubtotal="0">
      <items count="8">
        <item m="1" x="7"/>
        <item x="0"/>
        <item x="3"/>
        <item x="4"/>
        <item x="2"/>
        <item x="5"/>
        <item x="6"/>
        <item x="1"/>
      </items>
    </pivotField>
    <pivotField showAll="0" defaultSubtotal="0">
      <items count="5">
        <item x="1"/>
        <item x="0"/>
        <item m="1" x="4"/>
        <item x="2"/>
        <item x="3"/>
      </items>
    </pivotField>
    <pivotField showAll="0" defaultSubtotal="0">
      <items count="6">
        <item x="0"/>
        <item x="4"/>
        <item x="2"/>
        <item x="3"/>
        <item x="5"/>
        <item x="1"/>
      </items>
    </pivotField>
    <pivotField showAll="0" defaultSubtotal="0"/>
    <pivotField showAll="0" defaultSubtotal="0">
      <items count="6">
        <item x="3"/>
        <item x="4"/>
        <item x="5"/>
        <item x="2"/>
        <item x="1"/>
        <item x="0"/>
      </items>
    </pivotField>
    <pivotField showAll="0" defaultSubtotal="0">
      <items count="6">
        <item x="3"/>
        <item x="5"/>
        <item x="4"/>
        <item x="1"/>
        <item x="2"/>
        <item x="0"/>
      </items>
    </pivotField>
    <pivotField showAll="0" defaultSubtotal="0">
      <items count="4">
        <item x="3"/>
        <item x="0"/>
        <item x="1"/>
        <item x="2"/>
      </items>
    </pivotField>
    <pivotField showAll="0" defaultSubtotal="0">
      <items count="4">
        <item x="3"/>
        <item x="1"/>
        <item x="2"/>
        <item x="0"/>
      </items>
    </pivotField>
    <pivotField showAll="0" defaultSubtotal="0"/>
    <pivotField numFmtId="164" showAll="0" defaultSubtotal="0"/>
    <pivotField dataField="1" numFmtId="164" showAll="0" defaultSubtotal="0"/>
    <pivotField showAll="0" defaultSubtotal="0"/>
    <pivotField showAll="0" defaultSubtotal="0"/>
    <pivotField showAll="0" defaultSubtotal="0"/>
    <pivotField numFmtId="2" showAll="0" defaultSubtotal="0"/>
    <pivotField axis="axisRow" showAll="0" defaultSubtotal="0">
      <items count="12">
        <item x="7"/>
        <item x="6"/>
        <item x="5"/>
        <item x="1"/>
        <item x="0"/>
        <item x="2"/>
        <item x="3"/>
        <item x="9"/>
        <item x="4"/>
        <item x="10"/>
        <item x="8"/>
        <item x="11"/>
      </items>
    </pivotField>
  </pivotFields>
  <rowFields count="1">
    <field x="21"/>
  </rowFields>
  <rowItems count="1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</rowItems>
  <colFields count="1">
    <field x="1"/>
  </colFields>
  <colItems count="3">
    <i>
      <x/>
    </i>
    <i>
      <x v="1"/>
    </i>
    <i>
      <x v="2"/>
    </i>
  </colItems>
  <dataFields count="1">
    <dataField name="--" fld="16" baseField="0" baseItem="0"/>
  </dataFields>
  <formats count="5">
    <format dxfId="31">
      <pivotArea type="all" dataOnly="0" outline="0" fieldPosition="0"/>
    </format>
    <format dxfId="30">
      <pivotArea outline="0" collapsedLevelsAreSubtotals="1" fieldPosition="0"/>
    </format>
    <format dxfId="29">
      <pivotArea field="1" type="button" dataOnly="0" labelOnly="1" outline="0" axis="axisCol" fieldPosition="0"/>
    </format>
    <format dxfId="28">
      <pivotArea dataOnly="0" labelOnly="1" grandRow="1" outline="0" fieldPosition="0"/>
    </format>
    <format dxfId="27">
      <pivotArea dataOnly="0" labelOnly="1" outline="0" axis="axisValues" fieldPosition="0"/>
    </format>
  </formats>
  <chartFormats count="11">
    <chartFormat chart="5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7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8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7" format="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17" format="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17" format="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20" format="6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20" format="7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20" format="8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20" format="9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7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4636047-CBCD-4CC4-AE7E-9E11B88A7AD0}" name="Tableau croisé dynamique4" cacheId="0" applyNumberFormats="0" applyBorderFormats="0" applyFontFormats="0" applyPatternFormats="0" applyAlignmentFormats="0" applyWidthHeightFormats="1" dataCaption="Valeurs" updatedVersion="8" minRefreshableVersion="3" useAutoFormatting="1" rowGrandTotals="0" colGrandTotals="0" itemPrintTitles="1" createdVersion="7" indent="0" outline="1" outlineData="1" multipleFieldFilters="0">
  <location ref="AM7:AP15" firstHeaderRow="1" firstDataRow="2" firstDataCol="1"/>
  <pivotFields count="22">
    <pivotField numFmtId="14" showAll="0" defaultSubtotal="0"/>
    <pivotField axis="axisCol" showAll="0" sortType="descending" defaultSubtotal="0">
      <items count="3">
        <item x="0"/>
        <item x="2"/>
        <item x="1"/>
      </items>
    </pivotField>
    <pivotField showAll="0" defaultSubtotal="0"/>
    <pivotField showAll="0" defaultSubtotal="0">
      <items count="6">
        <item x="0"/>
        <item x="4"/>
        <item x="5"/>
        <item x="3"/>
        <item x="2"/>
        <item x="1"/>
      </items>
    </pivotField>
    <pivotField axis="axisRow" showAll="0" defaultSubtotal="0">
      <items count="9">
        <item x="6"/>
        <item x="4"/>
        <item x="3"/>
        <item m="1" x="8"/>
        <item x="0"/>
        <item x="5"/>
        <item x="1"/>
        <item m="1" x="7"/>
        <item x="2"/>
      </items>
    </pivotField>
    <pivotField showAll="0" defaultSubtotal="0"/>
    <pivotField showAll="0" defaultSubtotal="0">
      <items count="8">
        <item m="1" x="7"/>
        <item x="0"/>
        <item x="3"/>
        <item x="4"/>
        <item x="2"/>
        <item x="5"/>
        <item x="6"/>
        <item x="1"/>
      </items>
    </pivotField>
    <pivotField showAll="0" defaultSubtotal="0">
      <items count="5">
        <item x="1"/>
        <item x="0"/>
        <item m="1" x="4"/>
        <item x="2"/>
        <item x="3"/>
      </items>
    </pivotField>
    <pivotField showAll="0" defaultSubtotal="0">
      <items count="6">
        <item x="0"/>
        <item x="4"/>
        <item x="2"/>
        <item x="3"/>
        <item x="5"/>
        <item x="1"/>
      </items>
    </pivotField>
    <pivotField showAll="0" defaultSubtotal="0"/>
    <pivotField showAll="0" defaultSubtotal="0"/>
    <pivotField showAll="0" defaultSubtotal="0"/>
    <pivotField showAll="0" defaultSubtotal="0">
      <items count="4">
        <item x="3"/>
        <item x="0"/>
        <item x="1"/>
        <item x="2"/>
      </items>
    </pivotField>
    <pivotField showAll="0" defaultSubtotal="0">
      <items count="4">
        <item x="3"/>
        <item x="1"/>
        <item x="2"/>
        <item x="0"/>
      </items>
    </pivotField>
    <pivotField showAll="0" defaultSubtotal="0"/>
    <pivotField numFmtId="164" showAll="0" defaultSubtotal="0"/>
    <pivotField dataField="1" numFmtId="164" showAll="0" defaultSubtotal="0"/>
    <pivotField showAll="0" defaultSubtotal="0"/>
    <pivotField showAll="0" defaultSubtotal="0"/>
    <pivotField showAll="0" defaultSubtotal="0"/>
    <pivotField numFmtId="2" showAll="0" defaultSubtotal="0"/>
    <pivotField showAll="0" defaultSubtotal="0">
      <items count="12">
        <item x="7"/>
        <item x="6"/>
        <item x="5"/>
        <item x="1"/>
        <item x="0"/>
        <item x="2"/>
        <item x="3"/>
        <item x="9"/>
        <item x="4"/>
        <item x="10"/>
        <item x="8"/>
        <item x="11"/>
      </items>
    </pivotField>
  </pivotFields>
  <rowFields count="1">
    <field x="4"/>
  </rowFields>
  <rowItems count="7">
    <i>
      <x/>
    </i>
    <i>
      <x v="1"/>
    </i>
    <i>
      <x v="2"/>
    </i>
    <i>
      <x v="4"/>
    </i>
    <i>
      <x v="5"/>
    </i>
    <i>
      <x v="6"/>
    </i>
    <i>
      <x v="8"/>
    </i>
  </rowItems>
  <colFields count="1">
    <field x="1"/>
  </colFields>
  <colItems count="3">
    <i>
      <x/>
    </i>
    <i>
      <x v="1"/>
    </i>
    <i>
      <x v="2"/>
    </i>
  </colItems>
  <dataFields count="1">
    <dataField name="Somme de Montant" fld="16" baseField="0" baseItem="0"/>
  </dataFields>
  <formats count="9">
    <format dxfId="40">
      <pivotArea type="all" dataOnly="0" outline="0" fieldPosition="0"/>
    </format>
    <format dxfId="39">
      <pivotArea outline="0" collapsedLevelsAreSubtotals="1" fieldPosition="0"/>
    </format>
    <format dxfId="38">
      <pivotArea type="origin" dataOnly="0" labelOnly="1" outline="0" fieldPosition="0"/>
    </format>
    <format dxfId="37">
      <pivotArea field="1" type="button" dataOnly="0" labelOnly="1" outline="0" axis="axisCol" fieldPosition="0"/>
    </format>
    <format dxfId="36">
      <pivotArea type="topRight" dataOnly="0" labelOnly="1" outline="0" fieldPosition="0"/>
    </format>
    <format dxfId="35">
      <pivotArea field="4" type="button" dataOnly="0" labelOnly="1" outline="0" axis="axisRow" fieldPosition="0"/>
    </format>
    <format dxfId="34">
      <pivotArea dataOnly="0" labelOnly="1" fieldPosition="0">
        <references count="1">
          <reference field="4" count="0"/>
        </references>
      </pivotArea>
    </format>
    <format dxfId="33">
      <pivotArea dataOnly="0" labelOnly="1" fieldPosition="0">
        <references count="1">
          <reference field="1" count="0"/>
        </references>
      </pivotArea>
    </format>
    <format dxfId="32">
      <pivotArea collapsedLevelsAreSubtotals="1" fieldPosition="0">
        <references count="2">
          <reference field="1" count="1" selected="0">
            <x v="0"/>
          </reference>
          <reference field="4" count="1">
            <x v="4"/>
          </reference>
        </references>
      </pivotArea>
    </format>
  </formats>
  <pivotTableStyleInfo name="PivotStyleLight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403498D-A450-439D-BDB9-1C7B4CC9EFF3}" name="Tableau croisé dynamique9" cacheId="0" applyNumberFormats="0" applyBorderFormats="0" applyFontFormats="0" applyPatternFormats="0" applyAlignmentFormats="0" applyWidthHeightFormats="1" dataCaption="Valeurs" updatedVersion="8" minRefreshableVersion="3" useAutoFormatting="1" rowGrandTotals="0" colGrandTotals="0" itemPrintTitles="1" createdVersion="7" indent="0" outline="1" outlineData="1" multipleFieldFilters="0" chartFormat="10">
  <location ref="BK7:BN14" firstHeaderRow="1" firstDataRow="2" firstDataCol="1"/>
  <pivotFields count="22">
    <pivotField numFmtId="14" showAll="0" defaultSubtotal="0"/>
    <pivotField axis="axisCol" showAll="0" sortType="descending" defaultSubtotal="0">
      <items count="3">
        <item x="0"/>
        <item x="2"/>
        <item x="1"/>
      </items>
    </pivotField>
    <pivotField showAll="0" defaultSubtotal="0"/>
    <pivotField showAll="0" defaultSubtotal="0">
      <items count="6">
        <item x="0"/>
        <item x="4"/>
        <item x="5"/>
        <item x="3"/>
        <item x="2"/>
        <item x="1"/>
      </items>
    </pivotField>
    <pivotField showAll="0" defaultSubtotal="0">
      <items count="9">
        <item x="6"/>
        <item x="4"/>
        <item x="3"/>
        <item m="1" x="8"/>
        <item x="0"/>
        <item x="2"/>
        <item x="5"/>
        <item x="1"/>
        <item m="1" x="7"/>
      </items>
    </pivotField>
    <pivotField showAll="0" defaultSubtotal="0"/>
    <pivotField showAll="0" defaultSubtotal="0">
      <items count="8">
        <item m="1" x="7"/>
        <item x="0"/>
        <item x="3"/>
        <item x="4"/>
        <item x="2"/>
        <item x="5"/>
        <item x="6"/>
        <item x="1"/>
      </items>
    </pivotField>
    <pivotField showAll="0" defaultSubtotal="0">
      <items count="5">
        <item x="1"/>
        <item x="0"/>
        <item m="1" x="4"/>
        <item x="2"/>
        <item x="3"/>
      </items>
    </pivotField>
    <pivotField showAll="0" defaultSubtotal="0">
      <items count="6">
        <item x="0"/>
        <item x="4"/>
        <item x="2"/>
        <item x="3"/>
        <item x="5"/>
        <item x="1"/>
      </items>
    </pivotField>
    <pivotField showAll="0" defaultSubtotal="0"/>
    <pivotField showAll="0" defaultSubtotal="0"/>
    <pivotField showAll="0" defaultSubtotal="0"/>
    <pivotField showAll="0" sortType="descending" defaultSubtotal="0">
      <items count="4">
        <item x="3"/>
        <item x="1"/>
        <item x="2"/>
        <item x="0"/>
      </items>
      <autoSortScope>
        <pivotArea dataOnly="0" outline="0" fieldPosition="0">
          <references count="2">
            <reference field="4294967294" count="1" selected="0">
              <x v="0"/>
            </reference>
            <reference field="1" count="1" selected="0">
              <x v="2"/>
            </reference>
          </references>
        </pivotArea>
      </autoSortScope>
    </pivotField>
    <pivotField showAll="0" sortType="descending" defaultSubtotal="0">
      <items count="4">
        <item x="3"/>
        <item x="1"/>
        <item x="2"/>
        <item x="0"/>
      </items>
      <autoSortScope>
        <pivotArea dataOnly="0" outline="0" fieldPosition="0">
          <references count="2">
            <reference field="4294967294" count="1" selected="0">
              <x v="0"/>
            </reference>
            <reference field="1" count="1" selected="0">
              <x v="2"/>
            </reference>
          </references>
        </pivotArea>
      </autoSortScope>
    </pivotField>
    <pivotField showAll="0" defaultSubtotal="0"/>
    <pivotField numFmtId="164" showAll="0" defaultSubtotal="0"/>
    <pivotField dataField="1" numFmtId="164" showAll="0" defaultSubtotal="0"/>
    <pivotField axis="axisRow" showAll="0" defaultSubtotal="0">
      <items count="6">
        <item x="2"/>
        <item x="0"/>
        <item x="5"/>
        <item x="3"/>
        <item x="4"/>
        <item x="1"/>
      </items>
    </pivotField>
    <pivotField showAll="0" defaultSubtotal="0"/>
    <pivotField showAll="0" defaultSubtotal="0"/>
    <pivotField numFmtId="2" showAll="0" defaultSubtotal="0"/>
    <pivotField showAll="0" defaultSubtotal="0">
      <items count="12">
        <item x="7"/>
        <item x="6"/>
        <item x="5"/>
        <item x="1"/>
        <item x="0"/>
        <item x="2"/>
        <item x="3"/>
        <item x="9"/>
        <item x="4"/>
        <item x="10"/>
        <item x="8"/>
        <item x="11"/>
      </items>
    </pivotField>
  </pivotFields>
  <rowFields count="1">
    <field x="17"/>
  </rowFields>
  <rowItems count="6">
    <i>
      <x/>
    </i>
    <i>
      <x v="1"/>
    </i>
    <i>
      <x v="2"/>
    </i>
    <i>
      <x v="3"/>
    </i>
    <i>
      <x v="4"/>
    </i>
    <i>
      <x v="5"/>
    </i>
  </rowItems>
  <colFields count="1">
    <field x="1"/>
  </colFields>
  <colItems count="3">
    <i>
      <x/>
    </i>
    <i>
      <x v="1"/>
    </i>
    <i>
      <x v="2"/>
    </i>
  </colItems>
  <dataFields count="1">
    <dataField name="Somme de Montant" fld="16" baseField="0" baseItem="0"/>
  </dataFields>
  <formats count="8">
    <format dxfId="48">
      <pivotArea type="all" dataOnly="0" outline="0" fieldPosition="0"/>
    </format>
    <format dxfId="47">
      <pivotArea outline="0" collapsedLevelsAreSubtotals="1" fieldPosition="0"/>
    </format>
    <format dxfId="46">
      <pivotArea type="origin" dataOnly="0" labelOnly="1" outline="0" fieldPosition="0"/>
    </format>
    <format dxfId="45">
      <pivotArea field="1" type="button" dataOnly="0" labelOnly="1" outline="0" axis="axisCol" fieldPosition="0"/>
    </format>
    <format dxfId="44">
      <pivotArea type="topRight" dataOnly="0" labelOnly="1" outline="0" fieldPosition="0"/>
    </format>
    <format dxfId="43">
      <pivotArea field="12" type="button" dataOnly="0" labelOnly="1" outline="0"/>
    </format>
    <format dxfId="42">
      <pivotArea dataOnly="0" labelOnly="1" fieldPosition="0">
        <references count="1">
          <reference field="1" count="0"/>
        </references>
      </pivotArea>
    </format>
    <format dxfId="41">
      <pivotArea collapsedLevelsAreSubtotals="1" fieldPosition="0">
        <references count="2">
          <reference field="1" count="1" selected="0">
            <x v="0"/>
          </reference>
          <reference field="17" count="1">
            <x v="3"/>
          </reference>
        </references>
      </pivotArea>
    </format>
  </formats>
  <chartFormats count="4">
    <chartFormat chart="7" format="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7" format="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7" format="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7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45F00E2-47F9-4518-9D61-1C777692983D}" name="Tableau croisé dynamique8" cacheId="0" applyNumberFormats="0" applyBorderFormats="0" applyFontFormats="0" applyPatternFormats="0" applyAlignmentFormats="0" applyWidthHeightFormats="1" dataCaption="Valeurs" updatedVersion="8" minRefreshableVersion="3" useAutoFormatting="1" rowGrandTotals="0" colGrandTotals="0" itemPrintTitles="1" createdVersion="7" indent="0" outline="1" outlineData="1" multipleFieldFilters="0" chartFormat="10">
  <location ref="BE7:BH12" firstHeaderRow="1" firstDataRow="2" firstDataCol="1"/>
  <pivotFields count="22">
    <pivotField numFmtId="14" showAll="0" defaultSubtotal="0"/>
    <pivotField axis="axisCol" showAll="0" sortType="descending" defaultSubtotal="0">
      <items count="3">
        <item x="0"/>
        <item x="2"/>
        <item x="1"/>
      </items>
    </pivotField>
    <pivotField showAll="0" defaultSubtotal="0"/>
    <pivotField showAll="0" defaultSubtotal="0">
      <items count="6">
        <item x="0"/>
        <item x="4"/>
        <item x="5"/>
        <item x="3"/>
        <item x="2"/>
        <item x="1"/>
      </items>
    </pivotField>
    <pivotField showAll="0" defaultSubtotal="0">
      <items count="9">
        <item x="6"/>
        <item x="4"/>
        <item x="3"/>
        <item m="1" x="8"/>
        <item x="0"/>
        <item x="2"/>
        <item x="5"/>
        <item x="1"/>
        <item m="1" x="7"/>
      </items>
    </pivotField>
    <pivotField showAll="0" defaultSubtotal="0"/>
    <pivotField showAll="0" defaultSubtotal="0">
      <items count="8">
        <item m="1" x="7"/>
        <item x="0"/>
        <item x="3"/>
        <item x="4"/>
        <item x="2"/>
        <item x="5"/>
        <item x="6"/>
        <item x="1"/>
      </items>
    </pivotField>
    <pivotField showAll="0" defaultSubtotal="0">
      <items count="5">
        <item x="1"/>
        <item x="0"/>
        <item m="1" x="4"/>
        <item x="2"/>
        <item x="3"/>
      </items>
    </pivotField>
    <pivotField showAll="0" defaultSubtotal="0">
      <items count="6">
        <item x="0"/>
        <item x="4"/>
        <item x="2"/>
        <item x="3"/>
        <item x="5"/>
        <item x="1"/>
      </items>
    </pivotField>
    <pivotField showAll="0" defaultSubtotal="0"/>
    <pivotField showAll="0" defaultSubtotal="0"/>
    <pivotField showAll="0" defaultSubtotal="0"/>
    <pivotField showAll="0" sortType="descending" defaultSubtotal="0">
      <items count="4">
        <item x="3"/>
        <item x="1"/>
        <item x="2"/>
        <item x="0"/>
      </items>
      <autoSortScope>
        <pivotArea dataOnly="0" outline="0" fieldPosition="0">
          <references count="2">
            <reference field="4294967294" count="1" selected="0">
              <x v="0"/>
            </reference>
            <reference field="1" count="1" selected="0">
              <x v="2"/>
            </reference>
          </references>
        </pivotArea>
      </autoSortScope>
    </pivotField>
    <pivotField axis="axisRow" showAll="0" defaultSubtotal="0">
      <items count="4">
        <item x="3"/>
        <item x="1"/>
        <item x="2"/>
        <item x="0"/>
      </items>
    </pivotField>
    <pivotField showAll="0" defaultSubtotal="0"/>
    <pivotField numFmtId="164" showAll="0" defaultSubtotal="0"/>
    <pivotField dataField="1" numFmtId="164" showAll="0" defaultSubtotal="0"/>
    <pivotField showAll="0" defaultSubtotal="0"/>
    <pivotField showAll="0" defaultSubtotal="0"/>
    <pivotField showAll="0" defaultSubtotal="0"/>
    <pivotField numFmtId="2" showAll="0" defaultSubtotal="0"/>
    <pivotField showAll="0" defaultSubtotal="0">
      <items count="12">
        <item x="7"/>
        <item x="6"/>
        <item x="5"/>
        <item x="1"/>
        <item x="0"/>
        <item x="2"/>
        <item x="3"/>
        <item x="9"/>
        <item x="4"/>
        <item x="10"/>
        <item x="8"/>
        <item x="11"/>
      </items>
    </pivotField>
  </pivotFields>
  <rowFields count="1">
    <field x="13"/>
  </rowFields>
  <rowItems count="4">
    <i>
      <x/>
    </i>
    <i>
      <x v="1"/>
    </i>
    <i>
      <x v="2"/>
    </i>
    <i>
      <x v="3"/>
    </i>
  </rowItems>
  <colFields count="1">
    <field x="1"/>
  </colFields>
  <colItems count="3">
    <i>
      <x/>
    </i>
    <i>
      <x v="1"/>
    </i>
    <i>
      <x v="2"/>
    </i>
  </colItems>
  <dataFields count="1">
    <dataField name="Somme de Montant" fld="16" baseField="0" baseItem="0"/>
  </dataFields>
  <formats count="8">
    <format dxfId="56">
      <pivotArea type="all" dataOnly="0" outline="0" fieldPosition="0"/>
    </format>
    <format dxfId="55">
      <pivotArea outline="0" collapsedLevelsAreSubtotals="1" fieldPosition="0"/>
    </format>
    <format dxfId="54">
      <pivotArea type="origin" dataOnly="0" labelOnly="1" outline="0" fieldPosition="0"/>
    </format>
    <format dxfId="53">
      <pivotArea field="1" type="button" dataOnly="0" labelOnly="1" outline="0" axis="axisCol" fieldPosition="0"/>
    </format>
    <format dxfId="52">
      <pivotArea type="topRight" dataOnly="0" labelOnly="1" outline="0" fieldPosition="0"/>
    </format>
    <format dxfId="51">
      <pivotArea field="12" type="button" dataOnly="0" labelOnly="1" outline="0"/>
    </format>
    <format dxfId="50">
      <pivotArea dataOnly="0" labelOnly="1" fieldPosition="0">
        <references count="1">
          <reference field="1" count="0"/>
        </references>
      </pivotArea>
    </format>
    <format dxfId="49">
      <pivotArea collapsedLevelsAreSubtotals="1" fieldPosition="0">
        <references count="2">
          <reference field="1" count="1" selected="0">
            <x v="0"/>
          </reference>
          <reference field="13" count="1">
            <x v="2"/>
          </reference>
        </references>
      </pivotArea>
    </format>
  </formats>
  <chartFormats count="4">
    <chartFormat chart="7" format="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7" format="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7" format="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7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2007D9D-14AA-403B-9C44-A151849661C5}" name="Tableau croisé dynamique7" cacheId="0" applyNumberFormats="0" applyBorderFormats="0" applyFontFormats="0" applyPatternFormats="0" applyAlignmentFormats="0" applyWidthHeightFormats="1" dataCaption="Valeurs" updatedVersion="8" minRefreshableVersion="3" useAutoFormatting="1" rowGrandTotals="0" colGrandTotals="0" itemPrintTitles="1" createdVersion="7" indent="0" outline="1" outlineData="1" multipleFieldFilters="0">
  <location ref="AY7:BB14" firstHeaderRow="1" firstDataRow="2" firstDataCol="1"/>
  <pivotFields count="22">
    <pivotField numFmtId="14" showAll="0" defaultSubtotal="0"/>
    <pivotField axis="axisCol" showAll="0" sortType="descending" defaultSubtotal="0">
      <items count="3">
        <item x="0"/>
        <item x="2"/>
        <item x="1"/>
      </items>
    </pivotField>
    <pivotField showAll="0" defaultSubtotal="0"/>
    <pivotField showAll="0" defaultSubtotal="0">
      <items count="6">
        <item x="0"/>
        <item x="4"/>
        <item x="5"/>
        <item x="3"/>
        <item x="2"/>
        <item x="1"/>
      </items>
    </pivotField>
    <pivotField showAll="0" defaultSubtotal="0">
      <items count="9">
        <item x="6"/>
        <item x="4"/>
        <item x="3"/>
        <item m="1" x="8"/>
        <item x="0"/>
        <item x="2"/>
        <item x="5"/>
        <item x="1"/>
        <item m="1" x="7"/>
      </items>
    </pivotField>
    <pivotField showAll="0" defaultSubtotal="0"/>
    <pivotField showAll="0" defaultSubtotal="0">
      <items count="8">
        <item m="1" x="7"/>
        <item x="0"/>
        <item x="3"/>
        <item x="1"/>
        <item x="2"/>
        <item x="4"/>
        <item x="5"/>
        <item x="6"/>
      </items>
    </pivotField>
    <pivotField showAll="0" defaultSubtotal="0">
      <items count="5">
        <item x="1"/>
        <item x="0"/>
        <item m="1" x="4"/>
        <item x="2"/>
        <item x="3"/>
      </items>
    </pivotField>
    <pivotField axis="axisRow" showAll="0" defaultSubtotal="0">
      <items count="6">
        <item x="0"/>
        <item x="4"/>
        <item x="1"/>
        <item x="2"/>
        <item x="3"/>
        <item x="5"/>
      </items>
    </pivotField>
    <pivotField showAll="0" defaultSubtotal="0"/>
    <pivotField showAll="0" defaultSubtotal="0"/>
    <pivotField showAll="0" defaultSubtotal="0"/>
    <pivotField showAll="0" defaultSubtotal="0">
      <items count="4">
        <item x="3"/>
        <item x="0"/>
        <item x="1"/>
        <item x="2"/>
      </items>
    </pivotField>
    <pivotField showAll="0" defaultSubtotal="0">
      <items count="4">
        <item x="3"/>
        <item x="1"/>
        <item x="2"/>
        <item x="0"/>
      </items>
    </pivotField>
    <pivotField showAll="0" defaultSubtotal="0"/>
    <pivotField numFmtId="164" showAll="0" defaultSubtotal="0"/>
    <pivotField dataField="1" numFmtId="164" showAll="0" defaultSubtotal="0"/>
    <pivotField showAll="0" defaultSubtotal="0"/>
    <pivotField showAll="0" defaultSubtotal="0"/>
    <pivotField showAll="0" defaultSubtotal="0"/>
    <pivotField numFmtId="2" showAll="0" defaultSubtotal="0"/>
    <pivotField showAll="0" defaultSubtotal="0">
      <items count="12">
        <item x="7"/>
        <item x="6"/>
        <item x="5"/>
        <item x="1"/>
        <item x="0"/>
        <item x="2"/>
        <item x="3"/>
        <item x="9"/>
        <item x="4"/>
        <item x="10"/>
        <item x="8"/>
        <item x="11"/>
      </items>
    </pivotField>
  </pivotFields>
  <rowFields count="1">
    <field x="8"/>
  </rowFields>
  <rowItems count="6">
    <i>
      <x/>
    </i>
    <i>
      <x v="1"/>
    </i>
    <i>
      <x v="2"/>
    </i>
    <i>
      <x v="3"/>
    </i>
    <i>
      <x v="4"/>
    </i>
    <i>
      <x v="5"/>
    </i>
  </rowItems>
  <colFields count="1">
    <field x="1"/>
  </colFields>
  <colItems count="3">
    <i>
      <x/>
    </i>
    <i>
      <x v="1"/>
    </i>
    <i>
      <x v="2"/>
    </i>
  </colItems>
  <dataFields count="1">
    <dataField name="Somme de Montant" fld="16" baseField="0" baseItem="0"/>
  </dataFields>
  <formats count="8">
    <format dxfId="64">
      <pivotArea type="all" dataOnly="0" outline="0" fieldPosition="0"/>
    </format>
    <format dxfId="63">
      <pivotArea outline="0" collapsedLevelsAreSubtotals="1" fieldPosition="0"/>
    </format>
    <format dxfId="62">
      <pivotArea type="origin" dataOnly="0" labelOnly="1" outline="0" fieldPosition="0"/>
    </format>
    <format dxfId="61">
      <pivotArea field="1" type="button" dataOnly="0" labelOnly="1" outline="0" axis="axisCol" fieldPosition="0"/>
    </format>
    <format dxfId="60">
      <pivotArea type="topRight" dataOnly="0" labelOnly="1" outline="0" fieldPosition="0"/>
    </format>
    <format dxfId="59">
      <pivotArea field="6" type="button" dataOnly="0" labelOnly="1" outline="0"/>
    </format>
    <format dxfId="58">
      <pivotArea dataOnly="0" labelOnly="1" fieldPosition="0">
        <references count="1">
          <reference field="1" count="0"/>
        </references>
      </pivotArea>
    </format>
    <format dxfId="57">
      <pivotArea collapsedLevelsAreSubtotals="1" fieldPosition="0">
        <references count="2">
          <reference field="1" count="1" selected="0">
            <x v="0"/>
          </reference>
          <reference field="8" count="1">
            <x v="1"/>
          </reference>
        </references>
      </pivotArea>
    </format>
  </formats>
  <pivotTableStyleInfo name="PivotStyleLight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6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6C98B15-B7FD-4CF6-ADB6-3C129A45F4C0}" name="Tableau croisé dynamique1" cacheId="0" applyNumberFormats="0" applyBorderFormats="0" applyFontFormats="0" applyPatternFormats="0" applyAlignmentFormats="0" applyWidthHeightFormats="1" dataCaption="Valeurs" updatedVersion="8" minRefreshableVersion="3" useAutoFormatting="1" rowGrandTotals="0" colGrandTotals="0" itemPrintTitles="1" createdVersion="7" indent="0" outline="1" outlineData="1" multipleFieldFilters="0">
  <location ref="AS7:AV11" firstHeaderRow="1" firstDataRow="2" firstDataCol="1"/>
  <pivotFields count="22">
    <pivotField numFmtId="14" showAll="0" defaultSubtotal="0"/>
    <pivotField axis="axisCol" showAll="0" sortType="descending" defaultSubtotal="0">
      <items count="3">
        <item x="0"/>
        <item x="2"/>
        <item x="1"/>
      </items>
    </pivotField>
    <pivotField showAll="0" defaultSubtotal="0"/>
    <pivotField showAll="0" defaultSubtotal="0">
      <items count="6">
        <item x="0"/>
        <item x="4"/>
        <item x="5"/>
        <item x="3"/>
        <item x="2"/>
        <item x="1"/>
      </items>
    </pivotField>
    <pivotField showAll="0" defaultSubtotal="0">
      <items count="9">
        <item x="6"/>
        <item x="4"/>
        <item x="3"/>
        <item m="1" x="8"/>
        <item x="0"/>
        <item x="5"/>
        <item x="1"/>
        <item m="1" x="7"/>
        <item x="2"/>
      </items>
    </pivotField>
    <pivotField showAll="0" defaultSubtotal="0"/>
    <pivotField showAll="0" defaultSubtotal="0">
      <items count="8">
        <item m="1" x="7"/>
        <item x="0"/>
        <item x="3"/>
        <item x="4"/>
        <item x="2"/>
        <item x="5"/>
        <item x="6"/>
        <item x="1"/>
      </items>
    </pivotField>
    <pivotField showAll="0" defaultSubtotal="0">
      <items count="5">
        <item x="1"/>
        <item x="0"/>
        <item m="1" x="4"/>
        <item x="2"/>
        <item x="3"/>
      </items>
    </pivotField>
    <pivotField showAll="0" defaultSubtotal="0">
      <items count="6">
        <item x="0"/>
        <item x="4"/>
        <item x="2"/>
        <item x="3"/>
        <item x="5"/>
        <item x="1"/>
      </items>
    </pivotField>
    <pivotField showAll="0" defaultSubtotal="0"/>
    <pivotField showAll="0" defaultSubtotal="0"/>
    <pivotField showAll="0" defaultSubtotal="0"/>
    <pivotField showAll="0" defaultSubtotal="0">
      <items count="4">
        <item x="3"/>
        <item x="0"/>
        <item x="1"/>
        <item x="2"/>
      </items>
    </pivotField>
    <pivotField showAll="0" defaultSubtotal="0">
      <items count="4">
        <item x="3"/>
        <item x="1"/>
        <item x="2"/>
        <item x="0"/>
      </items>
    </pivotField>
    <pivotField showAll="0" defaultSubtotal="0"/>
    <pivotField numFmtId="164" showAll="0" defaultSubtotal="0"/>
    <pivotField dataField="1" numFmtId="164" showAll="0" defaultSubtotal="0"/>
    <pivotField showAll="0" defaultSubtotal="0"/>
    <pivotField axis="axisRow" showAll="0" defaultSubtotal="0">
      <items count="4">
        <item x="1"/>
        <item x="0"/>
        <item m="1" x="3"/>
        <item x="2"/>
      </items>
    </pivotField>
    <pivotField showAll="0" defaultSubtotal="0"/>
    <pivotField numFmtId="2" showAll="0" defaultSubtotal="0"/>
    <pivotField showAll="0" defaultSubtotal="0">
      <items count="12">
        <item x="7"/>
        <item x="6"/>
        <item x="5"/>
        <item x="1"/>
        <item x="0"/>
        <item x="2"/>
        <item x="3"/>
        <item x="9"/>
        <item x="4"/>
        <item x="10"/>
        <item x="8"/>
        <item x="11"/>
      </items>
    </pivotField>
  </pivotFields>
  <rowFields count="1">
    <field x="18"/>
  </rowFields>
  <rowItems count="3">
    <i>
      <x/>
    </i>
    <i>
      <x v="1"/>
    </i>
    <i>
      <x v="3"/>
    </i>
  </rowItems>
  <colFields count="1">
    <field x="1"/>
  </colFields>
  <colItems count="3">
    <i>
      <x/>
    </i>
    <i>
      <x v="1"/>
    </i>
    <i>
      <x v="2"/>
    </i>
  </colItems>
  <dataFields count="1">
    <dataField name="Somme de Montant" fld="16" baseField="0" baseItem="0"/>
  </dataFields>
  <formats count="8">
    <format dxfId="72">
      <pivotArea type="all" dataOnly="0" outline="0" fieldPosition="0"/>
    </format>
    <format dxfId="71">
      <pivotArea outline="0" collapsedLevelsAreSubtotals="1" fieldPosition="0"/>
    </format>
    <format dxfId="70">
      <pivotArea type="origin" dataOnly="0" labelOnly="1" outline="0" fieldPosition="0"/>
    </format>
    <format dxfId="69">
      <pivotArea field="1" type="button" dataOnly="0" labelOnly="1" outline="0" axis="axisCol" fieldPosition="0"/>
    </format>
    <format dxfId="68">
      <pivotArea type="topRight" dataOnly="0" labelOnly="1" outline="0" fieldPosition="0"/>
    </format>
    <format dxfId="67">
      <pivotArea field="4" type="button" dataOnly="0" labelOnly="1" outline="0"/>
    </format>
    <format dxfId="66">
      <pivotArea dataOnly="0" labelOnly="1" fieldPosition="0">
        <references count="1">
          <reference field="1" count="0"/>
        </references>
      </pivotArea>
    </format>
    <format dxfId="65">
      <pivotArea collapsedLevelsAreSubtotals="1" fieldPosition="0">
        <references count="2">
          <reference field="1" count="1" selected="0">
            <x v="0"/>
          </reference>
          <reference field="18" count="1">
            <x v="0"/>
          </reference>
        </references>
      </pivotArea>
    </format>
  </formats>
  <pivotTableStyleInfo name="PivotStyleLight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7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6606A6D-D1A7-4527-ADA4-BC6ED7C83535}" name="Tableau croisé dynamique6" cacheId="0" applyNumberFormats="0" applyBorderFormats="0" applyFontFormats="0" applyPatternFormats="0" applyAlignmentFormats="0" applyWidthHeightFormats="1" dataCaption="Valeurs" updatedVersion="8" minRefreshableVersion="3" useAutoFormatting="1" rowGrandTotals="0" colGrandTotals="0" itemPrintTitles="1" createdVersion="7" indent="0" outline="1" outlineData="1" multipleFieldFilters="0" chartFormat="10">
  <location ref="AG7:AJ12" firstHeaderRow="1" firstDataRow="2" firstDataCol="1"/>
  <pivotFields count="22">
    <pivotField numFmtId="14" showAll="0" defaultSubtotal="0"/>
    <pivotField axis="axisCol" showAll="0" sortType="descending" defaultSubtotal="0">
      <items count="3">
        <item x="0"/>
        <item x="2"/>
        <item x="1"/>
      </items>
    </pivotField>
    <pivotField showAll="0" defaultSubtotal="0"/>
    <pivotField showAll="0" defaultSubtotal="0">
      <items count="6">
        <item x="0"/>
        <item x="4"/>
        <item x="5"/>
        <item x="3"/>
        <item x="2"/>
        <item x="1"/>
      </items>
    </pivotField>
    <pivotField showAll="0" defaultSubtotal="0">
      <items count="9">
        <item x="6"/>
        <item x="4"/>
        <item x="3"/>
        <item m="1" x="8"/>
        <item x="0"/>
        <item x="2"/>
        <item x="5"/>
        <item x="1"/>
        <item m="1" x="7"/>
      </items>
    </pivotField>
    <pivotField showAll="0" defaultSubtotal="0"/>
    <pivotField showAll="0" defaultSubtotal="0">
      <items count="8">
        <item m="1" x="7"/>
        <item x="0"/>
        <item x="3"/>
        <item x="4"/>
        <item x="2"/>
        <item x="5"/>
        <item x="6"/>
        <item x="1"/>
      </items>
    </pivotField>
    <pivotField showAll="0" defaultSubtotal="0">
      <items count="5">
        <item x="1"/>
        <item x="0"/>
        <item m="1" x="4"/>
        <item x="2"/>
        <item x="3"/>
      </items>
    </pivotField>
    <pivotField showAll="0" defaultSubtotal="0">
      <items count="6">
        <item x="0"/>
        <item x="4"/>
        <item x="2"/>
        <item x="3"/>
        <item x="5"/>
        <item x="1"/>
      </items>
    </pivotField>
    <pivotField showAll="0" defaultSubtotal="0"/>
    <pivotField showAll="0" defaultSubtotal="0"/>
    <pivotField showAll="0" defaultSubtotal="0"/>
    <pivotField axis="axisRow" showAll="0" defaultSubtotal="0">
      <items count="4">
        <item x="3"/>
        <item x="1"/>
        <item x="2"/>
        <item x="0"/>
      </items>
    </pivotField>
    <pivotField showAll="0" defaultSubtotal="0">
      <items count="4">
        <item x="3"/>
        <item x="1"/>
        <item x="2"/>
        <item x="0"/>
      </items>
    </pivotField>
    <pivotField showAll="0" defaultSubtotal="0"/>
    <pivotField numFmtId="164" showAll="0" defaultSubtotal="0"/>
    <pivotField dataField="1" numFmtId="164" showAll="0" defaultSubtotal="0"/>
    <pivotField showAll="0" defaultSubtotal="0"/>
    <pivotField showAll="0" defaultSubtotal="0"/>
    <pivotField showAll="0" defaultSubtotal="0"/>
    <pivotField numFmtId="2" showAll="0" defaultSubtotal="0"/>
    <pivotField showAll="0" defaultSubtotal="0">
      <items count="12">
        <item x="7"/>
        <item x="6"/>
        <item x="5"/>
        <item x="1"/>
        <item x="0"/>
        <item x="2"/>
        <item x="3"/>
        <item x="9"/>
        <item x="4"/>
        <item x="10"/>
        <item x="8"/>
        <item x="11"/>
      </items>
    </pivotField>
  </pivotFields>
  <rowFields count="1">
    <field x="12"/>
  </rowFields>
  <rowItems count="4">
    <i>
      <x/>
    </i>
    <i>
      <x v="1"/>
    </i>
    <i>
      <x v="2"/>
    </i>
    <i>
      <x v="3"/>
    </i>
  </rowItems>
  <colFields count="1">
    <field x="1"/>
  </colFields>
  <colItems count="3">
    <i>
      <x/>
    </i>
    <i>
      <x v="1"/>
    </i>
    <i>
      <x v="2"/>
    </i>
  </colItems>
  <dataFields count="1">
    <dataField name="Somme de Montant" fld="16" baseField="0" baseItem="0"/>
  </dataFields>
  <formats count="9">
    <format dxfId="81">
      <pivotArea type="all" dataOnly="0" outline="0" fieldPosition="0"/>
    </format>
    <format dxfId="80">
      <pivotArea outline="0" collapsedLevelsAreSubtotals="1" fieldPosition="0"/>
    </format>
    <format dxfId="79">
      <pivotArea type="origin" dataOnly="0" labelOnly="1" outline="0" fieldPosition="0"/>
    </format>
    <format dxfId="78">
      <pivotArea field="1" type="button" dataOnly="0" labelOnly="1" outline="0" axis="axisCol" fieldPosition="0"/>
    </format>
    <format dxfId="77">
      <pivotArea type="topRight" dataOnly="0" labelOnly="1" outline="0" fieldPosition="0"/>
    </format>
    <format dxfId="76">
      <pivotArea field="12" type="button" dataOnly="0" labelOnly="1" outline="0" axis="axisRow" fieldPosition="0"/>
    </format>
    <format dxfId="75">
      <pivotArea dataOnly="0" labelOnly="1" fieldPosition="0">
        <references count="1">
          <reference field="12" count="0"/>
        </references>
      </pivotArea>
    </format>
    <format dxfId="74">
      <pivotArea dataOnly="0" labelOnly="1" fieldPosition="0">
        <references count="1">
          <reference field="1" count="0"/>
        </references>
      </pivotArea>
    </format>
    <format dxfId="73">
      <pivotArea collapsedLevelsAreSubtotals="1" fieldPosition="0">
        <references count="2">
          <reference field="1" count="1" selected="0">
            <x v="0"/>
          </reference>
          <reference field="12" count="1">
            <x v="0"/>
          </reference>
        </references>
      </pivotArea>
    </format>
  </formats>
  <pivotTableStyleInfo name="PivotStyleLight10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8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69C1C7C-8A61-4162-BDD1-01F885713C8E}" name="Tableau croisé dynamique3" cacheId="0" applyNumberFormats="0" applyBorderFormats="0" applyFontFormats="0" applyPatternFormats="0" applyAlignmentFormats="0" applyWidthHeightFormats="1" dataCaption="Valeurs" updatedVersion="8" minRefreshableVersion="3" useAutoFormatting="1" rowGrandTotals="0" colGrandTotals="0" itemPrintTitles="1" createdVersion="7" indent="0" outline="1" outlineData="1" multipleFieldFilters="0" chartFormat="7">
  <location ref="U7:X14" firstHeaderRow="1" firstDataRow="2" firstDataCol="1"/>
  <pivotFields count="22">
    <pivotField numFmtId="14" showAll="0" defaultSubtotal="0"/>
    <pivotField axis="axisCol" showAll="0" sortType="descending" defaultSubtotal="0">
      <items count="3">
        <item x="0"/>
        <item x="2"/>
        <item x="1"/>
      </items>
    </pivotField>
    <pivotField showAll="0" defaultSubtotal="0"/>
    <pivotField axis="axisRow" showAll="0" defaultSubtotal="0">
      <items count="6">
        <item x="4"/>
        <item x="5"/>
        <item x="3"/>
        <item x="2"/>
        <item x="1"/>
        <item x="0"/>
      </items>
    </pivotField>
    <pivotField showAll="0" defaultSubtotal="0">
      <items count="9">
        <item x="6"/>
        <item x="4"/>
        <item x="3"/>
        <item m="1" x="8"/>
        <item x="0"/>
        <item x="2"/>
        <item x="5"/>
        <item x="1"/>
        <item m="1" x="7"/>
      </items>
    </pivotField>
    <pivotField showAll="0" defaultSubtotal="0"/>
    <pivotField showAll="0" defaultSubtotal="0">
      <items count="8">
        <item m="1" x="7"/>
        <item x="0"/>
        <item x="3"/>
        <item x="4"/>
        <item x="2"/>
        <item x="5"/>
        <item x="6"/>
        <item x="1"/>
      </items>
    </pivotField>
    <pivotField showAll="0" defaultSubtotal="0">
      <items count="5">
        <item x="1"/>
        <item x="0"/>
        <item m="1" x="4"/>
        <item x="2"/>
        <item x="3"/>
      </items>
    </pivotField>
    <pivotField showAll="0" defaultSubtotal="0">
      <items count="6">
        <item x="0"/>
        <item x="4"/>
        <item x="2"/>
        <item x="3"/>
        <item x="5"/>
        <item x="1"/>
      </items>
    </pivotField>
    <pivotField showAll="0" defaultSubtotal="0"/>
    <pivotField showAll="0" defaultSubtotal="0"/>
    <pivotField showAll="0" defaultSubtotal="0"/>
    <pivotField showAll="0" defaultSubtotal="0">
      <items count="4">
        <item x="3"/>
        <item x="0"/>
        <item x="1"/>
        <item x="2"/>
      </items>
    </pivotField>
    <pivotField showAll="0" defaultSubtotal="0">
      <items count="4">
        <item x="3"/>
        <item x="1"/>
        <item x="2"/>
        <item x="0"/>
      </items>
    </pivotField>
    <pivotField showAll="0" defaultSubtotal="0"/>
    <pivotField numFmtId="164" showAll="0" defaultSubtotal="0"/>
    <pivotField dataField="1" numFmtId="164" showAll="0" defaultSubtotal="0"/>
    <pivotField showAll="0" defaultSubtotal="0"/>
    <pivotField showAll="0" defaultSubtotal="0"/>
    <pivotField showAll="0" defaultSubtotal="0"/>
    <pivotField numFmtId="2" showAll="0" defaultSubtotal="0"/>
    <pivotField showAll="0" defaultSubtotal="0">
      <items count="12">
        <item x="7"/>
        <item x="6"/>
        <item x="5"/>
        <item x="1"/>
        <item x="0"/>
        <item x="2"/>
        <item x="3"/>
        <item x="9"/>
        <item x="4"/>
        <item x="10"/>
        <item x="8"/>
        <item x="11"/>
      </items>
    </pivotField>
  </pivotFields>
  <rowFields count="1">
    <field x="3"/>
  </rowFields>
  <rowItems count="6">
    <i>
      <x/>
    </i>
    <i>
      <x v="1"/>
    </i>
    <i>
      <x v="2"/>
    </i>
    <i>
      <x v="3"/>
    </i>
    <i>
      <x v="4"/>
    </i>
    <i>
      <x v="5"/>
    </i>
  </rowItems>
  <colFields count="1">
    <field x="1"/>
  </colFields>
  <colItems count="3">
    <i>
      <x/>
    </i>
    <i>
      <x v="1"/>
    </i>
    <i>
      <x v="2"/>
    </i>
  </colItems>
  <dataFields count="1">
    <dataField name="Somme de Montant" fld="16" baseField="0" baseItem="0"/>
  </dataFields>
  <formats count="9">
    <format dxfId="90">
      <pivotArea type="all" dataOnly="0" outline="0" fieldPosition="0"/>
    </format>
    <format dxfId="89">
      <pivotArea outline="0" collapsedLevelsAreSubtotals="1" fieldPosition="0"/>
    </format>
    <format dxfId="88">
      <pivotArea type="origin" dataOnly="0" labelOnly="1" outline="0" fieldPosition="0"/>
    </format>
    <format dxfId="87">
      <pivotArea field="1" type="button" dataOnly="0" labelOnly="1" outline="0" axis="axisCol" fieldPosition="0"/>
    </format>
    <format dxfId="86">
      <pivotArea type="topRight" dataOnly="0" labelOnly="1" outline="0" fieldPosition="0"/>
    </format>
    <format dxfId="85">
      <pivotArea field="3" type="button" dataOnly="0" labelOnly="1" outline="0" axis="axisRow" fieldPosition="0"/>
    </format>
    <format dxfId="84">
      <pivotArea dataOnly="0" labelOnly="1" fieldPosition="0">
        <references count="1">
          <reference field="3" count="0"/>
        </references>
      </pivotArea>
    </format>
    <format dxfId="83">
      <pivotArea dataOnly="0" labelOnly="1" fieldPosition="0">
        <references count="1">
          <reference field="1" count="0"/>
        </references>
      </pivotArea>
    </format>
    <format dxfId="82">
      <pivotArea collapsedLevelsAreSubtotals="1" fieldPosition="0">
        <references count="2">
          <reference field="1" count="1" selected="0">
            <x v="2"/>
          </reference>
          <reference field="3" count="1">
            <x v="4"/>
          </reference>
        </references>
      </pivotArea>
    </format>
  </formats>
  <chartFormats count="3">
    <chartFormat chart="5" format="4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5" format="5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5" format="6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</chartFormats>
  <pivotTableStyleInfo name="PivotStyleLight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9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195A674-F065-497C-81FA-1CBAFA196244}" name="Tableau croisé dynamique5" cacheId="0" applyNumberFormats="0" applyBorderFormats="0" applyFontFormats="0" applyPatternFormats="0" applyAlignmentFormats="0" applyWidthHeightFormats="1" dataCaption="Valeurs" updatedVersion="8" minRefreshableVersion="3" useAutoFormatting="1" rowGrandTotals="0" colGrandTotals="0" itemPrintTitles="1" createdVersion="7" indent="0" outline="1" outlineData="1" multipleFieldFilters="0">
  <location ref="AA7:AD15" firstHeaderRow="1" firstDataRow="2" firstDataCol="1"/>
  <pivotFields count="22">
    <pivotField numFmtId="14" showAll="0" defaultSubtotal="0"/>
    <pivotField axis="axisCol" showAll="0" sortType="descending" defaultSubtotal="0">
      <items count="3">
        <item x="0"/>
        <item x="2"/>
        <item x="1"/>
      </items>
    </pivotField>
    <pivotField showAll="0" defaultSubtotal="0"/>
    <pivotField showAll="0" defaultSubtotal="0">
      <items count="6">
        <item x="0"/>
        <item x="4"/>
        <item x="5"/>
        <item x="3"/>
        <item x="2"/>
        <item x="1"/>
      </items>
    </pivotField>
    <pivotField showAll="0" defaultSubtotal="0">
      <items count="9">
        <item x="6"/>
        <item x="4"/>
        <item x="3"/>
        <item m="1" x="8"/>
        <item x="0"/>
        <item x="2"/>
        <item x="5"/>
        <item x="1"/>
        <item m="1" x="7"/>
      </items>
    </pivotField>
    <pivotField showAll="0" defaultSubtotal="0"/>
    <pivotField axis="axisRow" showAll="0" sortType="descending" defaultSubtotal="0">
      <items count="8">
        <item m="1" x="7"/>
        <item x="0"/>
        <item x="3"/>
        <item x="1"/>
        <item x="2"/>
        <item x="4"/>
        <item x="5"/>
        <item x="6"/>
      </items>
      <autoSortScope>
        <pivotArea dataOnly="0" outline="0" fieldPosition="0">
          <references count="2">
            <reference field="4294967294" count="1" selected="0">
              <x v="0"/>
            </reference>
            <reference field="1" count="1" selected="0">
              <x v="2"/>
            </reference>
          </references>
        </pivotArea>
      </autoSortScope>
    </pivotField>
    <pivotField showAll="0" defaultSubtotal="0">
      <items count="5">
        <item x="1"/>
        <item x="0"/>
        <item m="1" x="4"/>
        <item x="2"/>
        <item x="3"/>
      </items>
    </pivotField>
    <pivotField showAll="0" defaultSubtotal="0">
      <items count="6">
        <item x="0"/>
        <item x="4"/>
        <item x="2"/>
        <item x="3"/>
        <item x="5"/>
        <item x="1"/>
      </items>
    </pivotField>
    <pivotField showAll="0" defaultSubtotal="0"/>
    <pivotField showAll="0" defaultSubtotal="0"/>
    <pivotField showAll="0" defaultSubtotal="0"/>
    <pivotField showAll="0" defaultSubtotal="0">
      <items count="4">
        <item x="3"/>
        <item x="0"/>
        <item x="1"/>
        <item x="2"/>
      </items>
    </pivotField>
    <pivotField showAll="0" defaultSubtotal="0">
      <items count="4">
        <item x="3"/>
        <item x="1"/>
        <item x="2"/>
        <item x="0"/>
      </items>
    </pivotField>
    <pivotField showAll="0" defaultSubtotal="0"/>
    <pivotField numFmtId="164" showAll="0" defaultSubtotal="0"/>
    <pivotField dataField="1" numFmtId="164" showAll="0" defaultSubtotal="0"/>
    <pivotField showAll="0" defaultSubtotal="0"/>
    <pivotField showAll="0" defaultSubtotal="0"/>
    <pivotField showAll="0" defaultSubtotal="0"/>
    <pivotField numFmtId="2" showAll="0" defaultSubtotal="0"/>
    <pivotField showAll="0" defaultSubtotal="0"/>
  </pivotFields>
  <rowFields count="1">
    <field x="6"/>
  </rowFields>
  <rowItems count="7">
    <i>
      <x v="3"/>
    </i>
    <i>
      <x v="5"/>
    </i>
    <i>
      <x v="2"/>
    </i>
    <i>
      <x v="6"/>
    </i>
    <i>
      <x v="7"/>
    </i>
    <i>
      <x v="1"/>
    </i>
    <i>
      <x v="4"/>
    </i>
  </rowItems>
  <colFields count="1">
    <field x="1"/>
  </colFields>
  <colItems count="3">
    <i>
      <x/>
    </i>
    <i>
      <x v="1"/>
    </i>
    <i>
      <x v="2"/>
    </i>
  </colItems>
  <dataFields count="1">
    <dataField name="Somme de Montant" fld="16" baseField="0" baseItem="0"/>
  </dataFields>
  <formats count="9">
    <format dxfId="99">
      <pivotArea type="all" dataOnly="0" outline="0" fieldPosition="0"/>
    </format>
    <format dxfId="98">
      <pivotArea outline="0" collapsedLevelsAreSubtotals="1" fieldPosition="0"/>
    </format>
    <format dxfId="97">
      <pivotArea type="origin" dataOnly="0" labelOnly="1" outline="0" fieldPosition="0"/>
    </format>
    <format dxfId="96">
      <pivotArea field="1" type="button" dataOnly="0" labelOnly="1" outline="0" axis="axisCol" fieldPosition="0"/>
    </format>
    <format dxfId="95">
      <pivotArea type="topRight" dataOnly="0" labelOnly="1" outline="0" fieldPosition="0"/>
    </format>
    <format dxfId="94">
      <pivotArea field="6" type="button" dataOnly="0" labelOnly="1" outline="0" axis="axisRow" fieldPosition="0"/>
    </format>
    <format dxfId="93">
      <pivotArea dataOnly="0" labelOnly="1" fieldPosition="0">
        <references count="1">
          <reference field="6" count="0"/>
        </references>
      </pivotArea>
    </format>
    <format dxfId="92">
      <pivotArea dataOnly="0" labelOnly="1" fieldPosition="0">
        <references count="1">
          <reference field="1" count="0"/>
        </references>
      </pivotArea>
    </format>
    <format dxfId="91">
      <pivotArea collapsedLevelsAreSubtotals="1" fieldPosition="0">
        <references count="2">
          <reference field="1" count="1" selected="0">
            <x v="0"/>
          </reference>
          <reference field="6" count="1">
            <x v="1"/>
          </reference>
        </references>
      </pivotArea>
    </format>
  </formats>
  <pivotTableStyleInfo name="PivotStyleLight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10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BC0D39F-E5D9-454B-B879-2C19E5C16691}" name="Tableau croisé dynamique2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7" indent="0" outline="1" outlineData="1" multipleFieldFilters="0" chartFormat="16" rowHeaderCaption="">
  <location ref="U1:V5" firstHeaderRow="1" firstDataRow="1" firstDataCol="1"/>
  <pivotFields count="22">
    <pivotField numFmtId="14" showAll="0"/>
    <pivotField axis="axisRow" showAll="0">
      <items count="4">
        <item x="1"/>
        <item x="2"/>
        <item x="0"/>
        <item t="default"/>
      </items>
    </pivotField>
    <pivotField showAll="0"/>
    <pivotField showAll="0">
      <items count="7">
        <item x="0"/>
        <item x="4"/>
        <item x="5"/>
        <item x="3"/>
        <item x="2"/>
        <item x="1"/>
        <item t="default"/>
      </items>
    </pivotField>
    <pivotField showAll="0">
      <items count="10">
        <item x="6"/>
        <item x="4"/>
        <item x="3"/>
        <item m="1" x="8"/>
        <item x="0"/>
        <item x="2"/>
        <item x="5"/>
        <item x="1"/>
        <item m="1" x="7"/>
        <item t="default"/>
      </items>
    </pivotField>
    <pivotField showAll="0"/>
    <pivotField showAll="0">
      <items count="9">
        <item m="1" x="7"/>
        <item x="0"/>
        <item x="3"/>
        <item x="4"/>
        <item x="2"/>
        <item x="5"/>
        <item x="6"/>
        <item x="1"/>
        <item t="default"/>
      </items>
    </pivotField>
    <pivotField showAll="0">
      <items count="6">
        <item x="1"/>
        <item x="0"/>
        <item m="1" x="4"/>
        <item x="2"/>
        <item x="3"/>
        <item t="default"/>
      </items>
    </pivotField>
    <pivotField showAll="0">
      <items count="7">
        <item x="0"/>
        <item x="4"/>
        <item x="2"/>
        <item x="3"/>
        <item x="5"/>
        <item x="1"/>
        <item t="default"/>
      </items>
    </pivotField>
    <pivotField showAll="0"/>
    <pivotField showAll="0"/>
    <pivotField showAll="0"/>
    <pivotField showAll="0">
      <items count="5">
        <item x="3"/>
        <item x="0"/>
        <item x="1"/>
        <item x="2"/>
        <item t="default"/>
      </items>
    </pivotField>
    <pivotField showAll="0">
      <items count="5">
        <item x="3"/>
        <item x="1"/>
        <item x="2"/>
        <item x="0"/>
        <item t="default"/>
      </items>
    </pivotField>
    <pivotField showAll="0"/>
    <pivotField numFmtId="164" showAll="0"/>
    <pivotField dataField="1" numFmtId="164" showAll="0"/>
    <pivotField showAll="0"/>
    <pivotField showAll="0"/>
    <pivotField showAll="0"/>
    <pivotField numFmtId="2" showAll="0"/>
    <pivotField showAll="0">
      <items count="13">
        <item x="7"/>
        <item x="6"/>
        <item x="5"/>
        <item x="1"/>
        <item x="0"/>
        <item x="2"/>
        <item x="3"/>
        <item x="9"/>
        <item x="4"/>
        <item x="10"/>
        <item x="8"/>
        <item x="11"/>
        <item t="default"/>
      </items>
    </pivotField>
  </pivotFields>
  <rowFields count="1">
    <field x="1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--" fld="16" baseField="1" baseItem="0"/>
  </dataFields>
  <formats count="6">
    <format dxfId="105">
      <pivotArea type="all" dataOnly="0" outline="0" fieldPosition="0"/>
    </format>
    <format dxfId="104">
      <pivotArea outline="0" collapsedLevelsAreSubtotals="1" fieldPosition="0"/>
    </format>
    <format dxfId="103">
      <pivotArea field="1" type="button" dataOnly="0" labelOnly="1" outline="0" axis="axisRow" fieldPosition="0"/>
    </format>
    <format dxfId="102">
      <pivotArea dataOnly="0" labelOnly="1" fieldPosition="0">
        <references count="1">
          <reference field="1" count="0"/>
        </references>
      </pivotArea>
    </format>
    <format dxfId="101">
      <pivotArea dataOnly="0" labelOnly="1" grandRow="1" outline="0" fieldPosition="0"/>
    </format>
    <format dxfId="100">
      <pivotArea dataOnly="0" labelOnly="1" outline="0" axis="axisValues" fieldPosition="0"/>
    </format>
  </formats>
  <chartFormats count="10">
    <chartFormat chart="5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7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8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3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3" format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15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5" format="7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15" format="8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15" format="9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13" format="2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Fournisseur" xr10:uid="{BBDB2808-CE4B-4C5B-A3AC-1609CE0ED93C}" sourceName="Fournisseur">
  <pivotTables>
    <pivotTable tabId="3" name="Tableau croisé dynamique3"/>
    <pivotTable tabId="3" name="Tableau croisé dynamique2"/>
    <pivotTable tabId="3" name="Tableau croisé dynamique4"/>
    <pivotTable tabId="3" name="Tableau croisé dynamique5"/>
    <pivotTable tabId="3" name="Tableau croisé dynamique6"/>
    <pivotTable tabId="3" name="Tableau croisé dynamique1"/>
    <pivotTable tabId="3" name="Tableau croisé dynamique7"/>
    <pivotTable tabId="3" name="Tableau croisé dynamique8"/>
    <pivotTable tabId="3" name="Tableau croisé dynamique9"/>
    <pivotTable tabId="3" name="Tableau croisé dynamique10"/>
  </pivotTables>
  <data>
    <tabular pivotCacheId="89237297">
      <items count="6">
        <i x="0" s="1"/>
        <i x="4" s="1"/>
        <i x="5" s="1"/>
        <i x="3" s="1"/>
        <i x="2" s="1"/>
        <i x="1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°parc" xr10:uid="{EC2D7EA4-BBF7-4974-921B-49B531416C9F}" sourceName="N°parc">
  <pivotTables>
    <pivotTable tabId="3" name="Tableau croisé dynamique3"/>
    <pivotTable tabId="3" name="Tableau croisé dynamique2"/>
    <pivotTable tabId="3" name="Tableau croisé dynamique4"/>
    <pivotTable tabId="3" name="Tableau croisé dynamique5"/>
    <pivotTable tabId="3" name="Tableau croisé dynamique6"/>
    <pivotTable tabId="3" name="Tableau croisé dynamique1"/>
    <pivotTable tabId="3" name="Tableau croisé dynamique7"/>
    <pivotTable tabId="3" name="Tableau croisé dynamique8"/>
    <pivotTable tabId="3" name="Tableau croisé dynamique9"/>
    <pivotTable tabId="3" name="Tableau croisé dynamique10"/>
  </pivotTables>
  <data>
    <tabular pivotCacheId="89237297">
      <items count="9">
        <i x="6" s="1"/>
        <i x="4" s="1"/>
        <i x="3" s="1"/>
        <i x="0" s="1"/>
        <i x="2" s="1"/>
        <i x="5" s="1"/>
        <i x="1" s="1"/>
        <i x="8" s="1" nd="1"/>
        <i x="7" s="1" nd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arque" xr10:uid="{20286C4E-E138-4191-9D62-11B9349594C8}" sourceName="marque">
  <pivotTables>
    <pivotTable tabId="3" name="Tableau croisé dynamique3"/>
    <pivotTable tabId="3" name="Tableau croisé dynamique2"/>
    <pivotTable tabId="3" name="Tableau croisé dynamique4"/>
    <pivotTable tabId="3" name="Tableau croisé dynamique5"/>
    <pivotTable tabId="3" name="Tableau croisé dynamique6"/>
    <pivotTable tabId="3" name="Tableau croisé dynamique1"/>
    <pivotTable tabId="3" name="Tableau croisé dynamique7"/>
    <pivotTable tabId="3" name="Tableau croisé dynamique8"/>
    <pivotTable tabId="3" name="Tableau croisé dynamique9"/>
    <pivotTable tabId="3" name="Tableau croisé dynamique10"/>
  </pivotTables>
  <data>
    <tabular pivotCacheId="89237297">
      <items count="8">
        <i x="0" s="1"/>
        <i x="3" s="1"/>
        <i x="4" s="1"/>
        <i x="2" s="1"/>
        <i x="5" s="1"/>
        <i x="6" s="1"/>
        <i x="1" s="1"/>
        <i x="7" s="1" nd="1"/>
      </items>
    </tabular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ype" xr10:uid="{B65ED51F-40F3-449B-B1E5-BB0D0BA042A9}" sourceName="type">
  <pivotTables>
    <pivotTable tabId="3" name="Tableau croisé dynamique3"/>
    <pivotTable tabId="3" name="Tableau croisé dynamique2"/>
    <pivotTable tabId="3" name="Tableau croisé dynamique4"/>
    <pivotTable tabId="3" name="Tableau croisé dynamique5"/>
    <pivotTable tabId="3" name="Tableau croisé dynamique6"/>
    <pivotTable tabId="3" name="Tableau croisé dynamique1"/>
    <pivotTable tabId="3" name="Tableau croisé dynamique7"/>
    <pivotTable tabId="3" name="Tableau croisé dynamique8"/>
    <pivotTable tabId="3" name="Tableau croisé dynamique9"/>
    <pivotTable tabId="3" name="Tableau croisé dynamique10"/>
  </pivotTables>
  <data>
    <tabular pivotCacheId="89237297">
      <items count="5">
        <i x="1" s="1"/>
        <i x="0" s="1"/>
        <i x="2" s="1"/>
        <i x="3" s="1"/>
        <i x="4" s="1" nd="1"/>
      </items>
    </tabular>
  </data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atégorie" xr10:uid="{303A4C0C-D465-4878-9A50-6913E61F080C}" sourceName="catégorie">
  <pivotTables>
    <pivotTable tabId="3" name="Tableau croisé dynamique3"/>
    <pivotTable tabId="3" name="Tableau croisé dynamique2"/>
    <pivotTable tabId="3" name="Tableau croisé dynamique4"/>
    <pivotTable tabId="3" name="Tableau croisé dynamique5"/>
    <pivotTable tabId="3" name="Tableau croisé dynamique6"/>
    <pivotTable tabId="3" name="Tableau croisé dynamique1"/>
    <pivotTable tabId="3" name="Tableau croisé dynamique7"/>
    <pivotTable tabId="3" name="Tableau croisé dynamique8"/>
    <pivotTable tabId="3" name="Tableau croisé dynamique9"/>
    <pivotTable tabId="3" name="Tableau croisé dynamique10"/>
  </pivotTables>
  <data>
    <tabular pivotCacheId="89237297">
      <items count="6">
        <i x="0" s="1"/>
        <i x="4" s="1"/>
        <i x="2" s="1"/>
        <i x="3" s="1"/>
        <i x="5" s="1"/>
        <i x="1" s="1"/>
      </items>
    </tabular>
  </data>
</slicerCacheDefinition>
</file>

<file path=xl/slicerCaches/slicerCache6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Famille" xr10:uid="{B035D0A4-D167-4543-9C5D-48B03481EB19}" sourceName="Famille">
  <pivotTables>
    <pivotTable tabId="3" name="Tableau croisé dynamique3"/>
    <pivotTable tabId="3" name="Tableau croisé dynamique2"/>
    <pivotTable tabId="3" name="Tableau croisé dynamique4"/>
    <pivotTable tabId="3" name="Tableau croisé dynamique5"/>
    <pivotTable tabId="3" name="Tableau croisé dynamique6"/>
    <pivotTable tabId="3" name="Tableau croisé dynamique1"/>
    <pivotTable tabId="3" name="Tableau croisé dynamique7"/>
    <pivotTable tabId="3" name="Tableau croisé dynamique8"/>
    <pivotTable tabId="3" name="Tableau croisé dynamique9"/>
    <pivotTable tabId="3" name="Tableau croisé dynamique10"/>
  </pivotTables>
  <data>
    <tabular pivotCacheId="89237297">
      <items count="4">
        <i x="3" s="1"/>
        <i x="0" s="1"/>
        <i x="1" s="1"/>
        <i x="2" s="1"/>
      </items>
    </tabular>
  </data>
</slicerCacheDefinition>
</file>

<file path=xl/slicerCaches/slicerCache7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Sous_famille" xr10:uid="{214015D9-D982-4791-81C5-D54AE802D744}" sourceName="Sous famille">
  <pivotTables>
    <pivotTable tabId="3" name="Tableau croisé dynamique3"/>
    <pivotTable tabId="3" name="Tableau croisé dynamique2"/>
    <pivotTable tabId="3" name="Tableau croisé dynamique4"/>
    <pivotTable tabId="3" name="Tableau croisé dynamique5"/>
    <pivotTable tabId="3" name="Tableau croisé dynamique6"/>
    <pivotTable tabId="3" name="Tableau croisé dynamique1"/>
    <pivotTable tabId="3" name="Tableau croisé dynamique7"/>
    <pivotTable tabId="3" name="Tableau croisé dynamique8"/>
    <pivotTable tabId="3" name="Tableau croisé dynamique9"/>
    <pivotTable tabId="3" name="Tableau croisé dynamique10"/>
  </pivotTables>
  <data>
    <tabular pivotCacheId="89237297">
      <items count="4">
        <i x="3" s="1"/>
        <i x="1" s="1"/>
        <i x="2" s="1"/>
        <i x="0" s="1"/>
      </items>
    </tabular>
  </data>
</slicerCacheDefinition>
</file>

<file path=xl/slicerCaches/slicerCache8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" xr10:uid="{C3750BEB-57FC-4BBD-8D63-829FF63A251E}" sourceName="Mois">
  <pivotTables>
    <pivotTable tabId="3" name="Tableau croisé dynamique9"/>
    <pivotTable tabId="3" name="Tableau croisé dynamique1"/>
    <pivotTable tabId="3" name="Tableau croisé dynamique2"/>
    <pivotTable tabId="3" name="Tableau croisé dynamique3"/>
    <pivotTable tabId="3" name="Tableau croisé dynamique4"/>
    <pivotTable tabId="3" name="Tableau croisé dynamique6"/>
    <pivotTable tabId="3" name="Tableau croisé dynamique7"/>
    <pivotTable tabId="3" name="Tableau croisé dynamique8"/>
    <pivotTable tabId="3" name="Tableau croisé dynamique10"/>
  </pivotTables>
  <data>
    <tabular pivotCacheId="89237297">
      <items count="12">
        <i x="7" s="1"/>
        <i x="6" s="1"/>
        <i x="5" s="1"/>
        <i x="1" s="1"/>
        <i x="0" s="1"/>
        <i x="2" s="1"/>
        <i x="3" s="1"/>
        <i x="9" s="1"/>
        <i x="4" s="1"/>
        <i x="10" s="1"/>
        <i x="8" s="1"/>
        <i x="11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Famille 1" xr10:uid="{451BB9DE-F830-457F-AE8F-A57AC0367666}" cache="Segment_Famille" caption="Famille" showCaption="0" style="SlicerStyleOther2" rowHeight="241300"/>
  <slicer name="Mois 1" xr10:uid="{0D6017F4-03F2-4B41-B574-0DE4B949789B}" cache="Segment_Mois" caption="Mois" columnCount="12" showCaption="0" style="SlicerStyleOther2" rowHeight="24130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Fournisseur" xr10:uid="{912415D6-02BA-45B5-9645-F187353CCABB}" cache="Segment_Fournisseur" caption="Fournisseur" rowHeight="241300"/>
  <slicer name="N°parc" xr10:uid="{7F12BA09-E68D-4040-B1EA-900FA1046097}" cache="Segment_N°parc" caption="N°parc" rowHeight="241300"/>
  <slicer name="marque" xr10:uid="{43A5FD7F-5155-4A80-A959-39965D613890}" cache="Segment_marque" caption="marque" rowHeight="241300"/>
  <slicer name="type" xr10:uid="{07EA6E51-D70A-46D2-8861-80BF3D888D9B}" cache="Segment_type" caption="type" rowHeight="241300"/>
  <slicer name="catégorie" xr10:uid="{DE27A246-1F9D-46F1-812D-3A8DCC7A2F6E}" cache="Segment_catégorie" caption="catégorie" rowHeight="241300"/>
  <slicer name="Famille" xr10:uid="{C664C047-A473-425A-AFEF-27424A5F9596}" cache="Segment_Famille" caption="Famille" columnCount="4" showCaption="0" style="Style de segment 2" rowHeight="241300"/>
  <slicer name="Sous famille" xr10:uid="{9623BA13-D6FE-4D4E-8EE4-8F1F7DEF31E3}" cache="Segment_Sous_famille" caption="Sous famille" rowHeight="241300"/>
  <slicer name="Mois" xr10:uid="{85DA1B20-CBAF-4236-9CA0-84A6DE645232}" cache="Segment_Mois" caption="Mois" columnCount="12" showCaption="0" style="Style de segment 2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1D1A4E2B-43A7-400B-8F8B-AF4B4D99955D}" name="Tableau4" displayName="Tableau4" ref="A1:V23" totalsRowShown="0" headerRowDxfId="129" dataDxfId="128">
  <autoFilter ref="A1:V23" xr:uid="{1D1A4E2B-43A7-400B-8F8B-AF4B4D99955D}"/>
  <tableColumns count="22">
    <tableColumn id="1" xr3:uid="{A7DF80C3-7F2B-4338-A958-FD3AEEC30D00}" name="Date BL/BS" dataDxfId="127"/>
    <tableColumn id="2" xr3:uid="{94D96720-445C-4D76-8A7A-73516512FD66}" name="mouvement" dataDxfId="126"/>
    <tableColumn id="3" xr3:uid="{9C195FE5-178F-4633-A792-8301307C6366}" name="N°BL/BS" dataDxfId="125"/>
    <tableColumn id="4" xr3:uid="{1B144DCB-B279-4A32-A0C9-E39CB0C03F76}" name="Fournisseur" dataDxfId="124"/>
    <tableColumn id="5" xr3:uid="{D72435E5-51CD-487C-BE2D-C34C9E201436}" name="N°parc" dataDxfId="123"/>
    <tableColumn id="6" xr3:uid="{FBC061B0-9B4E-492E-9AFF-E12ED3FFF6FC}" name="matricule" dataDxfId="122"/>
    <tableColumn id="7" xr3:uid="{C3F5BEEE-D18E-48D8-AB31-8AA617A98374}" name="marque" dataDxfId="121"/>
    <tableColumn id="8" xr3:uid="{68B926D8-AF83-4448-95F3-16C4F3CCBB53}" name="type" dataDxfId="120"/>
    <tableColumn id="9" xr3:uid="{E5F8C004-B062-465E-93B4-C38B9938A4A1}" name="catégorie" dataDxfId="119"/>
    <tableColumn id="10" xr3:uid="{A14D66C7-BBD5-4E3A-BE07-67E27C558A76}" name="Code article" dataDxfId="118"/>
    <tableColumn id="11" xr3:uid="{A8F87848-8214-474F-A8BA-08D1387D0CDE}" name="Référence" dataDxfId="117"/>
    <tableColumn id="12" xr3:uid="{489AA24F-7843-4CE6-8D17-48C642EEB00B}" name="Désignation" dataDxfId="116"/>
    <tableColumn id="13" xr3:uid="{13240DF1-C8BE-4F46-B439-1CB61522522B}" name="Famille" dataDxfId="115"/>
    <tableColumn id="14" xr3:uid="{11BC20C6-6210-42E9-AB2D-9F7EA96F03B0}" name="Sous famille" dataDxfId="114"/>
    <tableColumn id="15" xr3:uid="{3A3BC6EF-ECEB-4201-9DC6-290416E9008C}" name="Quantité" dataDxfId="113"/>
    <tableColumn id="16" xr3:uid="{1A083DC2-E18B-49FE-B207-F544935E1B74}" name="Prix U" dataDxfId="112"/>
    <tableColumn id="17" xr3:uid="{A4E7BC27-C564-4C53-BB44-E738BE741286}" name="Montant" dataDxfId="111"/>
    <tableColumn id="18" xr3:uid="{FF805C60-9A3C-44C3-BCAA-1B4F5113030B}" name="Demandeur" dataDxfId="110"/>
    <tableColumn id="19" xr3:uid="{EBE18B19-2C05-4157-962E-4EAFDBA73D48}" name="service" dataDxfId="109"/>
    <tableColumn id="20" xr3:uid="{B32A6ED2-97A9-41D8-BF49-C31A5575DA96}" name="N°FI" dataDxfId="108"/>
    <tableColumn id="21" xr3:uid="{4020963E-A486-420C-9DDE-5761B61A0234}" name="SOLDE" dataDxfId="107">
      <calculatedColumnFormula>SUMIFS(O$2:$O$15,K$2:K$15,Tableau4[[#This Row],[Référence]],B$2:B$15,"INVENTAIRE")+SUMIFS(O$2:O$15,K$2:K$15,Tableau4[[#This Row],[Référence]],B$2:B$15,"ENTREE")-SUMIFS(O$2:O$15,K$2:K$15,Tableau4[[#This Row],[Référence]],B$2:B$15,"SORTIE")</calculatedColumnFormula>
    </tableColumn>
    <tableColumn id="22" xr3:uid="{1AC6EBAC-8167-4EAC-8E40-C1C939E25C29}" name="Mois" dataDxfId="106">
      <calculatedColumnFormula>TEXT(Tableau4[[#This Row],[Date BL/BS]],"MMMM")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B715743-C860-4E0F-AFF3-43A090EDF9E7}" name="Tableau1" displayName="Tableau1" ref="A1:A4" totalsRowShown="0" headerRowDxfId="26" dataDxfId="25">
  <autoFilter ref="A1:A4" xr:uid="{6B715743-C860-4E0F-AFF3-43A090EDF9E7}"/>
  <tableColumns count="1">
    <tableColumn id="1" xr3:uid="{6941C0D4-6C4D-4723-ADB0-BD3C85746B88}" name="MOUVEMENT" dataDxfId="24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E0151EE-8A3B-44D5-AF4A-5B6E273D1B98}" name="Tableau2" displayName="Tableau2" ref="C1:C18" totalsRowShown="0" headerRowDxfId="23" dataDxfId="22">
  <autoFilter ref="C1:C18" xr:uid="{EE0151EE-8A3B-44D5-AF4A-5B6E273D1B98}"/>
  <tableColumns count="1">
    <tableColumn id="1" xr3:uid="{4795ACCF-FFFE-48FA-8399-BF45E09FBE87}" name="FOURNISSEURS" dataDxfId="21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C806770A-58CD-43F0-BCB8-5DC008F76036}" name="Tableau5" displayName="Tableau5" ref="E1:I36" totalsRowShown="0" headerRowDxfId="20" dataDxfId="18" headerRowBorderDxfId="19" tableBorderDxfId="17">
  <autoFilter ref="E1:I36" xr:uid="{C806770A-58CD-43F0-BCB8-5DC008F76036}"/>
  <tableColumns count="5">
    <tableColumn id="1" xr3:uid="{9BDE320C-3FAD-488E-A9F6-551E0461253C}" name="N°parc" dataDxfId="16"/>
    <tableColumn id="2" xr3:uid="{C37EF50C-C0B5-4219-BC4D-51ED236C564F}" name="matricule" dataDxfId="15"/>
    <tableColumn id="3" xr3:uid="{10B3EECA-3C16-4224-9F85-5E5531613A7E}" name="marque" dataDxfId="14"/>
    <tableColumn id="4" xr3:uid="{C31092F0-9C39-4A0B-B7B1-23FD1C491E8F}" name="type" dataDxfId="13"/>
    <tableColumn id="5" xr3:uid="{05A5965F-9451-4023-BBE4-CBC0E32F0C40}" name="catégorie" dataDxfId="12"/>
  </tableColumns>
  <tableStyleInfo name="TableStyleLight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C7C64E21-6D7F-40A0-8A47-1252389EA30F}" name="Tableau6" displayName="Tableau6" ref="K1:K11" totalsRowShown="0" headerRowDxfId="11" dataDxfId="10">
  <autoFilter ref="K1:K11" xr:uid="{C7C64E21-6D7F-40A0-8A47-1252389EA30F}"/>
  <tableColumns count="1">
    <tableColumn id="1" xr3:uid="{2B643B99-92FA-4925-8428-27785E3D8E44}" name="DEMANDEUR" dataDxfId="9"/>
  </tableColumns>
  <tableStyleInfo name="TableStyleMedium10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7E5A877-A811-4E68-9531-AF77798A75AB}" name="Tableau7" displayName="Tableau7" ref="M1:M5" totalsRowShown="0" headerRowDxfId="8" dataDxfId="7">
  <autoFilter ref="M1:M5" xr:uid="{07E5A877-A811-4E68-9531-AF77798A75AB}"/>
  <tableColumns count="1">
    <tableColumn id="1" xr3:uid="{BAACF3D5-3EE5-4290-B6CB-246AC7E96491}" name="SERVICE" dataDxfId="6"/>
  </tableColumns>
  <tableStyleInfo name="TableStyleMedium9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3A30F475-BACE-4CF0-BD08-3BCC0B44FF55}" name="Tableau8" displayName="Tableau8" ref="Q1:Q14" totalsRowShown="0" headerRowDxfId="5" dataDxfId="4">
  <autoFilter ref="Q1:Q14" xr:uid="{3A30F475-BACE-4CF0-BD08-3BCC0B44FF55}"/>
  <tableColumns count="1">
    <tableColumn id="1" xr3:uid="{14DBA380-7736-4C3D-B599-6530BE2F005B}" name="SOUS-FAMILLE" dataDxfId="3"/>
  </tableColumns>
  <tableStyleInfo name="TableStyleMedium10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DE98866C-A206-4F7E-988F-D7719E354331}" name="Tableau9" displayName="Tableau9" ref="O1:O5" totalsRowShown="0" headerRowDxfId="2" dataDxfId="1">
  <autoFilter ref="O1:O5" xr:uid="{DE98866C-A206-4F7E-988F-D7719E354331}"/>
  <tableColumns count="1">
    <tableColumn id="1" xr3:uid="{FA0162AA-1289-41DB-80B4-9DFA5B9D511B}" name="FAMILLE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leu">
      <a:dk1>
        <a:sysClr val="windowText" lastClr="000000"/>
      </a:dk1>
      <a:lt1>
        <a:sysClr val="window" lastClr="FFFFFF"/>
      </a:lt1>
      <a:dk2>
        <a:srgbClr val="17406D"/>
      </a:dk2>
      <a:lt2>
        <a:srgbClr val="DBEFF9"/>
      </a:lt2>
      <a:accent1>
        <a:srgbClr val="0F6FC6"/>
      </a:accent1>
      <a:accent2>
        <a:srgbClr val="009DD9"/>
      </a:accent2>
      <a:accent3>
        <a:srgbClr val="0BD0D9"/>
      </a:accent3>
      <a:accent4>
        <a:srgbClr val="10CF9B"/>
      </a:accent4>
      <a:accent5>
        <a:srgbClr val="7CCA62"/>
      </a:accent5>
      <a:accent6>
        <a:srgbClr val="A5C249"/>
      </a:accent6>
      <a:hlink>
        <a:srgbClr val="F49100"/>
      </a:hlink>
      <a:folHlink>
        <a:srgbClr val="85DFD0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pivotTable" Target="../pivotTables/pivotTable8.xml"/><Relationship Id="rId13" Type="http://schemas.openxmlformats.org/officeDocument/2006/relationships/table" Target="../tables/table2.xml"/><Relationship Id="rId18" Type="http://schemas.openxmlformats.org/officeDocument/2006/relationships/table" Target="../tables/table7.xml"/><Relationship Id="rId3" Type="http://schemas.openxmlformats.org/officeDocument/2006/relationships/pivotTable" Target="../pivotTables/pivotTable3.xml"/><Relationship Id="rId7" Type="http://schemas.openxmlformats.org/officeDocument/2006/relationships/pivotTable" Target="../pivotTables/pivotTable7.xml"/><Relationship Id="rId12" Type="http://schemas.openxmlformats.org/officeDocument/2006/relationships/drawing" Target="../drawings/drawing4.xml"/><Relationship Id="rId17" Type="http://schemas.openxmlformats.org/officeDocument/2006/relationships/table" Target="../tables/table6.xml"/><Relationship Id="rId2" Type="http://schemas.openxmlformats.org/officeDocument/2006/relationships/pivotTable" Target="../pivotTables/pivotTable2.xml"/><Relationship Id="rId16" Type="http://schemas.openxmlformats.org/officeDocument/2006/relationships/table" Target="../tables/table5.xml"/><Relationship Id="rId20" Type="http://schemas.microsoft.com/office/2007/relationships/slicer" Target="../slicers/slicer2.xml"/><Relationship Id="rId1" Type="http://schemas.openxmlformats.org/officeDocument/2006/relationships/pivotTable" Target="../pivotTables/pivotTable1.xml"/><Relationship Id="rId6" Type="http://schemas.openxmlformats.org/officeDocument/2006/relationships/pivotTable" Target="../pivotTables/pivotTable6.xml"/><Relationship Id="rId11" Type="http://schemas.openxmlformats.org/officeDocument/2006/relationships/printerSettings" Target="../printerSettings/printerSettings4.bin"/><Relationship Id="rId5" Type="http://schemas.openxmlformats.org/officeDocument/2006/relationships/pivotTable" Target="../pivotTables/pivotTable5.xml"/><Relationship Id="rId15" Type="http://schemas.openxmlformats.org/officeDocument/2006/relationships/table" Target="../tables/table4.xml"/><Relationship Id="rId10" Type="http://schemas.openxmlformats.org/officeDocument/2006/relationships/pivotTable" Target="../pivotTables/pivotTable10.xml"/><Relationship Id="rId19" Type="http://schemas.openxmlformats.org/officeDocument/2006/relationships/table" Target="../tables/table8.xml"/><Relationship Id="rId4" Type="http://schemas.openxmlformats.org/officeDocument/2006/relationships/pivotTable" Target="../pivotTables/pivotTable4.xml"/><Relationship Id="rId9" Type="http://schemas.openxmlformats.org/officeDocument/2006/relationships/pivotTable" Target="../pivotTables/pivotTable9.xml"/><Relationship Id="rId1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9A0C6D-BF89-4968-B70A-3981ED9BF9AB}">
  <sheetPr codeName="Feuil1"/>
  <dimension ref="A1:Q46"/>
  <sheetViews>
    <sheetView tabSelected="1" workbookViewId="0"/>
  </sheetViews>
  <sheetFormatPr baseColWidth="10" defaultColWidth="11.7109375" defaultRowHeight="12" x14ac:dyDescent="0.2"/>
  <cols>
    <col min="1" max="1" width="14.7109375" style="76" customWidth="1"/>
    <col min="2" max="4" width="14.7109375" style="74" customWidth="1"/>
    <col min="5" max="8" width="12.5703125" style="74" customWidth="1"/>
    <col min="9" max="9" width="14.7109375" style="76" customWidth="1"/>
    <col min="10" max="11" width="14.7109375" style="74" customWidth="1"/>
    <col min="12" max="12" width="16.85546875" style="74" customWidth="1"/>
    <col min="13" max="13" width="14.5703125" style="74" customWidth="1"/>
    <col min="14" max="14" width="15.42578125" style="74" customWidth="1"/>
    <col min="15" max="15" width="12.5703125" style="74" customWidth="1"/>
    <col min="16" max="16" width="9.42578125" style="74" customWidth="1"/>
    <col min="17" max="16384" width="11.7109375" style="74"/>
  </cols>
  <sheetData>
    <row r="1" spans="1:17" ht="16.5" customHeight="1" x14ac:dyDescent="0.2">
      <c r="A1" s="69" t="s">
        <v>169</v>
      </c>
      <c r="B1" s="70"/>
      <c r="C1" s="70"/>
      <c r="D1" s="70"/>
      <c r="E1" s="70"/>
      <c r="F1" s="70"/>
      <c r="G1" s="70"/>
      <c r="H1" s="70"/>
      <c r="I1" s="71"/>
      <c r="J1" s="70"/>
      <c r="K1" s="70"/>
      <c r="L1" s="70"/>
      <c r="M1" s="70"/>
      <c r="N1" s="70"/>
      <c r="O1" s="70"/>
      <c r="P1" s="72"/>
      <c r="Q1" s="73"/>
    </row>
    <row r="2" spans="1:17" ht="16.5" customHeight="1" x14ac:dyDescent="0.2">
      <c r="A2" s="75"/>
      <c r="P2" s="77"/>
      <c r="Q2" s="73"/>
    </row>
    <row r="3" spans="1:17" ht="16.5" customHeight="1" thickBot="1" x14ac:dyDescent="0.25">
      <c r="A3" s="78"/>
      <c r="B3" s="79"/>
      <c r="C3" s="79"/>
      <c r="D3" s="79"/>
      <c r="E3" s="79"/>
      <c r="F3" s="79"/>
      <c r="G3" s="79"/>
      <c r="H3" s="79"/>
      <c r="I3" s="80"/>
      <c r="J3" s="79"/>
      <c r="K3" s="79"/>
      <c r="L3" s="79"/>
      <c r="M3" s="79"/>
      <c r="N3" s="79"/>
      <c r="O3" s="79"/>
      <c r="P3" s="81"/>
      <c r="Q3" s="73"/>
    </row>
    <row r="4" spans="1:17" ht="13.5" customHeight="1" x14ac:dyDescent="0.2">
      <c r="A4" s="82"/>
      <c r="B4" s="71"/>
      <c r="C4" s="70"/>
      <c r="D4" s="70"/>
      <c r="E4" s="70"/>
      <c r="F4" s="70"/>
      <c r="G4" s="70"/>
      <c r="H4" s="70"/>
      <c r="I4" s="71"/>
      <c r="J4" s="70"/>
      <c r="L4" s="113" t="s">
        <v>244</v>
      </c>
      <c r="M4" s="114"/>
      <c r="N4" s="114"/>
      <c r="O4" s="114"/>
      <c r="P4" s="85"/>
      <c r="Q4" s="73"/>
    </row>
    <row r="5" spans="1:17" x14ac:dyDescent="0.2">
      <c r="A5" s="75"/>
      <c r="B5" s="76"/>
      <c r="J5" s="83"/>
      <c r="L5" s="110" t="s">
        <v>240</v>
      </c>
      <c r="M5" s="110" t="str">
        <f>INFO!BQ1</f>
        <v>janvier</v>
      </c>
      <c r="N5" s="112">
        <f>INFO!BR1</f>
        <v>10149</v>
      </c>
      <c r="O5" s="112"/>
      <c r="P5" s="85"/>
      <c r="Q5" s="73"/>
    </row>
    <row r="6" spans="1:17" x14ac:dyDescent="0.2">
      <c r="A6" s="78"/>
      <c r="B6" s="80"/>
      <c r="C6" s="79"/>
      <c r="D6" s="79"/>
      <c r="E6" s="79"/>
      <c r="F6" s="79"/>
      <c r="G6" s="79"/>
      <c r="H6" s="79"/>
      <c r="I6" s="80"/>
      <c r="J6" s="84"/>
      <c r="L6" s="110" t="s">
        <v>206</v>
      </c>
      <c r="M6" s="110" t="str">
        <f>INFO!Z1</f>
        <v>FRNSR6</v>
      </c>
      <c r="N6" s="112">
        <f>INFO!AA1</f>
        <v>14400</v>
      </c>
      <c r="O6" s="112"/>
      <c r="P6" s="85"/>
      <c r="Q6" s="73"/>
    </row>
    <row r="7" spans="1:17" x14ac:dyDescent="0.2">
      <c r="A7" s="86"/>
      <c r="B7" s="87"/>
      <c r="C7" s="87"/>
      <c r="D7" s="87"/>
      <c r="E7" s="87"/>
      <c r="F7" s="87"/>
      <c r="G7" s="87"/>
      <c r="H7" s="87"/>
      <c r="I7" s="86"/>
      <c r="J7" s="88"/>
      <c r="L7" s="110" t="s">
        <v>242</v>
      </c>
      <c r="M7" s="110" t="str">
        <f>INFO!AS1</f>
        <v>SRV1</v>
      </c>
      <c r="N7" s="112">
        <f>INFO!AT1</f>
        <v>14400</v>
      </c>
      <c r="O7" s="112"/>
      <c r="P7" s="89"/>
      <c r="Q7" s="73"/>
    </row>
    <row r="8" spans="1:17" x14ac:dyDescent="0.2">
      <c r="A8" s="90"/>
      <c r="B8" s="91"/>
      <c r="C8" s="91"/>
      <c r="D8" s="91"/>
      <c r="E8" s="91"/>
      <c r="F8" s="91"/>
      <c r="G8" s="91"/>
      <c r="H8" s="91"/>
      <c r="I8" s="90"/>
      <c r="J8" s="92"/>
      <c r="L8" s="110" t="s">
        <v>241</v>
      </c>
      <c r="M8" s="110" t="str">
        <f>INFO!AM1</f>
        <v>PRC 3</v>
      </c>
      <c r="N8" s="112">
        <f>INFO!AN1</f>
        <v>10949</v>
      </c>
      <c r="O8" s="112"/>
      <c r="P8" s="93"/>
      <c r="Q8" s="73"/>
    </row>
    <row r="9" spans="1:17" x14ac:dyDescent="0.2">
      <c r="A9" s="90"/>
      <c r="B9" s="91"/>
      <c r="C9" s="91"/>
      <c r="D9" s="91"/>
      <c r="E9" s="91"/>
      <c r="F9" s="91"/>
      <c r="G9" s="91"/>
      <c r="H9" s="91"/>
      <c r="I9" s="90"/>
      <c r="J9" s="92"/>
      <c r="L9" s="110" t="s">
        <v>209</v>
      </c>
      <c r="M9" s="110" t="str">
        <f>INFO!AC1</f>
        <v>MRQ1</v>
      </c>
      <c r="N9" s="112">
        <f>INFO!AD1</f>
        <v>10400</v>
      </c>
      <c r="O9" s="112"/>
      <c r="P9" s="93"/>
      <c r="Q9" s="73"/>
    </row>
    <row r="10" spans="1:17" x14ac:dyDescent="0.2">
      <c r="A10" s="90"/>
      <c r="B10" s="91"/>
      <c r="C10" s="91"/>
      <c r="D10" s="91"/>
      <c r="E10" s="91"/>
      <c r="F10" s="91"/>
      <c r="G10" s="91"/>
      <c r="H10" s="91"/>
      <c r="I10" s="90"/>
      <c r="J10" s="92"/>
      <c r="L10" s="110" t="s">
        <v>210</v>
      </c>
      <c r="M10" s="110" t="str">
        <f>INFO!AY1</f>
        <v>CAT2</v>
      </c>
      <c r="N10" s="112">
        <f>INFO!AZ1</f>
        <v>10423.5</v>
      </c>
      <c r="O10" s="112"/>
      <c r="P10" s="93"/>
      <c r="Q10" s="73"/>
    </row>
    <row r="11" spans="1:17" x14ac:dyDescent="0.2">
      <c r="A11" s="90"/>
      <c r="B11" s="91"/>
      <c r="C11" s="91"/>
      <c r="D11" s="91"/>
      <c r="E11" s="91"/>
      <c r="F11" s="91"/>
      <c r="G11" s="91"/>
      <c r="H11" s="91"/>
      <c r="I11" s="90"/>
      <c r="J11" s="92"/>
      <c r="L11" s="110" t="s">
        <v>156</v>
      </c>
      <c r="M11" s="110" t="str">
        <f>INFO!AG1</f>
        <v>PNEUMATIQUE</v>
      </c>
      <c r="N11" s="112">
        <f>INFO!AH1</f>
        <v>14400</v>
      </c>
      <c r="O11" s="112"/>
      <c r="P11" s="93"/>
      <c r="Q11" s="73"/>
    </row>
    <row r="12" spans="1:17" x14ac:dyDescent="0.2">
      <c r="A12" s="90"/>
      <c r="B12" s="91"/>
      <c r="C12" s="91"/>
      <c r="D12" s="91"/>
      <c r="E12" s="91"/>
      <c r="F12" s="91"/>
      <c r="G12" s="91"/>
      <c r="H12" s="91"/>
      <c r="I12" s="90"/>
      <c r="J12" s="92"/>
      <c r="L12" s="110" t="s">
        <v>159</v>
      </c>
      <c r="M12" s="110" t="str">
        <f>INFO!BE1</f>
        <v>MOTEUR</v>
      </c>
      <c r="N12" s="112">
        <f>INFO!BF1</f>
        <v>30095.599999999999</v>
      </c>
      <c r="O12" s="112"/>
      <c r="P12" s="93"/>
      <c r="Q12" s="73"/>
    </row>
    <row r="13" spans="1:17" s="95" customFormat="1" x14ac:dyDescent="0.2">
      <c r="A13" s="94">
        <v>1</v>
      </c>
      <c r="I13" s="96">
        <v>1</v>
      </c>
      <c r="J13" s="97"/>
      <c r="L13" s="110" t="s">
        <v>243</v>
      </c>
      <c r="M13" s="110" t="str">
        <f>INFO!BK1</f>
        <v>AGM7</v>
      </c>
      <c r="N13" s="112">
        <f>INFO!BL1</f>
        <v>10149</v>
      </c>
      <c r="O13" s="112"/>
      <c r="P13" s="98"/>
      <c r="Q13" s="99"/>
    </row>
    <row r="14" spans="1:17" x14ac:dyDescent="0.2">
      <c r="A14" s="100" t="s">
        <v>206</v>
      </c>
      <c r="B14" s="101" t="s">
        <v>29</v>
      </c>
      <c r="C14" s="101" t="s">
        <v>28</v>
      </c>
      <c r="D14" s="101" t="s">
        <v>30</v>
      </c>
      <c r="E14" s="102"/>
      <c r="F14" s="102"/>
      <c r="G14" s="102"/>
      <c r="H14" s="102"/>
      <c r="I14" s="100" t="s">
        <v>208</v>
      </c>
      <c r="J14" s="101" t="s">
        <v>29</v>
      </c>
      <c r="K14" s="103" t="s">
        <v>28</v>
      </c>
      <c r="L14" s="103" t="s">
        <v>30</v>
      </c>
      <c r="M14" s="104"/>
      <c r="N14" s="104"/>
      <c r="O14" s="104"/>
      <c r="P14" s="77"/>
      <c r="Q14" s="73"/>
    </row>
    <row r="15" spans="1:17" x14ac:dyDescent="0.2">
      <c r="A15" s="105" t="str" cm="1">
        <f t="array" ref="A15">INDEX(INFO!U9:U14,TdB!$A$13)</f>
        <v>FRNSR2</v>
      </c>
      <c r="B15" s="111">
        <f>IFERROR(GETPIVOTDATA("Montant",INFO!$U$7,"mouvement","ENTREE","Fournisseur",A15),"")</f>
        <v>2426</v>
      </c>
      <c r="C15" s="111">
        <f>IFERROR(GETPIVOTDATA("Montant",INFO!$U$7,"mouvement","INVENTAIRE","Fournisseur",A15),"")</f>
        <v>2196</v>
      </c>
      <c r="D15" s="111">
        <f>IFERROR(GETPIVOTDATA("Montant",INFO!$U$7,"mouvement","SORTIE","Fournisseur",A15),"")</f>
        <v>0</v>
      </c>
      <c r="I15" s="105" t="str" cm="1">
        <f t="array" ref="I15">INDEX(INFO!AM9:AM15,TdB!$I$13)</f>
        <v>PRC 1</v>
      </c>
      <c r="J15" s="111">
        <f>IFERROR(GETPIVOTDATA("Montant",INFO!$AM$7,"mouvement","ENTREE","N°parc",I15),"")</f>
        <v>0</v>
      </c>
      <c r="K15" s="111">
        <f>IFERROR(GETPIVOTDATA("Montant",INFO!$AM$7,"mouvement","INVENTAIRE","N°parc",I15),"")</f>
        <v>0</v>
      </c>
      <c r="L15" s="111">
        <f>IFERROR(GETPIVOTDATA("Montant",INFO!$AM$7,"mouvement","SORTIE","N°parc",I15),"")</f>
        <v>4800</v>
      </c>
      <c r="P15" s="77"/>
      <c r="Q15" s="73"/>
    </row>
    <row r="16" spans="1:17" x14ac:dyDescent="0.2">
      <c r="A16" s="105" t="str" cm="1">
        <f t="array" ref="A16">INDEX(INFO!U10:U15,TdB!$A$13)</f>
        <v>FRNSR3</v>
      </c>
      <c r="B16" s="111">
        <f>IFERROR(GETPIVOTDATA("Montant",INFO!$U$7,"mouvement","ENTREE","Fournisseur",A16),"")</f>
        <v>0</v>
      </c>
      <c r="C16" s="111">
        <f>IFERROR(GETPIVOTDATA("Montant",INFO!$U$7,"mouvement","INVENTAIRE","Fournisseur",A16),"")</f>
        <v>0</v>
      </c>
      <c r="D16" s="111">
        <f>IFERROR(GETPIVOTDATA("Montant",INFO!$U$7,"mouvement","SORTIE","Fournisseur",A16),"")</f>
        <v>549</v>
      </c>
      <c r="I16" s="105" t="str" cm="1">
        <f t="array" ref="I16">INDEX(INFO!AM10:AM16,TdB!$I$13)</f>
        <v>PRC 11</v>
      </c>
      <c r="J16" s="111">
        <f>IFERROR(GETPIVOTDATA("Montant",INFO!$AM$7,"mouvement","ENTREE","N°parc",I16),"")</f>
        <v>0</v>
      </c>
      <c r="K16" s="111">
        <f>IFERROR(GETPIVOTDATA("Montant",INFO!$AM$7,"mouvement","INVENTAIRE","N°parc",I16),"")</f>
        <v>0</v>
      </c>
      <c r="L16" s="111">
        <f>IFERROR(GETPIVOTDATA("Montant",INFO!$AM$7,"mouvement","SORTIE","N°parc",I16),"")</f>
        <v>4800</v>
      </c>
      <c r="P16" s="77"/>
      <c r="Q16" s="73"/>
    </row>
    <row r="17" spans="1:17" x14ac:dyDescent="0.2">
      <c r="A17" s="105" t="str" cm="1">
        <f t="array" ref="A17">INDEX(INFO!U11:U16,TdB!$A$13)</f>
        <v>FRNSR4</v>
      </c>
      <c r="B17" s="111">
        <f>IFERROR(GETPIVOTDATA("Montant",INFO!$U$7,"mouvement","ENTREE","Fournisseur",A17),"")</f>
        <v>4800</v>
      </c>
      <c r="C17" s="111">
        <f>IFERROR(GETPIVOTDATA("Montant",INFO!$U$7,"mouvement","INVENTAIRE","Fournisseur",A17),"")</f>
        <v>0</v>
      </c>
      <c r="D17" s="111">
        <f>IFERROR(GETPIVOTDATA("Montant",INFO!$U$7,"mouvement","SORTIE","Fournisseur",A17),"")</f>
        <v>4800</v>
      </c>
      <c r="I17" s="105" t="str" cm="1">
        <f t="array" ref="I17">INDEX(INFO!AM11:AM17,TdB!$I$13)</f>
        <v>PRC 13</v>
      </c>
      <c r="J17" s="111">
        <f>IFERROR(GETPIVOTDATA("Montant",INFO!$AM$7,"mouvement","ENTREE","N°parc",I17),"")</f>
        <v>0</v>
      </c>
      <c r="K17" s="111">
        <f>IFERROR(GETPIVOTDATA("Montant",INFO!$AM$7,"mouvement","INVENTAIRE","N°parc",I17),"")</f>
        <v>0</v>
      </c>
      <c r="L17" s="111">
        <f>IFERROR(GETPIVOTDATA("Montant",INFO!$AM$7,"mouvement","SORTIE","N°parc",I17),"")</f>
        <v>549</v>
      </c>
      <c r="P17" s="77"/>
      <c r="Q17" s="73"/>
    </row>
    <row r="18" spans="1:17" x14ac:dyDescent="0.2">
      <c r="A18" s="105" t="str" cm="1">
        <f t="array" ref="A18">INDEX(INFO!U12:U17,TdB!$A$13)</f>
        <v>FRNSR6</v>
      </c>
      <c r="B18" s="111">
        <f>IFERROR(GETPIVOTDATA("Montant",INFO!$U$7,"mouvement","ENTREE","Fournisseur",A18),"")</f>
        <v>24000</v>
      </c>
      <c r="C18" s="111">
        <f>IFERROR(GETPIVOTDATA("Montant",INFO!$U$7,"mouvement","INVENTAIRE","Fournisseur",A18),"")</f>
        <v>0</v>
      </c>
      <c r="D18" s="111">
        <f>IFERROR(GETPIVOTDATA("Montant",INFO!$U$7,"mouvement","SORTIE","Fournisseur",A18),"")</f>
        <v>14400</v>
      </c>
      <c r="I18" s="105" t="str" cm="1">
        <f t="array" ref="I18">INDEX(INFO!AM12:AM18,TdB!$I$13)</f>
        <v>PRC 3</v>
      </c>
      <c r="J18" s="111">
        <f>IFERROR(GETPIVOTDATA("Montant",INFO!$AM$7,"mouvement","ENTREE","N°parc",I18),"")</f>
        <v>0</v>
      </c>
      <c r="K18" s="111">
        <f>IFERROR(GETPIVOTDATA("Montant",INFO!$AM$7,"mouvement","INVENTAIRE","N°parc",I18),"")</f>
        <v>0</v>
      </c>
      <c r="L18" s="111">
        <f>IFERROR(GETPIVOTDATA("Montant",INFO!$AM$7,"mouvement","SORTIE","N°parc",I18),"")</f>
        <v>10949</v>
      </c>
      <c r="P18" s="77"/>
      <c r="Q18" s="73"/>
    </row>
    <row r="19" spans="1:17" x14ac:dyDescent="0.2">
      <c r="A19" s="105" t="str" cm="1">
        <f t="array" ref="A19">INDEX(INFO!U13:U18,TdB!$A$13)</f>
        <v>FRNSR7</v>
      </c>
      <c r="B19" s="111">
        <f>IFERROR(GETPIVOTDATA("Montant",INFO!$U$7,"mouvement","ENTREE","Fournisseur",A19),"")</f>
        <v>27669.599999999999</v>
      </c>
      <c r="C19" s="111">
        <f>IFERROR(GETPIVOTDATA("Montant",INFO!$U$7,"mouvement","INVENTAIRE","Fournisseur",A19),"")</f>
        <v>0</v>
      </c>
      <c r="D19" s="111">
        <f>IFERROR(GETPIVOTDATA("Montant",INFO!$U$7,"mouvement","SORTIE","Fournisseur",A19),"")</f>
        <v>1098</v>
      </c>
      <c r="I19" s="105" t="str" cm="1">
        <f t="array" ref="I19">INDEX(INFO!AM13:AM19,TdB!$I$13)</f>
        <v>PRC 8</v>
      </c>
      <c r="J19" s="111">
        <f>IFERROR(GETPIVOTDATA("Montant",INFO!$AM$7,"mouvement","ENTREE","N°parc",I19),"")</f>
        <v>0</v>
      </c>
      <c r="K19" s="111">
        <f>IFERROR(GETPIVOTDATA("Montant",INFO!$AM$7,"mouvement","INVENTAIRE","N°parc",I19),"")</f>
        <v>0</v>
      </c>
      <c r="L19" s="111">
        <f>IFERROR(GETPIVOTDATA("Montant",INFO!$AM$7,"mouvement","SORTIE","N°parc",I19),"")</f>
        <v>4800</v>
      </c>
      <c r="P19" s="77"/>
      <c r="Q19" s="73"/>
    </row>
    <row r="20" spans="1:17" x14ac:dyDescent="0.2">
      <c r="A20" s="105" t="str" cm="1">
        <f t="array" ref="A20">INDEX(INFO!U14:U19,TdB!$A$13)</f>
        <v>FRNSR10</v>
      </c>
      <c r="B20" s="111">
        <f>IFERROR(GETPIVOTDATA("Montant",INFO!$U$7,"mouvement","ENTREE","Fournisseur",A20),"")</f>
        <v>22400</v>
      </c>
      <c r="C20" s="111">
        <f>IFERROR(GETPIVOTDATA("Montant",INFO!$U$7,"mouvement","INVENTAIRE","Fournisseur",A20),"")</f>
        <v>0</v>
      </c>
      <c r="D20" s="111">
        <f>IFERROR(GETPIVOTDATA("Montant",INFO!$U$7,"mouvement","SORTIE","Fournisseur",A20),"")</f>
        <v>5600</v>
      </c>
      <c r="I20" s="105" t="str" cm="1">
        <f t="array" ref="I20">INDEX(INFO!AM14:AM20,TdB!$I$13)</f>
        <v>STOCK</v>
      </c>
      <c r="J20" s="111">
        <f>IFERROR(GETPIVOTDATA("Montant",INFO!$AM$7,"mouvement","ENTREE","N°parc",I20),"")</f>
        <v>81295.600000000006</v>
      </c>
      <c r="K20" s="111">
        <f>IFERROR(GETPIVOTDATA("Montant",INFO!$AM$7,"mouvement","INVENTAIRE","N°parc",I20),"")</f>
        <v>2196</v>
      </c>
      <c r="L20" s="111">
        <f>IFERROR(GETPIVOTDATA("Montant",INFO!$AM$7,"mouvement","SORTIE","N°parc",I20),"")</f>
        <v>0</v>
      </c>
      <c r="P20" s="77"/>
      <c r="Q20" s="73"/>
    </row>
    <row r="21" spans="1:17" x14ac:dyDescent="0.2">
      <c r="A21" s="94">
        <v>1</v>
      </c>
      <c r="I21" s="96">
        <v>1</v>
      </c>
      <c r="P21" s="77"/>
      <c r="Q21" s="73"/>
    </row>
    <row r="22" spans="1:17" x14ac:dyDescent="0.2">
      <c r="A22" s="100" t="s">
        <v>209</v>
      </c>
      <c r="B22" s="101" t="s">
        <v>29</v>
      </c>
      <c r="C22" s="101" t="s">
        <v>28</v>
      </c>
      <c r="D22" s="101" t="s">
        <v>30</v>
      </c>
      <c r="I22" s="100" t="s">
        <v>210</v>
      </c>
      <c r="J22" s="101" t="s">
        <v>29</v>
      </c>
      <c r="K22" s="101" t="s">
        <v>28</v>
      </c>
      <c r="L22" s="101" t="s">
        <v>30</v>
      </c>
      <c r="P22" s="77"/>
      <c r="Q22" s="73"/>
    </row>
    <row r="23" spans="1:17" x14ac:dyDescent="0.2">
      <c r="A23" s="105" t="str" cm="1">
        <f t="array" ref="A23">INDEX(INFO!AA9:AA11,TdB!$A$21)</f>
        <v>STOCK</v>
      </c>
      <c r="B23" s="111">
        <f>IFERROR(GETPIVOTDATA("Montant",INFO!$AA$7,"mouvement","ENTREE","marque",A23),"")</f>
        <v>81295.600000000006</v>
      </c>
      <c r="C23" s="111">
        <f>IFERROR(GETPIVOTDATA("Montant",INFO!$AA$7,"mouvement","INVENTAIRE","marque",A23),"")</f>
        <v>2196</v>
      </c>
      <c r="D23" s="111">
        <f>IFERROR(GETPIVOTDATA("Montant",INFO!$AA$7,"mouvement","SORTIE","marque",A23),"")</f>
        <v>0</v>
      </c>
      <c r="I23" s="105" t="str" cm="1">
        <f t="array" ref="I23">INDEX(INFO!AY9:AY14,TdB!$I$21)</f>
        <v>CAT1</v>
      </c>
      <c r="J23" s="111">
        <f ca="1">IFERROR(GETPIVOTDATA("Montant",INFO!$AY$7,"mouvement","ENTREE","catégorie",J23),"")</f>
        <v>0</v>
      </c>
      <c r="K23" s="111">
        <f>IFERROR(GETPIVOTDATA("Montant",INFO!$AY$7,"mouvement","INVENTAIRE","catégorie",I23),"")</f>
        <v>0</v>
      </c>
      <c r="L23" s="111">
        <f>IFERROR(GETPIVOTDATA("Montant",INFO!$AY$7,"mouvement","SORTIE","catégorie",I23),"")</f>
        <v>10400</v>
      </c>
      <c r="P23" s="77"/>
      <c r="Q23" s="73"/>
    </row>
    <row r="24" spans="1:17" x14ac:dyDescent="0.2">
      <c r="A24" s="105" t="str" cm="1">
        <f t="array" ref="A24">INDEX(INFO!AA10:AA12,TdB!$A$21)</f>
        <v>MRQ3</v>
      </c>
      <c r="B24" s="111">
        <f>IFERROR(GETPIVOTDATA("Montant",INFO!$AA$7,"mouvement","ENTREE","marque",A24),"")</f>
        <v>0</v>
      </c>
      <c r="C24" s="111">
        <f>IFERROR(GETPIVOTDATA("Montant",INFO!$AA$7,"mouvement","INVENTAIRE","marque",A24),"")</f>
        <v>0</v>
      </c>
      <c r="D24" s="111">
        <f>IFERROR(GETPIVOTDATA("Montant",INFO!$AA$7,"mouvement","SORTIE","marque",A24),"")</f>
        <v>274.5</v>
      </c>
      <c r="I24" s="105" t="str" cm="1">
        <f t="array" ref="I24">INDEX(INFO!AY10:AY15,TdB!$I$21)</f>
        <v>CAT2</v>
      </c>
      <c r="J24" s="111">
        <f ca="1">IFERROR(GETPIVOTDATA("Montant",INFO!$AY$7,"mouvement","ENTREE","catégorie",J24),"")</f>
        <v>0</v>
      </c>
      <c r="K24" s="111">
        <f>IFERROR(GETPIVOTDATA("Montant",INFO!$AY$7,"mouvement","INVENTAIRE","catégorie",I24),"")</f>
        <v>0</v>
      </c>
      <c r="L24" s="111">
        <f>IFERROR(GETPIVOTDATA("Montant",INFO!$AY$7,"mouvement","SORTIE","catégorie",I24),"")</f>
        <v>10423.5</v>
      </c>
      <c r="P24" s="77"/>
      <c r="Q24" s="73"/>
    </row>
    <row r="25" spans="1:17" x14ac:dyDescent="0.2">
      <c r="A25" s="105" t="str" cm="1">
        <f t="array" ref="A25">INDEX(INFO!AA11:AA13,TdB!$A$21)</f>
        <v>MRQ2</v>
      </c>
      <c r="B25" s="111">
        <f>IFERROR(GETPIVOTDATA("Montant",INFO!$AA$7,"mouvement","ENTREE","marque",A25),"")</f>
        <v>0</v>
      </c>
      <c r="C25" s="111">
        <f>IFERROR(GETPIVOTDATA("Montant",INFO!$AA$7,"mouvement","INVENTAIRE","marque",A25),"")</f>
        <v>0</v>
      </c>
      <c r="D25" s="111">
        <f>IFERROR(GETPIVOTDATA("Montant",INFO!$AA$7,"mouvement","SORTIE","marque",A25),"")</f>
        <v>5623.5</v>
      </c>
      <c r="I25" s="105" t="str" cm="1">
        <f t="array" ref="I25">INDEX(INFO!AY11:AY16,TdB!$I$21)</f>
        <v>STOCK</v>
      </c>
      <c r="J25" s="111">
        <f ca="1">IFERROR(GETPIVOTDATA("Montant",INFO!$AY$7,"mouvement","ENTREE","catégorie",J25),"")</f>
        <v>0</v>
      </c>
      <c r="K25" s="111">
        <f>IFERROR(GETPIVOTDATA("Montant",INFO!$AY$7,"mouvement","INVENTAIRE","catégorie",I25),"")</f>
        <v>2196</v>
      </c>
      <c r="L25" s="111">
        <f>IFERROR(GETPIVOTDATA("Montant",INFO!$AY$7,"mouvement","SORTIE","catégorie",I25),"")</f>
        <v>0</v>
      </c>
      <c r="P25" s="77"/>
      <c r="Q25" s="73"/>
    </row>
    <row r="26" spans="1:17" x14ac:dyDescent="0.2">
      <c r="A26" s="105" t="str" cm="1">
        <f t="array" ref="A26">INDEX(INFO!AA12:AA14,TdB!$A$21)</f>
        <v>MRQ5</v>
      </c>
      <c r="B26" s="111">
        <f>IFERROR(GETPIVOTDATA("Montant",INFO!$AA$7,"mouvement","ENTREE","marque",A26),"")</f>
        <v>0</v>
      </c>
      <c r="C26" s="111">
        <f>IFERROR(GETPIVOTDATA("Montant",INFO!$AA$7,"mouvement","INVENTAIRE","marque",A26),"")</f>
        <v>0</v>
      </c>
      <c r="D26" s="111">
        <f>IFERROR(GETPIVOTDATA("Montant",INFO!$AA$7,"mouvement","SORTIE","marque",A26),"")</f>
        <v>4800</v>
      </c>
      <c r="I26" s="105" t="str" cm="1">
        <f t="array" ref="I26">INDEX(INFO!AY12:AY17,TdB!$I$21)</f>
        <v>CAT3</v>
      </c>
      <c r="J26" s="111">
        <f ca="1">IFERROR(GETPIVOTDATA("Montant",INFO!$AY$7,"mouvement","ENTREE","catégorie",J26),"")</f>
        <v>0</v>
      </c>
      <c r="K26" s="111">
        <f>IFERROR(GETPIVOTDATA("Montant",INFO!$AY$7,"mouvement","INVENTAIRE","catégorie",I26),"")</f>
        <v>0</v>
      </c>
      <c r="L26" s="111">
        <f>IFERROR(GETPIVOTDATA("Montant",INFO!$AY$7,"mouvement","SORTIE","catégorie",I26),"")</f>
        <v>549</v>
      </c>
      <c r="P26" s="77"/>
      <c r="Q26" s="73"/>
    </row>
    <row r="27" spans="1:17" x14ac:dyDescent="0.2">
      <c r="A27" s="105" t="str" cm="1">
        <f t="array" ref="A27">INDEX(INFO!AA13:AA15,TdB!$A$21)</f>
        <v>MRQ6</v>
      </c>
      <c r="B27" s="111">
        <f>IFERROR(GETPIVOTDATA("Montant",INFO!$AA$7,"mouvement","ENTREE","marque",A27),"")</f>
        <v>0</v>
      </c>
      <c r="C27" s="111">
        <f>IFERROR(GETPIVOTDATA("Montant",INFO!$AA$7,"mouvement","INVENTAIRE","marque",A27),"")</f>
        <v>0</v>
      </c>
      <c r="D27" s="111">
        <f>IFERROR(GETPIVOTDATA("Montant",INFO!$AA$7,"mouvement","SORTIE","marque",A27),"")</f>
        <v>4800</v>
      </c>
      <c r="I27" s="105" t="str" cm="1">
        <f t="array" ref="I27">INDEX(INFO!AY13:AY18,TdB!$I$21)</f>
        <v>CAT4</v>
      </c>
      <c r="J27" s="111">
        <f ca="1">IFERROR(GETPIVOTDATA("Montant",INFO!$AY$7,"mouvement","ENTREE","catégorie",J27),"")</f>
        <v>0</v>
      </c>
      <c r="K27" s="111">
        <f>IFERROR(GETPIVOTDATA("Montant",INFO!$AY$7,"mouvement","INVENTAIRE","catégorie",I27),"")</f>
        <v>0</v>
      </c>
      <c r="L27" s="111">
        <f>IFERROR(GETPIVOTDATA("Montant",INFO!$AY$7,"mouvement","SORTIE","catégorie",I27),"")</f>
        <v>274.5</v>
      </c>
      <c r="P27" s="77"/>
      <c r="Q27" s="73"/>
    </row>
    <row r="28" spans="1:17" x14ac:dyDescent="0.2">
      <c r="A28" s="105" t="str" cm="1">
        <f t="array" ref="A28">INDEX(INFO!AA14:AA16,TdB!$A$21)</f>
        <v>MRQ1</v>
      </c>
      <c r="B28" s="111">
        <f>IFERROR(GETPIVOTDATA("Montant",INFO!$AA$7,"mouvement","ENTREE","marque",A28),"")</f>
        <v>0</v>
      </c>
      <c r="C28" s="111">
        <f>IFERROR(GETPIVOTDATA("Montant",INFO!$AA$7,"mouvement","INVENTAIRE","marque",A28),"")</f>
        <v>0</v>
      </c>
      <c r="D28" s="111">
        <f>IFERROR(GETPIVOTDATA("Montant",INFO!$AA$7,"mouvement","SORTIE","marque",A28),"")</f>
        <v>10400</v>
      </c>
      <c r="I28" s="105" t="str" cm="1">
        <f t="array" ref="I28">INDEX(INFO!AY14:AY19,TdB!$I$21)</f>
        <v>CAT5</v>
      </c>
      <c r="J28" s="111">
        <f ca="1">IFERROR(GETPIVOTDATA("Montant",INFO!$AY$7,"mouvement","ENTREE","catégorie",J28),"")</f>
        <v>0</v>
      </c>
      <c r="K28" s="111">
        <f>IFERROR(GETPIVOTDATA("Montant",INFO!$AY$7,"mouvement","INVENTAIRE","catégorie",I28),"")</f>
        <v>0</v>
      </c>
      <c r="L28" s="111">
        <f>IFERROR(GETPIVOTDATA("Montant",INFO!$AY$7,"mouvement","SORTIE","catégorie",I28),"")</f>
        <v>4800</v>
      </c>
      <c r="P28" s="77"/>
      <c r="Q28" s="73"/>
    </row>
    <row r="29" spans="1:17" x14ac:dyDescent="0.2">
      <c r="A29" s="94">
        <v>1</v>
      </c>
      <c r="I29" s="96">
        <v>1</v>
      </c>
      <c r="P29" s="77"/>
      <c r="Q29" s="73"/>
    </row>
    <row r="30" spans="1:17" x14ac:dyDescent="0.2">
      <c r="A30" s="100" t="s">
        <v>156</v>
      </c>
      <c r="B30" s="101" t="s">
        <v>29</v>
      </c>
      <c r="C30" s="101" t="s">
        <v>28</v>
      </c>
      <c r="D30" s="101" t="s">
        <v>30</v>
      </c>
      <c r="E30" s="102"/>
      <c r="F30" s="102"/>
      <c r="G30" s="102"/>
      <c r="H30" s="102"/>
      <c r="I30" s="100" t="s">
        <v>212</v>
      </c>
      <c r="J30" s="101" t="s">
        <v>29</v>
      </c>
      <c r="K30" s="101" t="s">
        <v>28</v>
      </c>
      <c r="L30" s="101" t="s">
        <v>30</v>
      </c>
      <c r="P30" s="77"/>
      <c r="Q30" s="73"/>
    </row>
    <row r="31" spans="1:17" x14ac:dyDescent="0.2">
      <c r="A31" s="105" t="str" cm="1">
        <f t="array" ref="A31">INDEX(INFO!AG9:AG12,TdB!$A$29)</f>
        <v>CHASSIS</v>
      </c>
      <c r="B31" s="111">
        <f>IFERROR(GETPIVOTDATA("Montant",INFO!$AG$7,"mouvement","ENTREE","Famille",A31),"")</f>
        <v>5030</v>
      </c>
      <c r="C31" s="111">
        <f>IFERROR(GETPIVOTDATA("Montant",INFO!$AG$7,"mouvement","INVENTAIRE","Famille",A31),"")</f>
        <v>0</v>
      </c>
      <c r="D31" s="111">
        <f>IFERROR(GETPIVOTDATA("Montant",INFO!$AG$7,"mouvement","SORTIE","Famille",A31),"")</f>
        <v>4800</v>
      </c>
      <c r="I31" s="105" t="str" cm="1">
        <f t="array" ref="I31">INDEX(INFO!BE9:BE12,TdB!$I$29)</f>
        <v>BOITE A VITESSE</v>
      </c>
      <c r="J31" s="111">
        <f>IFERROR(GETPIVOTDATA("Montant",INFO!$BE$7,"mouvement","ENTREE","Sous famille",I31),"")</f>
        <v>4800</v>
      </c>
      <c r="K31" s="111">
        <f>IFERROR(GETPIVOTDATA("Montant",INFO!$BE$7,"mouvement","INVENTAIRE","Sous famille",I31),"")</f>
        <v>0</v>
      </c>
      <c r="L31" s="111">
        <f>IFERROR(GETPIVOTDATA("Montant",INFO!$BE$7,"mouvement","SORTIE","Sous famille",I31),"")</f>
        <v>4800</v>
      </c>
      <c r="P31" s="77"/>
      <c r="Q31" s="73"/>
    </row>
    <row r="32" spans="1:17" x14ac:dyDescent="0.2">
      <c r="A32" s="105" t="str" cm="1">
        <f t="array" ref="A32">INDEX(INFO!AG10:AG13,TdB!$A$29)</f>
        <v>LUBRIFIANT</v>
      </c>
      <c r="B32" s="111">
        <f>IFERROR(GETPIVOTDATA("Montant",INFO!$AG$7,"mouvement","ENTREE","Famille",A32),"")</f>
        <v>29865.599999999999</v>
      </c>
      <c r="C32" s="111">
        <f>IFERROR(GETPIVOTDATA("Montant",INFO!$AG$7,"mouvement","INVENTAIRE","Famille",A32),"")</f>
        <v>2196</v>
      </c>
      <c r="D32" s="111">
        <f>IFERROR(GETPIVOTDATA("Montant",INFO!$AG$7,"mouvement","SORTIE","Famille",A32),"")</f>
        <v>1647</v>
      </c>
      <c r="I32" s="105" t="str" cm="1">
        <f t="array" ref="I32">INDEX(INFO!BE10:BE13,TdB!$I$29)</f>
        <v>MOTEUR</v>
      </c>
      <c r="J32" s="111">
        <f>IFERROR(GETPIVOTDATA("Montant",INFO!$BE$7,"mouvement","ENTREE","Sous famille",I32),"")</f>
        <v>30095.599999999999</v>
      </c>
      <c r="K32" s="111">
        <f>IFERROR(GETPIVOTDATA("Montant",INFO!$BE$7,"mouvement","INVENTAIRE","Sous famille",I32),"")</f>
        <v>2196</v>
      </c>
      <c r="L32" s="111">
        <f>IFERROR(GETPIVOTDATA("Montant",INFO!$BE$7,"mouvement","SORTIE","Sous famille",I32),"")</f>
        <v>1647</v>
      </c>
      <c r="P32" s="77"/>
      <c r="Q32" s="73"/>
    </row>
    <row r="33" spans="1:17" x14ac:dyDescent="0.2">
      <c r="A33" s="105" t="str" cm="1">
        <f t="array" ref="A33">INDEX(INFO!AG11:AG14,TdB!$A$29)</f>
        <v>PNEUMATIQUE</v>
      </c>
      <c r="B33" s="111">
        <f>IFERROR(GETPIVOTDATA("Montant",INFO!$AG$7,"mouvement","ENTREE","Famille",A33),"")</f>
        <v>24000</v>
      </c>
      <c r="C33" s="111">
        <f>IFERROR(GETPIVOTDATA("Montant",INFO!$AG$7,"mouvement","INVENTAIRE","Famille",A33),"")</f>
        <v>0</v>
      </c>
      <c r="D33" s="111">
        <f>IFERROR(GETPIVOTDATA("Montant",INFO!$AG$7,"mouvement","SORTIE","Famille",A33),"")</f>
        <v>14400</v>
      </c>
      <c r="I33" s="105" t="str" cm="1">
        <f t="array" ref="I33">INDEX(INFO!BE11:BE14,TdB!$I$29)</f>
        <v>PNEU/JANTE</v>
      </c>
      <c r="J33" s="111">
        <f>IFERROR(GETPIVOTDATA("Montant",INFO!$BE$7,"mouvement","ENTREE","Sous famille",I33),"")</f>
        <v>24000</v>
      </c>
      <c r="K33" s="111">
        <f>IFERROR(GETPIVOTDATA("Montant",INFO!$BE$7,"mouvement","INVENTAIRE","Sous famille",I33),"")</f>
        <v>0</v>
      </c>
      <c r="L33" s="111">
        <f>IFERROR(GETPIVOTDATA("Montant",INFO!$BE$7,"mouvement","SORTIE","Sous famille",I33),"")</f>
        <v>14400</v>
      </c>
      <c r="P33" s="77"/>
      <c r="Q33" s="73"/>
    </row>
    <row r="34" spans="1:17" x14ac:dyDescent="0.2">
      <c r="A34" s="105" t="str" cm="1">
        <f t="array" ref="A34">INDEX(INFO!AG12:AG15,TdB!$A$29)</f>
        <v>EQUIPEMENT</v>
      </c>
      <c r="B34" s="111">
        <f>IFERROR(GETPIVOTDATA("Montant",INFO!$AG$7,"mouvement","ENTREE","Famille",A34),"")</f>
        <v>22400</v>
      </c>
      <c r="C34" s="111">
        <f>IFERROR(GETPIVOTDATA("Montant",INFO!$AG$7,"mouvement","INVENTAIRE","Famille",A34),"")</f>
        <v>0</v>
      </c>
      <c r="D34" s="111">
        <f>IFERROR(GETPIVOTDATA("Montant",INFO!$AG$7,"mouvement","SORTIE","Famille",A34),"")</f>
        <v>5600</v>
      </c>
      <c r="I34" s="105" t="str" cm="1">
        <f t="array" ref="I34">INDEX(INFO!BE12:BE15,TdB!$I$29)</f>
        <v>POMPE</v>
      </c>
      <c r="J34" s="111">
        <f>IFERROR(GETPIVOTDATA("Montant",INFO!$BE$7,"mouvement","ENTREE","Sous famille",I34),"")</f>
        <v>22400</v>
      </c>
      <c r="K34" s="111">
        <f>IFERROR(GETPIVOTDATA("Montant",INFO!$BE$7,"mouvement","INVENTAIRE","Sous famille",I34),"")</f>
        <v>0</v>
      </c>
      <c r="L34" s="111">
        <f>IFERROR(GETPIVOTDATA("Montant",INFO!$BE$7,"mouvement","SORTIE","Sous famille",I34),"")</f>
        <v>5600</v>
      </c>
      <c r="P34" s="77"/>
      <c r="Q34" s="73"/>
    </row>
    <row r="35" spans="1:17" x14ac:dyDescent="0.2">
      <c r="A35" s="105" cm="1">
        <f t="array" ref="A35">INDEX(INFO!AG13:AG16,TdB!$A$29)</f>
        <v>0</v>
      </c>
      <c r="B35" s="111" t="str">
        <f>IFERROR(GETPIVOTDATA("Montant",INFO!$AG$7,"mouvement","ENTREE","Famille",A35),"")</f>
        <v/>
      </c>
      <c r="C35" s="111" t="str">
        <f>IFERROR(GETPIVOTDATA("Montant",INFO!$AG$7,"mouvement","INVENTAIRE","Famille",A35),"")</f>
        <v/>
      </c>
      <c r="D35" s="111" t="str">
        <f>IFERROR(GETPIVOTDATA("Montant",INFO!$AG$7,"mouvement","SORTIE","Famille",A35),"")</f>
        <v/>
      </c>
      <c r="I35" s="105" cm="1">
        <f t="array" ref="I35">INDEX(INFO!BE13:BE16,TdB!$I$29)</f>
        <v>0</v>
      </c>
      <c r="J35" s="111" t="str">
        <f>IFERROR(GETPIVOTDATA("Montant",INFO!$BE$7,"mouvement","ENTREE","Sous famille",I35),"")</f>
        <v/>
      </c>
      <c r="K35" s="111" t="str">
        <f>IFERROR(GETPIVOTDATA("Montant",INFO!$BE$7,"mouvement","INVENTAIRE","Sous famille",I35),"")</f>
        <v/>
      </c>
      <c r="L35" s="111" t="str">
        <f>IFERROR(GETPIVOTDATA("Montant",INFO!$BE$7,"mouvement","SORTIE","Sous famille",I35),"")</f>
        <v/>
      </c>
      <c r="P35" s="77"/>
      <c r="Q35" s="73"/>
    </row>
    <row r="36" spans="1:17" x14ac:dyDescent="0.2">
      <c r="A36" s="105" cm="1">
        <f t="array" ref="A36">INDEX(INFO!AG14:AG17,TdB!$A$29)</f>
        <v>0</v>
      </c>
      <c r="B36" s="111" t="str">
        <f>IFERROR(GETPIVOTDATA("Montant",INFO!$AG$7,"mouvement","ENTREE","Famille",A36),"")</f>
        <v/>
      </c>
      <c r="C36" s="111" t="str">
        <f>IFERROR(GETPIVOTDATA("Montant",INFO!$AG$7,"mouvement","INVENTAIRE","Famille",A36),"")</f>
        <v/>
      </c>
      <c r="D36" s="111" t="str">
        <f>IFERROR(GETPIVOTDATA("Montant",INFO!$AG$7,"mouvement","SORTIE","Famille",A36),"")</f>
        <v/>
      </c>
      <c r="I36" s="105" cm="1">
        <f t="array" ref="I36">INDEX(INFO!BE14:BE17,TdB!$I$29)</f>
        <v>0</v>
      </c>
      <c r="J36" s="111" t="str">
        <f>IFERROR(GETPIVOTDATA("Montant",INFO!$BE$7,"mouvement","ENTREE","Sous famille",I36),"")</f>
        <v/>
      </c>
      <c r="K36" s="111" t="str">
        <f>IFERROR(GETPIVOTDATA("Montant",INFO!$BE$7,"mouvement","INVENTAIRE","Sous famille",I36),"")</f>
        <v/>
      </c>
      <c r="L36" s="111" t="str">
        <f>IFERROR(GETPIVOTDATA("Montant",INFO!$BE$7,"mouvement","SORTIE","Sous famille",I36),"")</f>
        <v/>
      </c>
      <c r="P36" s="77"/>
      <c r="Q36" s="73"/>
    </row>
    <row r="37" spans="1:17" x14ac:dyDescent="0.2">
      <c r="A37" s="94">
        <v>1</v>
      </c>
      <c r="I37" s="96">
        <v>1</v>
      </c>
      <c r="P37" s="77"/>
      <c r="Q37" s="73"/>
    </row>
    <row r="38" spans="1:17" x14ac:dyDescent="0.2">
      <c r="A38" s="100" t="s">
        <v>142</v>
      </c>
      <c r="B38" s="101" t="s">
        <v>29</v>
      </c>
      <c r="C38" s="101" t="s">
        <v>28</v>
      </c>
      <c r="D38" s="101" t="s">
        <v>30</v>
      </c>
      <c r="E38" s="102"/>
      <c r="F38" s="102"/>
      <c r="G38" s="102"/>
      <c r="H38" s="102"/>
      <c r="I38" s="100" t="s">
        <v>224</v>
      </c>
      <c r="J38" s="101" t="s">
        <v>29</v>
      </c>
      <c r="K38" s="101" t="s">
        <v>28</v>
      </c>
      <c r="L38" s="101" t="s">
        <v>30</v>
      </c>
      <c r="P38" s="77"/>
      <c r="Q38" s="73"/>
    </row>
    <row r="39" spans="1:17" x14ac:dyDescent="0.2">
      <c r="A39" s="105" t="str" cm="1">
        <f t="array" ref="A39">INDEX(INFO!AS9:AS11,TdB!$A$37)</f>
        <v>SRV1</v>
      </c>
      <c r="B39" s="111">
        <f>IFERROR(GETPIVOTDATA("Montant",INFO!$AS$7,"mouvement","ENTREE","service",A39),"")</f>
        <v>31226</v>
      </c>
      <c r="C39" s="111">
        <f>IFERROR(GETPIVOTDATA("Montant",INFO!$AS$7,"mouvement","INVENTAIRE","service",A39),"")</f>
        <v>0</v>
      </c>
      <c r="D39" s="111">
        <f>IFERROR(GETPIVOTDATA("Montant",INFO!$AS$7,"mouvement","SORTIE","service",A39),"")</f>
        <v>14400</v>
      </c>
      <c r="I39" s="105" t="str" cm="1">
        <f t="array" ref="I39">INDEX(INFO!BK9:BK14,TdB!$I$37)</f>
        <v>AGM2</v>
      </c>
      <c r="J39" s="111">
        <f>IFERROR(GETPIVOTDATA("Montant",INFO!$BK$7,"mouvement","ENTREE","Demandeur",I39),"")</f>
        <v>230</v>
      </c>
      <c r="K39" s="111">
        <f>IFERROR(GETPIVOTDATA("Montant",INFO!$BK$7,"mouvement","INVENTAIRE","Demandeur",I39),"")</f>
        <v>0</v>
      </c>
      <c r="L39" s="111">
        <f>IFERROR(GETPIVOTDATA("Montant",INFO!$BK$7,"mouvement","SORTIE","Demandeur",I39),"")</f>
        <v>549</v>
      </c>
      <c r="P39" s="77"/>
      <c r="Q39" s="73"/>
    </row>
    <row r="40" spans="1:17" x14ac:dyDescent="0.2">
      <c r="A40" s="105" t="str" cm="1">
        <f t="array" ref="A40">INDEX(INFO!AS10:AS12,TdB!$A$37)</f>
        <v>SRV2</v>
      </c>
      <c r="B40" s="111">
        <f>IFERROR(GETPIVOTDATA("Montant",INFO!$AS$7,"mouvement","ENTREE","service",A40),"")</f>
        <v>50069.600000000013</v>
      </c>
      <c r="C40" s="111">
        <f>IFERROR(GETPIVOTDATA("Montant",INFO!$AS$7,"mouvement","INVENTAIRE","service",A40),"")</f>
        <v>0</v>
      </c>
      <c r="D40" s="111">
        <f>IFERROR(GETPIVOTDATA("Montant",INFO!$AS$7,"mouvement","SORTIE","service",A40),"")</f>
        <v>12047</v>
      </c>
      <c r="I40" s="105" t="str" cm="1">
        <f t="array" ref="I40">INDEX(INFO!BK10:BK15,TdB!$I$37)</f>
        <v>AGM3</v>
      </c>
      <c r="J40" s="111">
        <f>IFERROR(GETPIVOTDATA("Montant",INFO!$BK$7,"mouvement","ENTREE","Demandeur",I40),"")</f>
        <v>2196</v>
      </c>
      <c r="K40" s="111">
        <f>IFERROR(GETPIVOTDATA("Montant",INFO!$BK$7,"mouvement","INVENTAIRE","Demandeur",I40),"")</f>
        <v>0</v>
      </c>
      <c r="L40" s="111">
        <f>IFERROR(GETPIVOTDATA("Montant",INFO!$BK$7,"mouvement","SORTIE","Demandeur",I40),"")</f>
        <v>5600</v>
      </c>
      <c r="P40" s="77"/>
      <c r="Q40" s="73"/>
    </row>
    <row r="41" spans="1:17" x14ac:dyDescent="0.2">
      <c r="A41" s="105" t="str" cm="1">
        <f t="array" ref="A41">INDEX(INFO!AS11:AS13,TdB!$A$37)</f>
        <v>SRV3</v>
      </c>
      <c r="B41" s="111">
        <f>IFERROR(GETPIVOTDATA("Montant",INFO!$AS$7,"mouvement","ENTREE","service",A41),"")</f>
        <v>0</v>
      </c>
      <c r="C41" s="111">
        <f>IFERROR(GETPIVOTDATA("Montant",INFO!$AS$7,"mouvement","INVENTAIRE","service",A41),"")</f>
        <v>2196</v>
      </c>
      <c r="D41" s="111">
        <f>IFERROR(GETPIVOTDATA("Montant",INFO!$AS$7,"mouvement","SORTIE","service",A41),"")</f>
        <v>0</v>
      </c>
      <c r="I41" s="105" t="str" cm="1">
        <f t="array" ref="I41">INDEX(INFO!BK11:BK16,TdB!$I$37)</f>
        <v>AGM4</v>
      </c>
      <c r="J41" s="111">
        <f>IFERROR(GETPIVOTDATA("Montant",INFO!$BK$7,"mouvement","ENTREE","Demandeur",I41),"")</f>
        <v>4800</v>
      </c>
      <c r="K41" s="111">
        <f>IFERROR(GETPIVOTDATA("Montant",INFO!$BK$7,"mouvement","INVENTAIRE","Demandeur",I41),"")</f>
        <v>0</v>
      </c>
      <c r="L41" s="111">
        <f>IFERROR(GETPIVOTDATA("Montant",INFO!$BK$7,"mouvement","SORTIE","Demandeur",I41),"")</f>
        <v>5349</v>
      </c>
      <c r="P41" s="77"/>
      <c r="Q41" s="73"/>
    </row>
    <row r="42" spans="1:17" x14ac:dyDescent="0.2">
      <c r="A42" s="105" cm="1">
        <f t="array" ref="A42">INDEX(INFO!AS12:AS14,TdB!$A$37)</f>
        <v>0</v>
      </c>
      <c r="B42" s="111" t="str">
        <f>IFERROR(GETPIVOTDATA("Montant",INFO!$AS$7,"mouvement","ENTREE","service",A42),"")</f>
        <v/>
      </c>
      <c r="C42" s="111" t="str">
        <f>IFERROR(GETPIVOTDATA("Montant",INFO!$AS$7,"mouvement","INVENTAIRE","service",A42),"")</f>
        <v/>
      </c>
      <c r="D42" s="111" t="str">
        <f>IFERROR(GETPIVOTDATA("Montant",INFO!$AS$7,"mouvement","SORTIE","service",A42),"")</f>
        <v/>
      </c>
      <c r="I42" s="105" t="str" cm="1">
        <f t="array" ref="I42">INDEX(INFO!BK12:BK17,TdB!$I$37)</f>
        <v>AGM7</v>
      </c>
      <c r="J42" s="111">
        <f>IFERROR(GETPIVOTDATA("Montant",INFO!$BK$7,"mouvement","ENTREE","Demandeur",I42),"")</f>
        <v>0</v>
      </c>
      <c r="K42" s="111">
        <f>IFERROR(GETPIVOTDATA("Montant",INFO!$BK$7,"mouvement","INVENTAIRE","Demandeur",I42),"")</f>
        <v>0</v>
      </c>
      <c r="L42" s="111">
        <f>IFERROR(GETPIVOTDATA("Montant",INFO!$BK$7,"mouvement","SORTIE","Demandeur",I42),"")</f>
        <v>10149</v>
      </c>
      <c r="P42" s="77"/>
      <c r="Q42" s="73"/>
    </row>
    <row r="43" spans="1:17" x14ac:dyDescent="0.2">
      <c r="A43" s="105" cm="1">
        <f t="array" ref="A43">INDEX(INFO!AS13:AS15,TdB!$A$37)</f>
        <v>0</v>
      </c>
      <c r="B43" s="111" t="str">
        <f>IFERROR(GETPIVOTDATA("Montant",INFO!$AS$7,"mouvement","ENTREE","service",A43),"")</f>
        <v/>
      </c>
      <c r="C43" s="111" t="str">
        <f>IFERROR(GETPIVOTDATA("Montant",INFO!$AS$7,"mouvement","INVENTAIRE","service",A43),"")</f>
        <v/>
      </c>
      <c r="D43" s="111" t="str">
        <f>IFERROR(GETPIVOTDATA("Montant",INFO!$AS$7,"mouvement","SORTIE","service",A43),"")</f>
        <v/>
      </c>
      <c r="I43" s="105" t="str" cm="1">
        <f t="array" ref="I43">INDEX(INFO!BK13:BK18,TdB!$I$37)</f>
        <v>DAGM2</v>
      </c>
      <c r="J43" s="111">
        <f>IFERROR(GETPIVOTDATA("Montant",INFO!$BK$7,"mouvement","ENTREE","Demandeur",I43),"")</f>
        <v>0</v>
      </c>
      <c r="K43" s="111">
        <f>IFERROR(GETPIVOTDATA("Montant",INFO!$BK$7,"mouvement","INVENTAIRE","Demandeur",I43),"")</f>
        <v>0</v>
      </c>
      <c r="L43" s="111">
        <f>IFERROR(GETPIVOTDATA("Montant",INFO!$BK$7,"mouvement","SORTIE","Demandeur",I43),"")</f>
        <v>4800</v>
      </c>
      <c r="P43" s="77"/>
      <c r="Q43" s="73"/>
    </row>
    <row r="44" spans="1:17" x14ac:dyDescent="0.2">
      <c r="A44" s="105" cm="1">
        <f t="array" ref="A44">INDEX(INFO!AS14:AS16,TdB!$A$37)</f>
        <v>0</v>
      </c>
      <c r="B44" s="111" t="str">
        <f>IFERROR(GETPIVOTDATA("Montant",INFO!$AS$7,"mouvement","ENTREE","service",A44),"")</f>
        <v/>
      </c>
      <c r="C44" s="111" t="s">
        <v>225</v>
      </c>
      <c r="D44" s="111" t="str">
        <f>IFERROR(GETPIVOTDATA("Montant",INFO!$AS$7,"mouvement","SORTIE","service",A44),"")</f>
        <v/>
      </c>
      <c r="I44" s="105" t="str" cm="1">
        <f t="array" ref="I44">INDEX(INFO!BK14:BK19,TdB!$I$37)</f>
        <v>(vide)</v>
      </c>
      <c r="J44" s="111">
        <f>IFERROR(GETPIVOTDATA("Montant",INFO!$BK$7,"mouvement","ENTREE","Demandeur",I44),"")</f>
        <v>74069.600000000006</v>
      </c>
      <c r="K44" s="111">
        <f>IFERROR(GETPIVOTDATA("Montant",INFO!$BK$7,"mouvement","INVENTAIRE","Demandeur",I44),"")</f>
        <v>2196</v>
      </c>
      <c r="L44" s="111">
        <f>IFERROR(GETPIVOTDATA("Montant",INFO!$BK$7,"mouvement","SORTIE","Demandeur",I44),"")</f>
        <v>0</v>
      </c>
      <c r="P44" s="77"/>
      <c r="Q44" s="73"/>
    </row>
    <row r="45" spans="1:17" ht="12.75" thickBot="1" x14ac:dyDescent="0.25">
      <c r="A45" s="106" cm="1">
        <f t="array" ref="A45">INDEX(INFO!AS15:AS17,TdB!$A$37)</f>
        <v>0</v>
      </c>
      <c r="B45" s="106" t="str">
        <f>IFERROR(GETPIVOTDATA("Montant",INFO!$AS$7,"mouvement","ENTREE","service",A45),"")</f>
        <v/>
      </c>
      <c r="C45" s="106" t="str">
        <f>IFERROR(GETPIVOTDATA("Montant",INFO!$AS$7,"mouvement","INVENTAIRE","service",A45),"")</f>
        <v/>
      </c>
      <c r="D45" s="106" t="str">
        <f>IFERROR(GETPIVOTDATA("Montant",INFO!$AS$7,"mouvement","SORTIE","service",A45),"")</f>
        <v/>
      </c>
      <c r="E45" s="106"/>
      <c r="F45" s="106"/>
      <c r="G45" s="106"/>
      <c r="H45" s="106"/>
      <c r="I45" s="107"/>
      <c r="J45" s="106"/>
      <c r="K45" s="106"/>
      <c r="L45" s="106"/>
      <c r="M45" s="106"/>
      <c r="N45" s="106"/>
      <c r="O45" s="106"/>
      <c r="P45" s="108"/>
      <c r="Q45" s="73"/>
    </row>
    <row r="46" spans="1:17" x14ac:dyDescent="0.2">
      <c r="A46" s="109"/>
      <c r="B46" s="104"/>
      <c r="C46" s="104"/>
      <c r="D46" s="104"/>
      <c r="E46" s="104"/>
      <c r="F46" s="104"/>
      <c r="G46" s="104"/>
      <c r="H46" s="104"/>
      <c r="I46" s="109"/>
      <c r="J46" s="104"/>
      <c r="K46" s="104"/>
      <c r="L46" s="104"/>
      <c r="M46" s="104"/>
      <c r="N46" s="104"/>
      <c r="O46" s="104"/>
      <c r="P46" s="104"/>
    </row>
  </sheetData>
  <sheetProtection sheet="1"/>
  <mergeCells count="10">
    <mergeCell ref="N10:O10"/>
    <mergeCell ref="N11:O11"/>
    <mergeCell ref="N12:O12"/>
    <mergeCell ref="N13:O13"/>
    <mergeCell ref="L4:O4"/>
    <mergeCell ref="N5:O5"/>
    <mergeCell ref="N6:O6"/>
    <mergeCell ref="N7:O7"/>
    <mergeCell ref="N8:O8"/>
    <mergeCell ref="N9:O9"/>
  </mergeCells>
  <conditionalFormatting sqref="A5:A6">
    <cfRule type="containsText" dxfId="148" priority="102" operator="containsText" text="total général">
      <formula>NOT(ISERROR(SEARCH("total général",A5)))</formula>
    </cfRule>
    <cfRule type="cellIs" dxfId="147" priority="103" operator="equal">
      <formula>0</formula>
    </cfRule>
  </conditionalFormatting>
  <conditionalFormatting sqref="B15:D20">
    <cfRule type="dataBar" priority="97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{B04F9904-9F88-409C-BEF5-9C64389ACE87}</x14:id>
        </ext>
      </extLst>
    </cfRule>
    <cfRule type="cellIs" dxfId="146" priority="98" operator="equal">
      <formula>0</formula>
    </cfRule>
  </conditionalFormatting>
  <conditionalFormatting sqref="A15:A20">
    <cfRule type="cellIs" dxfId="145" priority="96" operator="equal">
      <formula>0</formula>
    </cfRule>
  </conditionalFormatting>
  <conditionalFormatting sqref="I15:I20">
    <cfRule type="cellIs" dxfId="144" priority="95" operator="equal">
      <formula>0</formula>
    </cfRule>
  </conditionalFormatting>
  <conditionalFormatting sqref="A23:A28">
    <cfRule type="cellIs" dxfId="143" priority="90" operator="equal">
      <formula>0</formula>
    </cfRule>
  </conditionalFormatting>
  <conditionalFormatting sqref="I23:I28">
    <cfRule type="cellIs" dxfId="142" priority="87" operator="equal">
      <formula>0</formula>
    </cfRule>
  </conditionalFormatting>
  <conditionalFormatting sqref="A31:A36">
    <cfRule type="cellIs" dxfId="141" priority="84" operator="equal">
      <formula>0</formula>
    </cfRule>
  </conditionalFormatting>
  <conditionalFormatting sqref="I31:I36">
    <cfRule type="cellIs" dxfId="140" priority="81" operator="equal">
      <formula>0</formula>
    </cfRule>
  </conditionalFormatting>
  <conditionalFormatting sqref="A39:A45">
    <cfRule type="cellIs" dxfId="139" priority="78" operator="equal">
      <formula>0</formula>
    </cfRule>
  </conditionalFormatting>
  <conditionalFormatting sqref="I39:I44">
    <cfRule type="cellIs" dxfId="138" priority="75" operator="equal">
      <formula>0</formula>
    </cfRule>
  </conditionalFormatting>
  <conditionalFormatting sqref="I39:I45">
    <cfRule type="containsText" dxfId="137" priority="74" operator="containsText" text="(vide)">
      <formula>NOT(ISERROR(SEARCH("(vide)",I39)))</formula>
    </cfRule>
  </conditionalFormatting>
  <conditionalFormatting sqref="B4:B6">
    <cfRule type="dataBar" priority="61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{EE31BD06-35C6-4965-A14D-FEEADC11ADFB}</x14:id>
        </ext>
      </extLst>
    </cfRule>
  </conditionalFormatting>
  <conditionalFormatting sqref="B15:B20">
    <cfRule type="dataBar" priority="60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{1FE8FB9E-34EE-4FEB-8C0A-6067914CE12A}</x14:id>
        </ext>
      </extLst>
    </cfRule>
  </conditionalFormatting>
  <conditionalFormatting sqref="D15:D20">
    <cfRule type="dataBar" priority="59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{6DF3CD97-35CE-4748-A427-4D9FB417CAFB}</x14:id>
        </ext>
      </extLst>
    </cfRule>
  </conditionalFormatting>
  <conditionalFormatting sqref="N5:O13">
    <cfRule type="dataBar" priority="30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{889B401E-CA3B-4C13-A65C-8FD90AB16CD0}</x14:id>
        </ext>
      </extLst>
    </cfRule>
    <cfRule type="dataBar" priority="29">
      <dataBar>
        <cfvo type="min"/>
        <cfvo type="max"/>
        <color rgb="FFFF0000"/>
      </dataBar>
      <extLst>
        <ext xmlns:x14="http://schemas.microsoft.com/office/spreadsheetml/2009/9/main" uri="{B025F937-C7B1-47D3-B67F-A62EFF666E3E}">
          <x14:id>{172AC7B9-153E-4795-89DC-21E24C45C8CF}</x14:id>
        </ext>
      </extLst>
    </cfRule>
  </conditionalFormatting>
  <conditionalFormatting sqref="B23:D28">
    <cfRule type="dataBar" priority="27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{4D03620F-E4C9-4DF1-86EA-B59DA770BA31}</x14:id>
        </ext>
      </extLst>
    </cfRule>
    <cfRule type="cellIs" dxfId="136" priority="28" operator="equal">
      <formula>0</formula>
    </cfRule>
  </conditionalFormatting>
  <conditionalFormatting sqref="B23:B28">
    <cfRule type="dataBar" priority="26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{D3C635E9-6D6B-4646-A3C2-C47EC026A117}</x14:id>
        </ext>
      </extLst>
    </cfRule>
  </conditionalFormatting>
  <conditionalFormatting sqref="D23:D28">
    <cfRule type="dataBar" priority="25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{9924D85A-6900-4420-98F7-0EBD3C6074D6}</x14:id>
        </ext>
      </extLst>
    </cfRule>
  </conditionalFormatting>
  <conditionalFormatting sqref="B31:D36">
    <cfRule type="dataBar" priority="23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{EEFDBB64-5E68-4186-AD1B-98DFA2EDFE09}</x14:id>
        </ext>
      </extLst>
    </cfRule>
    <cfRule type="cellIs" dxfId="135" priority="24" operator="equal">
      <formula>0</formula>
    </cfRule>
  </conditionalFormatting>
  <conditionalFormatting sqref="B31:B36">
    <cfRule type="dataBar" priority="22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{EF7E80C8-E6F7-434B-AC72-E159663C29BE}</x14:id>
        </ext>
      </extLst>
    </cfRule>
  </conditionalFormatting>
  <conditionalFormatting sqref="D31:D36">
    <cfRule type="dataBar" priority="21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{7F9EC9E6-197C-4370-8856-798885C412DA}</x14:id>
        </ext>
      </extLst>
    </cfRule>
  </conditionalFormatting>
  <conditionalFormatting sqref="B39:D45">
    <cfRule type="dataBar" priority="19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{6395DAC7-B39C-43CE-861F-B467A36679E7}</x14:id>
        </ext>
      </extLst>
    </cfRule>
    <cfRule type="cellIs" dxfId="134" priority="20" operator="equal">
      <formula>0</formula>
    </cfRule>
  </conditionalFormatting>
  <conditionalFormatting sqref="B39:B45">
    <cfRule type="dataBar" priority="18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{7CD011ED-9E01-4666-A7EF-B9D5FF3A3209}</x14:id>
        </ext>
      </extLst>
    </cfRule>
  </conditionalFormatting>
  <conditionalFormatting sqref="D39:D45">
    <cfRule type="dataBar" priority="17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{CB868424-791F-4B7A-ACF2-02790F363FDF}</x14:id>
        </ext>
      </extLst>
    </cfRule>
  </conditionalFormatting>
  <conditionalFormatting sqref="J15:L20">
    <cfRule type="dataBar" priority="15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{CC6C98BE-EFFE-4A07-8A9F-D9A225747A2B}</x14:id>
        </ext>
      </extLst>
    </cfRule>
    <cfRule type="cellIs" dxfId="133" priority="16" operator="equal">
      <formula>0</formula>
    </cfRule>
  </conditionalFormatting>
  <conditionalFormatting sqref="J15:J20">
    <cfRule type="dataBar" priority="14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{B83A42D4-E33F-456B-8AAB-6A70783103E6}</x14:id>
        </ext>
      </extLst>
    </cfRule>
  </conditionalFormatting>
  <conditionalFormatting sqref="L15:L20">
    <cfRule type="dataBar" priority="13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{7F38017B-24E5-4BC3-83CD-AA69A6C5CE80}</x14:id>
        </ext>
      </extLst>
    </cfRule>
  </conditionalFormatting>
  <conditionalFormatting sqref="J23:L28">
    <cfRule type="dataBar" priority="11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{AC119B28-AF5C-44C5-B37C-436833BAE962}</x14:id>
        </ext>
      </extLst>
    </cfRule>
    <cfRule type="cellIs" dxfId="132" priority="12" operator="equal">
      <formula>0</formula>
    </cfRule>
  </conditionalFormatting>
  <conditionalFormatting sqref="J23:J28">
    <cfRule type="dataBar" priority="10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{4EC00B40-2FB0-4120-8B99-40761F434416}</x14:id>
        </ext>
      </extLst>
    </cfRule>
  </conditionalFormatting>
  <conditionalFormatting sqref="L23:L28">
    <cfRule type="dataBar" priority="9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{A327A317-0633-40D2-82E1-AB6E7B626CDE}</x14:id>
        </ext>
      </extLst>
    </cfRule>
  </conditionalFormatting>
  <conditionalFormatting sqref="J31:L36">
    <cfRule type="dataBar" priority="7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{88162F35-053C-4EAD-86E9-853B19BB62D4}</x14:id>
        </ext>
      </extLst>
    </cfRule>
    <cfRule type="cellIs" dxfId="131" priority="8" operator="equal">
      <formula>0</formula>
    </cfRule>
  </conditionalFormatting>
  <conditionalFormatting sqref="J31:J36">
    <cfRule type="dataBar" priority="6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{982F25C2-DDB8-4E5B-BDBA-530F002A1269}</x14:id>
        </ext>
      </extLst>
    </cfRule>
  </conditionalFormatting>
  <conditionalFormatting sqref="L31:L36">
    <cfRule type="dataBar" priority="5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{0B34F29F-4DC3-4313-A889-32FF3385BF53}</x14:id>
        </ext>
      </extLst>
    </cfRule>
  </conditionalFormatting>
  <conditionalFormatting sqref="J39:L44">
    <cfRule type="dataBar" priority="3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{5509F1D1-6A02-4E75-938E-548C8CCDA7B2}</x14:id>
        </ext>
      </extLst>
    </cfRule>
    <cfRule type="cellIs" dxfId="130" priority="4" operator="equal">
      <formula>0</formula>
    </cfRule>
  </conditionalFormatting>
  <conditionalFormatting sqref="J39:J44">
    <cfRule type="dataBar" priority="2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{391EC5BA-BA43-47C9-8436-A82C74D8BD43}</x14:id>
        </ext>
      </extLst>
    </cfRule>
  </conditionalFormatting>
  <conditionalFormatting sqref="L39:L44">
    <cfRule type="dataBar" priority="1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{FEC8ADDF-216A-44F2-B65C-CD00F067BE11}</x14:id>
        </ext>
      </extLst>
    </cfRule>
  </conditionalFormatting>
  <hyperlinks>
    <hyperlink ref="A1" location="SAISIE!A1" display="SAISIE" xr:uid="{178A67EF-E5B8-490E-AAD9-5499CDF161C5}"/>
  </hyperlink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Scroll Bar 1">
              <controlPr defaultSize="0" autoPict="0">
                <anchor>
                  <from>
                    <xdr:col>0</xdr:col>
                    <xdr:colOff>733425</xdr:colOff>
                    <xdr:row>12</xdr:row>
                    <xdr:rowOff>28575</xdr:rowOff>
                  </from>
                  <to>
                    <xdr:col>0</xdr:col>
                    <xdr:colOff>962025</xdr:colOff>
                    <xdr:row>20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Scroll Bar 3">
              <controlPr defaultSize="0" autoPict="0">
                <anchor>
                  <from>
                    <xdr:col>8</xdr:col>
                    <xdr:colOff>800100</xdr:colOff>
                    <xdr:row>12</xdr:row>
                    <xdr:rowOff>47625</xdr:rowOff>
                  </from>
                  <to>
                    <xdr:col>9</xdr:col>
                    <xdr:colOff>0</xdr:colOff>
                    <xdr:row>20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Scroll Bar 4">
              <controlPr defaultSize="0" autoPict="0">
                <anchor>
                  <from>
                    <xdr:col>0</xdr:col>
                    <xdr:colOff>733425</xdr:colOff>
                    <xdr:row>20</xdr:row>
                    <xdr:rowOff>85725</xdr:rowOff>
                  </from>
                  <to>
                    <xdr:col>0</xdr:col>
                    <xdr:colOff>933450</xdr:colOff>
                    <xdr:row>28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7" name="Scroll Bar 5">
              <controlPr defaultSize="0" autoPict="0">
                <anchor>
                  <from>
                    <xdr:col>8</xdr:col>
                    <xdr:colOff>800100</xdr:colOff>
                    <xdr:row>20</xdr:row>
                    <xdr:rowOff>95250</xdr:rowOff>
                  </from>
                  <to>
                    <xdr:col>8</xdr:col>
                    <xdr:colOff>971550</xdr:colOff>
                    <xdr:row>28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6" r:id="rId8" name="Scroll Bar 52">
              <controlPr defaultSize="0" autoPict="0">
                <anchor>
                  <from>
                    <xdr:col>0</xdr:col>
                    <xdr:colOff>742950</xdr:colOff>
                    <xdr:row>28</xdr:row>
                    <xdr:rowOff>76200</xdr:rowOff>
                  </from>
                  <to>
                    <xdr:col>0</xdr:col>
                    <xdr:colOff>942975</xdr:colOff>
                    <xdr:row>36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8" r:id="rId9" name="Scroll Bar 54">
              <controlPr defaultSize="0" autoPict="0">
                <anchor>
                  <from>
                    <xdr:col>0</xdr:col>
                    <xdr:colOff>733425</xdr:colOff>
                    <xdr:row>36</xdr:row>
                    <xdr:rowOff>142875</xdr:rowOff>
                  </from>
                  <to>
                    <xdr:col>0</xdr:col>
                    <xdr:colOff>933450</xdr:colOff>
                    <xdr:row>44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6" r:id="rId10" name="Scroll Bar 92">
              <controlPr defaultSize="0" autoPict="0">
                <anchor>
                  <from>
                    <xdr:col>8</xdr:col>
                    <xdr:colOff>790575</xdr:colOff>
                    <xdr:row>28</xdr:row>
                    <xdr:rowOff>28575</xdr:rowOff>
                  </from>
                  <to>
                    <xdr:col>8</xdr:col>
                    <xdr:colOff>962025</xdr:colOff>
                    <xdr:row>35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8" r:id="rId11" name="Scroll Bar 94">
              <controlPr defaultSize="0" autoPict="0">
                <anchor>
                  <from>
                    <xdr:col>8</xdr:col>
                    <xdr:colOff>790575</xdr:colOff>
                    <xdr:row>36</xdr:row>
                    <xdr:rowOff>19050</xdr:rowOff>
                  </from>
                  <to>
                    <xdr:col>8</xdr:col>
                    <xdr:colOff>962025</xdr:colOff>
                    <xdr:row>43</xdr:row>
                    <xdr:rowOff>123825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B04F9904-9F88-409C-BEF5-9C64389ACE87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B15:D20</xm:sqref>
        </x14:conditionalFormatting>
        <x14:conditionalFormatting xmlns:xm="http://schemas.microsoft.com/office/excel/2006/main">
          <x14:cfRule type="dataBar" id="{EE31BD06-35C6-4965-A14D-FEEADC11ADFB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B4:B6</xm:sqref>
        </x14:conditionalFormatting>
        <x14:conditionalFormatting xmlns:xm="http://schemas.microsoft.com/office/excel/2006/main">
          <x14:cfRule type="dataBar" id="{1FE8FB9E-34EE-4FEB-8C0A-6067914CE12A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B15:B20</xm:sqref>
        </x14:conditionalFormatting>
        <x14:conditionalFormatting xmlns:xm="http://schemas.microsoft.com/office/excel/2006/main">
          <x14:cfRule type="dataBar" id="{6DF3CD97-35CE-4748-A427-4D9FB417CAFB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D15:D20</xm:sqref>
        </x14:conditionalFormatting>
        <x14:conditionalFormatting xmlns:xm="http://schemas.microsoft.com/office/excel/2006/main">
          <x14:cfRule type="dataBar" id="{889B401E-CA3B-4C13-A65C-8FD90AB16CD0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14:cfRule type="dataBar" id="{172AC7B9-153E-4795-89DC-21E24C45C8CF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N5:O13</xm:sqref>
        </x14:conditionalFormatting>
        <x14:conditionalFormatting xmlns:xm="http://schemas.microsoft.com/office/excel/2006/main">
          <x14:cfRule type="dataBar" id="{4D03620F-E4C9-4DF1-86EA-B59DA770BA31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B23:D28</xm:sqref>
        </x14:conditionalFormatting>
        <x14:conditionalFormatting xmlns:xm="http://schemas.microsoft.com/office/excel/2006/main">
          <x14:cfRule type="dataBar" id="{D3C635E9-6D6B-4646-A3C2-C47EC026A117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B23:B28</xm:sqref>
        </x14:conditionalFormatting>
        <x14:conditionalFormatting xmlns:xm="http://schemas.microsoft.com/office/excel/2006/main">
          <x14:cfRule type="dataBar" id="{9924D85A-6900-4420-98F7-0EBD3C6074D6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D23:D28</xm:sqref>
        </x14:conditionalFormatting>
        <x14:conditionalFormatting xmlns:xm="http://schemas.microsoft.com/office/excel/2006/main">
          <x14:cfRule type="dataBar" id="{EEFDBB64-5E68-4186-AD1B-98DFA2EDFE09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B31:D36</xm:sqref>
        </x14:conditionalFormatting>
        <x14:conditionalFormatting xmlns:xm="http://schemas.microsoft.com/office/excel/2006/main">
          <x14:cfRule type="dataBar" id="{EF7E80C8-E6F7-434B-AC72-E159663C29BE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B31:B36</xm:sqref>
        </x14:conditionalFormatting>
        <x14:conditionalFormatting xmlns:xm="http://schemas.microsoft.com/office/excel/2006/main">
          <x14:cfRule type="dataBar" id="{7F9EC9E6-197C-4370-8856-798885C412DA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D31:D36</xm:sqref>
        </x14:conditionalFormatting>
        <x14:conditionalFormatting xmlns:xm="http://schemas.microsoft.com/office/excel/2006/main">
          <x14:cfRule type="dataBar" id="{6395DAC7-B39C-43CE-861F-B467A36679E7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B39:D45</xm:sqref>
        </x14:conditionalFormatting>
        <x14:conditionalFormatting xmlns:xm="http://schemas.microsoft.com/office/excel/2006/main">
          <x14:cfRule type="dataBar" id="{7CD011ED-9E01-4666-A7EF-B9D5FF3A3209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B39:B45</xm:sqref>
        </x14:conditionalFormatting>
        <x14:conditionalFormatting xmlns:xm="http://schemas.microsoft.com/office/excel/2006/main">
          <x14:cfRule type="dataBar" id="{CB868424-791F-4B7A-ACF2-02790F363FDF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D39:D45</xm:sqref>
        </x14:conditionalFormatting>
        <x14:conditionalFormatting xmlns:xm="http://schemas.microsoft.com/office/excel/2006/main">
          <x14:cfRule type="dataBar" id="{CC6C98BE-EFFE-4A07-8A9F-D9A225747A2B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J15:L20</xm:sqref>
        </x14:conditionalFormatting>
        <x14:conditionalFormatting xmlns:xm="http://schemas.microsoft.com/office/excel/2006/main">
          <x14:cfRule type="dataBar" id="{B83A42D4-E33F-456B-8AAB-6A70783103E6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J15:J20</xm:sqref>
        </x14:conditionalFormatting>
        <x14:conditionalFormatting xmlns:xm="http://schemas.microsoft.com/office/excel/2006/main">
          <x14:cfRule type="dataBar" id="{7F38017B-24E5-4BC3-83CD-AA69A6C5CE80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L15:L20</xm:sqref>
        </x14:conditionalFormatting>
        <x14:conditionalFormatting xmlns:xm="http://schemas.microsoft.com/office/excel/2006/main">
          <x14:cfRule type="dataBar" id="{AC119B28-AF5C-44C5-B37C-436833BAE962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J23:L28</xm:sqref>
        </x14:conditionalFormatting>
        <x14:conditionalFormatting xmlns:xm="http://schemas.microsoft.com/office/excel/2006/main">
          <x14:cfRule type="dataBar" id="{4EC00B40-2FB0-4120-8B99-40761F434416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J23:J28</xm:sqref>
        </x14:conditionalFormatting>
        <x14:conditionalFormatting xmlns:xm="http://schemas.microsoft.com/office/excel/2006/main">
          <x14:cfRule type="dataBar" id="{A327A317-0633-40D2-82E1-AB6E7B626CDE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L23:L28</xm:sqref>
        </x14:conditionalFormatting>
        <x14:conditionalFormatting xmlns:xm="http://schemas.microsoft.com/office/excel/2006/main">
          <x14:cfRule type="dataBar" id="{88162F35-053C-4EAD-86E9-853B19BB62D4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J31:L36</xm:sqref>
        </x14:conditionalFormatting>
        <x14:conditionalFormatting xmlns:xm="http://schemas.microsoft.com/office/excel/2006/main">
          <x14:cfRule type="dataBar" id="{982F25C2-DDB8-4E5B-BDBA-530F002A1269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J31:J36</xm:sqref>
        </x14:conditionalFormatting>
        <x14:conditionalFormatting xmlns:xm="http://schemas.microsoft.com/office/excel/2006/main">
          <x14:cfRule type="dataBar" id="{0B34F29F-4DC3-4313-A889-32FF3385BF53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L31:L36</xm:sqref>
        </x14:conditionalFormatting>
        <x14:conditionalFormatting xmlns:xm="http://schemas.microsoft.com/office/excel/2006/main">
          <x14:cfRule type="dataBar" id="{5509F1D1-6A02-4E75-938E-548C8CCDA7B2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J39:L44</xm:sqref>
        </x14:conditionalFormatting>
        <x14:conditionalFormatting xmlns:xm="http://schemas.microsoft.com/office/excel/2006/main">
          <x14:cfRule type="dataBar" id="{391EC5BA-BA43-47C9-8436-A82C74D8BD43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J39:J44</xm:sqref>
        </x14:conditionalFormatting>
        <x14:conditionalFormatting xmlns:xm="http://schemas.microsoft.com/office/excel/2006/main">
          <x14:cfRule type="dataBar" id="{FEC8ADDF-216A-44F2-B65C-CD00F067BE11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L39:L44</xm:sqref>
        </x14:conditionalFormatting>
      </x14:conditionalFormattings>
    </ext>
    <ext xmlns:x14="http://schemas.microsoft.com/office/spreadsheetml/2009/9/main" uri="{A8765BA9-456A-4dab-B4F3-ACF838C121DE}">
      <x14:slicerList>
        <x14:slicer r:id="rId12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358E31-2AF1-4D60-BACD-0DA9AC538469}">
  <sheetPr codeName="Feuil2"/>
  <dimension ref="A1:L23"/>
  <sheetViews>
    <sheetView workbookViewId="0">
      <selection activeCell="D3" sqref="D3"/>
    </sheetView>
  </sheetViews>
  <sheetFormatPr baseColWidth="10" defaultRowHeight="18" x14ac:dyDescent="0.25"/>
  <cols>
    <col min="1" max="1" width="33.140625" style="1" customWidth="1"/>
    <col min="2" max="2" width="20.28515625" style="4" customWidth="1"/>
    <col min="3" max="3" width="1.140625" style="5" customWidth="1"/>
    <col min="4" max="4" width="20.28515625" style="5" customWidth="1"/>
    <col min="5" max="5" width="1.140625" style="5" customWidth="1"/>
    <col min="6" max="6" width="20.28515625" style="4" customWidth="1"/>
    <col min="7" max="7" width="1.140625" style="5" customWidth="1"/>
    <col min="8" max="8" width="20.28515625" style="5" customWidth="1"/>
    <col min="9" max="12" width="11.42578125" style="5"/>
    <col min="13" max="16384" width="11.42578125" style="1"/>
  </cols>
  <sheetData>
    <row r="1" spans="1:12" ht="43.5" customHeight="1" x14ac:dyDescent="0.25">
      <c r="A1" s="115"/>
      <c r="B1" s="24"/>
    </row>
    <row r="2" spans="1:12" ht="42.75" customHeight="1" thickBot="1" x14ac:dyDescent="0.3">
      <c r="A2" s="116"/>
      <c r="B2" s="25"/>
      <c r="D2" s="7"/>
      <c r="F2" s="6"/>
      <c r="H2" s="7"/>
    </row>
    <row r="3" spans="1:12" ht="23.25" customHeight="1" thickBot="1" x14ac:dyDescent="0.3">
      <c r="A3" s="26"/>
      <c r="B3" s="19" t="s">
        <v>0</v>
      </c>
      <c r="C3" s="28"/>
      <c r="D3" s="32"/>
      <c r="E3" s="28"/>
      <c r="F3" s="20" t="s">
        <v>7</v>
      </c>
      <c r="G3" s="28"/>
      <c r="H3" s="33"/>
      <c r="I3" s="8"/>
    </row>
    <row r="4" spans="1:12" s="2" customFormat="1" ht="4.5" customHeight="1" thickBot="1" x14ac:dyDescent="0.3">
      <c r="B4" s="9"/>
      <c r="C4" s="30"/>
      <c r="D4" s="29"/>
      <c r="E4" s="30"/>
      <c r="F4" s="11"/>
      <c r="G4" s="30"/>
      <c r="H4" s="29"/>
      <c r="I4" s="10"/>
      <c r="J4" s="10"/>
      <c r="K4" s="10"/>
      <c r="L4" s="10"/>
    </row>
    <row r="5" spans="1:12" ht="23.25" customHeight="1" thickBot="1" x14ac:dyDescent="0.3">
      <c r="A5" s="3"/>
      <c r="B5" s="21" t="s">
        <v>21</v>
      </c>
      <c r="C5" s="28"/>
      <c r="D5" s="33"/>
      <c r="E5" s="28"/>
      <c r="F5" s="20" t="s">
        <v>6</v>
      </c>
      <c r="G5" s="28"/>
      <c r="H5" s="33"/>
      <c r="I5" s="8"/>
    </row>
    <row r="6" spans="1:12" s="2" customFormat="1" ht="4.5" customHeight="1" thickBot="1" x14ac:dyDescent="0.3">
      <c r="B6" s="12"/>
      <c r="C6" s="30"/>
      <c r="D6" s="29"/>
      <c r="E6" s="30"/>
      <c r="F6" s="11"/>
      <c r="G6" s="30"/>
      <c r="H6" s="29"/>
      <c r="I6" s="10"/>
      <c r="J6" s="10"/>
      <c r="K6" s="10"/>
      <c r="L6" s="10"/>
    </row>
    <row r="7" spans="1:12" ht="23.25" customHeight="1" thickBot="1" x14ac:dyDescent="0.3">
      <c r="A7" s="3"/>
      <c r="B7" s="20" t="s">
        <v>1</v>
      </c>
      <c r="C7" s="28"/>
      <c r="D7" s="33"/>
      <c r="E7" s="28"/>
      <c r="F7" s="20" t="s">
        <v>4</v>
      </c>
      <c r="G7" s="28"/>
      <c r="H7" s="33"/>
      <c r="I7" s="8"/>
    </row>
    <row r="8" spans="1:12" s="2" customFormat="1" ht="4.5" customHeight="1" thickBot="1" x14ac:dyDescent="0.3">
      <c r="B8" s="11"/>
      <c r="C8" s="30"/>
      <c r="D8" s="29"/>
      <c r="E8" s="30"/>
      <c r="F8" s="11"/>
      <c r="G8" s="30"/>
      <c r="H8" s="29"/>
      <c r="I8" s="10"/>
      <c r="J8" s="10"/>
      <c r="K8" s="10"/>
      <c r="L8" s="10"/>
    </row>
    <row r="9" spans="1:12" ht="23.25" customHeight="1" thickBot="1" x14ac:dyDescent="0.3">
      <c r="A9" s="3"/>
      <c r="B9" s="20" t="s">
        <v>2</v>
      </c>
      <c r="C9" s="28"/>
      <c r="D9" s="33"/>
      <c r="E9" s="28"/>
      <c r="F9" s="20" t="s">
        <v>5</v>
      </c>
      <c r="G9" s="28"/>
      <c r="H9" s="33"/>
      <c r="I9" s="8"/>
    </row>
    <row r="10" spans="1:12" s="2" customFormat="1" ht="4.5" customHeight="1" thickBot="1" x14ac:dyDescent="0.3">
      <c r="B10" s="11"/>
      <c r="C10" s="30"/>
      <c r="D10" s="29"/>
      <c r="E10" s="30"/>
      <c r="F10" s="11"/>
      <c r="G10" s="30"/>
      <c r="H10" s="29"/>
      <c r="I10" s="10"/>
      <c r="J10" s="10"/>
      <c r="K10" s="10"/>
      <c r="L10" s="10"/>
    </row>
    <row r="11" spans="1:12" ht="23.25" customHeight="1" thickBot="1" x14ac:dyDescent="0.3">
      <c r="A11" s="3"/>
      <c r="B11" s="21" t="s">
        <v>3</v>
      </c>
      <c r="C11" s="28"/>
      <c r="D11" s="33"/>
      <c r="E11" s="28"/>
      <c r="F11" s="22" t="s">
        <v>9</v>
      </c>
      <c r="G11" s="28"/>
      <c r="H11" s="33"/>
      <c r="I11" s="8"/>
    </row>
    <row r="12" spans="1:12" s="2" customFormat="1" ht="4.5" customHeight="1" thickBot="1" x14ac:dyDescent="0.3">
      <c r="B12" s="12"/>
      <c r="C12" s="30"/>
      <c r="D12" s="29"/>
      <c r="E12" s="30"/>
      <c r="F12" s="13"/>
      <c r="G12" s="30"/>
      <c r="H12" s="29"/>
      <c r="I12" s="10"/>
      <c r="J12" s="10"/>
      <c r="K12" s="10"/>
      <c r="L12" s="10"/>
    </row>
    <row r="13" spans="1:12" ht="23.25" customHeight="1" thickBot="1" x14ac:dyDescent="0.3">
      <c r="A13" s="3"/>
      <c r="B13" s="21" t="s">
        <v>23</v>
      </c>
      <c r="C13" s="28"/>
      <c r="D13" s="31" t="str">
        <f>IFERROR(VLOOKUP(D11,Tableau5[],2,0),"")</f>
        <v/>
      </c>
      <c r="E13" s="28"/>
      <c r="F13" s="20" t="s">
        <v>10</v>
      </c>
      <c r="G13" s="28"/>
      <c r="H13" s="33"/>
      <c r="I13" s="8"/>
    </row>
    <row r="14" spans="1:12" s="2" customFormat="1" ht="4.5" customHeight="1" thickBot="1" x14ac:dyDescent="0.3">
      <c r="B14" s="12"/>
      <c r="C14" s="30"/>
      <c r="D14" s="29"/>
      <c r="E14" s="30"/>
      <c r="F14" s="11"/>
      <c r="G14" s="30"/>
      <c r="H14" s="29"/>
      <c r="I14" s="10"/>
      <c r="J14" s="10"/>
      <c r="K14" s="10"/>
      <c r="L14" s="10"/>
    </row>
    <row r="15" spans="1:12" ht="23.25" customHeight="1" thickBot="1" x14ac:dyDescent="0.3">
      <c r="A15" s="3"/>
      <c r="B15" s="21" t="s">
        <v>22</v>
      </c>
      <c r="C15" s="28"/>
      <c r="D15" s="31" t="str">
        <f>IFERROR(VLOOKUP(D11,Tableau5[],3,0),"")</f>
        <v/>
      </c>
      <c r="E15" s="28"/>
      <c r="F15" s="20" t="s">
        <v>11</v>
      </c>
      <c r="G15" s="28"/>
      <c r="H15" s="27">
        <f>H13*H11</f>
        <v>0</v>
      </c>
      <c r="I15" s="8"/>
    </row>
    <row r="16" spans="1:12" s="2" customFormat="1" ht="4.5" customHeight="1" thickBot="1" x14ac:dyDescent="0.3">
      <c r="B16" s="12"/>
      <c r="C16" s="30"/>
      <c r="D16" s="29"/>
      <c r="E16" s="30"/>
      <c r="F16" s="11"/>
      <c r="G16" s="30"/>
      <c r="H16" s="29"/>
      <c r="I16" s="10"/>
      <c r="J16" s="10"/>
      <c r="K16" s="10"/>
      <c r="L16" s="10"/>
    </row>
    <row r="17" spans="1:12" ht="23.25" customHeight="1" thickBot="1" x14ac:dyDescent="0.3">
      <c r="A17" s="3"/>
      <c r="B17" s="21" t="s">
        <v>24</v>
      </c>
      <c r="C17" s="28"/>
      <c r="D17" s="31" t="str">
        <f>IFERROR(VLOOKUP(D11,Tableau5[],4,0),"")</f>
        <v/>
      </c>
      <c r="E17" s="28"/>
      <c r="F17" s="20" t="s">
        <v>12</v>
      </c>
      <c r="G17" s="28"/>
      <c r="H17" s="33"/>
      <c r="I17" s="8"/>
    </row>
    <row r="18" spans="1:12" s="2" customFormat="1" ht="4.5" customHeight="1" thickBot="1" x14ac:dyDescent="0.3">
      <c r="B18" s="12"/>
      <c r="C18" s="30"/>
      <c r="D18" s="29"/>
      <c r="E18" s="30"/>
      <c r="F18" s="11"/>
      <c r="G18" s="30"/>
      <c r="H18" s="29"/>
      <c r="I18" s="10"/>
      <c r="J18" s="10"/>
      <c r="K18" s="10"/>
      <c r="L18" s="10"/>
    </row>
    <row r="19" spans="1:12" ht="23.25" customHeight="1" thickBot="1" x14ac:dyDescent="0.3">
      <c r="A19" s="3"/>
      <c r="B19" s="21" t="s">
        <v>25</v>
      </c>
      <c r="C19" s="28"/>
      <c r="D19" s="31" t="str">
        <f>IFERROR(VLOOKUP(D11,Tableau5[],5,0),"")</f>
        <v/>
      </c>
      <c r="E19" s="28"/>
      <c r="F19" s="20" t="s">
        <v>26</v>
      </c>
      <c r="G19" s="28"/>
      <c r="H19" s="33"/>
      <c r="I19" s="8"/>
    </row>
    <row r="20" spans="1:12" s="2" customFormat="1" ht="4.5" customHeight="1" thickBot="1" x14ac:dyDescent="0.3">
      <c r="B20" s="12"/>
      <c r="C20" s="30"/>
      <c r="D20" s="29"/>
      <c r="E20" s="30"/>
      <c r="F20" s="11"/>
      <c r="G20" s="30"/>
      <c r="H20" s="29"/>
      <c r="I20" s="10"/>
      <c r="J20" s="10"/>
      <c r="K20" s="10"/>
      <c r="L20" s="10"/>
    </row>
    <row r="21" spans="1:12" ht="23.25" customHeight="1" thickBot="1" x14ac:dyDescent="0.3">
      <c r="A21" s="3"/>
      <c r="B21" s="20" t="s">
        <v>8</v>
      </c>
      <c r="C21" s="28"/>
      <c r="D21" s="33"/>
      <c r="E21" s="28"/>
      <c r="F21" s="20" t="s">
        <v>13</v>
      </c>
      <c r="G21" s="28"/>
      <c r="H21" s="33"/>
      <c r="I21" s="8"/>
    </row>
    <row r="22" spans="1:12" s="2" customFormat="1" ht="4.5" customHeight="1" x14ac:dyDescent="0.25">
      <c r="B22" s="14"/>
      <c r="C22" s="10"/>
      <c r="D22" s="15"/>
      <c r="E22" s="10"/>
      <c r="F22" s="17"/>
      <c r="G22" s="5"/>
      <c r="H22" s="18"/>
      <c r="I22" s="10"/>
      <c r="J22" s="10"/>
      <c r="K22" s="10"/>
      <c r="L22" s="10"/>
    </row>
    <row r="23" spans="1:12" ht="23.25" customHeight="1" x14ac:dyDescent="0.25">
      <c r="E23" s="16"/>
      <c r="I23" s="8"/>
    </row>
  </sheetData>
  <sheetProtection sheet="1" objects="1" scenarios="1" selectLockedCells="1"/>
  <mergeCells count="1">
    <mergeCell ref="A1:A2"/>
  </mergeCell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 xr:uid="{32D43EEE-3783-4F65-80FF-C1D4C9A22BB5}">
          <x14:formula1>
            <xm:f>INFO!$A$2:$A$4</xm:f>
          </x14:formula1>
          <xm:sqref>D5</xm:sqref>
        </x14:dataValidation>
        <x14:dataValidation type="list" allowBlank="1" showInputMessage="1" showErrorMessage="1" xr:uid="{20836E98-0F1D-4D90-9DCC-290F9E90F213}">
          <x14:formula1>
            <xm:f>INFO!$C$2:$C$18</xm:f>
          </x14:formula1>
          <xm:sqref>D9</xm:sqref>
        </x14:dataValidation>
        <x14:dataValidation type="list" allowBlank="1" showInputMessage="1" showErrorMessage="1" xr:uid="{38228150-BB7D-4757-BAD9-4DE02EF061E6}">
          <x14:formula1>
            <xm:f>INFO!$E$2:$E$36</xm:f>
          </x14:formula1>
          <xm:sqref>D11</xm:sqref>
        </x14:dataValidation>
        <x14:dataValidation type="list" allowBlank="1" showInputMessage="1" showErrorMessage="1" xr:uid="{0C283AE6-AF78-4B04-BF50-05A9F5794C8B}">
          <x14:formula1>
            <xm:f>INFO!$K$2:$K$11</xm:f>
          </x14:formula1>
          <xm:sqref>H17</xm:sqref>
        </x14:dataValidation>
        <x14:dataValidation type="list" allowBlank="1" showInputMessage="1" showErrorMessage="1" xr:uid="{96C71BDC-6178-4BC3-BCEB-AC2309D62EB4}">
          <x14:formula1>
            <xm:f>INFO!$M$2:$M$5</xm:f>
          </x14:formula1>
          <xm:sqref>H19</xm:sqref>
        </x14:dataValidation>
        <x14:dataValidation type="list" allowBlank="1" showInputMessage="1" showErrorMessage="1" xr:uid="{5590B8D8-33E8-4A3D-A610-C3C1E9364522}">
          <x14:formula1>
            <xm:f>INFO!$O$2:$O$5</xm:f>
          </x14:formula1>
          <xm:sqref>H7</xm:sqref>
        </x14:dataValidation>
        <x14:dataValidation type="list" allowBlank="1" showInputMessage="1" showErrorMessage="1" xr:uid="{4BDF475F-CB32-442D-AB14-F70AEE32E93C}">
          <x14:formula1>
            <xm:f>INFO!$Q$2:$Q$14</xm:f>
          </x14:formula1>
          <xm:sqref>H9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714AA9-A232-4A41-ADFA-4FB813B8E4F5}">
  <sheetPr codeName="Feuil3"/>
  <dimension ref="A1:AO23"/>
  <sheetViews>
    <sheetView zoomScale="80" zoomScaleNormal="80" workbookViewId="0"/>
  </sheetViews>
  <sheetFormatPr baseColWidth="10" defaultColWidth="3.7109375" defaultRowHeight="11.25" x14ac:dyDescent="0.2"/>
  <cols>
    <col min="1" max="1" width="17.42578125" style="34" bestFit="1" customWidth="1"/>
    <col min="2" max="2" width="18.140625" style="34" bestFit="1" customWidth="1"/>
    <col min="3" max="3" width="14.85546875" style="34" bestFit="1" customWidth="1"/>
    <col min="4" max="4" width="15.85546875" style="34" bestFit="1" customWidth="1"/>
    <col min="5" max="5" width="13.42578125" style="34" bestFit="1" customWidth="1"/>
    <col min="6" max="6" width="15.85546875" style="34" bestFit="1" customWidth="1"/>
    <col min="7" max="7" width="14.28515625" style="34" bestFit="1" customWidth="1"/>
    <col min="8" max="8" width="11" style="34" bestFit="1" customWidth="1"/>
    <col min="9" max="9" width="15.85546875" style="34" bestFit="1" customWidth="1"/>
    <col min="10" max="10" width="18.42578125" style="34" bestFit="1" customWidth="1"/>
    <col min="11" max="11" width="16.42578125" style="34" bestFit="1" customWidth="1"/>
    <col min="12" max="12" width="23.7109375" style="34" bestFit="1" customWidth="1"/>
    <col min="13" max="13" width="15.28515625" style="34" bestFit="1" customWidth="1"/>
    <col min="14" max="14" width="17.140625" style="34" bestFit="1" customWidth="1"/>
    <col min="15" max="15" width="15.140625" style="38" bestFit="1" customWidth="1"/>
    <col min="16" max="16" width="13" style="34" bestFit="1" customWidth="1"/>
    <col min="17" max="17" width="15" style="34" bestFit="1" customWidth="1"/>
    <col min="18" max="18" width="15.140625" style="34" bestFit="1" customWidth="1"/>
    <col min="19" max="19" width="10.85546875" style="34" bestFit="1" customWidth="1"/>
    <col min="20" max="20" width="15" style="34" bestFit="1" customWidth="1"/>
    <col min="21" max="21" width="13.5703125" style="34" bestFit="1" customWidth="1"/>
    <col min="22" max="22" width="10.28515625" style="34" bestFit="1" customWidth="1"/>
    <col min="23" max="23" width="4" style="34" customWidth="1"/>
    <col min="24" max="28" width="3.7109375" style="34"/>
    <col min="29" max="29" width="4.28515625" style="34" customWidth="1"/>
    <col min="30" max="30" width="3.7109375" style="34"/>
    <col min="31" max="31" width="13.42578125" style="34" bestFit="1" customWidth="1"/>
    <col min="32" max="33" width="9.42578125" style="34" bestFit="1" customWidth="1"/>
    <col min="34" max="34" width="10.5703125" style="34" bestFit="1" customWidth="1"/>
    <col min="35" max="35" width="8.7109375" style="34" bestFit="1" customWidth="1"/>
    <col min="36" max="36" width="10.85546875" style="34" bestFit="1" customWidth="1"/>
    <col min="37" max="37" width="16.42578125" style="34" bestFit="1" customWidth="1"/>
    <col min="38" max="38" width="10.5703125" style="34" bestFit="1" customWidth="1"/>
    <col min="39" max="39" width="9.42578125" style="34" customWidth="1"/>
    <col min="40" max="40" width="14.140625" style="34" customWidth="1"/>
    <col min="41" max="41" width="12.85546875" style="34" customWidth="1"/>
    <col min="42" max="43" width="9.42578125" style="34" customWidth="1"/>
    <col min="44" max="44" width="11.7109375" style="34" bestFit="1" customWidth="1"/>
    <col min="45" max="123" width="9.42578125" style="34" customWidth="1"/>
    <col min="124" max="16384" width="3.7109375" style="34"/>
  </cols>
  <sheetData>
    <row r="1" spans="1:41" s="23" customFormat="1" ht="15" x14ac:dyDescent="0.25">
      <c r="A1" s="48" t="s">
        <v>0</v>
      </c>
      <c r="B1" s="40" t="s">
        <v>19</v>
      </c>
      <c r="C1" s="49" t="s">
        <v>1</v>
      </c>
      <c r="D1" s="49" t="s">
        <v>2</v>
      </c>
      <c r="E1" s="40" t="s">
        <v>3</v>
      </c>
      <c r="F1" s="40" t="s">
        <v>15</v>
      </c>
      <c r="G1" s="40" t="s">
        <v>16</v>
      </c>
      <c r="H1" s="40" t="s">
        <v>17</v>
      </c>
      <c r="I1" s="40" t="s">
        <v>18</v>
      </c>
      <c r="J1" s="50" t="s">
        <v>8</v>
      </c>
      <c r="K1" s="50" t="s">
        <v>7</v>
      </c>
      <c r="L1" s="50" t="s">
        <v>6</v>
      </c>
      <c r="M1" s="51" t="s">
        <v>4</v>
      </c>
      <c r="N1" s="51" t="s">
        <v>5</v>
      </c>
      <c r="O1" s="42" t="s">
        <v>9</v>
      </c>
      <c r="P1" s="40" t="s">
        <v>10</v>
      </c>
      <c r="Q1" s="40" t="s">
        <v>11</v>
      </c>
      <c r="R1" s="49" t="s">
        <v>12</v>
      </c>
      <c r="S1" s="49" t="s">
        <v>20</v>
      </c>
      <c r="T1" s="40" t="s">
        <v>13</v>
      </c>
      <c r="U1" s="52" t="s">
        <v>170</v>
      </c>
      <c r="V1" s="49" t="s">
        <v>14</v>
      </c>
      <c r="AE1" s="35" t="s">
        <v>28</v>
      </c>
      <c r="AF1" s="37">
        <f>SUMIFS(Tableau4[Montant],Tableau4[mouvement],"INVENTAIRE")</f>
        <v>2196</v>
      </c>
      <c r="AG1" s="35" t="s">
        <v>29</v>
      </c>
      <c r="AH1" s="37">
        <f>SUMIFS(Tableau4[Montant],Tableau4[mouvement],"ENTREE")</f>
        <v>81295.600000000006</v>
      </c>
      <c r="AI1" s="35" t="s">
        <v>30</v>
      </c>
      <c r="AJ1" s="37">
        <f>SUMIFS(Tableau4[Montant],Tableau4[mouvement],"SORTIE")</f>
        <v>26447</v>
      </c>
      <c r="AK1" s="36" t="s">
        <v>207</v>
      </c>
      <c r="AL1" s="37">
        <f>AF1+AH1-AJ1</f>
        <v>57044.600000000006</v>
      </c>
      <c r="AO1" s="67"/>
    </row>
    <row r="2" spans="1:41" s="23" customFormat="1" ht="15" x14ac:dyDescent="0.25">
      <c r="A2" s="48">
        <v>44686</v>
      </c>
      <c r="B2" s="40" t="s">
        <v>30</v>
      </c>
      <c r="C2" s="49" t="s">
        <v>203</v>
      </c>
      <c r="D2" s="49" t="s">
        <v>41</v>
      </c>
      <c r="E2" s="40" t="s">
        <v>104</v>
      </c>
      <c r="F2" s="40" t="s">
        <v>51</v>
      </c>
      <c r="G2" s="40" t="s">
        <v>83</v>
      </c>
      <c r="H2" s="40" t="s">
        <v>88</v>
      </c>
      <c r="I2" s="40" t="s">
        <v>97</v>
      </c>
      <c r="J2" s="40" t="s">
        <v>201</v>
      </c>
      <c r="K2" s="40" t="s">
        <v>199</v>
      </c>
      <c r="L2" s="40" t="s">
        <v>200</v>
      </c>
      <c r="M2" s="49" t="s">
        <v>157</v>
      </c>
      <c r="N2" s="49" t="s">
        <v>166</v>
      </c>
      <c r="O2" s="42">
        <v>1</v>
      </c>
      <c r="P2" s="62">
        <v>5600</v>
      </c>
      <c r="Q2" s="62">
        <v>5600</v>
      </c>
      <c r="R2" s="49" t="s">
        <v>215</v>
      </c>
      <c r="S2" s="49" t="s">
        <v>144</v>
      </c>
      <c r="T2" s="40" t="s">
        <v>202</v>
      </c>
      <c r="U2" s="66">
        <f>SUMIFS(O$2:$O$23,K$2:K$23,Tableau4[[#This Row],[Référence]],B$2:B$23,"INVENTAIRE")+SUMIFS(O$2:O$23,K$2:K$23,Tableau4[[#This Row],[Référence]],B$2:B$23,"ENTREE")-SUMIFS(O$2:O$23,K$2:K$23,Tableau4[[#This Row],[Référence]],B$2:B$23,"SORTIE")</f>
        <v>3</v>
      </c>
      <c r="V2" s="49" t="str">
        <f>TEXT(Tableau4[[#This Row],[Date BL/BS]],"MMMM")</f>
        <v>mai</v>
      </c>
      <c r="AE2" s="35"/>
      <c r="AF2" s="37"/>
      <c r="AG2" s="35"/>
      <c r="AH2" s="37"/>
      <c r="AI2" s="35"/>
      <c r="AJ2" s="37"/>
      <c r="AK2" s="36"/>
      <c r="AL2" s="37"/>
    </row>
    <row r="3" spans="1:41" s="23" customFormat="1" ht="15" x14ac:dyDescent="0.25">
      <c r="A3" s="48">
        <v>44686</v>
      </c>
      <c r="B3" s="40" t="s">
        <v>29</v>
      </c>
      <c r="C3" s="49" t="s">
        <v>204</v>
      </c>
      <c r="D3" s="49" t="s">
        <v>41</v>
      </c>
      <c r="E3" s="40" t="s">
        <v>179</v>
      </c>
      <c r="F3" s="40" t="s">
        <v>179</v>
      </c>
      <c r="G3" s="40" t="s">
        <v>179</v>
      </c>
      <c r="H3" s="40" t="s">
        <v>179</v>
      </c>
      <c r="I3" s="40" t="s">
        <v>179</v>
      </c>
      <c r="J3" s="40" t="s">
        <v>201</v>
      </c>
      <c r="K3" s="40" t="s">
        <v>199</v>
      </c>
      <c r="L3" s="40" t="s">
        <v>200</v>
      </c>
      <c r="M3" s="49" t="s">
        <v>157</v>
      </c>
      <c r="N3" s="49" t="s">
        <v>166</v>
      </c>
      <c r="O3" s="42">
        <v>4</v>
      </c>
      <c r="P3" s="62">
        <v>5600</v>
      </c>
      <c r="Q3" s="62">
        <v>22400</v>
      </c>
      <c r="R3" s="49"/>
      <c r="S3" s="49" t="s">
        <v>144</v>
      </c>
      <c r="T3" s="40"/>
      <c r="U3" s="47">
        <f>SUMIFS(O$2:$O$23,K$2:K$23,Tableau4[[#This Row],[Référence]],B$2:B$23,"INVENTAIRE")+SUMIFS(O$2:O$23,K$2:K$23,Tableau4[[#This Row],[Référence]],B$2:B$23,"ENTREE")-SUMIFS(O$2:O$23,K$2:K$23,Tableau4[[#This Row],[Référence]],B$2:B$23,"SORTIE")</f>
        <v>3</v>
      </c>
      <c r="V3" s="49" t="str">
        <f>TEXT(Tableau4[[#This Row],[Date BL/BS]],"MMMM")</f>
        <v>mai</v>
      </c>
      <c r="AE3" s="35"/>
      <c r="AF3" s="37"/>
      <c r="AG3" s="35"/>
      <c r="AH3" s="37"/>
      <c r="AI3" s="35"/>
      <c r="AJ3" s="37"/>
      <c r="AK3" s="36"/>
      <c r="AL3" s="37"/>
    </row>
    <row r="4" spans="1:41" s="23" customFormat="1" ht="15" x14ac:dyDescent="0.25">
      <c r="A4" s="48">
        <v>44656</v>
      </c>
      <c r="B4" s="40" t="s">
        <v>30</v>
      </c>
      <c r="C4" s="49" t="s">
        <v>196</v>
      </c>
      <c r="D4" s="49" t="s">
        <v>38</v>
      </c>
      <c r="E4" s="40" t="s">
        <v>107</v>
      </c>
      <c r="F4" s="40" t="s">
        <v>54</v>
      </c>
      <c r="G4" s="40" t="s">
        <v>86</v>
      </c>
      <c r="H4" s="40" t="s">
        <v>90</v>
      </c>
      <c r="I4" s="40" t="s">
        <v>99</v>
      </c>
      <c r="J4" s="40" t="s">
        <v>197</v>
      </c>
      <c r="K4" s="40" t="s">
        <v>195</v>
      </c>
      <c r="L4" s="40" t="s">
        <v>153</v>
      </c>
      <c r="M4" s="49" t="s">
        <v>136</v>
      </c>
      <c r="N4" s="49" t="s">
        <v>138</v>
      </c>
      <c r="O4" s="42">
        <v>30</v>
      </c>
      <c r="P4" s="62">
        <v>18.3</v>
      </c>
      <c r="Q4" s="62">
        <v>549</v>
      </c>
      <c r="R4" s="49" t="s">
        <v>214</v>
      </c>
      <c r="S4" s="49" t="s">
        <v>144</v>
      </c>
      <c r="T4" s="40" t="s">
        <v>198</v>
      </c>
      <c r="U4" s="47">
        <f>SUMIFS(O$2:$O$23,K$2:K$23,Tableau4[[#This Row],[Référence]],B$2:B$23,"INVENTAIRE")+SUMIFS(O$2:O$23,K$2:K$23,Tableau4[[#This Row],[Référence]],B$2:B$23,"ENTREE")-SUMIFS(O$2:O$23,K$2:K$23,Tableau4[[#This Row],[Référence]],B$2:B$23,"SORTIE")</f>
        <v>186</v>
      </c>
      <c r="V4" s="49" t="str">
        <f>TEXT(Tableau4[[#This Row],[Date BL/BS]],"MMMM")</f>
        <v>avril</v>
      </c>
      <c r="AE4" s="35"/>
      <c r="AF4" s="37"/>
      <c r="AG4" s="35"/>
      <c r="AH4" s="37"/>
      <c r="AI4" s="35"/>
      <c r="AJ4" s="37"/>
      <c r="AK4" s="36"/>
      <c r="AL4" s="37"/>
    </row>
    <row r="5" spans="1:41" s="23" customFormat="1" ht="15" x14ac:dyDescent="0.25">
      <c r="A5" s="48">
        <v>44717</v>
      </c>
      <c r="B5" s="40" t="s">
        <v>29</v>
      </c>
      <c r="C5" s="49" t="s">
        <v>196</v>
      </c>
      <c r="D5" s="49" t="s">
        <v>38</v>
      </c>
      <c r="E5" s="40" t="s">
        <v>179</v>
      </c>
      <c r="F5" s="40" t="s">
        <v>179</v>
      </c>
      <c r="G5" s="40" t="s">
        <v>179</v>
      </c>
      <c r="H5" s="40" t="s">
        <v>179</v>
      </c>
      <c r="I5" s="40" t="s">
        <v>179</v>
      </c>
      <c r="J5" s="40" t="s">
        <v>197</v>
      </c>
      <c r="K5" s="40" t="s">
        <v>195</v>
      </c>
      <c r="L5" s="40" t="s">
        <v>153</v>
      </c>
      <c r="M5" s="49" t="s">
        <v>136</v>
      </c>
      <c r="N5" s="49" t="s">
        <v>138</v>
      </c>
      <c r="O5" s="42">
        <v>216</v>
      </c>
      <c r="P5" s="62">
        <v>18.3</v>
      </c>
      <c r="Q5" s="62">
        <v>3952.8</v>
      </c>
      <c r="R5" s="49"/>
      <c r="S5" s="49" t="s">
        <v>144</v>
      </c>
      <c r="T5" s="40"/>
      <c r="U5" s="47">
        <f>SUMIFS(O$2:$O$23,K$2:K$23,Tableau4[[#This Row],[Référence]],B$2:B$23,"INVENTAIRE")+SUMIFS(O$2:O$23,K$2:K$23,Tableau4[[#This Row],[Référence]],B$2:B$23,"ENTREE")-SUMIFS(O$2:O$23,K$2:K$23,Tableau4[[#This Row],[Référence]],B$2:B$23,"SORTIE")</f>
        <v>186</v>
      </c>
      <c r="V5" s="49" t="str">
        <f>TEXT(Tableau4[[#This Row],[Date BL/BS]],"MMMM")</f>
        <v>juin</v>
      </c>
      <c r="AE5" s="35"/>
      <c r="AF5" s="37"/>
      <c r="AG5" s="35"/>
      <c r="AH5" s="37"/>
      <c r="AI5" s="35"/>
      <c r="AJ5" s="37"/>
      <c r="AK5" s="36"/>
      <c r="AL5" s="37"/>
    </row>
    <row r="6" spans="1:41" s="23" customFormat="1" ht="15" x14ac:dyDescent="0.25">
      <c r="A6" s="48">
        <v>44656</v>
      </c>
      <c r="B6" s="40" t="s">
        <v>29</v>
      </c>
      <c r="C6" s="49" t="s">
        <v>189</v>
      </c>
      <c r="D6" s="49" t="s">
        <v>38</v>
      </c>
      <c r="E6" s="40" t="s">
        <v>179</v>
      </c>
      <c r="F6" s="40" t="s">
        <v>179</v>
      </c>
      <c r="G6" s="40" t="s">
        <v>179</v>
      </c>
      <c r="H6" s="40" t="s">
        <v>179</v>
      </c>
      <c r="I6" s="40" t="s">
        <v>179</v>
      </c>
      <c r="J6" s="40" t="s">
        <v>173</v>
      </c>
      <c r="K6" s="40" t="s">
        <v>152</v>
      </c>
      <c r="L6" s="40" t="s">
        <v>153</v>
      </c>
      <c r="M6" s="49" t="s">
        <v>136</v>
      </c>
      <c r="N6" s="49" t="s">
        <v>138</v>
      </c>
      <c r="O6" s="42">
        <v>216</v>
      </c>
      <c r="P6" s="62">
        <v>18.3</v>
      </c>
      <c r="Q6" s="62">
        <v>3952.8</v>
      </c>
      <c r="R6" s="49"/>
      <c r="S6" s="49" t="s">
        <v>144</v>
      </c>
      <c r="T6" s="40"/>
      <c r="U6" s="47">
        <f>SUMIFS(O$2:$O$23,K$2:K$23,Tableau4[[#This Row],[Référence]],B$2:B$23,"INVENTAIRE")+SUMIFS(O$2:O$23,K$2:K$23,Tableau4[[#This Row],[Référence]],B$2:B$23,"ENTREE")-SUMIFS(O$2:O$23,K$2:K$23,Tableau4[[#This Row],[Référence]],B$2:B$23,"SORTIE")</f>
        <v>1476</v>
      </c>
      <c r="V6" s="49" t="str">
        <f>TEXT(Tableau4[[#This Row],[Date BL/BS]],"MMMM")</f>
        <v>avril</v>
      </c>
      <c r="AE6" s="35"/>
      <c r="AF6" s="37"/>
      <c r="AG6" s="35"/>
      <c r="AH6" s="37"/>
      <c r="AI6" s="35"/>
      <c r="AJ6" s="37"/>
      <c r="AK6" s="36"/>
      <c r="AL6" s="37"/>
    </row>
    <row r="7" spans="1:41" s="23" customFormat="1" ht="15" x14ac:dyDescent="0.25">
      <c r="A7" s="39">
        <v>44747</v>
      </c>
      <c r="B7" s="40" t="s">
        <v>29</v>
      </c>
      <c r="C7" s="41" t="s">
        <v>189</v>
      </c>
      <c r="D7" s="41" t="s">
        <v>38</v>
      </c>
      <c r="E7" s="40" t="s">
        <v>179</v>
      </c>
      <c r="F7" s="40" t="s">
        <v>179</v>
      </c>
      <c r="G7" s="40" t="s">
        <v>179</v>
      </c>
      <c r="H7" s="40" t="s">
        <v>179</v>
      </c>
      <c r="I7" s="40" t="s">
        <v>179</v>
      </c>
      <c r="J7" s="44" t="s">
        <v>173</v>
      </c>
      <c r="K7" s="44" t="s">
        <v>152</v>
      </c>
      <c r="L7" s="44" t="s">
        <v>153</v>
      </c>
      <c r="M7" s="45" t="s">
        <v>136</v>
      </c>
      <c r="N7" s="45" t="s">
        <v>138</v>
      </c>
      <c r="O7" s="42">
        <v>216</v>
      </c>
      <c r="P7" s="46">
        <v>18.3</v>
      </c>
      <c r="Q7" s="46">
        <v>3952.8</v>
      </c>
      <c r="R7" s="41"/>
      <c r="S7" s="41" t="s">
        <v>144</v>
      </c>
      <c r="T7" s="43"/>
      <c r="U7" s="47">
        <f>SUMIFS(O$2:$O$23,K$2:K$23,Tableau4[[#This Row],[Référence]],B$2:B$23,"INVENTAIRE")+SUMIFS(O$2:O$23,K$2:K$23,Tableau4[[#This Row],[Référence]],B$2:B$23,"ENTREE")-SUMIFS(O$2:O$23,K$2:K$23,Tableau4[[#This Row],[Référence]],B$2:B$23,"SORTIE")</f>
        <v>1476</v>
      </c>
      <c r="V7" s="41" t="str">
        <f>TEXT(Tableau4[[#This Row],[Date BL/BS]],"MMMM")</f>
        <v>juillet</v>
      </c>
      <c r="AE7" s="35"/>
      <c r="AF7" s="37"/>
      <c r="AG7" s="35"/>
      <c r="AH7" s="37"/>
      <c r="AI7" s="35"/>
      <c r="AJ7" s="37"/>
      <c r="AK7" s="36"/>
      <c r="AL7" s="37"/>
    </row>
    <row r="8" spans="1:41" s="23" customFormat="1" ht="15" x14ac:dyDescent="0.25">
      <c r="A8" s="39">
        <v>44656</v>
      </c>
      <c r="B8" s="40" t="s">
        <v>29</v>
      </c>
      <c r="C8" s="41" t="s">
        <v>189</v>
      </c>
      <c r="D8" s="41" t="s">
        <v>38</v>
      </c>
      <c r="E8" s="40" t="s">
        <v>179</v>
      </c>
      <c r="F8" s="40" t="s">
        <v>179</v>
      </c>
      <c r="G8" s="40" t="s">
        <v>179</v>
      </c>
      <c r="H8" s="40" t="s">
        <v>179</v>
      </c>
      <c r="I8" s="40" t="s">
        <v>179</v>
      </c>
      <c r="J8" s="44" t="s">
        <v>173</v>
      </c>
      <c r="K8" s="44" t="s">
        <v>152</v>
      </c>
      <c r="L8" s="44" t="s">
        <v>153</v>
      </c>
      <c r="M8" s="45" t="s">
        <v>136</v>
      </c>
      <c r="N8" s="45" t="s">
        <v>138</v>
      </c>
      <c r="O8" s="42">
        <v>216</v>
      </c>
      <c r="P8" s="46">
        <v>18.3</v>
      </c>
      <c r="Q8" s="46">
        <v>3952.8</v>
      </c>
      <c r="R8" s="41"/>
      <c r="S8" s="41" t="s">
        <v>144</v>
      </c>
      <c r="T8" s="43"/>
      <c r="U8" s="47">
        <f>SUMIFS(O$2:$O$23,K$2:K$23,Tableau4[[#This Row],[Référence]],B$2:B$23,"INVENTAIRE")+SUMIFS(O$2:O$23,K$2:K$23,Tableau4[[#This Row],[Référence]],B$2:B$23,"ENTREE")-SUMIFS(O$2:O$23,K$2:K$23,Tableau4[[#This Row],[Référence]],B$2:B$23,"SORTIE")</f>
        <v>1476</v>
      </c>
      <c r="V8" s="41" t="str">
        <f>TEXT(Tableau4[[#This Row],[Date BL/BS]],"MMMM")</f>
        <v>avril</v>
      </c>
      <c r="AE8" s="35"/>
      <c r="AF8" s="37"/>
      <c r="AG8" s="35"/>
      <c r="AH8" s="37"/>
      <c r="AI8" s="35"/>
      <c r="AJ8" s="37"/>
      <c r="AK8" s="36"/>
      <c r="AL8" s="37"/>
    </row>
    <row r="9" spans="1:41" s="23" customFormat="1" ht="15" x14ac:dyDescent="0.25">
      <c r="A9" s="39">
        <v>44809</v>
      </c>
      <c r="B9" s="40" t="s">
        <v>29</v>
      </c>
      <c r="C9" s="41" t="s">
        <v>189</v>
      </c>
      <c r="D9" s="41" t="s">
        <v>38</v>
      </c>
      <c r="E9" s="40" t="s">
        <v>179</v>
      </c>
      <c r="F9" s="40" t="s">
        <v>179</v>
      </c>
      <c r="G9" s="40" t="s">
        <v>179</v>
      </c>
      <c r="H9" s="40" t="s">
        <v>179</v>
      </c>
      <c r="I9" s="40" t="s">
        <v>179</v>
      </c>
      <c r="J9" s="44" t="s">
        <v>173</v>
      </c>
      <c r="K9" s="44" t="s">
        <v>152</v>
      </c>
      <c r="L9" s="44" t="s">
        <v>153</v>
      </c>
      <c r="M9" s="45" t="s">
        <v>136</v>
      </c>
      <c r="N9" s="45" t="s">
        <v>138</v>
      </c>
      <c r="O9" s="42">
        <v>216</v>
      </c>
      <c r="P9" s="46">
        <v>18.3</v>
      </c>
      <c r="Q9" s="46">
        <v>3952.8</v>
      </c>
      <c r="R9" s="41"/>
      <c r="S9" s="41" t="s">
        <v>144</v>
      </c>
      <c r="T9" s="43"/>
      <c r="U9" s="47">
        <f>SUMIFS(O$2:$O$23,K$2:K$23,Tableau4[[#This Row],[Référence]],B$2:B$23,"INVENTAIRE")+SUMIFS(O$2:O$23,K$2:K$23,Tableau4[[#This Row],[Référence]],B$2:B$23,"ENTREE")-SUMIFS(O$2:O$23,K$2:K$23,Tableau4[[#This Row],[Référence]],B$2:B$23,"SORTIE")</f>
        <v>1476</v>
      </c>
      <c r="V9" s="41" t="str">
        <f>TEXT(Tableau4[[#This Row],[Date BL/BS]],"MMMM")</f>
        <v>septembre</v>
      </c>
      <c r="AE9" s="35"/>
      <c r="AF9" s="37"/>
      <c r="AG9" s="35"/>
      <c r="AH9" s="37"/>
      <c r="AI9" s="35"/>
      <c r="AJ9" s="37"/>
      <c r="AK9" s="36"/>
      <c r="AL9" s="37"/>
    </row>
    <row r="10" spans="1:41" s="23" customFormat="1" ht="15" x14ac:dyDescent="0.25">
      <c r="A10" s="39">
        <v>44656</v>
      </c>
      <c r="B10" s="40" t="s">
        <v>29</v>
      </c>
      <c r="C10" s="41" t="s">
        <v>189</v>
      </c>
      <c r="D10" s="41" t="s">
        <v>38</v>
      </c>
      <c r="E10" s="40" t="s">
        <v>179</v>
      </c>
      <c r="F10" s="40" t="s">
        <v>179</v>
      </c>
      <c r="G10" s="40" t="s">
        <v>179</v>
      </c>
      <c r="H10" s="40" t="s">
        <v>179</v>
      </c>
      <c r="I10" s="40" t="s">
        <v>179</v>
      </c>
      <c r="J10" s="44" t="s">
        <v>173</v>
      </c>
      <c r="K10" s="44" t="s">
        <v>152</v>
      </c>
      <c r="L10" s="44" t="s">
        <v>153</v>
      </c>
      <c r="M10" s="45" t="s">
        <v>136</v>
      </c>
      <c r="N10" s="45" t="s">
        <v>138</v>
      </c>
      <c r="O10" s="42">
        <v>216</v>
      </c>
      <c r="P10" s="46">
        <v>18.3</v>
      </c>
      <c r="Q10" s="46">
        <v>3952.8</v>
      </c>
      <c r="R10" s="41"/>
      <c r="S10" s="41" t="s">
        <v>144</v>
      </c>
      <c r="T10" s="43"/>
      <c r="U10" s="47">
        <f>SUMIFS(O$2:$O$23,K$2:K$23,Tableau4[[#This Row],[Référence]],B$2:B$23,"INVENTAIRE")+SUMIFS(O$2:O$23,K$2:K$23,Tableau4[[#This Row],[Référence]],B$2:B$23,"ENTREE")-SUMIFS(O$2:O$23,K$2:K$23,Tableau4[[#This Row],[Référence]],B$2:B$23,"SORTIE")</f>
        <v>1476</v>
      </c>
      <c r="V10" s="41" t="str">
        <f>TEXT(Tableau4[[#This Row],[Date BL/BS]],"MMMM")</f>
        <v>avril</v>
      </c>
      <c r="AE10" s="35"/>
      <c r="AF10" s="37"/>
      <c r="AG10" s="35"/>
      <c r="AH10" s="37"/>
      <c r="AI10" s="35"/>
      <c r="AJ10" s="37"/>
      <c r="AK10" s="36"/>
      <c r="AL10" s="37"/>
    </row>
    <row r="11" spans="1:41" s="23" customFormat="1" ht="15" x14ac:dyDescent="0.25">
      <c r="A11" s="39">
        <v>44656</v>
      </c>
      <c r="B11" s="40" t="s">
        <v>29</v>
      </c>
      <c r="C11" s="41" t="s">
        <v>189</v>
      </c>
      <c r="D11" s="41" t="s">
        <v>38</v>
      </c>
      <c r="E11" s="40" t="s">
        <v>179</v>
      </c>
      <c r="F11" s="40" t="s">
        <v>179</v>
      </c>
      <c r="G11" s="40" t="s">
        <v>179</v>
      </c>
      <c r="H11" s="40" t="s">
        <v>179</v>
      </c>
      <c r="I11" s="40" t="s">
        <v>179</v>
      </c>
      <c r="J11" s="44" t="s">
        <v>173</v>
      </c>
      <c r="K11" s="44" t="s">
        <v>152</v>
      </c>
      <c r="L11" s="44" t="s">
        <v>153</v>
      </c>
      <c r="M11" s="45" t="s">
        <v>136</v>
      </c>
      <c r="N11" s="45" t="s">
        <v>138</v>
      </c>
      <c r="O11" s="42">
        <v>216</v>
      </c>
      <c r="P11" s="46">
        <v>18.3</v>
      </c>
      <c r="Q11" s="46">
        <v>3952.8</v>
      </c>
      <c r="R11" s="41"/>
      <c r="S11" s="41" t="s">
        <v>144</v>
      </c>
      <c r="T11" s="43"/>
      <c r="U11" s="47">
        <f>SUMIFS(O$2:$O$23,K$2:K$23,Tableau4[[#This Row],[Référence]],B$2:B$23,"INVENTAIRE")+SUMIFS(O$2:O$23,K$2:K$23,Tableau4[[#This Row],[Référence]],B$2:B$23,"ENTREE")-SUMIFS(O$2:O$23,K$2:K$23,Tableau4[[#This Row],[Référence]],B$2:B$23,"SORTIE")</f>
        <v>1476</v>
      </c>
      <c r="V11" s="41" t="str">
        <f>TEXT(Tableau4[[#This Row],[Date BL/BS]],"MMMM")</f>
        <v>avril</v>
      </c>
      <c r="AC11" s="68"/>
      <c r="AE11" s="35"/>
      <c r="AF11" s="37"/>
      <c r="AG11" s="35"/>
      <c r="AH11" s="37"/>
      <c r="AI11" s="35"/>
      <c r="AJ11" s="37"/>
      <c r="AK11" s="36"/>
      <c r="AL11" s="37"/>
    </row>
    <row r="12" spans="1:41" s="23" customFormat="1" ht="15" x14ac:dyDescent="0.25">
      <c r="A12" s="39">
        <v>44625</v>
      </c>
      <c r="B12" s="40" t="s">
        <v>30</v>
      </c>
      <c r="C12" s="41" t="s">
        <v>189</v>
      </c>
      <c r="D12" s="41" t="s">
        <v>38</v>
      </c>
      <c r="E12" s="40" t="s">
        <v>114</v>
      </c>
      <c r="F12" s="40" t="s">
        <v>61</v>
      </c>
      <c r="G12" s="40" t="s">
        <v>84</v>
      </c>
      <c r="H12" s="40" t="s">
        <v>91</v>
      </c>
      <c r="I12" s="40" t="s">
        <v>100</v>
      </c>
      <c r="J12" s="44" t="s">
        <v>173</v>
      </c>
      <c r="K12" s="44" t="s">
        <v>152</v>
      </c>
      <c r="L12" s="44" t="s">
        <v>153</v>
      </c>
      <c r="M12" s="45" t="s">
        <v>136</v>
      </c>
      <c r="N12" s="45" t="s">
        <v>138</v>
      </c>
      <c r="O12" s="42">
        <v>15</v>
      </c>
      <c r="P12" s="46">
        <v>18.3</v>
      </c>
      <c r="Q12" s="46">
        <v>274.5</v>
      </c>
      <c r="R12" s="41" t="s">
        <v>219</v>
      </c>
      <c r="S12" s="41" t="s">
        <v>144</v>
      </c>
      <c r="T12" s="43" t="s">
        <v>190</v>
      </c>
      <c r="U12" s="47">
        <f>SUMIFS(O$2:$O$23,K$2:K$23,Tableau4[[#This Row],[Référence]],B$2:B$23,"INVENTAIRE")+SUMIFS(O$2:O$23,K$2:K$23,Tableau4[[#This Row],[Référence]],B$2:B$23,"ENTREE")-SUMIFS(O$2:O$23,K$2:K$23,Tableau4[[#This Row],[Référence]],B$2:B$23,"SORTIE")</f>
        <v>1476</v>
      </c>
      <c r="V12" s="41" t="str">
        <f>TEXT(Tableau4[[#This Row],[Date BL/BS]],"MMMM")</f>
        <v>mars</v>
      </c>
      <c r="AE12" s="35"/>
      <c r="AF12" s="37"/>
      <c r="AG12" s="35"/>
      <c r="AH12" s="37"/>
      <c r="AI12" s="35"/>
      <c r="AJ12" s="37"/>
      <c r="AK12" s="36"/>
      <c r="AL12" s="37"/>
    </row>
    <row r="13" spans="1:41" s="23" customFormat="1" ht="15" x14ac:dyDescent="0.25">
      <c r="A13" s="39">
        <v>44625</v>
      </c>
      <c r="B13" s="40" t="s">
        <v>30</v>
      </c>
      <c r="C13" s="41" t="s">
        <v>189</v>
      </c>
      <c r="D13" s="41" t="s">
        <v>38</v>
      </c>
      <c r="E13" s="40" t="s">
        <v>114</v>
      </c>
      <c r="F13" s="40" t="s">
        <v>61</v>
      </c>
      <c r="G13" s="40" t="s">
        <v>85</v>
      </c>
      <c r="H13" s="40" t="s">
        <v>91</v>
      </c>
      <c r="I13" s="40" t="s">
        <v>98</v>
      </c>
      <c r="J13" s="44" t="s">
        <v>173</v>
      </c>
      <c r="K13" s="44" t="s">
        <v>152</v>
      </c>
      <c r="L13" s="44" t="s">
        <v>153</v>
      </c>
      <c r="M13" s="45" t="s">
        <v>136</v>
      </c>
      <c r="N13" s="45" t="s">
        <v>138</v>
      </c>
      <c r="O13" s="42">
        <v>15</v>
      </c>
      <c r="P13" s="46">
        <v>18.3</v>
      </c>
      <c r="Q13" s="46">
        <v>274.5</v>
      </c>
      <c r="R13" s="41" t="s">
        <v>219</v>
      </c>
      <c r="S13" s="41" t="s">
        <v>144</v>
      </c>
      <c r="T13" s="43" t="s">
        <v>190</v>
      </c>
      <c r="U13" s="47">
        <f>SUMIFS(O$2:$O$23,K$2:K$23,Tableau4[[#This Row],[Référence]],B$2:B$23,"INVENTAIRE")+SUMIFS(O$2:O$23,K$2:K$23,Tableau4[[#This Row],[Référence]],B$2:B$23,"ENTREE")-SUMIFS(O$2:O$23,K$2:K$23,Tableau4[[#This Row],[Référence]],B$2:B$23,"SORTIE")</f>
        <v>1476</v>
      </c>
      <c r="V13" s="41" t="str">
        <f>TEXT(Tableau4[[#This Row],[Date BL/BS]],"MMMM")</f>
        <v>mars</v>
      </c>
      <c r="AE13" s="35"/>
      <c r="AF13" s="37"/>
      <c r="AG13" s="35"/>
      <c r="AH13" s="37"/>
      <c r="AI13" s="35"/>
      <c r="AJ13" s="37"/>
      <c r="AK13" s="36"/>
      <c r="AL13" s="37"/>
    </row>
    <row r="14" spans="1:41" s="23" customFormat="1" ht="15" x14ac:dyDescent="0.25">
      <c r="A14" s="39">
        <v>44597</v>
      </c>
      <c r="B14" s="40" t="s">
        <v>30</v>
      </c>
      <c r="C14" s="41" t="s">
        <v>187</v>
      </c>
      <c r="D14" s="41" t="s">
        <v>37</v>
      </c>
      <c r="E14" s="40" t="s">
        <v>112</v>
      </c>
      <c r="F14" s="40" t="s">
        <v>59</v>
      </c>
      <c r="G14" s="40" t="s">
        <v>84</v>
      </c>
      <c r="H14" s="40" t="s">
        <v>91</v>
      </c>
      <c r="I14" s="40" t="s">
        <v>98</v>
      </c>
      <c r="J14" s="44" t="s">
        <v>181</v>
      </c>
      <c r="K14" s="44" t="s">
        <v>182</v>
      </c>
      <c r="L14" s="44" t="s">
        <v>183</v>
      </c>
      <c r="M14" s="45" t="s">
        <v>161</v>
      </c>
      <c r="N14" s="45" t="s">
        <v>160</v>
      </c>
      <c r="O14" s="42">
        <v>2</v>
      </c>
      <c r="P14" s="46">
        <v>2400</v>
      </c>
      <c r="Q14" s="46">
        <v>4800</v>
      </c>
      <c r="R14" s="41" t="s">
        <v>219</v>
      </c>
      <c r="S14" s="41" t="s">
        <v>144</v>
      </c>
      <c r="T14" s="43" t="s">
        <v>188</v>
      </c>
      <c r="U14" s="47">
        <f>SUMIFS(O$2:$O$23,K$2:K$23,Tableau4[[#This Row],[Référence]],B$2:B$23,"INVENTAIRE")+SUMIFS(O$2:O$23,K$2:K$23,Tableau4[[#This Row],[Référence]],B$2:B$23,"ENTREE")-SUMIFS(O$2:O$23,K$2:K$23,Tableau4[[#This Row],[Référence]],B$2:B$23,"SORTIE")</f>
        <v>4</v>
      </c>
      <c r="V14" s="41" t="str">
        <f>TEXT(Tableau4[[#This Row],[Date BL/BS]],"MMMM")</f>
        <v>février</v>
      </c>
      <c r="AE14" s="35"/>
      <c r="AF14" s="37"/>
    </row>
    <row r="15" spans="1:41" s="23" customFormat="1" ht="15" x14ac:dyDescent="0.25">
      <c r="A15" s="39">
        <v>44565</v>
      </c>
      <c r="B15" s="40" t="s">
        <v>30</v>
      </c>
      <c r="C15" s="41" t="s">
        <v>184</v>
      </c>
      <c r="D15" s="41" t="s">
        <v>37</v>
      </c>
      <c r="E15" s="40" t="s">
        <v>109</v>
      </c>
      <c r="F15" s="40" t="s">
        <v>56</v>
      </c>
      <c r="G15" s="40" t="s">
        <v>83</v>
      </c>
      <c r="H15" s="40" t="s">
        <v>90</v>
      </c>
      <c r="I15" s="40" t="s">
        <v>98</v>
      </c>
      <c r="J15" s="44" t="s">
        <v>181</v>
      </c>
      <c r="K15" s="44" t="s">
        <v>182</v>
      </c>
      <c r="L15" s="44" t="s">
        <v>183</v>
      </c>
      <c r="M15" s="45" t="s">
        <v>161</v>
      </c>
      <c r="N15" s="45" t="s">
        <v>160</v>
      </c>
      <c r="O15" s="42">
        <v>2</v>
      </c>
      <c r="P15" s="46">
        <v>2400</v>
      </c>
      <c r="Q15" s="46">
        <v>4800</v>
      </c>
      <c r="R15" s="41" t="s">
        <v>219</v>
      </c>
      <c r="S15" s="41" t="s">
        <v>143</v>
      </c>
      <c r="T15" s="43" t="s">
        <v>186</v>
      </c>
      <c r="U15" s="47">
        <f>SUMIFS(O$2:$O$23,K$2:K$23,Tableau4[[#This Row],[Référence]],B$2:B$23,"INVENTAIRE")+SUMIFS(O$2:O$23,K$2:K$23,Tableau4[[#This Row],[Référence]],B$2:B$23,"ENTREE")-SUMIFS(O$2:O$23,K$2:K$23,Tableau4[[#This Row],[Référence]],B$2:B$23,"SORTIE")</f>
        <v>4</v>
      </c>
      <c r="V15" s="41" t="str">
        <f>TEXT(Tableau4[[#This Row],[Date BL/BS]],"MMMM")</f>
        <v>janvier</v>
      </c>
      <c r="AE15" s="35"/>
      <c r="AF15" s="37"/>
    </row>
    <row r="16" spans="1:41" s="23" customFormat="1" ht="15" x14ac:dyDescent="0.25">
      <c r="A16" s="39">
        <v>44869</v>
      </c>
      <c r="B16" s="40" t="s">
        <v>30</v>
      </c>
      <c r="C16" s="41" t="s">
        <v>184</v>
      </c>
      <c r="D16" s="41" t="s">
        <v>37</v>
      </c>
      <c r="E16" s="40" t="s">
        <v>104</v>
      </c>
      <c r="F16" s="40" t="s">
        <v>51</v>
      </c>
      <c r="G16" s="40" t="s">
        <v>87</v>
      </c>
      <c r="H16" s="40" t="s">
        <v>88</v>
      </c>
      <c r="I16" s="40" t="s">
        <v>101</v>
      </c>
      <c r="J16" s="44" t="s">
        <v>181</v>
      </c>
      <c r="K16" s="44" t="s">
        <v>182</v>
      </c>
      <c r="L16" s="44" t="s">
        <v>183</v>
      </c>
      <c r="M16" s="45" t="s">
        <v>161</v>
      </c>
      <c r="N16" s="45" t="s">
        <v>160</v>
      </c>
      <c r="O16" s="42">
        <v>2</v>
      </c>
      <c r="P16" s="46">
        <v>2400</v>
      </c>
      <c r="Q16" s="46">
        <v>4800</v>
      </c>
      <c r="R16" s="41" t="s">
        <v>223</v>
      </c>
      <c r="S16" s="41" t="s">
        <v>143</v>
      </c>
      <c r="T16" s="43" t="s">
        <v>185</v>
      </c>
      <c r="U16" s="47">
        <f>SUMIFS(O$2:$O$23,K$2:K$23,Tableau4[[#This Row],[Référence]],B$2:B$23,"INVENTAIRE")+SUMIFS(O$2:O$23,K$2:K$23,Tableau4[[#This Row],[Référence]],B$2:B$23,"ENTREE")-SUMIFS(O$2:O$23,K$2:K$23,Tableau4[[#This Row],[Référence]],B$2:B$23,"SORTIE")</f>
        <v>4</v>
      </c>
      <c r="V16" s="41" t="str">
        <f>TEXT(Tableau4[[#This Row],[Date BL/BS]],"MMMM")</f>
        <v>novembre</v>
      </c>
    </row>
    <row r="17" spans="1:22" s="23" customFormat="1" ht="15" x14ac:dyDescent="0.25">
      <c r="A17" s="39">
        <v>44565</v>
      </c>
      <c r="B17" s="40" t="s">
        <v>29</v>
      </c>
      <c r="C17" s="41" t="s">
        <v>180</v>
      </c>
      <c r="D17" s="41" t="s">
        <v>37</v>
      </c>
      <c r="E17" s="40" t="s">
        <v>179</v>
      </c>
      <c r="F17" s="40" t="s">
        <v>179</v>
      </c>
      <c r="G17" s="40" t="s">
        <v>179</v>
      </c>
      <c r="H17" s="40" t="s">
        <v>179</v>
      </c>
      <c r="I17" s="40" t="s">
        <v>179</v>
      </c>
      <c r="J17" s="44" t="s">
        <v>181</v>
      </c>
      <c r="K17" s="44" t="s">
        <v>182</v>
      </c>
      <c r="L17" s="44" t="s">
        <v>183</v>
      </c>
      <c r="M17" s="45" t="s">
        <v>161</v>
      </c>
      <c r="N17" s="45" t="s">
        <v>160</v>
      </c>
      <c r="O17" s="42">
        <v>10</v>
      </c>
      <c r="P17" s="46">
        <v>2400</v>
      </c>
      <c r="Q17" s="46">
        <v>24000</v>
      </c>
      <c r="R17" s="41"/>
      <c r="S17" s="41" t="s">
        <v>143</v>
      </c>
      <c r="T17" s="43"/>
      <c r="U17" s="47">
        <f>SUMIFS(O$2:$O$23,K$2:K$23,Tableau4[[#This Row],[Référence]],B$2:B$23,"INVENTAIRE")+SUMIFS(O$2:O$23,K$2:K$23,Tableau4[[#This Row],[Référence]],B$2:B$23,"ENTREE")-SUMIFS(O$2:O$23,K$2:K$23,Tableau4[[#This Row],[Référence]],B$2:B$23,"SORTIE")</f>
        <v>4</v>
      </c>
      <c r="V17" s="41" t="str">
        <f>TEXT(Tableau4[[#This Row],[Date BL/BS]],"MMMM")</f>
        <v>janvier</v>
      </c>
    </row>
    <row r="18" spans="1:22" s="23" customFormat="1" ht="15" x14ac:dyDescent="0.25">
      <c r="A18" s="39">
        <v>44565</v>
      </c>
      <c r="B18" s="40" t="s">
        <v>30</v>
      </c>
      <c r="C18" s="41" t="s">
        <v>175</v>
      </c>
      <c r="D18" s="41" t="s">
        <v>35</v>
      </c>
      <c r="E18" s="40" t="s">
        <v>102</v>
      </c>
      <c r="F18" s="40" t="s">
        <v>49</v>
      </c>
      <c r="G18" s="40" t="s">
        <v>211</v>
      </c>
      <c r="H18" s="40" t="s">
        <v>88</v>
      </c>
      <c r="I18" s="40" t="s">
        <v>97</v>
      </c>
      <c r="J18" s="44" t="s">
        <v>176</v>
      </c>
      <c r="K18" s="44" t="s">
        <v>177</v>
      </c>
      <c r="L18" s="44" t="s">
        <v>178</v>
      </c>
      <c r="M18" s="45" t="s">
        <v>137</v>
      </c>
      <c r="N18" s="45" t="s">
        <v>155</v>
      </c>
      <c r="O18" s="42">
        <v>2</v>
      </c>
      <c r="P18" s="46">
        <v>2400</v>
      </c>
      <c r="Q18" s="46">
        <v>4800</v>
      </c>
      <c r="R18" s="41" t="s">
        <v>216</v>
      </c>
      <c r="S18" s="41" t="s">
        <v>143</v>
      </c>
      <c r="T18" s="43"/>
      <c r="U18" s="47">
        <f>SUMIFS(O$2:$O$23,K$2:K$23,Tableau4[[#This Row],[Référence]],B$2:B$23,"INVENTAIRE")+SUMIFS(O$2:O$23,K$2:K$23,Tableau4[[#This Row],[Référence]],B$2:B$23,"ENTREE")-SUMIFS(O$2:O$23,K$2:K$23,Tableau4[[#This Row],[Référence]],B$2:B$23,"SORTIE")</f>
        <v>0</v>
      </c>
      <c r="V18" s="41" t="str">
        <f>TEXT(Tableau4[[#This Row],[Date BL/BS]],"MMMM")</f>
        <v>janvier</v>
      </c>
    </row>
    <row r="19" spans="1:22" s="23" customFormat="1" ht="15" x14ac:dyDescent="0.25">
      <c r="A19" s="39">
        <v>44777</v>
      </c>
      <c r="B19" s="40" t="s">
        <v>29</v>
      </c>
      <c r="C19" s="41" t="s">
        <v>175</v>
      </c>
      <c r="D19" s="41" t="s">
        <v>35</v>
      </c>
      <c r="E19" s="40" t="s">
        <v>179</v>
      </c>
      <c r="F19" s="40" t="s">
        <v>179</v>
      </c>
      <c r="G19" s="40" t="s">
        <v>179</v>
      </c>
      <c r="H19" s="40" t="s">
        <v>179</v>
      </c>
      <c r="I19" s="40" t="s">
        <v>179</v>
      </c>
      <c r="J19" s="44" t="s">
        <v>176</v>
      </c>
      <c r="K19" s="44" t="s">
        <v>177</v>
      </c>
      <c r="L19" s="44" t="s">
        <v>178</v>
      </c>
      <c r="M19" s="45" t="s">
        <v>137</v>
      </c>
      <c r="N19" s="45" t="s">
        <v>155</v>
      </c>
      <c r="O19" s="42">
        <v>2</v>
      </c>
      <c r="P19" s="46">
        <v>2400</v>
      </c>
      <c r="Q19" s="46">
        <v>4800</v>
      </c>
      <c r="R19" s="41" t="s">
        <v>216</v>
      </c>
      <c r="S19" s="41" t="s">
        <v>143</v>
      </c>
      <c r="T19" s="43"/>
      <c r="U19" s="47">
        <f>SUMIFS(O$2:$O$23,K$2:K$23,Tableau4[[#This Row],[Référence]],B$2:B$23,"INVENTAIRE")+SUMIFS(O$2:O$23,K$2:K$23,Tableau4[[#This Row],[Référence]],B$2:B$23,"ENTREE")-SUMIFS(O$2:O$23,K$2:K$23,Tableau4[[#This Row],[Référence]],B$2:B$23,"SORTIE")</f>
        <v>0</v>
      </c>
      <c r="V19" s="41" t="str">
        <f>TEXT(Tableau4[[#This Row],[Date BL/BS]],"MMMM")</f>
        <v>août</v>
      </c>
    </row>
    <row r="20" spans="1:22" s="23" customFormat="1" ht="15" x14ac:dyDescent="0.25">
      <c r="A20" s="39">
        <v>44565</v>
      </c>
      <c r="B20" s="40" t="s">
        <v>29</v>
      </c>
      <c r="C20" s="41" t="s">
        <v>172</v>
      </c>
      <c r="D20" s="41" t="s">
        <v>33</v>
      </c>
      <c r="E20" s="40" t="s">
        <v>179</v>
      </c>
      <c r="F20" s="40" t="s">
        <v>179</v>
      </c>
      <c r="G20" s="40" t="s">
        <v>179</v>
      </c>
      <c r="H20" s="40" t="s">
        <v>179</v>
      </c>
      <c r="I20" s="40" t="s">
        <v>179</v>
      </c>
      <c r="J20" s="44" t="s">
        <v>173</v>
      </c>
      <c r="K20" s="44" t="s">
        <v>152</v>
      </c>
      <c r="L20" s="44" t="s">
        <v>171</v>
      </c>
      <c r="M20" s="45" t="s">
        <v>136</v>
      </c>
      <c r="N20" s="45" t="s">
        <v>138</v>
      </c>
      <c r="O20" s="42">
        <v>120</v>
      </c>
      <c r="P20" s="46">
        <v>18.3</v>
      </c>
      <c r="Q20" s="46">
        <v>2196</v>
      </c>
      <c r="R20" s="41" t="s">
        <v>215</v>
      </c>
      <c r="S20" s="41" t="s">
        <v>143</v>
      </c>
      <c r="T20" s="43" t="s">
        <v>174</v>
      </c>
      <c r="U20" s="47">
        <f>SUMIFS(O$2:$O$23,K$2:K$23,Tableau4[[#This Row],[Référence]],B$2:B$23,"INVENTAIRE")+SUMIFS(O$2:O$23,K$2:K$23,Tableau4[[#This Row],[Référence]],B$2:B$23,"ENTREE")-SUMIFS(O$2:O$23,K$2:K$23,Tableau4[[#This Row],[Référence]],B$2:B$23,"SORTIE")</f>
        <v>1476</v>
      </c>
      <c r="V20" s="41" t="str">
        <f>TEXT(Tableau4[[#This Row],[Date BL/BS]],"MMMM")</f>
        <v>janvier</v>
      </c>
    </row>
    <row r="21" spans="1:22" s="23" customFormat="1" ht="15" x14ac:dyDescent="0.25">
      <c r="A21" s="39">
        <v>44838</v>
      </c>
      <c r="B21" s="40" t="s">
        <v>28</v>
      </c>
      <c r="C21" s="41" t="s">
        <v>172</v>
      </c>
      <c r="D21" s="41" t="s">
        <v>33</v>
      </c>
      <c r="E21" s="40" t="s">
        <v>179</v>
      </c>
      <c r="F21" s="40" t="s">
        <v>179</v>
      </c>
      <c r="G21" s="40" t="s">
        <v>179</v>
      </c>
      <c r="H21" s="40" t="s">
        <v>179</v>
      </c>
      <c r="I21" s="40" t="s">
        <v>179</v>
      </c>
      <c r="J21" s="44" t="s">
        <v>173</v>
      </c>
      <c r="K21" s="44" t="s">
        <v>152</v>
      </c>
      <c r="L21" s="44" t="s">
        <v>171</v>
      </c>
      <c r="M21" s="45" t="s">
        <v>136</v>
      </c>
      <c r="N21" s="45" t="s">
        <v>138</v>
      </c>
      <c r="O21" s="42">
        <v>120</v>
      </c>
      <c r="P21" s="46">
        <v>18.3</v>
      </c>
      <c r="Q21" s="46">
        <v>2196</v>
      </c>
      <c r="R21" s="41"/>
      <c r="S21" s="41" t="s">
        <v>145</v>
      </c>
      <c r="T21" s="43"/>
      <c r="U21" s="47">
        <f>SUMIFS(O$2:$O$23,K$2:K$23,Tableau4[[#This Row],[Référence]],B$2:B$23,"INVENTAIRE")+SUMIFS(O$2:O$23,K$2:K$23,Tableau4[[#This Row],[Référence]],B$2:B$23,"ENTREE")-SUMIFS(O$2:O$23,K$2:K$23,Tableau4[[#This Row],[Référence]],B$2:B$23,"SORTIE")</f>
        <v>1476</v>
      </c>
      <c r="V21" s="41" t="str">
        <f>TEXT(Tableau4[[#This Row],[Date BL/BS]],"MMMM")</f>
        <v>octobre</v>
      </c>
    </row>
    <row r="22" spans="1:22" s="23" customFormat="1" ht="15" x14ac:dyDescent="0.25">
      <c r="A22" s="39">
        <v>44563</v>
      </c>
      <c r="B22" s="40" t="s">
        <v>30</v>
      </c>
      <c r="C22" s="41">
        <v>52368</v>
      </c>
      <c r="D22" s="41" t="s">
        <v>34</v>
      </c>
      <c r="E22" s="40" t="s">
        <v>104</v>
      </c>
      <c r="F22" s="40" t="s">
        <v>51</v>
      </c>
      <c r="G22" s="40" t="s">
        <v>84</v>
      </c>
      <c r="H22" s="40" t="s">
        <v>88</v>
      </c>
      <c r="I22" s="40" t="s">
        <v>98</v>
      </c>
      <c r="J22" s="44" t="s">
        <v>151</v>
      </c>
      <c r="K22" s="44" t="s">
        <v>152</v>
      </c>
      <c r="L22" s="44" t="s">
        <v>171</v>
      </c>
      <c r="M22" s="45" t="s">
        <v>136</v>
      </c>
      <c r="N22" s="45" t="s">
        <v>138</v>
      </c>
      <c r="O22" s="42">
        <v>30</v>
      </c>
      <c r="P22" s="46">
        <v>18.3</v>
      </c>
      <c r="Q22" s="46">
        <v>549</v>
      </c>
      <c r="R22" s="41" t="s">
        <v>216</v>
      </c>
      <c r="S22" s="41" t="s">
        <v>144</v>
      </c>
      <c r="T22" s="43" t="s">
        <v>154</v>
      </c>
      <c r="U22" s="47">
        <f>SUMIFS(O$2:$O$23,K$2:K$23,Tableau4[[#This Row],[Référence]],B$2:B$23,"INVENTAIRE")+SUMIFS(O$2:O$23,K$2:K$23,Tableau4[[#This Row],[Référence]],B$2:B$23,"ENTREE")-SUMIFS(O$2:O$23,K$2:K$23,Tableau4[[#This Row],[Référence]],B$2:B$23,"SORTIE")</f>
        <v>1476</v>
      </c>
      <c r="V22" s="41" t="str">
        <f>TEXT(Tableau4[[#This Row],[Date BL/BS]],"MMMM")</f>
        <v>janvier</v>
      </c>
    </row>
    <row r="23" spans="1:22" s="23" customFormat="1" ht="15" x14ac:dyDescent="0.25">
      <c r="A23" s="39">
        <v>44897</v>
      </c>
      <c r="B23" s="40" t="s">
        <v>29</v>
      </c>
      <c r="C23" s="41" t="s">
        <v>147</v>
      </c>
      <c r="D23" s="41" t="s">
        <v>33</v>
      </c>
      <c r="E23" s="40" t="s">
        <v>179</v>
      </c>
      <c r="F23" s="40" t="s">
        <v>179</v>
      </c>
      <c r="G23" s="40" t="s">
        <v>179</v>
      </c>
      <c r="H23" s="40" t="s">
        <v>179</v>
      </c>
      <c r="I23" s="40" t="s">
        <v>179</v>
      </c>
      <c r="J23" s="44">
        <v>45782</v>
      </c>
      <c r="K23" s="44" t="s">
        <v>148</v>
      </c>
      <c r="L23" s="44" t="s">
        <v>149</v>
      </c>
      <c r="M23" s="45" t="s">
        <v>137</v>
      </c>
      <c r="N23" s="45" t="s">
        <v>138</v>
      </c>
      <c r="O23" s="42">
        <v>1</v>
      </c>
      <c r="P23" s="46">
        <v>230</v>
      </c>
      <c r="Q23" s="46">
        <v>230</v>
      </c>
      <c r="R23" s="41" t="s">
        <v>214</v>
      </c>
      <c r="S23" s="41" t="s">
        <v>143</v>
      </c>
      <c r="T23" s="43" t="s">
        <v>150</v>
      </c>
      <c r="U23" s="66">
        <f>SUMIFS(O$2:$O$23,K$2:K$23,Tableau4[[#This Row],[Référence]],B$2:B$23,"INVENTAIRE")+SUMIFS(O$2:O$23,K$2:K$23,Tableau4[[#This Row],[Référence]],B$2:B$23,"ENTREE")-SUMIFS(O$2:O$23,K$2:K$23,Tableau4[[#This Row],[Référence]],B$2:B$23,"SORTIE")</f>
        <v>1</v>
      </c>
      <c r="V23" s="41" t="str">
        <f>TEXT(Tableau4[[#This Row],[Date BL/BS]],"MMMM")</f>
        <v>décembre</v>
      </c>
    </row>
  </sheetData>
  <phoneticPr fontId="5" type="noConversion"/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757745-A0F1-46ED-BFD1-027E62F43EC3}">
  <sheetPr codeName="Feuil4"/>
  <dimension ref="A1:BU36"/>
  <sheetViews>
    <sheetView workbookViewId="0"/>
  </sheetViews>
  <sheetFormatPr baseColWidth="10" defaultRowHeight="12.75" x14ac:dyDescent="0.25"/>
  <cols>
    <col min="1" max="1" width="14.7109375" style="53" bestFit="1" customWidth="1"/>
    <col min="2" max="2" width="1.7109375" style="53" customWidth="1"/>
    <col min="3" max="3" width="16.85546875" style="53" bestFit="1" customWidth="1"/>
    <col min="4" max="4" width="2.140625" style="53" customWidth="1"/>
    <col min="5" max="5" width="10.140625" style="53" bestFit="1" customWidth="1"/>
    <col min="6" max="9" width="11.42578125" style="53"/>
    <col min="10" max="10" width="1.5703125" style="53" customWidth="1"/>
    <col min="11" max="11" width="14.42578125" style="53" bestFit="1" customWidth="1"/>
    <col min="12" max="12" width="1.42578125" style="53" customWidth="1"/>
    <col min="13" max="13" width="13.85546875" style="53" customWidth="1"/>
    <col min="14" max="14" width="2.28515625" style="53" customWidth="1"/>
    <col min="15" max="15" width="12" style="55" bestFit="1" customWidth="1"/>
    <col min="16" max="16" width="1.7109375" style="55" customWidth="1"/>
    <col min="17" max="17" width="18.5703125" style="55" bestFit="1" customWidth="1"/>
    <col min="18" max="20" width="11.42578125" style="53"/>
    <col min="21" max="21" width="9.5703125" style="53" bestFit="1" customWidth="1"/>
    <col min="22" max="22" width="7.85546875" style="53" bestFit="1" customWidth="1"/>
    <col min="23" max="23" width="8.85546875" style="53" bestFit="1" customWidth="1"/>
    <col min="24" max="24" width="6.7109375" style="53" bestFit="1" customWidth="1"/>
    <col min="25" max="25" width="12.5703125" style="53" bestFit="1" customWidth="1"/>
    <col min="26" max="26" width="12.5703125" style="53" customWidth="1"/>
    <col min="27" max="27" width="16.28515625" style="53" bestFit="1" customWidth="1"/>
    <col min="28" max="28" width="18.5703125" style="53" bestFit="1" customWidth="1"/>
    <col min="29" max="29" width="8.85546875" style="53" bestFit="1" customWidth="1"/>
    <col min="30" max="30" width="7" style="53" bestFit="1" customWidth="1"/>
    <col min="31" max="32" width="11.42578125" style="53"/>
    <col min="33" max="33" width="16.28515625" style="53" bestFit="1" customWidth="1"/>
    <col min="34" max="34" width="18.5703125" style="53" bestFit="1" customWidth="1"/>
    <col min="35" max="35" width="8.85546875" style="53" bestFit="1" customWidth="1"/>
    <col min="36" max="36" width="7" style="53" bestFit="1" customWidth="1"/>
    <col min="37" max="38" width="11.42578125" style="53"/>
    <col min="39" max="39" width="16.28515625" style="53" bestFit="1" customWidth="1"/>
    <col min="40" max="40" width="18.5703125" style="53" bestFit="1" customWidth="1"/>
    <col min="41" max="41" width="8.85546875" style="53" bestFit="1" customWidth="1"/>
    <col min="42" max="42" width="7" style="53" bestFit="1" customWidth="1"/>
    <col min="43" max="44" width="11.42578125" style="53"/>
    <col min="45" max="45" width="16.28515625" style="53" bestFit="1" customWidth="1"/>
    <col min="46" max="46" width="18.5703125" style="53" bestFit="1" customWidth="1"/>
    <col min="47" max="47" width="8.85546875" style="53" bestFit="1" customWidth="1"/>
    <col min="48" max="48" width="7" style="53" bestFit="1" customWidth="1"/>
    <col min="49" max="50" width="11.42578125" style="53"/>
    <col min="51" max="51" width="16.28515625" style="53" bestFit="1" customWidth="1"/>
    <col min="52" max="52" width="18.5703125" style="53" bestFit="1" customWidth="1"/>
    <col min="53" max="53" width="8.85546875" style="53" bestFit="1" customWidth="1"/>
    <col min="54" max="54" width="7" style="53" bestFit="1" customWidth="1"/>
    <col min="55" max="56" width="11.42578125" style="53"/>
    <col min="57" max="57" width="16.28515625" style="53" bestFit="1" customWidth="1"/>
    <col min="58" max="58" width="18.5703125" style="53" bestFit="1" customWidth="1"/>
    <col min="59" max="59" width="8.85546875" style="53" bestFit="1" customWidth="1"/>
    <col min="60" max="60" width="7" style="53" bestFit="1" customWidth="1"/>
    <col min="61" max="62" width="11.42578125" style="53"/>
    <col min="63" max="63" width="16.28515625" style="53" bestFit="1" customWidth="1"/>
    <col min="64" max="64" width="18.5703125" style="53" bestFit="1" customWidth="1"/>
    <col min="65" max="65" width="8.85546875" style="53" bestFit="1" customWidth="1"/>
    <col min="66" max="66" width="7" style="53" bestFit="1" customWidth="1"/>
    <col min="67" max="68" width="11.42578125" style="53"/>
    <col min="69" max="69" width="8.42578125" style="53" bestFit="1" customWidth="1"/>
    <col min="70" max="70" width="18.5703125" style="53" bestFit="1" customWidth="1"/>
    <col min="71" max="71" width="8.85546875" style="53" bestFit="1" customWidth="1"/>
    <col min="72" max="72" width="7" style="53" bestFit="1" customWidth="1"/>
    <col min="73" max="73" width="9.5703125" style="53" bestFit="1" customWidth="1"/>
    <col min="74" max="16384" width="11.42578125" style="53"/>
  </cols>
  <sheetData>
    <row r="1" spans="1:73" x14ac:dyDescent="0.25">
      <c r="A1" s="53" t="s">
        <v>27</v>
      </c>
      <c r="C1" s="53" t="s">
        <v>31</v>
      </c>
      <c r="E1" s="54" t="s">
        <v>3</v>
      </c>
      <c r="F1" s="54" t="s">
        <v>15</v>
      </c>
      <c r="G1" s="54" t="s">
        <v>16</v>
      </c>
      <c r="H1" s="54" t="s">
        <v>17</v>
      </c>
      <c r="I1" s="54" t="s">
        <v>18</v>
      </c>
      <c r="K1" s="53" t="s">
        <v>141</v>
      </c>
      <c r="M1" s="53" t="s">
        <v>142</v>
      </c>
      <c r="O1" s="55" t="s">
        <v>156</v>
      </c>
      <c r="Q1" s="55" t="s">
        <v>159</v>
      </c>
      <c r="U1" s="56" t="s">
        <v>226</v>
      </c>
      <c r="V1" s="57" t="s">
        <v>239</v>
      </c>
      <c r="W1" s="57"/>
      <c r="Z1" s="63" t="str">
        <f>IFERROR(INDEX($U$9:$U$14,MATCH(AA1,$V$9:$V$14,0)),"---")</f>
        <v>FRNSR6</v>
      </c>
      <c r="AA1" s="64">
        <f>MAX($V$9:$V$14)</f>
        <v>14400</v>
      </c>
      <c r="AB1" s="53" t="s">
        <v>30</v>
      </c>
      <c r="AC1" s="63" t="str">
        <f>IFERROR(INDEX($AA$9:$AA$15,MATCH(AD1,$AB$9:$AB$15,0)),"---")</f>
        <v>MRQ1</v>
      </c>
      <c r="AD1" s="64">
        <f>MAX(AB9:AB15)</f>
        <v>10400</v>
      </c>
      <c r="AG1" s="63" t="str">
        <f>IFERROR(INDEX(AG9:AG12,MATCH(AH1,AH9:AH12,0)),"---")</f>
        <v>PNEUMATIQUE</v>
      </c>
      <c r="AH1" s="64">
        <f>MAX($AH$9:$AH$12)</f>
        <v>14400</v>
      </c>
      <c r="AM1" s="63" t="str">
        <f>IFERROR(INDEX($AM$9:$AM$15,MATCH(AN1,$AN$9:$AN$15,1)),"---")</f>
        <v>PRC 3</v>
      </c>
      <c r="AN1" s="64">
        <f>MAX($AN$9:$AN$15)</f>
        <v>10949</v>
      </c>
      <c r="AS1" s="63" t="str">
        <f>IFERROR(INDEX($AS$9:$AS$11,MATCH(AT1,$AT$9:$AT$11,0)),"---")</f>
        <v>SRV1</v>
      </c>
      <c r="AT1" s="64">
        <f>MAX($AT$9:$AT$11)</f>
        <v>14400</v>
      </c>
      <c r="AU1" s="53" t="str">
        <f>IFERROR(INDEX($AT$9:$AT$11,MATCH(AV1,$AV$9:$AV$11,0)),"---")</f>
        <v>---</v>
      </c>
      <c r="AY1" s="63" t="str">
        <f>IFERROR(INDEX($AY$9:$AY$14,MATCH(AZ1,$AZ$9:$AZ$14,0)),"---")</f>
        <v>CAT2</v>
      </c>
      <c r="AZ1" s="64">
        <f>MAX($AZ$9:$AZ$14)</f>
        <v>10423.5</v>
      </c>
      <c r="BE1" s="63" t="str">
        <f>IFERROR(INDEX($BE$9:$BE$12,MATCH(BF1,$BH$9:$BH$12,0)),"---")</f>
        <v>MOTEUR</v>
      </c>
      <c r="BF1" s="64">
        <f>MAX(BH9:BH12)</f>
        <v>30095.599999999999</v>
      </c>
      <c r="BK1" s="63" t="str">
        <f>IFERROR(INDEX($BK$9:$BK$14,MATCH(BL1,$BL$9:$BL$14,0)),"---")</f>
        <v>AGM7</v>
      </c>
      <c r="BL1" s="64">
        <f>MAX($BL$8:$BL$13)</f>
        <v>10149</v>
      </c>
      <c r="BQ1" s="63" t="str">
        <f>INDEX($BQ$9:$BQ$20,MATCH(BR1,$BR$9:$BR$20,0))</f>
        <v>janvier</v>
      </c>
      <c r="BR1" s="64">
        <f>MAX($BR$9:$BR$20)</f>
        <v>10149</v>
      </c>
    </row>
    <row r="2" spans="1:73" x14ac:dyDescent="0.25">
      <c r="A2" s="53" t="s">
        <v>28</v>
      </c>
      <c r="C2" s="53" t="s">
        <v>32</v>
      </c>
      <c r="E2" s="54" t="s">
        <v>179</v>
      </c>
      <c r="F2" s="58" t="s">
        <v>179</v>
      </c>
      <c r="G2" s="58" t="s">
        <v>179</v>
      </c>
      <c r="H2" s="58" t="s">
        <v>179</v>
      </c>
      <c r="I2" s="58" t="s">
        <v>179</v>
      </c>
      <c r="K2" s="53" t="s">
        <v>213</v>
      </c>
      <c r="M2" s="53" t="s">
        <v>143</v>
      </c>
      <c r="O2" s="55" t="s">
        <v>137</v>
      </c>
      <c r="Q2" s="55" t="s">
        <v>138</v>
      </c>
      <c r="U2" s="59" t="s">
        <v>29</v>
      </c>
      <c r="V2" s="117">
        <v>81295.600000000006</v>
      </c>
      <c r="W2" s="57"/>
    </row>
    <row r="3" spans="1:73" x14ac:dyDescent="0.25">
      <c r="A3" s="53" t="s">
        <v>29</v>
      </c>
      <c r="C3" s="53" t="s">
        <v>33</v>
      </c>
      <c r="E3" s="60" t="s">
        <v>102</v>
      </c>
      <c r="F3" s="53" t="s">
        <v>49</v>
      </c>
      <c r="G3" s="61" t="s">
        <v>83</v>
      </c>
      <c r="H3" s="53" t="s">
        <v>88</v>
      </c>
      <c r="I3" s="53" t="s">
        <v>97</v>
      </c>
      <c r="K3" s="53" t="s">
        <v>214</v>
      </c>
      <c r="M3" s="53" t="s">
        <v>144</v>
      </c>
      <c r="O3" s="55" t="s">
        <v>157</v>
      </c>
      <c r="Q3" s="55" t="s">
        <v>155</v>
      </c>
      <c r="U3" s="59" t="s">
        <v>28</v>
      </c>
      <c r="V3" s="117">
        <v>2196</v>
      </c>
      <c r="W3" s="57"/>
    </row>
    <row r="4" spans="1:73" x14ac:dyDescent="0.25">
      <c r="A4" s="53" t="s">
        <v>30</v>
      </c>
      <c r="C4" s="53" t="s">
        <v>34</v>
      </c>
      <c r="E4" s="60" t="s">
        <v>103</v>
      </c>
      <c r="F4" s="53" t="s">
        <v>50</v>
      </c>
      <c r="G4" s="61" t="s">
        <v>83</v>
      </c>
      <c r="H4" s="53" t="s">
        <v>88</v>
      </c>
      <c r="I4" s="53" t="s">
        <v>97</v>
      </c>
      <c r="K4" s="53" t="s">
        <v>215</v>
      </c>
      <c r="M4" s="53" t="s">
        <v>145</v>
      </c>
      <c r="O4" s="55" t="s">
        <v>136</v>
      </c>
      <c r="Q4" s="55" t="s">
        <v>140</v>
      </c>
      <c r="U4" s="59" t="s">
        <v>30</v>
      </c>
      <c r="V4" s="117">
        <v>26447</v>
      </c>
      <c r="W4" s="57"/>
    </row>
    <row r="5" spans="1:73" x14ac:dyDescent="0.25">
      <c r="C5" s="53" t="s">
        <v>35</v>
      </c>
      <c r="E5" s="60" t="s">
        <v>104</v>
      </c>
      <c r="F5" s="53" t="s">
        <v>51</v>
      </c>
      <c r="G5" s="61" t="s">
        <v>83</v>
      </c>
      <c r="H5" s="53" t="s">
        <v>88</v>
      </c>
      <c r="I5" s="53" t="s">
        <v>97</v>
      </c>
      <c r="K5" s="53" t="s">
        <v>216</v>
      </c>
      <c r="M5" s="53" t="s">
        <v>146</v>
      </c>
      <c r="O5" s="55" t="s">
        <v>161</v>
      </c>
      <c r="Q5" s="55" t="s">
        <v>139</v>
      </c>
      <c r="U5" s="59" t="s">
        <v>192</v>
      </c>
      <c r="V5" s="117">
        <v>109938.6</v>
      </c>
      <c r="W5" s="57"/>
    </row>
    <row r="6" spans="1:73" x14ac:dyDescent="0.25">
      <c r="C6" s="53" t="s">
        <v>36</v>
      </c>
      <c r="E6" s="60" t="s">
        <v>105</v>
      </c>
      <c r="F6" s="53" t="s">
        <v>52</v>
      </c>
      <c r="G6" s="61" t="s">
        <v>83</v>
      </c>
      <c r="H6" s="53" t="s">
        <v>89</v>
      </c>
      <c r="I6" s="53" t="s">
        <v>97</v>
      </c>
      <c r="K6" s="53" t="s">
        <v>217</v>
      </c>
      <c r="Q6" s="55" t="s">
        <v>158</v>
      </c>
      <c r="U6" s="57"/>
      <c r="V6" s="57"/>
      <c r="W6" s="57"/>
    </row>
    <row r="7" spans="1:73" ht="15" x14ac:dyDescent="0.25">
      <c r="C7" s="53" t="s">
        <v>37</v>
      </c>
      <c r="E7" s="60" t="s">
        <v>106</v>
      </c>
      <c r="F7" s="53" t="s">
        <v>53</v>
      </c>
      <c r="G7" s="61" t="s">
        <v>83</v>
      </c>
      <c r="H7" s="53" t="s">
        <v>89</v>
      </c>
      <c r="I7" s="53" t="s">
        <v>97</v>
      </c>
      <c r="K7" s="53" t="s">
        <v>218</v>
      </c>
      <c r="Q7" s="55" t="s">
        <v>160</v>
      </c>
      <c r="U7" s="56" t="s">
        <v>193</v>
      </c>
      <c r="V7" s="56" t="s">
        <v>194</v>
      </c>
      <c r="W7" s="57"/>
      <c r="X7" s="57"/>
      <c r="Y7" s="57"/>
      <c r="AA7" s="56" t="s">
        <v>193</v>
      </c>
      <c r="AB7" s="56" t="s">
        <v>194</v>
      </c>
      <c r="AC7" s="57"/>
      <c r="AD7" s="57"/>
      <c r="AG7" s="56" t="s">
        <v>193</v>
      </c>
      <c r="AH7" s="56" t="s">
        <v>194</v>
      </c>
      <c r="AI7" s="57"/>
      <c r="AJ7" s="57"/>
      <c r="AM7" s="56" t="s">
        <v>193</v>
      </c>
      <c r="AN7" s="56" t="s">
        <v>194</v>
      </c>
      <c r="AO7" s="57"/>
      <c r="AP7" s="57"/>
      <c r="AS7" s="56" t="s">
        <v>193</v>
      </c>
      <c r="AT7" s="56" t="s">
        <v>194</v>
      </c>
      <c r="AU7" s="57"/>
      <c r="AV7" s="57"/>
      <c r="AY7" s="56" t="s">
        <v>193</v>
      </c>
      <c r="AZ7" s="56" t="s">
        <v>194</v>
      </c>
      <c r="BA7" s="57"/>
      <c r="BB7" s="57"/>
      <c r="BE7" s="56" t="s">
        <v>193</v>
      </c>
      <c r="BF7" s="56" t="s">
        <v>194</v>
      </c>
      <c r="BG7" s="57"/>
      <c r="BH7" s="57"/>
      <c r="BK7" s="56" t="s">
        <v>193</v>
      </c>
      <c r="BL7" s="56" t="s">
        <v>194</v>
      </c>
      <c r="BM7" s="57"/>
      <c r="BN7" s="57"/>
      <c r="BQ7" s="56" t="s">
        <v>239</v>
      </c>
      <c r="BR7" s="56" t="s">
        <v>194</v>
      </c>
      <c r="BS7" s="57"/>
      <c r="BT7" s="57"/>
      <c r="BU7"/>
    </row>
    <row r="8" spans="1:73" ht="15" x14ac:dyDescent="0.25">
      <c r="C8" s="53" t="s">
        <v>38</v>
      </c>
      <c r="E8" s="60" t="s">
        <v>107</v>
      </c>
      <c r="F8" s="53" t="s">
        <v>54</v>
      </c>
      <c r="G8" s="61" t="s">
        <v>83</v>
      </c>
      <c r="H8" s="53" t="s">
        <v>89</v>
      </c>
      <c r="I8" s="53" t="s">
        <v>97</v>
      </c>
      <c r="K8" s="53" t="s">
        <v>219</v>
      </c>
      <c r="Q8" s="55" t="s">
        <v>162</v>
      </c>
      <c r="U8" s="56" t="s">
        <v>191</v>
      </c>
      <c r="V8" s="57" t="s">
        <v>30</v>
      </c>
      <c r="W8" s="57" t="s">
        <v>28</v>
      </c>
      <c r="X8" s="57" t="s">
        <v>29</v>
      </c>
      <c r="Y8" s="57"/>
      <c r="AA8" s="56" t="s">
        <v>191</v>
      </c>
      <c r="AB8" s="57" t="s">
        <v>30</v>
      </c>
      <c r="AC8" s="57" t="s">
        <v>28</v>
      </c>
      <c r="AD8" s="57" t="s">
        <v>29</v>
      </c>
      <c r="AG8" s="56" t="s">
        <v>191</v>
      </c>
      <c r="AH8" s="57" t="s">
        <v>30</v>
      </c>
      <c r="AI8" s="57" t="s">
        <v>28</v>
      </c>
      <c r="AJ8" s="57" t="s">
        <v>29</v>
      </c>
      <c r="AM8" s="56" t="s">
        <v>191</v>
      </c>
      <c r="AN8" s="57" t="s">
        <v>30</v>
      </c>
      <c r="AO8" s="57" t="s">
        <v>28</v>
      </c>
      <c r="AP8" s="57" t="s">
        <v>29</v>
      </c>
      <c r="AS8" s="56" t="s">
        <v>191</v>
      </c>
      <c r="AT8" s="57" t="s">
        <v>30</v>
      </c>
      <c r="AU8" s="57" t="s">
        <v>28</v>
      </c>
      <c r="AV8" s="57" t="s">
        <v>29</v>
      </c>
      <c r="AY8" s="56" t="s">
        <v>191</v>
      </c>
      <c r="AZ8" s="57" t="s">
        <v>30</v>
      </c>
      <c r="BA8" s="57" t="s">
        <v>28</v>
      </c>
      <c r="BB8" s="57" t="s">
        <v>29</v>
      </c>
      <c r="BE8" s="56" t="s">
        <v>191</v>
      </c>
      <c r="BF8" s="57" t="s">
        <v>30</v>
      </c>
      <c r="BG8" s="57" t="s">
        <v>28</v>
      </c>
      <c r="BH8" s="57" t="s">
        <v>29</v>
      </c>
      <c r="BK8" s="56" t="s">
        <v>191</v>
      </c>
      <c r="BL8" s="57" t="s">
        <v>30</v>
      </c>
      <c r="BM8" s="57" t="s">
        <v>28</v>
      </c>
      <c r="BN8" s="57" t="s">
        <v>29</v>
      </c>
      <c r="BQ8" s="56" t="s">
        <v>226</v>
      </c>
      <c r="BR8" s="57" t="s">
        <v>30</v>
      </c>
      <c r="BS8" s="57" t="s">
        <v>28</v>
      </c>
      <c r="BT8" s="57" t="s">
        <v>29</v>
      </c>
      <c r="BU8"/>
    </row>
    <row r="9" spans="1:73" ht="15" x14ac:dyDescent="0.25">
      <c r="C9" s="53" t="s">
        <v>39</v>
      </c>
      <c r="E9" s="60" t="s">
        <v>108</v>
      </c>
      <c r="F9" s="53" t="s">
        <v>55</v>
      </c>
      <c r="G9" s="61" t="s">
        <v>83</v>
      </c>
      <c r="H9" s="53" t="s">
        <v>90</v>
      </c>
      <c r="I9" s="53" t="s">
        <v>97</v>
      </c>
      <c r="K9" s="53" t="s">
        <v>220</v>
      </c>
      <c r="M9" s="53" t="str">
        <f>IFERROR(INDEX(M17:M20,MATCH(N9,N17:N20,0)),"---")</f>
        <v>---</v>
      </c>
      <c r="Q9" s="55" t="s">
        <v>163</v>
      </c>
      <c r="U9" s="59" t="s">
        <v>33</v>
      </c>
      <c r="V9" s="117"/>
      <c r="W9" s="117">
        <v>2196</v>
      </c>
      <c r="X9" s="117">
        <v>2426</v>
      </c>
      <c r="Y9" s="57"/>
      <c r="AA9" s="59" t="s">
        <v>179</v>
      </c>
      <c r="AB9" s="117"/>
      <c r="AC9" s="117">
        <v>2196</v>
      </c>
      <c r="AD9" s="117">
        <v>81295.600000000006</v>
      </c>
      <c r="AG9" s="59" t="s">
        <v>137</v>
      </c>
      <c r="AH9" s="65">
        <v>4800</v>
      </c>
      <c r="AI9" s="117"/>
      <c r="AJ9" s="117">
        <v>5030</v>
      </c>
      <c r="AM9" s="59" t="s">
        <v>102</v>
      </c>
      <c r="AN9" s="117">
        <v>4800</v>
      </c>
      <c r="AO9" s="117"/>
      <c r="AP9" s="117"/>
      <c r="AS9" s="59" t="s">
        <v>143</v>
      </c>
      <c r="AT9" s="65">
        <v>14400</v>
      </c>
      <c r="AU9" s="117"/>
      <c r="AV9" s="117">
        <v>31226</v>
      </c>
      <c r="AY9" s="59" t="s">
        <v>97</v>
      </c>
      <c r="AZ9" s="117">
        <v>10400</v>
      </c>
      <c r="BA9" s="117"/>
      <c r="BB9" s="117"/>
      <c r="BE9" s="59" t="s">
        <v>155</v>
      </c>
      <c r="BF9" s="117">
        <v>4800</v>
      </c>
      <c r="BG9" s="117"/>
      <c r="BH9" s="117">
        <v>4800</v>
      </c>
      <c r="BK9" s="59" t="s">
        <v>214</v>
      </c>
      <c r="BL9" s="117">
        <v>549</v>
      </c>
      <c r="BM9" s="117"/>
      <c r="BN9" s="117">
        <v>230</v>
      </c>
      <c r="BQ9" s="59" t="s">
        <v>227</v>
      </c>
      <c r="BR9" s="117">
        <v>10149</v>
      </c>
      <c r="BS9" s="117"/>
      <c r="BT9" s="117">
        <v>26196</v>
      </c>
      <c r="BU9"/>
    </row>
    <row r="10" spans="1:73" ht="15" x14ac:dyDescent="0.25">
      <c r="C10" s="53" t="s">
        <v>40</v>
      </c>
      <c r="E10" s="60" t="s">
        <v>109</v>
      </c>
      <c r="F10" s="53" t="s">
        <v>56</v>
      </c>
      <c r="G10" s="61" t="s">
        <v>83</v>
      </c>
      <c r="H10" s="53" t="s">
        <v>90</v>
      </c>
      <c r="I10" s="53" t="s">
        <v>98</v>
      </c>
      <c r="K10" s="53" t="s">
        <v>221</v>
      </c>
      <c r="Q10" s="55" t="s">
        <v>164</v>
      </c>
      <c r="U10" s="59" t="s">
        <v>34</v>
      </c>
      <c r="V10" s="117">
        <v>549</v>
      </c>
      <c r="W10" s="117"/>
      <c r="X10" s="117"/>
      <c r="Y10" s="57"/>
      <c r="AA10" s="59" t="s">
        <v>85</v>
      </c>
      <c r="AB10" s="117">
        <v>274.5</v>
      </c>
      <c r="AC10" s="117"/>
      <c r="AD10" s="117"/>
      <c r="AG10" s="59" t="s">
        <v>136</v>
      </c>
      <c r="AH10" s="117">
        <v>1647</v>
      </c>
      <c r="AI10" s="117">
        <v>2196</v>
      </c>
      <c r="AJ10" s="117">
        <v>29865.599999999999</v>
      </c>
      <c r="AM10" s="59" t="s">
        <v>112</v>
      </c>
      <c r="AN10" s="117">
        <v>4800</v>
      </c>
      <c r="AO10" s="117"/>
      <c r="AP10" s="117"/>
      <c r="AS10" s="59" t="s">
        <v>144</v>
      </c>
      <c r="AT10" s="117">
        <v>12047</v>
      </c>
      <c r="AU10" s="117"/>
      <c r="AV10" s="117">
        <v>50069.600000000013</v>
      </c>
      <c r="AY10" s="59" t="s">
        <v>98</v>
      </c>
      <c r="AZ10" s="65">
        <v>10423.5</v>
      </c>
      <c r="BA10" s="117"/>
      <c r="BB10" s="117"/>
      <c r="BE10" s="59" t="s">
        <v>138</v>
      </c>
      <c r="BF10" s="117">
        <v>1647</v>
      </c>
      <c r="BG10" s="117">
        <v>2196</v>
      </c>
      <c r="BH10" s="117">
        <v>30095.599999999999</v>
      </c>
      <c r="BK10" s="59" t="s">
        <v>215</v>
      </c>
      <c r="BL10" s="117">
        <v>5600</v>
      </c>
      <c r="BM10" s="117"/>
      <c r="BN10" s="117">
        <v>2196</v>
      </c>
      <c r="BQ10" s="59" t="s">
        <v>228</v>
      </c>
      <c r="BR10" s="117">
        <v>4800</v>
      </c>
      <c r="BS10" s="117"/>
      <c r="BT10" s="117"/>
      <c r="BU10"/>
    </row>
    <row r="11" spans="1:73" ht="15" x14ac:dyDescent="0.25">
      <c r="C11" s="53" t="s">
        <v>41</v>
      </c>
      <c r="E11" s="60" t="s">
        <v>110</v>
      </c>
      <c r="F11" s="53" t="s">
        <v>57</v>
      </c>
      <c r="G11" s="61" t="s">
        <v>83</v>
      </c>
      <c r="H11" s="53" t="s">
        <v>90</v>
      </c>
      <c r="I11" s="53" t="s">
        <v>98</v>
      </c>
      <c r="K11" s="53" t="s">
        <v>222</v>
      </c>
      <c r="Q11" s="55" t="s">
        <v>165</v>
      </c>
      <c r="U11" s="59" t="s">
        <v>35</v>
      </c>
      <c r="V11" s="117">
        <v>4800</v>
      </c>
      <c r="W11" s="117"/>
      <c r="X11" s="117">
        <v>4800</v>
      </c>
      <c r="Y11" s="57"/>
      <c r="AA11" s="59" t="s">
        <v>84</v>
      </c>
      <c r="AB11" s="117">
        <v>5623.5</v>
      </c>
      <c r="AC11" s="117"/>
      <c r="AD11" s="117"/>
      <c r="AG11" s="59" t="s">
        <v>161</v>
      </c>
      <c r="AH11" s="117">
        <v>14400</v>
      </c>
      <c r="AI11" s="117"/>
      <c r="AJ11" s="117">
        <v>24000</v>
      </c>
      <c r="AM11" s="59" t="s">
        <v>114</v>
      </c>
      <c r="AN11" s="117">
        <v>549</v>
      </c>
      <c r="AO11" s="117"/>
      <c r="AP11" s="117"/>
      <c r="AS11" s="59" t="s">
        <v>145</v>
      </c>
      <c r="AT11" s="117"/>
      <c r="AU11" s="117">
        <v>2196</v>
      </c>
      <c r="AV11" s="117"/>
      <c r="AY11" s="59" t="s">
        <v>179</v>
      </c>
      <c r="AZ11" s="117"/>
      <c r="BA11" s="117">
        <v>2196</v>
      </c>
      <c r="BB11" s="117">
        <v>81295.600000000006</v>
      </c>
      <c r="BE11" s="59" t="s">
        <v>160</v>
      </c>
      <c r="BF11" s="65">
        <v>14400</v>
      </c>
      <c r="BG11" s="117"/>
      <c r="BH11" s="117">
        <v>24000</v>
      </c>
      <c r="BK11" s="59" t="s">
        <v>216</v>
      </c>
      <c r="BL11" s="117">
        <v>5349</v>
      </c>
      <c r="BM11" s="117"/>
      <c r="BN11" s="117">
        <v>4800</v>
      </c>
      <c r="BQ11" s="59" t="s">
        <v>229</v>
      </c>
      <c r="BR11" s="117">
        <v>549</v>
      </c>
      <c r="BS11" s="117"/>
      <c r="BT11" s="117"/>
      <c r="BU11"/>
    </row>
    <row r="12" spans="1:73" ht="15" x14ac:dyDescent="0.25">
      <c r="C12" s="53" t="s">
        <v>42</v>
      </c>
      <c r="E12" s="60" t="s">
        <v>111</v>
      </c>
      <c r="F12" s="53" t="s">
        <v>58</v>
      </c>
      <c r="G12" s="61" t="s">
        <v>83</v>
      </c>
      <c r="H12" s="53" t="s">
        <v>90</v>
      </c>
      <c r="I12" s="53" t="s">
        <v>98</v>
      </c>
      <c r="Q12" s="55" t="s">
        <v>166</v>
      </c>
      <c r="U12" s="59" t="s">
        <v>37</v>
      </c>
      <c r="V12" s="117">
        <v>14400</v>
      </c>
      <c r="W12" s="117"/>
      <c r="X12" s="117">
        <v>24000</v>
      </c>
      <c r="Y12" s="57"/>
      <c r="AA12" s="59" t="s">
        <v>87</v>
      </c>
      <c r="AB12" s="117">
        <v>4800</v>
      </c>
      <c r="AC12" s="117"/>
      <c r="AD12" s="117"/>
      <c r="AG12" s="59" t="s">
        <v>157</v>
      </c>
      <c r="AH12" s="117">
        <v>5600</v>
      </c>
      <c r="AI12" s="117"/>
      <c r="AJ12" s="117">
        <v>22400</v>
      </c>
      <c r="AM12" s="59" t="s">
        <v>104</v>
      </c>
      <c r="AN12" s="65">
        <v>10949</v>
      </c>
      <c r="AO12" s="117"/>
      <c r="AP12" s="117"/>
      <c r="AS12"/>
      <c r="AT12"/>
      <c r="AU12"/>
      <c r="AV12"/>
      <c r="AY12" s="59" t="s">
        <v>99</v>
      </c>
      <c r="AZ12" s="117">
        <v>549</v>
      </c>
      <c r="BA12" s="117"/>
      <c r="BB12" s="117"/>
      <c r="BE12" s="59" t="s">
        <v>166</v>
      </c>
      <c r="BF12" s="117">
        <v>5600</v>
      </c>
      <c r="BG12" s="117"/>
      <c r="BH12" s="117">
        <v>22400</v>
      </c>
      <c r="BK12" s="59" t="s">
        <v>219</v>
      </c>
      <c r="BL12" s="65">
        <v>10149</v>
      </c>
      <c r="BM12" s="117"/>
      <c r="BN12" s="117"/>
      <c r="BQ12" s="59" t="s">
        <v>230</v>
      </c>
      <c r="BR12" s="117">
        <v>549</v>
      </c>
      <c r="BS12" s="117"/>
      <c r="BT12" s="117">
        <v>15811.2</v>
      </c>
      <c r="BU12"/>
    </row>
    <row r="13" spans="1:73" ht="15" x14ac:dyDescent="0.25">
      <c r="C13" s="53" t="s">
        <v>43</v>
      </c>
      <c r="E13" s="60" t="s">
        <v>112</v>
      </c>
      <c r="F13" s="53" t="s">
        <v>59</v>
      </c>
      <c r="G13" s="61" t="s">
        <v>84</v>
      </c>
      <c r="H13" s="53" t="s">
        <v>91</v>
      </c>
      <c r="I13" s="53" t="s">
        <v>98</v>
      </c>
      <c r="Q13" s="55" t="s">
        <v>168</v>
      </c>
      <c r="U13" s="59" t="s">
        <v>38</v>
      </c>
      <c r="V13" s="117">
        <v>1098</v>
      </c>
      <c r="W13" s="117"/>
      <c r="X13" s="65">
        <v>27669.599999999999</v>
      </c>
      <c r="Y13" s="57"/>
      <c r="AA13" s="59" t="s">
        <v>211</v>
      </c>
      <c r="AB13" s="117">
        <v>4800</v>
      </c>
      <c r="AC13" s="117"/>
      <c r="AD13" s="117"/>
      <c r="AM13" s="59" t="s">
        <v>109</v>
      </c>
      <c r="AN13" s="117">
        <v>4800</v>
      </c>
      <c r="AO13" s="117"/>
      <c r="AP13" s="117"/>
      <c r="AS13"/>
      <c r="AT13"/>
      <c r="AU13"/>
      <c r="AV13"/>
      <c r="AY13" s="59" t="s">
        <v>100</v>
      </c>
      <c r="AZ13" s="117">
        <v>274.5</v>
      </c>
      <c r="BA13" s="117"/>
      <c r="BB13" s="117"/>
      <c r="BK13" s="59" t="s">
        <v>223</v>
      </c>
      <c r="BL13" s="117">
        <v>4800</v>
      </c>
      <c r="BM13" s="117"/>
      <c r="BN13" s="117"/>
      <c r="BQ13" s="59" t="s">
        <v>231</v>
      </c>
      <c r="BR13" s="117">
        <v>5600</v>
      </c>
      <c r="BS13" s="117"/>
      <c r="BT13" s="117">
        <v>22400</v>
      </c>
      <c r="BU13"/>
    </row>
    <row r="14" spans="1:73" ht="15" x14ac:dyDescent="0.25">
      <c r="C14" s="53" t="s">
        <v>44</v>
      </c>
      <c r="E14" s="60" t="s">
        <v>113</v>
      </c>
      <c r="F14" s="53" t="s">
        <v>60</v>
      </c>
      <c r="G14" s="61" t="s">
        <v>84</v>
      </c>
      <c r="H14" s="53" t="s">
        <v>91</v>
      </c>
      <c r="I14" s="53" t="s">
        <v>98</v>
      </c>
      <c r="Q14" s="55" t="s">
        <v>167</v>
      </c>
      <c r="U14" s="59" t="s">
        <v>41</v>
      </c>
      <c r="V14" s="117">
        <v>5600</v>
      </c>
      <c r="W14" s="117"/>
      <c r="X14" s="117">
        <v>22400</v>
      </c>
      <c r="Y14" s="57"/>
      <c r="AA14" s="59" t="s">
        <v>83</v>
      </c>
      <c r="AB14" s="65">
        <v>10400</v>
      </c>
      <c r="AC14" s="117"/>
      <c r="AD14" s="117"/>
      <c r="AM14" s="59" t="s">
        <v>179</v>
      </c>
      <c r="AN14" s="117"/>
      <c r="AO14" s="117">
        <v>2196</v>
      </c>
      <c r="AP14" s="117">
        <v>81295.600000000006</v>
      </c>
      <c r="AS14"/>
      <c r="AT14"/>
      <c r="AU14"/>
      <c r="AV14"/>
      <c r="AY14" s="59" t="s">
        <v>101</v>
      </c>
      <c r="AZ14" s="117">
        <v>4800</v>
      </c>
      <c r="BA14" s="117"/>
      <c r="BB14" s="117"/>
      <c r="BK14" s="59" t="s">
        <v>205</v>
      </c>
      <c r="BL14" s="117"/>
      <c r="BM14" s="117">
        <v>2196</v>
      </c>
      <c r="BN14" s="117">
        <v>74069.600000000006</v>
      </c>
      <c r="BQ14" s="59" t="s">
        <v>232</v>
      </c>
      <c r="BR14" s="117"/>
      <c r="BS14" s="117"/>
      <c r="BT14" s="117">
        <v>3952.8</v>
      </c>
      <c r="BU14"/>
    </row>
    <row r="15" spans="1:73" ht="15" x14ac:dyDescent="0.25">
      <c r="C15" s="53" t="s">
        <v>45</v>
      </c>
      <c r="E15" s="60" t="s">
        <v>114</v>
      </c>
      <c r="F15" s="53" t="s">
        <v>61</v>
      </c>
      <c r="G15" s="61" t="s">
        <v>84</v>
      </c>
      <c r="H15" s="53" t="s">
        <v>91</v>
      </c>
      <c r="I15" s="53" t="s">
        <v>98</v>
      </c>
      <c r="U15" s="57"/>
      <c r="V15" s="57"/>
      <c r="W15" s="57"/>
      <c r="AA15" s="59" t="s">
        <v>86</v>
      </c>
      <c r="AB15" s="117">
        <v>549</v>
      </c>
      <c r="AC15" s="117"/>
      <c r="AD15" s="117"/>
      <c r="AM15" s="59" t="s">
        <v>107</v>
      </c>
      <c r="AN15" s="117">
        <v>549</v>
      </c>
      <c r="AO15" s="117"/>
      <c r="AP15" s="117"/>
      <c r="AS15"/>
      <c r="AT15"/>
      <c r="AU15"/>
      <c r="AV15"/>
      <c r="AY15"/>
      <c r="AZ15"/>
      <c r="BA15"/>
      <c r="BB15"/>
      <c r="BQ15" s="59" t="s">
        <v>233</v>
      </c>
      <c r="BR15" s="117"/>
      <c r="BS15" s="117"/>
      <c r="BT15" s="117">
        <v>3952.8</v>
      </c>
      <c r="BU15"/>
    </row>
    <row r="16" spans="1:73" ht="15" x14ac:dyDescent="0.25">
      <c r="C16" s="53" t="s">
        <v>46</v>
      </c>
      <c r="E16" s="60" t="s">
        <v>115</v>
      </c>
      <c r="F16" s="53" t="s">
        <v>62</v>
      </c>
      <c r="G16" s="61" t="s">
        <v>84</v>
      </c>
      <c r="H16" s="53" t="s">
        <v>91</v>
      </c>
      <c r="I16" s="53" t="s">
        <v>98</v>
      </c>
      <c r="AM16"/>
      <c r="AN16"/>
      <c r="AO16"/>
      <c r="AP16"/>
      <c r="AS16"/>
      <c r="AT16"/>
      <c r="AU16"/>
      <c r="AV16"/>
      <c r="BQ16" s="59" t="s">
        <v>234</v>
      </c>
      <c r="BR16" s="117"/>
      <c r="BS16" s="117"/>
      <c r="BT16" s="117">
        <v>4800</v>
      </c>
      <c r="BU16"/>
    </row>
    <row r="17" spans="3:72" ht="15" x14ac:dyDescent="0.25">
      <c r="C17" s="53" t="s">
        <v>47</v>
      </c>
      <c r="E17" s="60" t="s">
        <v>116</v>
      </c>
      <c r="F17" s="53" t="s">
        <v>63</v>
      </c>
      <c r="G17" s="61" t="s">
        <v>84</v>
      </c>
      <c r="H17" s="53" t="s">
        <v>91</v>
      </c>
      <c r="I17" s="53" t="s">
        <v>98</v>
      </c>
      <c r="AS17"/>
      <c r="AT17"/>
      <c r="AU17"/>
      <c r="AV17"/>
      <c r="BQ17" s="59" t="s">
        <v>235</v>
      </c>
      <c r="BR17" s="117"/>
      <c r="BS17" s="117"/>
      <c r="BT17" s="117">
        <v>3952.8</v>
      </c>
    </row>
    <row r="18" spans="3:72" ht="15" x14ac:dyDescent="0.25">
      <c r="C18" s="53" t="s">
        <v>48</v>
      </c>
      <c r="E18" s="60" t="s">
        <v>117</v>
      </c>
      <c r="F18" s="53" t="s">
        <v>64</v>
      </c>
      <c r="G18" s="61" t="s">
        <v>85</v>
      </c>
      <c r="H18" s="53" t="s">
        <v>92</v>
      </c>
      <c r="I18" s="53" t="s">
        <v>99</v>
      </c>
      <c r="AS18"/>
      <c r="AT18"/>
      <c r="AU18"/>
      <c r="AV18"/>
      <c r="BQ18" s="59" t="s">
        <v>236</v>
      </c>
      <c r="BR18" s="117"/>
      <c r="BS18" s="117">
        <v>2196</v>
      </c>
      <c r="BT18" s="117"/>
    </row>
    <row r="19" spans="3:72" x14ac:dyDescent="0.25">
      <c r="E19" s="60" t="s">
        <v>118</v>
      </c>
      <c r="F19" s="53" t="s">
        <v>65</v>
      </c>
      <c r="G19" s="61" t="s">
        <v>85</v>
      </c>
      <c r="H19" s="53" t="s">
        <v>92</v>
      </c>
      <c r="I19" s="53" t="s">
        <v>99</v>
      </c>
      <c r="BQ19" s="59" t="s">
        <v>237</v>
      </c>
      <c r="BR19" s="117">
        <v>4800</v>
      </c>
      <c r="BS19" s="117"/>
      <c r="BT19" s="117"/>
    </row>
    <row r="20" spans="3:72" x14ac:dyDescent="0.25">
      <c r="E20" s="60" t="s">
        <v>119</v>
      </c>
      <c r="F20" s="53" t="s">
        <v>66</v>
      </c>
      <c r="G20" s="61" t="s">
        <v>85</v>
      </c>
      <c r="H20" s="53" t="s">
        <v>92</v>
      </c>
      <c r="I20" s="53" t="s">
        <v>99</v>
      </c>
      <c r="BQ20" s="59" t="s">
        <v>238</v>
      </c>
      <c r="BR20" s="117"/>
      <c r="BS20" s="117"/>
      <c r="BT20" s="117">
        <v>230</v>
      </c>
    </row>
    <row r="21" spans="3:72" ht="15" x14ac:dyDescent="0.25">
      <c r="E21" s="60" t="s">
        <v>120</v>
      </c>
      <c r="F21" s="53" t="s">
        <v>67</v>
      </c>
      <c r="G21" s="61" t="s">
        <v>85</v>
      </c>
      <c r="H21" s="53" t="s">
        <v>92</v>
      </c>
      <c r="I21" s="53" t="s">
        <v>99</v>
      </c>
      <c r="BQ21"/>
      <c r="BR21"/>
    </row>
    <row r="22" spans="3:72" ht="15" x14ac:dyDescent="0.25">
      <c r="E22" s="60" t="s">
        <v>121</v>
      </c>
      <c r="F22" s="53" t="s">
        <v>68</v>
      </c>
      <c r="G22" s="61" t="s">
        <v>85</v>
      </c>
      <c r="H22" s="53" t="s">
        <v>92</v>
      </c>
      <c r="I22" s="53" t="s">
        <v>99</v>
      </c>
      <c r="BQ22"/>
      <c r="BR22"/>
    </row>
    <row r="23" spans="3:72" ht="15" x14ac:dyDescent="0.25">
      <c r="E23" s="60" t="s">
        <v>122</v>
      </c>
      <c r="F23" s="53" t="s">
        <v>69</v>
      </c>
      <c r="G23" s="61" t="s">
        <v>86</v>
      </c>
      <c r="H23" s="53" t="s">
        <v>93</v>
      </c>
      <c r="I23" s="53" t="s">
        <v>99</v>
      </c>
      <c r="BQ23"/>
      <c r="BR23"/>
    </row>
    <row r="24" spans="3:72" ht="15" x14ac:dyDescent="0.25">
      <c r="E24" s="60" t="s">
        <v>123</v>
      </c>
      <c r="F24" s="53" t="s">
        <v>70</v>
      </c>
      <c r="G24" s="61" t="s">
        <v>86</v>
      </c>
      <c r="H24" s="53" t="s">
        <v>93</v>
      </c>
      <c r="I24" s="53" t="s">
        <v>99</v>
      </c>
      <c r="BQ24"/>
      <c r="BR24"/>
    </row>
    <row r="25" spans="3:72" ht="15" x14ac:dyDescent="0.25">
      <c r="E25" s="60" t="s">
        <v>124</v>
      </c>
      <c r="F25" s="53" t="s">
        <v>71</v>
      </c>
      <c r="G25" s="61" t="s">
        <v>86</v>
      </c>
      <c r="H25" s="53" t="s">
        <v>93</v>
      </c>
      <c r="I25" s="53" t="s">
        <v>100</v>
      </c>
      <c r="AA25" s="57"/>
      <c r="AB25" s="57"/>
      <c r="AC25" s="57"/>
      <c r="AD25" s="57"/>
      <c r="AM25"/>
      <c r="AN25"/>
      <c r="AO25"/>
      <c r="AP25"/>
      <c r="BQ25"/>
      <c r="BR25"/>
    </row>
    <row r="26" spans="3:72" ht="15" x14ac:dyDescent="0.25">
      <c r="E26" s="60" t="s">
        <v>125</v>
      </c>
      <c r="F26" s="53" t="s">
        <v>72</v>
      </c>
      <c r="G26" s="61" t="s">
        <v>86</v>
      </c>
      <c r="H26" s="53" t="s">
        <v>93</v>
      </c>
      <c r="I26" s="53" t="s">
        <v>100</v>
      </c>
      <c r="BQ26"/>
      <c r="BR26"/>
    </row>
    <row r="27" spans="3:72" x14ac:dyDescent="0.25">
      <c r="E27" s="60" t="s">
        <v>126</v>
      </c>
      <c r="F27" s="53" t="s">
        <v>73</v>
      </c>
      <c r="G27" s="61" t="s">
        <v>86</v>
      </c>
      <c r="H27" s="53" t="s">
        <v>94</v>
      </c>
      <c r="I27" s="53" t="s">
        <v>100</v>
      </c>
    </row>
    <row r="28" spans="3:72" x14ac:dyDescent="0.25">
      <c r="E28" s="60" t="s">
        <v>127</v>
      </c>
      <c r="F28" s="53" t="s">
        <v>74</v>
      </c>
      <c r="G28" s="61" t="s">
        <v>86</v>
      </c>
      <c r="H28" s="53" t="s">
        <v>94</v>
      </c>
      <c r="I28" s="53" t="s">
        <v>100</v>
      </c>
    </row>
    <row r="29" spans="3:72" x14ac:dyDescent="0.25">
      <c r="E29" s="60" t="s">
        <v>128</v>
      </c>
      <c r="F29" s="53" t="s">
        <v>75</v>
      </c>
      <c r="G29" s="61" t="s">
        <v>86</v>
      </c>
      <c r="H29" s="53" t="s">
        <v>94</v>
      </c>
      <c r="I29" s="53" t="s">
        <v>100</v>
      </c>
    </row>
    <row r="30" spans="3:72" x14ac:dyDescent="0.25">
      <c r="E30" s="60" t="s">
        <v>129</v>
      </c>
      <c r="F30" s="53" t="s">
        <v>76</v>
      </c>
      <c r="G30" s="61" t="s">
        <v>87</v>
      </c>
      <c r="H30" s="53" t="s">
        <v>95</v>
      </c>
      <c r="I30" s="53" t="s">
        <v>101</v>
      </c>
    </row>
    <row r="31" spans="3:72" x14ac:dyDescent="0.25">
      <c r="E31" s="60" t="s">
        <v>130</v>
      </c>
      <c r="F31" s="53" t="s">
        <v>77</v>
      </c>
      <c r="G31" s="61" t="s">
        <v>87</v>
      </c>
      <c r="H31" s="53" t="s">
        <v>95</v>
      </c>
      <c r="I31" s="53" t="s">
        <v>101</v>
      </c>
    </row>
    <row r="32" spans="3:72" x14ac:dyDescent="0.25">
      <c r="E32" s="60" t="s">
        <v>131</v>
      </c>
      <c r="F32" s="53" t="s">
        <v>78</v>
      </c>
      <c r="G32" s="61" t="s">
        <v>87</v>
      </c>
      <c r="H32" s="53" t="s">
        <v>95</v>
      </c>
      <c r="I32" s="53" t="s">
        <v>101</v>
      </c>
    </row>
    <row r="33" spans="5:9" x14ac:dyDescent="0.25">
      <c r="E33" s="60" t="s">
        <v>132</v>
      </c>
      <c r="F33" s="53" t="s">
        <v>79</v>
      </c>
      <c r="G33" s="61" t="s">
        <v>87</v>
      </c>
      <c r="H33" s="53" t="s">
        <v>95</v>
      </c>
      <c r="I33" s="53" t="s">
        <v>101</v>
      </c>
    </row>
    <row r="34" spans="5:9" x14ac:dyDescent="0.25">
      <c r="E34" s="60" t="s">
        <v>133</v>
      </c>
      <c r="F34" s="53" t="s">
        <v>80</v>
      </c>
      <c r="G34" s="61" t="s">
        <v>87</v>
      </c>
      <c r="H34" s="53" t="s">
        <v>96</v>
      </c>
      <c r="I34" s="53" t="s">
        <v>101</v>
      </c>
    </row>
    <row r="35" spans="5:9" x14ac:dyDescent="0.25">
      <c r="E35" s="60" t="s">
        <v>134</v>
      </c>
      <c r="F35" s="53" t="s">
        <v>81</v>
      </c>
      <c r="G35" s="61" t="s">
        <v>87</v>
      </c>
      <c r="H35" s="53" t="s">
        <v>96</v>
      </c>
      <c r="I35" s="53" t="s">
        <v>101</v>
      </c>
    </row>
    <row r="36" spans="5:9" x14ac:dyDescent="0.25">
      <c r="E36" s="60" t="s">
        <v>135</v>
      </c>
      <c r="F36" s="53" t="s">
        <v>82</v>
      </c>
      <c r="G36" s="61" t="s">
        <v>87</v>
      </c>
      <c r="H36" s="53" t="s">
        <v>96</v>
      </c>
      <c r="I36" s="53" t="s">
        <v>101</v>
      </c>
    </row>
  </sheetData>
  <phoneticPr fontId="5" type="noConversion"/>
  <pageMargins left="0.7" right="0.7" top="0.75" bottom="0.75" header="0.3" footer="0.3"/>
  <pageSetup paperSize="9" orientation="portrait" r:id="rId11"/>
  <drawing r:id="rId12"/>
  <tableParts count="7">
    <tablePart r:id="rId13"/>
    <tablePart r:id="rId14"/>
    <tablePart r:id="rId15"/>
    <tablePart r:id="rId16"/>
    <tablePart r:id="rId17"/>
    <tablePart r:id="rId18"/>
    <tablePart r:id="rId19"/>
  </tableParts>
  <extLst>
    <ext xmlns:x14="http://schemas.microsoft.com/office/spreadsheetml/2009/9/main" uri="{A8765BA9-456A-4dab-B4F3-ACF838C121DE}">
      <x14:slicerList>
        <x14:slicer r:id="rId20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TdB</vt:lpstr>
      <vt:lpstr>SAISIE</vt:lpstr>
      <vt:lpstr>DATA</vt:lpstr>
      <vt:lpstr>INFO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33634</dc:creator>
  <cp:lastModifiedBy>adnane el kababi</cp:lastModifiedBy>
  <dcterms:created xsi:type="dcterms:W3CDTF">2022-01-01T18:45:03Z</dcterms:created>
  <dcterms:modified xsi:type="dcterms:W3CDTF">2022-10-13T18:45:19Z</dcterms:modified>
</cp:coreProperties>
</file>