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80" windowWidth="18900" windowHeight="7340" tabRatio="455"/>
  </bookViews>
  <sheets>
    <sheet name="CALCUL" sheetId="5" r:id="rId1"/>
    <sheet name="Synthese" sheetId="1" r:id="rId2"/>
    <sheet name="liste" sheetId="3" state="hidden" r:id="rId3"/>
  </sheets>
  <definedNames>
    <definedName name="Couleur">Tableau1[Couleur]</definedName>
    <definedName name="Regle">Tableau2[Régle]</definedName>
    <definedName name="type_prix">Tableau3[Type de prix]</definedName>
  </definedNames>
  <calcPr calcId="145621"/>
</workbook>
</file>

<file path=xl/calcChain.xml><?xml version="1.0" encoding="utf-8"?>
<calcChain xmlns="http://schemas.openxmlformats.org/spreadsheetml/2006/main">
  <c r="A2" i="5" l="1"/>
  <c r="A16" i="5"/>
  <c r="I16" i="5" s="1"/>
  <c r="A17" i="5"/>
  <c r="E17" i="5" s="1"/>
  <c r="A18" i="5"/>
  <c r="C18" i="5" s="1"/>
  <c r="B16" i="5"/>
  <c r="B17" i="5"/>
  <c r="B18" i="5"/>
  <c r="K16" i="5"/>
  <c r="K17" i="5"/>
  <c r="K18" i="5"/>
  <c r="A5" i="5"/>
  <c r="E5" i="5" s="1"/>
  <c r="B5" i="5"/>
  <c r="K5" i="5"/>
  <c r="A6" i="5"/>
  <c r="D6" i="5" s="1"/>
  <c r="B6" i="5"/>
  <c r="K6" i="5"/>
  <c r="A7" i="5"/>
  <c r="E7" i="5" s="1"/>
  <c r="B7" i="5"/>
  <c r="K7" i="5"/>
  <c r="A8" i="5"/>
  <c r="D8" i="5" s="1"/>
  <c r="B8" i="5"/>
  <c r="K8" i="5"/>
  <c r="A9" i="5"/>
  <c r="E9" i="5" s="1"/>
  <c r="B9" i="5"/>
  <c r="K9" i="5"/>
  <c r="A10" i="5"/>
  <c r="D10" i="5" s="1"/>
  <c r="B10" i="5"/>
  <c r="K10" i="5"/>
  <c r="A11" i="5"/>
  <c r="E11" i="5" s="1"/>
  <c r="B11" i="5"/>
  <c r="K11" i="5"/>
  <c r="A12" i="5"/>
  <c r="D12" i="5" s="1"/>
  <c r="B12" i="5"/>
  <c r="K12" i="5"/>
  <c r="A13" i="5"/>
  <c r="E13" i="5" s="1"/>
  <c r="B13" i="5"/>
  <c r="K13" i="5"/>
  <c r="A14" i="5"/>
  <c r="D14" i="5" s="1"/>
  <c r="B14" i="5"/>
  <c r="K14" i="5"/>
  <c r="A15" i="5"/>
  <c r="E15" i="5" s="1"/>
  <c r="B15" i="5"/>
  <c r="K15" i="5"/>
  <c r="A4" i="5"/>
  <c r="J4" i="5" s="1"/>
  <c r="B4" i="5"/>
  <c r="K4" i="5"/>
  <c r="J16" i="5" l="1"/>
  <c r="J14" i="5"/>
  <c r="J11" i="5"/>
  <c r="F8" i="5"/>
  <c r="J6" i="5"/>
  <c r="J18" i="5"/>
  <c r="J10" i="5"/>
  <c r="J17" i="5"/>
  <c r="J9" i="5"/>
  <c r="J8" i="5"/>
  <c r="J15" i="5"/>
  <c r="J7" i="5"/>
  <c r="J13" i="5"/>
  <c r="J5" i="5"/>
  <c r="J12" i="5"/>
  <c r="F7" i="5"/>
  <c r="F17" i="5"/>
  <c r="F16" i="5"/>
  <c r="F15" i="5"/>
  <c r="F13" i="5"/>
  <c r="F5" i="5"/>
  <c r="F12" i="5"/>
  <c r="F4" i="5"/>
  <c r="F14" i="5"/>
  <c r="F11" i="5"/>
  <c r="F18" i="5"/>
  <c r="F10" i="5"/>
  <c r="F9" i="5"/>
  <c r="F6" i="5"/>
  <c r="G4" i="5"/>
  <c r="M15" i="5"/>
  <c r="E16" i="5"/>
  <c r="H16" i="5"/>
  <c r="H15" i="5"/>
  <c r="M16" i="5"/>
  <c r="D17" i="5"/>
  <c r="D16" i="5"/>
  <c r="H17" i="5"/>
  <c r="L12" i="5"/>
  <c r="H11" i="5"/>
  <c r="M9" i="5"/>
  <c r="M11" i="5"/>
  <c r="G11" i="5"/>
  <c r="M18" i="5"/>
  <c r="C12" i="5"/>
  <c r="D11" i="5"/>
  <c r="D9" i="5"/>
  <c r="M17" i="5"/>
  <c r="H18" i="5"/>
  <c r="L11" i="5"/>
  <c r="D18" i="5"/>
  <c r="G18" i="5"/>
  <c r="L18" i="5"/>
  <c r="I18" i="5"/>
  <c r="C17" i="5"/>
  <c r="L16" i="5"/>
  <c r="I17" i="5"/>
  <c r="E18" i="5"/>
  <c r="C16" i="5"/>
  <c r="G17" i="5"/>
  <c r="L17" i="5"/>
  <c r="G16" i="5"/>
  <c r="D15" i="5"/>
  <c r="L14" i="5"/>
  <c r="L15" i="5"/>
  <c r="I12" i="5"/>
  <c r="E12" i="5"/>
  <c r="L6" i="5"/>
  <c r="D5" i="5"/>
  <c r="C5" i="5"/>
  <c r="I8" i="5"/>
  <c r="L7" i="5"/>
  <c r="H8" i="5"/>
  <c r="G15" i="5"/>
  <c r="M13" i="5"/>
  <c r="C9" i="5"/>
  <c r="G8" i="5"/>
  <c r="L10" i="5"/>
  <c r="E8" i="5"/>
  <c r="H7" i="5"/>
  <c r="D13" i="5"/>
  <c r="H12" i="5"/>
  <c r="C8" i="5"/>
  <c r="G7" i="5"/>
  <c r="C13" i="5"/>
  <c r="G12" i="5"/>
  <c r="L8" i="5"/>
  <c r="D7" i="5"/>
  <c r="I14" i="5"/>
  <c r="I10" i="5"/>
  <c r="L9" i="5"/>
  <c r="L5" i="5"/>
  <c r="C15" i="5"/>
  <c r="G14" i="5"/>
  <c r="C11" i="5"/>
  <c r="G10" i="5"/>
  <c r="C7" i="5"/>
  <c r="G6" i="5"/>
  <c r="H14" i="5"/>
  <c r="E14" i="5"/>
  <c r="H13" i="5"/>
  <c r="E10" i="5"/>
  <c r="H9" i="5"/>
  <c r="E6" i="5"/>
  <c r="H5" i="5"/>
  <c r="L13" i="5"/>
  <c r="H10" i="5"/>
  <c r="H6" i="5"/>
  <c r="C14" i="5"/>
  <c r="G13" i="5"/>
  <c r="C10" i="5"/>
  <c r="G9" i="5"/>
  <c r="C6" i="5"/>
  <c r="G5" i="5"/>
  <c r="I15" i="5"/>
  <c r="M14" i="5"/>
  <c r="I13" i="5"/>
  <c r="M12" i="5"/>
  <c r="I11" i="5"/>
  <c r="M10" i="5"/>
  <c r="I9" i="5"/>
  <c r="M8" i="5"/>
  <c r="G19" i="5" l="1"/>
  <c r="I7" i="5"/>
  <c r="M7" i="5" s="1"/>
  <c r="I6" i="5"/>
  <c r="M6" i="5" s="1"/>
  <c r="I5" i="5"/>
  <c r="M5" i="5" s="1"/>
  <c r="K19" i="5" l="1"/>
  <c r="E4" i="5" l="1"/>
  <c r="E19" i="5" s="1"/>
  <c r="H4" i="5"/>
  <c r="H19" i="5" s="1"/>
  <c r="L4" i="5"/>
  <c r="C4" i="5"/>
  <c r="D4" i="5"/>
  <c r="I4" i="5" l="1"/>
  <c r="M4" i="5" s="1"/>
  <c r="L19" i="5"/>
  <c r="J19" i="5" l="1"/>
  <c r="I19" i="5"/>
  <c r="M19" i="5" l="1"/>
</calcChain>
</file>

<file path=xl/sharedStrings.xml><?xml version="1.0" encoding="utf-8"?>
<sst xmlns="http://schemas.openxmlformats.org/spreadsheetml/2006/main" count="95" uniqueCount="62">
  <si>
    <t>VITI</t>
  </si>
  <si>
    <t>Couleur</t>
  </si>
  <si>
    <t>Rouge</t>
  </si>
  <si>
    <t>Rosé</t>
  </si>
  <si>
    <t>Clairet</t>
  </si>
  <si>
    <t>Blanc sec</t>
  </si>
  <si>
    <t>Blanc Moelleux</t>
  </si>
  <si>
    <t>Régle</t>
  </si>
  <si>
    <t>COGNAC</t>
  </si>
  <si>
    <t>PINEAU</t>
  </si>
  <si>
    <t>Type de prix</t>
  </si>
  <si>
    <t>Tonneau</t>
  </si>
  <si>
    <t>HL</t>
  </si>
  <si>
    <t>APPELLATIONS</t>
  </si>
  <si>
    <t>HL VRAC</t>
  </si>
  <si>
    <t>NBR DE BTES</t>
  </si>
  <si>
    <t>NBRE DE BARRIQUES</t>
  </si>
  <si>
    <t>% MISE EN BTES</t>
  </si>
  <si>
    <t>prix choix tonneau ou HL</t>
  </si>
  <si>
    <t>PRIX Tonneau ou HL</t>
  </si>
  <si>
    <t>PRIX BTES</t>
  </si>
  <si>
    <t>N°Bat</t>
  </si>
  <si>
    <t>SITE</t>
  </si>
  <si>
    <t>MATERIEL</t>
  </si>
  <si>
    <t>VALEUR MATERIEL</t>
  </si>
  <si>
    <t>NBRE HL CUVERIE INOX</t>
  </si>
  <si>
    <t>MATERIEL2</t>
  </si>
  <si>
    <t>VALEUR MATERIEL2</t>
  </si>
  <si>
    <t>VALEUR MATERIEL3</t>
  </si>
  <si>
    <t>VALEUR MATERIEL4</t>
  </si>
  <si>
    <t>MATERIEL3</t>
  </si>
  <si>
    <t>MATERIEL4</t>
  </si>
  <si>
    <t>COULEUR</t>
  </si>
  <si>
    <t>Commentaire</t>
  </si>
  <si>
    <t>Total</t>
  </si>
  <si>
    <t>NOM DU SITE</t>
  </si>
  <si>
    <t>HL BTES</t>
  </si>
  <si>
    <t>HL BARRIQUE</t>
  </si>
  <si>
    <t>Appellation</t>
  </si>
  <si>
    <t>Valeur Materiel</t>
  </si>
  <si>
    <t>Valeur Vin Vrac</t>
  </si>
  <si>
    <t>Valeur Vin Btes</t>
  </si>
  <si>
    <t>Droits et Taxes</t>
  </si>
  <si>
    <t>HL Total / bat</t>
  </si>
  <si>
    <t>Site</t>
  </si>
  <si>
    <t>Bat</t>
  </si>
  <si>
    <t>NOM SOC</t>
  </si>
  <si>
    <t>CUVE FIBRE</t>
  </si>
  <si>
    <t>THOMAS</t>
  </si>
  <si>
    <t>BDX</t>
  </si>
  <si>
    <t>1200</t>
  </si>
  <si>
    <t>CUVE</t>
  </si>
  <si>
    <t>POMPE</t>
  </si>
  <si>
    <t>PRESSOIR</t>
  </si>
  <si>
    <t>AUTRES</t>
  </si>
  <si>
    <t>TEST</t>
  </si>
  <si>
    <t>200</t>
  </si>
  <si>
    <t/>
  </si>
  <si>
    <t>100</t>
  </si>
  <si>
    <t>ST LOUBES</t>
  </si>
  <si>
    <t>ST EMILION</t>
  </si>
  <si>
    <t>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</si>
</sst>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4"/>
      <color theme="1"/>
      <name val="Arial Black"/>
      <family val="2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4" fontId="0" fillId="0" borderId="0" xfId="1" applyFont="1"/>
    <xf numFmtId="0" fontId="1" fillId="2" borderId="2" xfId="0" applyFont="1" applyFill="1" applyBorder="1" applyAlignment="1">
      <alignment horizontal="center" vertical="center" wrapText="1"/>
    </xf>
    <xf numFmtId="44" fontId="1" fillId="2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wrapText="1"/>
    </xf>
    <xf numFmtId="6" fontId="0" fillId="0" borderId="0" xfId="1" applyNumberFormat="1" applyFont="1"/>
    <xf numFmtId="1" fontId="0" fillId="0" borderId="0" xfId="0" applyNumberFormat="1"/>
    <xf numFmtId="1" fontId="1" fillId="2" borderId="2" xfId="0" applyNumberFormat="1" applyFont="1" applyFill="1" applyBorder="1" applyAlignment="1">
      <alignment horizontal="right" vertical="center" wrapText="1"/>
    </xf>
    <xf numFmtId="1" fontId="0" fillId="0" borderId="0" xfId="0" applyNumberFormat="1" applyAlignment="1">
      <alignment horizontal="right" wrapText="1"/>
    </xf>
    <xf numFmtId="1" fontId="0" fillId="0" borderId="0" xfId="2" applyNumberFormat="1" applyFont="1"/>
    <xf numFmtId="1" fontId="1" fillId="2" borderId="2" xfId="2" applyNumberFormat="1" applyFont="1" applyFill="1" applyBorder="1" applyAlignment="1">
      <alignment horizontal="center" vertical="center" wrapText="1"/>
    </xf>
    <xf numFmtId="44" fontId="1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 applyAlignment="1">
      <alignment horizontal="right" wrapText="1"/>
    </xf>
    <xf numFmtId="1" fontId="0" fillId="0" borderId="0" xfId="0" applyNumberFormat="1" applyFill="1" applyBorder="1" applyAlignment="1">
      <alignment wrapText="1"/>
    </xf>
    <xf numFmtId="1" fontId="0" fillId="0" borderId="0" xfId="2" applyNumberFormat="1" applyFont="1" applyFill="1" applyBorder="1"/>
    <xf numFmtId="44" fontId="0" fillId="0" borderId="0" xfId="1" applyFont="1" applyFill="1" applyBorder="1"/>
    <xf numFmtId="0" fontId="0" fillId="0" borderId="0" xfId="0" applyFill="1" applyBorder="1" applyAlignment="1">
      <alignment wrapText="1"/>
    </xf>
    <xf numFmtId="0" fontId="5" fillId="0" borderId="0" xfId="0" applyFont="1"/>
    <xf numFmtId="0" fontId="0" fillId="0" borderId="0" xfId="0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9" fontId="6" fillId="0" borderId="0" xfId="2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1" fontId="6" fillId="0" borderId="0" xfId="2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44" fontId="6" fillId="0" borderId="0" xfId="1" applyNumberFormat="1" applyFont="1" applyAlignment="1">
      <alignment horizontal="center" vertical="center"/>
    </xf>
    <xf numFmtId="1" fontId="5" fillId="0" borderId="0" xfId="0" applyNumberFormat="1" applyFont="1"/>
    <xf numFmtId="164" fontId="5" fillId="0" borderId="0" xfId="0" applyNumberFormat="1" applyFont="1"/>
    <xf numFmtId="44" fontId="5" fillId="0" borderId="0" xfId="0" applyNumberFormat="1" applyFont="1"/>
    <xf numFmtId="0" fontId="4" fillId="0" borderId="0" xfId="0" applyFont="1" applyAlignment="1" applyProtection="1">
      <alignment horizontal="center" vertical="top" wrapText="1"/>
      <protection locked="0"/>
    </xf>
    <xf numFmtId="1" fontId="4" fillId="0" borderId="0" xfId="0" applyNumberFormat="1" applyFont="1" applyAlignment="1" applyProtection="1">
      <alignment horizontal="center" vertical="top" wrapText="1"/>
      <protection locked="0"/>
    </xf>
    <xf numFmtId="6" fontId="8" fillId="0" borderId="0" xfId="1" applyNumberFormat="1" applyFont="1" applyFill="1" applyBorder="1"/>
    <xf numFmtId="44" fontId="8" fillId="0" borderId="0" xfId="1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0" formatCode="#,##0\ &quot;€&quot;;[Red]\-#,##0\ &quot;€&quot;"/>
    </dxf>
    <dxf>
      <alignment horizontal="center" textRotation="0" indent="0" justifyLastLine="0" shrinkToFit="0" readingOrder="0"/>
    </dxf>
    <dxf>
      <numFmt numFmtId="1" formatCode="0"/>
    </dxf>
    <dxf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" formatCode="0"/>
      <alignment horizontal="right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\ &quot;€&quot;_-;\-* #,##0\ &quot;€&quot;_-;_-* &quot;-&quot;??\ &quot;€&quot;_-;_-@_-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\ &quot;€&quot;_-;\-* #,##0\ &quot;€&quot;_-;_-* &quot;-&quot;??\ &quot;€&quot;_-;_-@_-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\ &quot;€&quot;_-;\-* #,##0\ &quot;€&quot;_-;_-* &quot;-&quot;??\ &quot;€&quot;_-;_-@_-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top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/>
        <strike val="0"/>
        <outline val="0"/>
        <shadow val="0"/>
        <u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0</xdr:row>
      <xdr:rowOff>133350</xdr:rowOff>
    </xdr:from>
    <xdr:to>
      <xdr:col>9</xdr:col>
      <xdr:colOff>400050</xdr:colOff>
      <xdr:row>1</xdr:row>
      <xdr:rowOff>419100</xdr:rowOff>
    </xdr:to>
    <xdr:sp macro="[0]!OUVRIRFORMULAIRE" textlink="">
      <xdr:nvSpPr>
        <xdr:cNvPr id="3" name="Rectangle à coins arrondis 2"/>
        <xdr:cNvSpPr/>
      </xdr:nvSpPr>
      <xdr:spPr>
        <a:xfrm>
          <a:off x="4133850" y="133350"/>
          <a:ext cx="2540000" cy="469900"/>
        </a:xfrm>
        <a:prstGeom prst="round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 u="sng">
              <a:solidFill>
                <a:schemeClr val="bg1"/>
              </a:solidFill>
              <a:latin typeface="Arial Black" panose="020B0A04020102020204" pitchFamily="34" charset="0"/>
            </a:rPr>
            <a:t>FORMULAIRE DE SAISIE</a:t>
          </a:r>
        </a:p>
      </xdr:txBody>
    </xdr:sp>
    <xdr:clientData fLocksWithSheet="0" fPrintsWithSheet="0"/>
  </xdr:twoCellAnchor>
  <xdr:twoCellAnchor>
    <xdr:from>
      <xdr:col>11</xdr:col>
      <xdr:colOff>476250</xdr:colOff>
      <xdr:row>1</xdr:row>
      <xdr:rowOff>6350</xdr:rowOff>
    </xdr:from>
    <xdr:to>
      <xdr:col>12</xdr:col>
      <xdr:colOff>774700</xdr:colOff>
      <xdr:row>1</xdr:row>
      <xdr:rowOff>431800</xdr:rowOff>
    </xdr:to>
    <xdr:sp macro="[0]!SUPPSYNTHESE" textlink="">
      <xdr:nvSpPr>
        <xdr:cNvPr id="4" name="Rectangle à coins arrondis 3"/>
        <xdr:cNvSpPr/>
      </xdr:nvSpPr>
      <xdr:spPr>
        <a:xfrm>
          <a:off x="8299450" y="190500"/>
          <a:ext cx="1231900" cy="4254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EFFACER</a:t>
          </a:r>
        </a:p>
      </xdr:txBody>
    </xdr:sp>
    <xdr:clientData fLocksWithSheet="0" fPrintsWithSheet="0"/>
  </xdr:twoCellAnchor>
  <xdr:twoCellAnchor>
    <xdr:from>
      <xdr:col>9</xdr:col>
      <xdr:colOff>717550</xdr:colOff>
      <xdr:row>0</xdr:row>
      <xdr:rowOff>114300</xdr:rowOff>
    </xdr:from>
    <xdr:to>
      <xdr:col>11</xdr:col>
      <xdr:colOff>203200</xdr:colOff>
      <xdr:row>1</xdr:row>
      <xdr:rowOff>444500</xdr:rowOff>
    </xdr:to>
    <xdr:sp macro="[0]!modif" textlink="">
      <xdr:nvSpPr>
        <xdr:cNvPr id="5" name="Rectangle à coins arrondis 4"/>
        <xdr:cNvSpPr/>
      </xdr:nvSpPr>
      <xdr:spPr>
        <a:xfrm>
          <a:off x="6991350" y="114300"/>
          <a:ext cx="1428750" cy="5143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MODIFICATION</a:t>
          </a:r>
          <a:r>
            <a:rPr lang="fr-FR" sz="1050" b="1" baseline="0"/>
            <a:t> DES DONNEES</a:t>
          </a:r>
          <a:endParaRPr lang="fr-FR" sz="1050" b="1"/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id="5" name="Tableau5" displayName="Tableau5" ref="A3:M19" totalsRowCount="1" headerRowDxfId="51" dataDxfId="50" totalsRowDxfId="49">
  <autoFilter ref="A3:M18"/>
  <tableColumns count="13">
    <tableColumn id="1" name="Site" totalsRowLabel="Total" dataDxfId="48" totalsRowDxfId="47">
      <calculatedColumnFormula>IF(Synthese!A3="","",Synthese!A3)</calculatedColumnFormula>
    </tableColumn>
    <tableColumn id="2" name="Bat" dataDxfId="46" totalsRowDxfId="45">
      <calculatedColumnFormula>IF(Synthese!B3="","",Synthese!B3)</calculatedColumnFormula>
    </tableColumn>
    <tableColumn id="7" name="Appellation" dataDxfId="44" totalsRowDxfId="43">
      <calculatedColumnFormula>IF(Tableau5[[#This Row],[Site]]="","",Synthese!C3)</calculatedColumnFormula>
    </tableColumn>
    <tableColumn id="3" name="Couleur" dataDxfId="42" totalsRowDxfId="41">
      <calculatedColumnFormula>IF(Tableau5[[#This Row],[Site]]="","",Synthese!D3)</calculatedColumnFormula>
    </tableColumn>
    <tableColumn id="4" name="HL BTES" totalsRowFunction="sum" dataDxfId="40" totalsRowDxfId="39">
      <calculatedColumnFormula>IF(Tableau5[[#This Row],[Site]]="","",IF(Synthese!F3="",0,Synthese!F3*0.0075))</calculatedColumnFormula>
    </tableColumn>
    <tableColumn id="13" name="% MISE EN BTES" dataDxfId="38" totalsRowDxfId="37" dataCellStyle="Pourcentage">
      <calculatedColumnFormula>IF(Tableau5[[#This Row],[Site]]="","",IF(Synthese!H3="",0,Synthese!H3/100))</calculatedColumnFormula>
    </tableColumn>
    <tableColumn id="5" name="HL VRAC" totalsRowFunction="sum" dataDxfId="36" totalsRowDxfId="35">
      <calculatedColumnFormula>IF(Tableau5[[#This Row],[Site]]="","",IF(Synthese!E3="",0,Synthese!E3))</calculatedColumnFormula>
    </tableColumn>
    <tableColumn id="6" name="HL BARRIQUE" totalsRowFunction="sum" dataDxfId="34" totalsRowDxfId="33">
      <calculatedColumnFormula>IF(Tableau5[[#This Row],[Site]]="","",IF(Synthese!G3="",0,Synthese!G3*2.25))</calculatedColumnFormula>
    </tableColumn>
    <tableColumn id="11" name="HL Total / bat" totalsRowFunction="sum" dataDxfId="32" totalsRowDxfId="31">
      <calculatedColumnFormula>IF(Tableau5[[#This Row],[Site]]="","",(E4+G4+H4))</calculatedColumnFormula>
    </tableColumn>
    <tableColumn id="8" name="Valeur Materiel" totalsRowFunction="sum" dataDxfId="30" totalsRowDxfId="29">
      <calculatedColumnFormula>IF(Tableau5[[#This Row],[Site]]="","",SUM(Synthese!M3,Synthese!O3,Synthese!Q3,Synthese!S3,Synthese!G3*600,Synthese!T3*80,Synthese!W3*45))</calculatedColumnFormula>
    </tableColumn>
    <tableColumn id="9" name="Valeur Vin Vrac" totalsRowFunction="sum" dataDxfId="28" totalsRowDxfId="27" dataCellStyle="Monétaire">
      <calculatedColumnFormula>IF(Synthese!I3="Tonneau",(Synthese!E3*Synthese!J3)/9,IF(Synthese!J3="","",(Synthese!J3*Synthese!E3)))</calculatedColumnFormula>
    </tableColumn>
    <tableColumn id="10" name="Valeur Vin Btes" totalsRowFunction="sum" dataDxfId="26" totalsRowDxfId="25" dataCellStyle="Monétaire">
      <calculatedColumnFormula>IF(Tableau5[[#This Row],[Site]]="","",Synthese!F3*Synthese!K3)</calculatedColumnFormula>
    </tableColumn>
    <tableColumn id="12" name="Droits et Taxes" totalsRowFunction="sum" dataDxfId="24" totalsRowDxfId="23" dataCellStyle="Monétaire">
      <calculatedColumnFormula>IF(Tableau5[[#This Row],[Site]]="","",I4*3.91)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4" name="Tabsynt" displayName="Tabsynt" ref="A1:U6" headerRowDxfId="22">
  <autoFilter ref="A1:U6"/>
  <tableColumns count="21">
    <tableColumn id="1" name="SITE" totalsRowLabel="Total"/>
    <tableColumn id="2" name="N°Bat" dataDxfId="21" totalsRowDxfId="20"/>
    <tableColumn id="3" name="APPELLATIONS"/>
    <tableColumn id="4" name="COULEUR"/>
    <tableColumn id="5" name="HL VRAC" dataDxfId="19" totalsRowDxfId="18"/>
    <tableColumn id="6" name="NBR DE BTES" dataDxfId="17" totalsRowDxfId="16"/>
    <tableColumn id="7" name="NBRE DE BARRIQUES" dataDxfId="15" totalsRowDxfId="14"/>
    <tableColumn id="8" name="% MISE EN BTES" dataDxfId="13" dataCellStyle="Pourcentage"/>
    <tableColumn id="9" name="prix choix tonneau ou HL" dataDxfId="12"/>
    <tableColumn id="10" name="PRIX Tonneau ou HL" dataDxfId="11" totalsRowDxfId="10" dataCellStyle="Monétaire"/>
    <tableColumn id="11" name="PRIX BTES" dataDxfId="9" totalsRowDxfId="8" dataCellStyle="Monétaire"/>
    <tableColumn id="12" name="MATERIEL"/>
    <tableColumn id="13" name="VALEUR MATERIEL" dataDxfId="7" totalsRowDxfId="6" dataCellStyle="Monétaire"/>
    <tableColumn id="14" name="MATERIEL2"/>
    <tableColumn id="15" name="VALEUR MATERIEL2" dataDxfId="5" totalsRowDxfId="4" dataCellStyle="Monétaire"/>
    <tableColumn id="16" name="MATERIEL3"/>
    <tableColumn id="17" name="VALEUR MATERIEL3" dataDxfId="3" totalsRowDxfId="2" dataCellStyle="Monétaire"/>
    <tableColumn id="18" name="MATERIEL4"/>
    <tableColumn id="19" name="VALEUR MATERIEL4" dataDxfId="1" totalsRowDxfId="0" dataCellStyle="Monétaire"/>
    <tableColumn id="20" name="NBRE HL CUVERIE INOX"/>
    <tableColumn id="21" name="Commentaire" totalsRowFunction="count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A6" totalsRowShown="0">
  <autoFilter ref="A1:A6"/>
  <tableColumns count="1">
    <tableColumn id="1" name="Couleur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C1:C4" totalsRowShown="0">
  <autoFilter ref="C1:C4"/>
  <tableColumns count="1">
    <tableColumn id="1" name="Régle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E1:E3" totalsRowShown="0">
  <autoFilter ref="E1:E3"/>
  <tableColumns count="1">
    <tableColumn id="1" name="Type de prix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M19"/>
  <sheetViews>
    <sheetView showGridLines="0" tabSelected="1" zoomScaleNormal="100" workbookViewId="0">
      <selection activeCell="D2" sqref="D2"/>
    </sheetView>
  </sheetViews>
  <sheetFormatPr baseColWidth="10" defaultRowHeight="14.5" x14ac:dyDescent="0.35"/>
  <cols>
    <col min="1" max="1" width="15.26953125" customWidth="1"/>
    <col min="2" max="2" width="6.1796875" style="27" customWidth="1"/>
    <col min="3" max="3" width="12.6328125" customWidth="1"/>
    <col min="4" max="4" width="10.54296875" customWidth="1"/>
    <col min="5" max="7" width="9.08984375" style="12" customWidth="1"/>
    <col min="8" max="8" width="7.6328125" style="12" customWidth="1"/>
    <col min="9" max="9" width="10.26953125" customWidth="1"/>
    <col min="10" max="10" width="18.36328125" customWidth="1"/>
    <col min="11" max="11" width="19.26953125" customWidth="1"/>
    <col min="12" max="12" width="18.81640625" customWidth="1"/>
    <col min="13" max="13" width="11.6328125" bestFit="1" customWidth="1"/>
  </cols>
  <sheetData>
    <row r="2" spans="1:13" ht="45" customHeight="1" x14ac:dyDescent="0.35">
      <c r="A2" s="32" t="str">
        <f>IF(Synthese!V3="","",Synthese!V3)</f>
        <v>THOMAS</v>
      </c>
    </row>
    <row r="3" spans="1:13" s="18" customFormat="1" ht="28" customHeight="1" x14ac:dyDescent="0.35">
      <c r="A3" s="45" t="s">
        <v>44</v>
      </c>
      <c r="B3" s="45" t="s">
        <v>45</v>
      </c>
      <c r="C3" s="45" t="s">
        <v>38</v>
      </c>
      <c r="D3" s="45" t="s">
        <v>1</v>
      </c>
      <c r="E3" s="46" t="s">
        <v>36</v>
      </c>
      <c r="F3" s="46" t="s">
        <v>17</v>
      </c>
      <c r="G3" s="46" t="s">
        <v>14</v>
      </c>
      <c r="H3" s="46" t="s">
        <v>37</v>
      </c>
      <c r="I3" s="45" t="s">
        <v>43</v>
      </c>
      <c r="J3" s="45" t="s">
        <v>39</v>
      </c>
      <c r="K3" s="45" t="s">
        <v>40</v>
      </c>
      <c r="L3" s="45" t="s">
        <v>41</v>
      </c>
      <c r="M3" s="45" t="s">
        <v>42</v>
      </c>
    </row>
    <row r="4" spans="1:13" ht="16.5" customHeight="1" x14ac:dyDescent="0.35">
      <c r="A4" s="29" t="str">
        <f>IF(Synthese!A3="","",Synthese!A3)</f>
        <v>THOMAS</v>
      </c>
      <c r="B4" s="29">
        <f>IF(Synthese!B3="","",Synthese!B3)</f>
        <v>1</v>
      </c>
      <c r="C4" s="33" t="str">
        <f>IF(Tableau5[[#This Row],[Site]]="","",Synthese!C3)</f>
        <v>BDX</v>
      </c>
      <c r="D4" s="33" t="str">
        <f>IF(Tableau5[[#This Row],[Site]]="","",Synthese!D3)</f>
        <v>Rouge</v>
      </c>
      <c r="E4" s="34">
        <f>IF(Tableau5[[#This Row],[Site]]="","",IF(Synthese!F3="",0,Synthese!F3*0.0075))</f>
        <v>750</v>
      </c>
      <c r="F4" s="35">
        <f>IF(Tableau5[[#This Row],[Site]]="","",IF(Synthese!H3="",0,Synthese!H3/100))</f>
        <v>1</v>
      </c>
      <c r="G4" s="34" t="str">
        <f>IF(Tableau5[[#This Row],[Site]]="","",IF(Synthese!E3="",0,Synthese!E3))</f>
        <v>1200</v>
      </c>
      <c r="H4" s="34">
        <f>IF(Tableau5[[#This Row],[Site]]="","",IF(Synthese!G3="",0,Synthese!G3*2.25))</f>
        <v>27</v>
      </c>
      <c r="I4" s="34">
        <f>IF(Tableau5[[#This Row],[Site]]="","",(E4+G4+H4))</f>
        <v>1977</v>
      </c>
      <c r="J4" s="36">
        <f>IF(Tableau5[[#This Row],[Site]]="","",SUM(Synthese!M3,Synthese!O3,Synthese!Q3,Synthese!S3,Synthese!G3*600,Synthese!T3*80,Synthese!W3*45))</f>
        <v>214700</v>
      </c>
      <c r="K4" s="37">
        <f>IF(Synthese!I3="Tonneau",(Synthese!E3*Synthese!J3)/9,IF(Synthese!J3="","",(Synthese!J3*Synthese!E3)))</f>
        <v>133333.33333333334</v>
      </c>
      <c r="L4" s="38">
        <f>IF(Tableau5[[#This Row],[Site]]="","",Synthese!F3*Synthese!K3)</f>
        <v>300000</v>
      </c>
      <c r="M4" s="37">
        <f>IF(Tableau5[[#This Row],[Site]]="","",I4*3.91)</f>
        <v>7730.0700000000006</v>
      </c>
    </row>
    <row r="5" spans="1:13" ht="16.5" customHeight="1" x14ac:dyDescent="0.35">
      <c r="A5" s="29" t="str">
        <f>IF(Synthese!A4="","",Synthese!A4)</f>
        <v>THOMAS</v>
      </c>
      <c r="B5" s="29">
        <f>IF(Synthese!B4="","",Synthese!B4)</f>
        <v>3</v>
      </c>
      <c r="C5" s="33" t="str">
        <f>IF(Tableau5[[#This Row],[Site]]="","",Synthese!C4)</f>
        <v>BDX</v>
      </c>
      <c r="D5" s="33" t="str">
        <f>IF(Tableau5[[#This Row],[Site]]="","",Synthese!D4)</f>
        <v>Rosé</v>
      </c>
      <c r="E5" s="34">
        <f>IF(Tableau5[[#This Row],[Site]]="","",IF(Synthese!F4="",0,Synthese!F4*0.0075))</f>
        <v>22.5</v>
      </c>
      <c r="F5" s="39">
        <f>IF(Tableau5[[#This Row],[Site]]="","",IF(Synthese!H4="",0,Synthese!H4/100))</f>
        <v>0.7</v>
      </c>
      <c r="G5" s="34" t="str">
        <f>IF(Tableau5[[#This Row],[Site]]="","",IF(Synthese!E4="",0,Synthese!E4))</f>
        <v>200</v>
      </c>
      <c r="H5" s="34">
        <f>IF(Tableau5[[#This Row],[Site]]="","",IF(Synthese!G4="",0,Synthese!G4*2.25))</f>
        <v>0</v>
      </c>
      <c r="I5" s="34">
        <f>IF(Tableau5[[#This Row],[Site]]="","",(E5+G5+H5))</f>
        <v>222.5</v>
      </c>
      <c r="J5" s="36">
        <f>IF(Tableau5[[#This Row],[Site]]="","",SUM(Synthese!M4,Synthese!O4,Synthese!Q4,Synthese!S4,Synthese!G4*600,Synthese!T4*80,Synthese!W4*45))</f>
        <v>0</v>
      </c>
      <c r="K5" s="37">
        <f>IF(Synthese!I4="Tonneau",(Synthese!E4*Synthese!J4)/9,IF(Synthese!J4="","",(Synthese!J4*Synthese!E4)))</f>
        <v>22222.222222222223</v>
      </c>
      <c r="L5" s="38">
        <f>IF(Tableau5[[#This Row],[Site]]="","",Synthese!F4*Synthese!K4)</f>
        <v>9000</v>
      </c>
      <c r="M5" s="37">
        <f>IF(Tableau5[[#This Row],[Site]]="","",I5*3.91)</f>
        <v>869.97500000000002</v>
      </c>
    </row>
    <row r="6" spans="1:13" ht="16.5" customHeight="1" x14ac:dyDescent="0.35">
      <c r="A6" s="29" t="str">
        <f>IF(Synthese!A5="","",Synthese!A5)</f>
        <v>THOMAS</v>
      </c>
      <c r="B6" s="29">
        <f>IF(Synthese!B5="","",Synthese!B5)</f>
        <v>1</v>
      </c>
      <c r="C6" s="33" t="str">
        <f>IF(Tableau5[[#This Row],[Site]]="","",Synthese!C5)</f>
        <v>BDX</v>
      </c>
      <c r="D6" s="33" t="str">
        <f>IF(Tableau5[[#This Row],[Site]]="","",Synthese!D5)</f>
        <v>Blanc sec</v>
      </c>
      <c r="E6" s="34">
        <f>IF(Tableau5[[#This Row],[Site]]="","",IF(Synthese!F5="",0,Synthese!F5*0.0075))</f>
        <v>0</v>
      </c>
      <c r="F6" s="39">
        <f>IF(Tableau5[[#This Row],[Site]]="","",IF(Synthese!H5="",0,Synthese!H5/100))</f>
        <v>0</v>
      </c>
      <c r="G6" s="34" t="str">
        <f>IF(Tableau5[[#This Row],[Site]]="","",IF(Synthese!E5="",0,Synthese!E5))</f>
        <v>100</v>
      </c>
      <c r="H6" s="34">
        <f>IF(Tableau5[[#This Row],[Site]]="","",IF(Synthese!G5="",0,Synthese!G5*2.25))</f>
        <v>0</v>
      </c>
      <c r="I6" s="34">
        <f>IF(Tableau5[[#This Row],[Site]]="","",(E6+G6+H6))</f>
        <v>100</v>
      </c>
      <c r="J6" s="36">
        <f>IF(Tableau5[[#This Row],[Site]]="","",SUM(Synthese!M5,Synthese!O5,Synthese!Q5,Synthese!S5,Synthese!G5*600,Synthese!T5*80,Synthese!W5*45))</f>
        <v>0</v>
      </c>
      <c r="K6" s="37">
        <f>IF(Synthese!I5="Tonneau",(Synthese!E5*Synthese!J5)/9,IF(Synthese!J5="","",(Synthese!J5*Synthese!E5)))</f>
        <v>11111.111111111111</v>
      </c>
      <c r="L6" s="38">
        <f>IF(Tableau5[[#This Row],[Site]]="","",Synthese!F5*Synthese!K5)</f>
        <v>0</v>
      </c>
      <c r="M6" s="37">
        <f>IF(Tableau5[[#This Row],[Site]]="","",I6*3.91)</f>
        <v>391</v>
      </c>
    </row>
    <row r="7" spans="1:13" ht="16.5" customHeight="1" x14ac:dyDescent="0.35">
      <c r="A7" s="29" t="str">
        <f>IF(Synthese!A6="","",Synthese!A6)</f>
        <v>ST LOUBES</v>
      </c>
      <c r="B7" s="29">
        <f>IF(Synthese!B6="","",Synthese!B6)</f>
        <v>1</v>
      </c>
      <c r="C7" s="33" t="str">
        <f>IF(Tableau5[[#This Row],[Site]]="","",Synthese!C6)</f>
        <v>ST EMILION</v>
      </c>
      <c r="D7" s="33" t="str">
        <f>IF(Tableau5[[#This Row],[Site]]="","",Synthese!D6)</f>
        <v>Rouge</v>
      </c>
      <c r="E7" s="34">
        <f>IF(Tableau5[[#This Row],[Site]]="","",IF(Synthese!F6="",0,Synthese!F6*0.0075))</f>
        <v>900</v>
      </c>
      <c r="F7" s="39">
        <f>IF(Tableau5[[#This Row],[Site]]="","",IF(Synthese!H6="",0,Synthese!H6/100))</f>
        <v>1</v>
      </c>
      <c r="G7" s="34" t="str">
        <f>IF(Tableau5[[#This Row],[Site]]="","",IF(Synthese!E6="",0,Synthese!E6))</f>
        <v>300</v>
      </c>
      <c r="H7" s="34">
        <f>IF(Tableau5[[#This Row],[Site]]="","",IF(Synthese!G6="",0,Synthese!G6*2.25))</f>
        <v>0</v>
      </c>
      <c r="I7" s="34">
        <f>IF(Tableau5[[#This Row],[Site]]="","",(E7+G7+H7))</f>
        <v>1200</v>
      </c>
      <c r="J7" s="36">
        <f>IF(Tableau5[[#This Row],[Site]]="","",SUM(Synthese!M6,Synthese!O6,Synthese!Q6,Synthese!S6,Synthese!G6*600,Synthese!T6*80,Synthese!W6*45))</f>
        <v>110000</v>
      </c>
      <c r="K7" s="37">
        <f>IF(Synthese!I6="Tonneau",(Synthese!E6*Synthese!J6)/9,IF(Synthese!J6="","",(Synthese!J6*Synthese!E6)))</f>
        <v>83333.333333333328</v>
      </c>
      <c r="L7" s="38">
        <f>IF(Tableau5[[#This Row],[Site]]="","",Synthese!F6*Synthese!K6)</f>
        <v>2040000</v>
      </c>
      <c r="M7" s="37">
        <f>IF(Tableau5[[#This Row],[Site]]="","",I7*3.91)</f>
        <v>4692</v>
      </c>
    </row>
    <row r="8" spans="1:13" ht="16.5" customHeight="1" x14ac:dyDescent="0.35">
      <c r="A8" s="29" t="str">
        <f>IF(Synthese!A7="","",Synthese!A7)</f>
        <v/>
      </c>
      <c r="B8" s="29" t="str">
        <f>IF(Synthese!B7="","",Synthese!B7)</f>
        <v/>
      </c>
      <c r="C8" s="33" t="str">
        <f>IF(Tableau5[[#This Row],[Site]]="","",Synthese!C7)</f>
        <v/>
      </c>
      <c r="D8" s="33" t="str">
        <f>IF(Tableau5[[#This Row],[Site]]="","",Synthese!D7)</f>
        <v/>
      </c>
      <c r="E8" s="34" t="str">
        <f>IF(Tableau5[[#This Row],[Site]]="","",IF(Synthese!F7="",0,Synthese!F7*0.0075))</f>
        <v/>
      </c>
      <c r="F8" s="39" t="str">
        <f>IF(Tableau5[[#This Row],[Site]]="","",IF(Synthese!H7="",0,Synthese!H7/100))</f>
        <v/>
      </c>
      <c r="G8" s="34" t="str">
        <f>IF(Tableau5[[#This Row],[Site]]="","",IF(Synthese!E7="",0,Synthese!E7))</f>
        <v/>
      </c>
      <c r="H8" s="34" t="str">
        <f>IF(Tableau5[[#This Row],[Site]]="","",IF(Synthese!G7="",0,Synthese!G7*2.25))</f>
        <v/>
      </c>
      <c r="I8" s="34" t="str">
        <f>IF(Tableau5[[#This Row],[Site]]="","",(E8+G8+H8))</f>
        <v/>
      </c>
      <c r="J8" s="36" t="str">
        <f>IF(Tableau5[[#This Row],[Site]]="","",SUM(Synthese!M7,Synthese!O7,Synthese!Q7,Synthese!S7,Synthese!G7*600,Synthese!T7*80,Synthese!W7*45))</f>
        <v/>
      </c>
      <c r="K8" s="37" t="str">
        <f>IF(Synthese!I7="Tonneau",(Synthese!E7*Synthese!J7)/9,IF(Synthese!J7="","",(Synthese!J7*Synthese!E7)))</f>
        <v/>
      </c>
      <c r="L8" s="38" t="str">
        <f>IF(Tableau5[[#This Row],[Site]]="","",Synthese!F7*Synthese!K7)</f>
        <v/>
      </c>
      <c r="M8" s="37" t="str">
        <f>IF(Tableau5[[#This Row],[Site]]="","",I8*3.91)</f>
        <v/>
      </c>
    </row>
    <row r="9" spans="1:13" ht="16.5" customHeight="1" x14ac:dyDescent="0.35">
      <c r="A9" s="29" t="str">
        <f>IF(Synthese!A8="","",Synthese!A8)</f>
        <v/>
      </c>
      <c r="B9" s="29" t="str">
        <f>IF(Synthese!B8="","",Synthese!B8)</f>
        <v/>
      </c>
      <c r="C9" s="33" t="str">
        <f>IF(Tableau5[[#This Row],[Site]]="","",Synthese!C8)</f>
        <v/>
      </c>
      <c r="D9" s="33" t="str">
        <f>IF(Tableau5[[#This Row],[Site]]="","",Synthese!D8)</f>
        <v/>
      </c>
      <c r="E9" s="34" t="str">
        <f>IF(Tableau5[[#This Row],[Site]]="","",IF(Synthese!F8="",0,Synthese!F8*0.0075))</f>
        <v/>
      </c>
      <c r="F9" s="39" t="str">
        <f>IF(Tableau5[[#This Row],[Site]]="","",IF(Synthese!H8="",0,Synthese!H8/100))</f>
        <v/>
      </c>
      <c r="G9" s="34" t="str">
        <f>IF(Tableau5[[#This Row],[Site]]="","",IF(Synthese!E8="",0,Synthese!E8))</f>
        <v/>
      </c>
      <c r="H9" s="34" t="str">
        <f>IF(Tableau5[[#This Row],[Site]]="","",IF(Synthese!G8="",0,Synthese!G8*2.25))</f>
        <v/>
      </c>
      <c r="I9" s="34" t="str">
        <f>IF(Tableau5[[#This Row],[Site]]="","",(E9+G9+H9))</f>
        <v/>
      </c>
      <c r="J9" s="36" t="str">
        <f>IF(Tableau5[[#This Row],[Site]]="","",SUM(Synthese!M8,Synthese!O8,Synthese!Q8,Synthese!S8,Synthese!G8*600,Synthese!T8*80,Synthese!W8*45))</f>
        <v/>
      </c>
      <c r="K9" s="37" t="str">
        <f>IF(Synthese!I8="Tonneau",(Synthese!E8*Synthese!J8)/9,IF(Synthese!J8="","",(Synthese!J8*Synthese!E8)))</f>
        <v/>
      </c>
      <c r="L9" s="38" t="str">
        <f>IF(Tableau5[[#This Row],[Site]]="","",Synthese!F8*Synthese!K8)</f>
        <v/>
      </c>
      <c r="M9" s="37" t="str">
        <f>IF(Tableau5[[#This Row],[Site]]="","",I9*3.91)</f>
        <v/>
      </c>
    </row>
    <row r="10" spans="1:13" ht="16.5" customHeight="1" x14ac:dyDescent="0.35">
      <c r="A10" s="29" t="str">
        <f>IF(Synthese!A9="","",Synthese!A9)</f>
        <v/>
      </c>
      <c r="B10" s="29" t="str">
        <f>IF(Synthese!B9="","",Synthese!B9)</f>
        <v/>
      </c>
      <c r="C10" s="33" t="str">
        <f>IF(Tableau5[[#This Row],[Site]]="","",Synthese!C9)</f>
        <v/>
      </c>
      <c r="D10" s="33" t="str">
        <f>IF(Tableau5[[#This Row],[Site]]="","",Synthese!D9)</f>
        <v/>
      </c>
      <c r="E10" s="34" t="str">
        <f>IF(Tableau5[[#This Row],[Site]]="","",IF(Synthese!F9="",0,Synthese!F9*0.0075))</f>
        <v/>
      </c>
      <c r="F10" s="39" t="str">
        <f>IF(Tableau5[[#This Row],[Site]]="","",IF(Synthese!H9="",0,Synthese!H9/100))</f>
        <v/>
      </c>
      <c r="G10" s="34" t="str">
        <f>IF(Tableau5[[#This Row],[Site]]="","",IF(Synthese!E9="",0,Synthese!E9))</f>
        <v/>
      </c>
      <c r="H10" s="34" t="str">
        <f>IF(Tableau5[[#This Row],[Site]]="","",IF(Synthese!G9="",0,Synthese!G9*2.25))</f>
        <v/>
      </c>
      <c r="I10" s="34" t="str">
        <f>IF(Tableau5[[#This Row],[Site]]="","",(E10+G10+H10))</f>
        <v/>
      </c>
      <c r="J10" s="36" t="str">
        <f>IF(Tableau5[[#This Row],[Site]]="","",SUM(Synthese!M9,Synthese!O9,Synthese!Q9,Synthese!S9,Synthese!G9*600,Synthese!T9*80,Synthese!W9*45))</f>
        <v/>
      </c>
      <c r="K10" s="37" t="str">
        <f>IF(Synthese!I9="Tonneau",(Synthese!E9*Synthese!J9)/9,IF(Synthese!J9="","",(Synthese!J9*Synthese!E9)))</f>
        <v/>
      </c>
      <c r="L10" s="38" t="str">
        <f>IF(Tableau5[[#This Row],[Site]]="","",Synthese!F9*Synthese!K9)</f>
        <v/>
      </c>
      <c r="M10" s="37" t="str">
        <f>IF(Tableau5[[#This Row],[Site]]="","",I10*3.91)</f>
        <v/>
      </c>
    </row>
    <row r="11" spans="1:13" ht="16.5" customHeight="1" x14ac:dyDescent="0.35">
      <c r="A11" s="29" t="str">
        <f>IF(Synthese!A10="","",Synthese!A10)</f>
        <v/>
      </c>
      <c r="B11" s="29" t="str">
        <f>IF(Synthese!B10="","",Synthese!B10)</f>
        <v/>
      </c>
      <c r="C11" s="33" t="str">
        <f>IF(Tableau5[[#This Row],[Site]]="","",Synthese!C10)</f>
        <v/>
      </c>
      <c r="D11" s="33" t="str">
        <f>IF(Tableau5[[#This Row],[Site]]="","",Synthese!D10)</f>
        <v/>
      </c>
      <c r="E11" s="34" t="str">
        <f>IF(Tableau5[[#This Row],[Site]]="","",IF(Synthese!F10="",0,Synthese!F10*0.0075))</f>
        <v/>
      </c>
      <c r="F11" s="39" t="str">
        <f>IF(Tableau5[[#This Row],[Site]]="","",IF(Synthese!H10="",0,Synthese!H10/100))</f>
        <v/>
      </c>
      <c r="G11" s="34" t="str">
        <f>IF(Tableau5[[#This Row],[Site]]="","",IF(Synthese!E10="",0,Synthese!E10))</f>
        <v/>
      </c>
      <c r="H11" s="34" t="str">
        <f>IF(Tableau5[[#This Row],[Site]]="","",IF(Synthese!G10="",0,Synthese!G10*2.25))</f>
        <v/>
      </c>
      <c r="I11" s="34" t="str">
        <f>IF(Tableau5[[#This Row],[Site]]="","",(E11+G11+H11))</f>
        <v/>
      </c>
      <c r="J11" s="36" t="str">
        <f>IF(Tableau5[[#This Row],[Site]]="","",SUM(Synthese!M10,Synthese!O10,Synthese!Q10,Synthese!S10,Synthese!G10*600,Synthese!T10*80,Synthese!W10*45))</f>
        <v/>
      </c>
      <c r="K11" s="37" t="str">
        <f>IF(Synthese!I10="Tonneau",(Synthese!E10*Synthese!J10)/9,IF(Synthese!J10="","",(Synthese!J10*Synthese!E10)))</f>
        <v/>
      </c>
      <c r="L11" s="38" t="str">
        <f>IF(Tableau5[[#This Row],[Site]]="","",Synthese!F10*Synthese!K10)</f>
        <v/>
      </c>
      <c r="M11" s="37" t="str">
        <f>IF(Tableau5[[#This Row],[Site]]="","",I11*3.91)</f>
        <v/>
      </c>
    </row>
    <row r="12" spans="1:13" ht="16.5" customHeight="1" x14ac:dyDescent="0.35">
      <c r="A12" s="29" t="str">
        <f>IF(Synthese!A11="","",Synthese!A11)</f>
        <v/>
      </c>
      <c r="B12" s="29" t="str">
        <f>IF(Synthese!B11="","",Synthese!B11)</f>
        <v/>
      </c>
      <c r="C12" s="33" t="str">
        <f>IF(Tableau5[[#This Row],[Site]]="","",Synthese!C11)</f>
        <v/>
      </c>
      <c r="D12" s="33" t="str">
        <f>IF(Tableau5[[#This Row],[Site]]="","",Synthese!D11)</f>
        <v/>
      </c>
      <c r="E12" s="34" t="str">
        <f>IF(Tableau5[[#This Row],[Site]]="","",IF(Synthese!F11="",0,Synthese!F11*0.0075))</f>
        <v/>
      </c>
      <c r="F12" s="39" t="str">
        <f>IF(Tableau5[[#This Row],[Site]]="","",IF(Synthese!H11="",0,Synthese!H11/100))</f>
        <v/>
      </c>
      <c r="G12" s="34" t="str">
        <f>IF(Tableau5[[#This Row],[Site]]="","",IF(Synthese!E11="",0,Synthese!E11))</f>
        <v/>
      </c>
      <c r="H12" s="34" t="str">
        <f>IF(Tableau5[[#This Row],[Site]]="","",IF(Synthese!G11="",0,Synthese!G11*2.25))</f>
        <v/>
      </c>
      <c r="I12" s="34" t="str">
        <f>IF(Tableau5[[#This Row],[Site]]="","",(E12+G12+H12))</f>
        <v/>
      </c>
      <c r="J12" s="36" t="str">
        <f>IF(Tableau5[[#This Row],[Site]]="","",SUM(Synthese!M11,Synthese!O11,Synthese!Q11,Synthese!S11,Synthese!G11*600,Synthese!T11*80,Synthese!W11*45))</f>
        <v/>
      </c>
      <c r="K12" s="37" t="str">
        <f>IF(Synthese!I11="Tonneau",(Synthese!E11*Synthese!J11)/9,IF(Synthese!J11="","",(Synthese!J11*Synthese!E11)))</f>
        <v/>
      </c>
      <c r="L12" s="38" t="str">
        <f>IF(Tableau5[[#This Row],[Site]]="","",Synthese!F11*Synthese!K11)</f>
        <v/>
      </c>
      <c r="M12" s="37" t="str">
        <f>IF(Tableau5[[#This Row],[Site]]="","",I12*3.91)</f>
        <v/>
      </c>
    </row>
    <row r="13" spans="1:13" ht="16.5" customHeight="1" x14ac:dyDescent="0.35">
      <c r="A13" s="29" t="str">
        <f>IF(Synthese!A12="","",Synthese!A12)</f>
        <v/>
      </c>
      <c r="B13" s="29" t="str">
        <f>IF(Synthese!B12="","",Synthese!B12)</f>
        <v/>
      </c>
      <c r="C13" s="33" t="str">
        <f>IF(Tableau5[[#This Row],[Site]]="","",Synthese!C12)</f>
        <v/>
      </c>
      <c r="D13" s="33" t="str">
        <f>IF(Tableau5[[#This Row],[Site]]="","",Synthese!D12)</f>
        <v/>
      </c>
      <c r="E13" s="34" t="str">
        <f>IF(Tableau5[[#This Row],[Site]]="","",IF(Synthese!F12="",0,Synthese!F12*0.0075))</f>
        <v/>
      </c>
      <c r="F13" s="39" t="str">
        <f>IF(Tableau5[[#This Row],[Site]]="","",IF(Synthese!H12="",0,Synthese!H12/100))</f>
        <v/>
      </c>
      <c r="G13" s="34" t="str">
        <f>IF(Tableau5[[#This Row],[Site]]="","",IF(Synthese!E12="",0,Synthese!E12))</f>
        <v/>
      </c>
      <c r="H13" s="34" t="str">
        <f>IF(Tableau5[[#This Row],[Site]]="","",IF(Synthese!G12="",0,Synthese!G12*2.25))</f>
        <v/>
      </c>
      <c r="I13" s="34" t="str">
        <f>IF(Tableau5[[#This Row],[Site]]="","",(E13+G13+H13))</f>
        <v/>
      </c>
      <c r="J13" s="36" t="str">
        <f>IF(Tableau5[[#This Row],[Site]]="","",SUM(Synthese!M12,Synthese!O12,Synthese!Q12,Synthese!S12,Synthese!G12*600,Synthese!T12*80,Synthese!W12*45))</f>
        <v/>
      </c>
      <c r="K13" s="37" t="str">
        <f>IF(Synthese!I12="Tonneau",(Synthese!E12*Synthese!J12)/9,IF(Synthese!J12="","",(Synthese!J12*Synthese!E12)))</f>
        <v/>
      </c>
      <c r="L13" s="38" t="str">
        <f>IF(Tableau5[[#This Row],[Site]]="","",Synthese!F12*Synthese!K12)</f>
        <v/>
      </c>
      <c r="M13" s="37" t="str">
        <f>IF(Tableau5[[#This Row],[Site]]="","",I13*3.91)</f>
        <v/>
      </c>
    </row>
    <row r="14" spans="1:13" ht="16.5" customHeight="1" x14ac:dyDescent="0.35">
      <c r="A14" s="29" t="str">
        <f>IF(Synthese!A13="","",Synthese!A13)</f>
        <v/>
      </c>
      <c r="B14" s="29" t="str">
        <f>IF(Synthese!B13="","",Synthese!B13)</f>
        <v/>
      </c>
      <c r="C14" s="33" t="str">
        <f>IF(Tableau5[[#This Row],[Site]]="","",Synthese!C13)</f>
        <v/>
      </c>
      <c r="D14" s="33" t="str">
        <f>IF(Tableau5[[#This Row],[Site]]="","",Synthese!D13)</f>
        <v/>
      </c>
      <c r="E14" s="34" t="str">
        <f>IF(Tableau5[[#This Row],[Site]]="","",IF(Synthese!F13="",0,Synthese!F13*0.0075))</f>
        <v/>
      </c>
      <c r="F14" s="39" t="str">
        <f>IF(Tableau5[[#This Row],[Site]]="","",IF(Synthese!H13="",0,Synthese!H13/100))</f>
        <v/>
      </c>
      <c r="G14" s="34" t="str">
        <f>IF(Tableau5[[#This Row],[Site]]="","",IF(Synthese!E13="",0,Synthese!E13))</f>
        <v/>
      </c>
      <c r="H14" s="34" t="str">
        <f>IF(Tableau5[[#This Row],[Site]]="","",IF(Synthese!G13="",0,Synthese!G13*2.25))</f>
        <v/>
      </c>
      <c r="I14" s="34" t="str">
        <f>IF(Tableau5[[#This Row],[Site]]="","",(E14+G14+H14))</f>
        <v/>
      </c>
      <c r="J14" s="36" t="str">
        <f>IF(Tableau5[[#This Row],[Site]]="","",SUM(Synthese!M13,Synthese!O13,Synthese!Q13,Synthese!S13,Synthese!G13*600,Synthese!T13*80,Synthese!W13*45))</f>
        <v/>
      </c>
      <c r="K14" s="37" t="str">
        <f>IF(Synthese!I13="Tonneau",(Synthese!E13*Synthese!J13)/9,IF(Synthese!J13="","",(Synthese!J13*Synthese!E13)))</f>
        <v/>
      </c>
      <c r="L14" s="38" t="str">
        <f>IF(Tableau5[[#This Row],[Site]]="","",Synthese!F13*Synthese!K13)</f>
        <v/>
      </c>
      <c r="M14" s="37" t="str">
        <f>IF(Tableau5[[#This Row],[Site]]="","",I14*3.91)</f>
        <v/>
      </c>
    </row>
    <row r="15" spans="1:13" ht="16.5" customHeight="1" x14ac:dyDescent="0.35">
      <c r="A15" s="29" t="str">
        <f>IF(Synthese!A14="","",Synthese!A14)</f>
        <v/>
      </c>
      <c r="B15" s="29" t="str">
        <f>IF(Synthese!B14="","",Synthese!B14)</f>
        <v/>
      </c>
      <c r="C15" s="33" t="str">
        <f>IF(Tableau5[[#This Row],[Site]]="","",Synthese!C14)</f>
        <v/>
      </c>
      <c r="D15" s="33" t="str">
        <f>IF(Tableau5[[#This Row],[Site]]="","",Synthese!D14)</f>
        <v/>
      </c>
      <c r="E15" s="34" t="str">
        <f>IF(Tableau5[[#This Row],[Site]]="","",IF(Synthese!F14="",0,Synthese!F14*0.0075))</f>
        <v/>
      </c>
      <c r="F15" s="39" t="str">
        <f>IF(Tableau5[[#This Row],[Site]]="","",IF(Synthese!H14="",0,Synthese!H14/100))</f>
        <v/>
      </c>
      <c r="G15" s="34" t="str">
        <f>IF(Tableau5[[#This Row],[Site]]="","",IF(Synthese!E14="",0,Synthese!E14))</f>
        <v/>
      </c>
      <c r="H15" s="34" t="str">
        <f>IF(Tableau5[[#This Row],[Site]]="","",IF(Synthese!G14="",0,Synthese!G14*2.25))</f>
        <v/>
      </c>
      <c r="I15" s="34" t="str">
        <f>IF(Tableau5[[#This Row],[Site]]="","",(E15+G15+H15))</f>
        <v/>
      </c>
      <c r="J15" s="36" t="str">
        <f>IF(Tableau5[[#This Row],[Site]]="","",SUM(Synthese!M14,Synthese!O14,Synthese!Q14,Synthese!S14,Synthese!G14*600,Synthese!T14*80,Synthese!W14*45))</f>
        <v/>
      </c>
      <c r="K15" s="37" t="str">
        <f>IF(Synthese!I14="Tonneau",(Synthese!E14*Synthese!J14)/9,IF(Synthese!J14="","",(Synthese!J14*Synthese!E14)))</f>
        <v/>
      </c>
      <c r="L15" s="38" t="str">
        <f>IF(Tableau5[[#This Row],[Site]]="","",Synthese!F14*Synthese!K14)</f>
        <v/>
      </c>
      <c r="M15" s="37" t="str">
        <f>IF(Tableau5[[#This Row],[Site]]="","",I15*3.91)</f>
        <v/>
      </c>
    </row>
    <row r="16" spans="1:13" ht="16.5" customHeight="1" x14ac:dyDescent="0.35">
      <c r="A16" s="30" t="str">
        <f>IF(Synthese!A15="","",Synthese!A15)</f>
        <v/>
      </c>
      <c r="B16" s="30" t="str">
        <f>IF(Synthese!B15="","",Synthese!B15)</f>
        <v/>
      </c>
      <c r="C16" s="40" t="str">
        <f>IF(Tableau5[[#This Row],[Site]]="","",Synthese!C15)</f>
        <v/>
      </c>
      <c r="D16" s="40" t="str">
        <f>IF(Tableau5[[#This Row],[Site]]="","",Synthese!D15)</f>
        <v/>
      </c>
      <c r="E16" s="34" t="str">
        <f>IF(Tableau5[[#This Row],[Site]]="","",IF(Synthese!F15="",0,Synthese!F15*0.0075))</f>
        <v/>
      </c>
      <c r="F16" s="39" t="str">
        <f>IF(Tableau5[[#This Row],[Site]]="","",IF(Synthese!H15="",0,Synthese!H15/100))</f>
        <v/>
      </c>
      <c r="G16" s="34" t="str">
        <f>IF(Tableau5[[#This Row],[Site]]="","",IF(Synthese!E15="",0,Synthese!E15))</f>
        <v/>
      </c>
      <c r="H16" s="34" t="str">
        <f>IF(Tableau5[[#This Row],[Site]]="","",IF(Synthese!G15="",0,Synthese!G15*2.25))</f>
        <v/>
      </c>
      <c r="I16" s="34" t="str">
        <f>IF(Tableau5[[#This Row],[Site]]="","",(E16+G16+H16))</f>
        <v/>
      </c>
      <c r="J16" s="36" t="str">
        <f>IF(Tableau5[[#This Row],[Site]]="","",SUM(Synthese!M15,Synthese!O15,Synthese!Q15,Synthese!S15,Synthese!G15*600,Synthese!T15*80,Synthese!W15*45))</f>
        <v/>
      </c>
      <c r="K16" s="37" t="str">
        <f>IF(Synthese!I15="Tonneau",(Synthese!E15*Synthese!J15)/9,IF(Synthese!J15="","",(Synthese!J15*Synthese!E15)))</f>
        <v/>
      </c>
      <c r="L16" s="41" t="str">
        <f>IF(Tableau5[[#This Row],[Site]]="","",Synthese!F15*Synthese!K15)</f>
        <v/>
      </c>
      <c r="M16" s="37" t="str">
        <f>IF(Tableau5[[#This Row],[Site]]="","",I16*3.91)</f>
        <v/>
      </c>
    </row>
    <row r="17" spans="1:13" ht="16.5" customHeight="1" x14ac:dyDescent="0.35">
      <c r="A17" s="30" t="str">
        <f>IF(Synthese!A16="","",Synthese!A16)</f>
        <v/>
      </c>
      <c r="B17" s="30" t="str">
        <f>IF(Synthese!B16="","",Synthese!B16)</f>
        <v/>
      </c>
      <c r="C17" s="40" t="str">
        <f>IF(Tableau5[[#This Row],[Site]]="","",Synthese!C16)</f>
        <v/>
      </c>
      <c r="D17" s="40" t="str">
        <f>IF(Tableau5[[#This Row],[Site]]="","",Synthese!D16)</f>
        <v/>
      </c>
      <c r="E17" s="34" t="str">
        <f>IF(Tableau5[[#This Row],[Site]]="","",IF(Synthese!F16="",0,Synthese!F16*0.0075))</f>
        <v/>
      </c>
      <c r="F17" s="39" t="str">
        <f>IF(Tableau5[[#This Row],[Site]]="","",IF(Synthese!H16="",0,Synthese!H16/100))</f>
        <v/>
      </c>
      <c r="G17" s="34" t="str">
        <f>IF(Tableau5[[#This Row],[Site]]="","",IF(Synthese!E16="",0,Synthese!E16))</f>
        <v/>
      </c>
      <c r="H17" s="34" t="str">
        <f>IF(Tableau5[[#This Row],[Site]]="","",IF(Synthese!G16="",0,Synthese!G16*2.25))</f>
        <v/>
      </c>
      <c r="I17" s="34" t="str">
        <f>IF(Tableau5[[#This Row],[Site]]="","",(E17+G17+H17))</f>
        <v/>
      </c>
      <c r="J17" s="36" t="str">
        <f>IF(Tableau5[[#This Row],[Site]]="","",SUM(Synthese!M16,Synthese!O16,Synthese!Q16,Synthese!S16,Synthese!G16*600,Synthese!T16*80,Synthese!W16*45))</f>
        <v/>
      </c>
      <c r="K17" s="37" t="str">
        <f>IF(Synthese!I16="Tonneau",(Synthese!E16*Synthese!J16)/9,IF(Synthese!J16="","",(Synthese!J16*Synthese!E16)))</f>
        <v/>
      </c>
      <c r="L17" s="41" t="str">
        <f>IF(Tableau5[[#This Row],[Site]]="","",Synthese!F16*Synthese!K16)</f>
        <v/>
      </c>
      <c r="M17" s="37" t="str">
        <f>IF(Tableau5[[#This Row],[Site]]="","",I17*3.91)</f>
        <v/>
      </c>
    </row>
    <row r="18" spans="1:13" ht="16.5" customHeight="1" x14ac:dyDescent="0.35">
      <c r="A18" s="30" t="str">
        <f>IF(Synthese!A17="","",Synthese!A17)</f>
        <v/>
      </c>
      <c r="B18" s="30" t="str">
        <f>IF(Synthese!B17="","",Synthese!B17)</f>
        <v/>
      </c>
      <c r="C18" s="40" t="str">
        <f>IF(Tableau5[[#This Row],[Site]]="","",Synthese!C17)</f>
        <v/>
      </c>
      <c r="D18" s="40" t="str">
        <f>IF(Tableau5[[#This Row],[Site]]="","",Synthese!D17)</f>
        <v/>
      </c>
      <c r="E18" s="34" t="str">
        <f>IF(Tableau5[[#This Row],[Site]]="","",IF(Synthese!F17="",0,Synthese!F17*0.0075))</f>
        <v/>
      </c>
      <c r="F18" s="39" t="str">
        <f>IF(Tableau5[[#This Row],[Site]]="","",IF(Synthese!H17="",0,Synthese!H17/100))</f>
        <v/>
      </c>
      <c r="G18" s="34" t="str">
        <f>IF(Tableau5[[#This Row],[Site]]="","",IF(Synthese!E17="",0,Synthese!E17))</f>
        <v/>
      </c>
      <c r="H18" s="34" t="str">
        <f>IF(Tableau5[[#This Row],[Site]]="","",IF(Synthese!G17="",0,Synthese!G17*2.25))</f>
        <v/>
      </c>
      <c r="I18" s="34" t="str">
        <f>IF(Tableau5[[#This Row],[Site]]="","",(E18+G18+H18))</f>
        <v/>
      </c>
      <c r="J18" s="36" t="str">
        <f>IF(Tableau5[[#This Row],[Site]]="","",SUM(Synthese!M17,Synthese!O17,Synthese!Q17,Synthese!S17,Synthese!G17*600,Synthese!T17*80,Synthese!W17*45))</f>
        <v/>
      </c>
      <c r="K18" s="37" t="str">
        <f>IF(Synthese!I17="Tonneau",(Synthese!E17*Synthese!J17)/9,IF(Synthese!J17="","",(Synthese!J17*Synthese!E17)))</f>
        <v/>
      </c>
      <c r="L18" s="41" t="str">
        <f>IF(Tableau5[[#This Row],[Site]]="","",Synthese!F17*Synthese!K17)</f>
        <v/>
      </c>
      <c r="M18" s="37" t="str">
        <f>IF(Tableau5[[#This Row],[Site]]="","",I18*3.91)</f>
        <v/>
      </c>
    </row>
    <row r="19" spans="1:13" ht="19.5" customHeight="1" x14ac:dyDescent="0.35">
      <c r="A19" s="26" t="s">
        <v>34</v>
      </c>
      <c r="B19" s="28"/>
      <c r="C19" s="26"/>
      <c r="D19" s="26"/>
      <c r="E19" s="42">
        <f>SUBTOTAL(109,Tableau5[HL BTES])</f>
        <v>1672.5</v>
      </c>
      <c r="F19" s="42"/>
      <c r="G19" s="42">
        <f>SUBTOTAL(109,Tableau5[HL VRAC])</f>
        <v>0</v>
      </c>
      <c r="H19" s="42">
        <f>SUBTOTAL(109,Tableau5[HL BARRIQUE])</f>
        <v>27</v>
      </c>
      <c r="I19" s="42">
        <f>SUBTOTAL(109,Tableau5[HL Total / bat])</f>
        <v>3499.5</v>
      </c>
      <c r="J19" s="43">
        <f>SUBTOTAL(109,Tableau5[Valeur Materiel])</f>
        <v>324700</v>
      </c>
      <c r="K19" s="43">
        <f>SUBTOTAL(109,Tableau5[Valeur Vin Vrac])</f>
        <v>250000</v>
      </c>
      <c r="L19" s="44">
        <f>SUBTOTAL(109,Tableau5[Valeur Vin Btes])</f>
        <v>2349000</v>
      </c>
      <c r="M19" s="43">
        <f>SUBTOTAL(109,Tableau5[Droits et Taxes])</f>
        <v>13683.045</v>
      </c>
    </row>
  </sheetData>
  <sheetProtection selectLockedCells="1" autoFilter="0" selectUnlockedCells="1"/>
  <pageMargins left="0.25" right="0.25" top="0.75" bottom="0.75" header="0.3" footer="0.3"/>
  <pageSetup paperSize="9" orientation="landscape" r:id="rId1"/>
  <headerFooter>
    <oddHeader>&amp;L&amp;G&amp;R&amp;"-,Gras"&amp;12&amp;D</oddHead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0"/>
  <sheetViews>
    <sheetView workbookViewId="0">
      <selection activeCell="A6" sqref="A6"/>
    </sheetView>
  </sheetViews>
  <sheetFormatPr baseColWidth="10" defaultRowHeight="14.5" outlineLevelCol="1" x14ac:dyDescent="0.35"/>
  <cols>
    <col min="1" max="1" width="21.453125" customWidth="1"/>
    <col min="2" max="2" width="7.26953125" style="2" customWidth="1"/>
    <col min="3" max="4" width="15.6328125" customWidth="1"/>
    <col min="5" max="5" width="8.7265625" style="14" hidden="1" customWidth="1" outlineLevel="1"/>
    <col min="6" max="6" width="10.1796875" style="8" hidden="1" customWidth="1" outlineLevel="1"/>
    <col min="7" max="7" width="11" style="10" hidden="1" customWidth="1" outlineLevel="1"/>
    <col min="8" max="8" width="7.54296875" style="15" hidden="1" customWidth="1" outlineLevel="1"/>
    <col min="9" max="9" width="11.90625" style="2" hidden="1" customWidth="1" outlineLevel="1"/>
    <col min="10" max="10" width="20" style="5" customWidth="1" collapsed="1"/>
    <col min="11" max="11" width="13.1796875" style="5" customWidth="1"/>
    <col min="12" max="12" width="19.26953125" hidden="1" customWidth="1" outlineLevel="1"/>
    <col min="13" max="13" width="13.81640625" style="5" hidden="1" customWidth="1" outlineLevel="1"/>
    <col min="14" max="14" width="16.54296875" hidden="1" customWidth="1" outlineLevel="1"/>
    <col min="15" max="15" width="13.81640625" style="5" hidden="1" customWidth="1" outlineLevel="1"/>
    <col min="16" max="16" width="16.54296875" hidden="1" customWidth="1" outlineLevel="1"/>
    <col min="17" max="17" width="16.1796875" style="5" hidden="1" customWidth="1" outlineLevel="1"/>
    <col min="18" max="18" width="16.54296875" hidden="1" customWidth="1" outlineLevel="1"/>
    <col min="19" max="19" width="16.1796875" style="5" hidden="1" customWidth="1" outlineLevel="1"/>
    <col min="20" max="20" width="16.1796875" hidden="1" customWidth="1" outlineLevel="1"/>
    <col min="21" max="21" width="39.90625" customWidth="1" collapsed="1"/>
  </cols>
  <sheetData>
    <row r="1" spans="1:23" s="4" customFormat="1" ht="40" customHeight="1" x14ac:dyDescent="0.35">
      <c r="A1" s="3" t="s">
        <v>22</v>
      </c>
      <c r="B1" s="6" t="s">
        <v>21</v>
      </c>
      <c r="C1" s="6" t="s">
        <v>13</v>
      </c>
      <c r="D1" s="6" t="s">
        <v>32</v>
      </c>
      <c r="E1" s="13" t="s">
        <v>14</v>
      </c>
      <c r="F1" s="6" t="s">
        <v>15</v>
      </c>
      <c r="G1" s="9" t="s">
        <v>16</v>
      </c>
      <c r="H1" s="16" t="s">
        <v>17</v>
      </c>
      <c r="I1" s="6" t="s">
        <v>18</v>
      </c>
      <c r="J1" s="7" t="s">
        <v>19</v>
      </c>
      <c r="K1" s="17" t="s">
        <v>20</v>
      </c>
      <c r="L1" s="6" t="s">
        <v>23</v>
      </c>
      <c r="M1" s="17" t="s">
        <v>24</v>
      </c>
      <c r="N1" s="6" t="s">
        <v>26</v>
      </c>
      <c r="O1" s="17" t="s">
        <v>27</v>
      </c>
      <c r="P1" s="6" t="s">
        <v>30</v>
      </c>
      <c r="Q1" s="17" t="s">
        <v>28</v>
      </c>
      <c r="R1" s="6" t="s">
        <v>31</v>
      </c>
      <c r="S1" s="17" t="s">
        <v>29</v>
      </c>
      <c r="T1" s="6" t="s">
        <v>25</v>
      </c>
      <c r="U1" s="1" t="s">
        <v>33</v>
      </c>
      <c r="V1" s="31" t="s">
        <v>46</v>
      </c>
      <c r="W1" s="4" t="s">
        <v>47</v>
      </c>
    </row>
    <row r="2" spans="1:23" x14ac:dyDescent="0.35">
      <c r="A2" t="s">
        <v>35</v>
      </c>
      <c r="F2" s="10"/>
      <c r="J2" s="11"/>
    </row>
    <row r="3" spans="1:23" x14ac:dyDescent="0.35">
      <c r="A3" s="19" t="s">
        <v>48</v>
      </c>
      <c r="B3" s="20">
        <v>1</v>
      </c>
      <c r="C3" s="19" t="s">
        <v>49</v>
      </c>
      <c r="D3" s="19" t="s">
        <v>2</v>
      </c>
      <c r="E3" s="21" t="s">
        <v>50</v>
      </c>
      <c r="F3" s="22">
        <v>100000</v>
      </c>
      <c r="G3" s="22">
        <v>12</v>
      </c>
      <c r="H3" s="23">
        <v>100</v>
      </c>
      <c r="I3" s="20" t="s">
        <v>11</v>
      </c>
      <c r="J3" s="47">
        <v>1000</v>
      </c>
      <c r="K3" s="48">
        <v>3</v>
      </c>
      <c r="L3" s="19" t="s">
        <v>51</v>
      </c>
      <c r="M3" s="48">
        <v>1000</v>
      </c>
      <c r="N3" s="19" t="s">
        <v>52</v>
      </c>
      <c r="O3" s="48">
        <v>2000</v>
      </c>
      <c r="P3" s="19" t="s">
        <v>53</v>
      </c>
      <c r="Q3" s="48">
        <v>30000</v>
      </c>
      <c r="R3" s="19" t="s">
        <v>54</v>
      </c>
      <c r="S3" s="48">
        <v>10000</v>
      </c>
      <c r="T3" s="19">
        <v>2000</v>
      </c>
      <c r="U3" s="19" t="s">
        <v>55</v>
      </c>
      <c r="V3" t="s">
        <v>48</v>
      </c>
      <c r="W3">
        <v>100</v>
      </c>
    </row>
    <row r="4" spans="1:23" x14ac:dyDescent="0.35">
      <c r="A4" s="19" t="s">
        <v>48</v>
      </c>
      <c r="B4" s="20">
        <v>3</v>
      </c>
      <c r="C4" s="19" t="s">
        <v>49</v>
      </c>
      <c r="D4" s="19" t="s">
        <v>3</v>
      </c>
      <c r="E4" s="21" t="s">
        <v>56</v>
      </c>
      <c r="F4" s="22">
        <v>3000</v>
      </c>
      <c r="G4" s="22"/>
      <c r="H4" s="23">
        <v>70</v>
      </c>
      <c r="I4" s="20" t="s">
        <v>11</v>
      </c>
      <c r="J4" s="47">
        <v>1000</v>
      </c>
      <c r="K4" s="48">
        <v>3</v>
      </c>
      <c r="L4" s="19" t="s">
        <v>57</v>
      </c>
      <c r="M4" s="48"/>
      <c r="N4" s="19" t="s">
        <v>57</v>
      </c>
      <c r="O4" s="48"/>
      <c r="P4" s="19" t="s">
        <v>57</v>
      </c>
      <c r="Q4" s="48"/>
      <c r="R4" s="19" t="s">
        <v>57</v>
      </c>
      <c r="S4" s="48"/>
      <c r="T4" s="19"/>
      <c r="U4" s="19" t="s">
        <v>57</v>
      </c>
      <c r="V4" t="s">
        <v>48</v>
      </c>
    </row>
    <row r="5" spans="1:23" x14ac:dyDescent="0.35">
      <c r="A5" s="19" t="s">
        <v>48</v>
      </c>
      <c r="B5" s="20">
        <v>1</v>
      </c>
      <c r="C5" s="19" t="s">
        <v>49</v>
      </c>
      <c r="D5" s="19" t="s">
        <v>5</v>
      </c>
      <c r="E5" s="21" t="s">
        <v>58</v>
      </c>
      <c r="F5" s="22"/>
      <c r="G5" s="22"/>
      <c r="H5" s="23"/>
      <c r="I5" s="20" t="s">
        <v>11</v>
      </c>
      <c r="J5" s="47">
        <v>1000</v>
      </c>
      <c r="K5" s="48"/>
      <c r="L5" s="19" t="s">
        <v>57</v>
      </c>
      <c r="M5" s="48"/>
      <c r="N5" s="19" t="s">
        <v>57</v>
      </c>
      <c r="O5" s="48"/>
      <c r="P5" s="19" t="s">
        <v>57</v>
      </c>
      <c r="Q5" s="48"/>
      <c r="R5" s="19" t="s">
        <v>57</v>
      </c>
      <c r="S5" s="48"/>
      <c r="T5" s="19"/>
      <c r="U5" s="19" t="s">
        <v>57</v>
      </c>
      <c r="V5" t="s">
        <v>48</v>
      </c>
    </row>
    <row r="6" spans="1:23" x14ac:dyDescent="0.35">
      <c r="A6" s="19" t="s">
        <v>59</v>
      </c>
      <c r="B6" s="20">
        <v>1</v>
      </c>
      <c r="C6" s="19" t="s">
        <v>60</v>
      </c>
      <c r="D6" s="19" t="s">
        <v>2</v>
      </c>
      <c r="E6" s="21" t="s">
        <v>61</v>
      </c>
      <c r="F6" s="22">
        <v>120000</v>
      </c>
      <c r="G6" s="22"/>
      <c r="H6" s="23">
        <v>100</v>
      </c>
      <c r="I6" s="20" t="s">
        <v>11</v>
      </c>
      <c r="J6" s="47">
        <v>2500</v>
      </c>
      <c r="K6" s="48">
        <v>17</v>
      </c>
      <c r="L6" s="19" t="s">
        <v>53</v>
      </c>
      <c r="M6" s="48">
        <v>30000</v>
      </c>
      <c r="N6" s="19" t="s">
        <v>57</v>
      </c>
      <c r="O6" s="48"/>
      <c r="P6" s="19" t="s">
        <v>57</v>
      </c>
      <c r="Q6" s="48"/>
      <c r="R6" s="19" t="s">
        <v>57</v>
      </c>
      <c r="S6" s="48"/>
      <c r="T6" s="19">
        <v>1000</v>
      </c>
      <c r="U6" s="19" t="s">
        <v>55</v>
      </c>
      <c r="V6" t="s">
        <v>48</v>
      </c>
    </row>
    <row r="7" spans="1:23" x14ac:dyDescent="0.35">
      <c r="A7" s="19"/>
      <c r="B7" s="20"/>
      <c r="C7" s="19"/>
      <c r="D7" s="19"/>
      <c r="E7" s="21"/>
      <c r="F7" s="25"/>
      <c r="G7" s="22"/>
      <c r="H7" s="23"/>
      <c r="I7" s="20"/>
      <c r="J7" s="24"/>
      <c r="K7" s="24"/>
      <c r="L7" s="19"/>
      <c r="M7" s="24"/>
      <c r="N7" s="19"/>
      <c r="O7" s="24"/>
      <c r="P7" s="19"/>
      <c r="Q7" s="24"/>
      <c r="R7" s="19"/>
      <c r="S7" s="24"/>
      <c r="T7" s="19"/>
      <c r="U7" s="19"/>
    </row>
    <row r="8" spans="1:23" x14ac:dyDescent="0.35">
      <c r="A8" s="19"/>
      <c r="B8" s="20"/>
      <c r="C8" s="19"/>
      <c r="D8" s="19"/>
      <c r="E8" s="21"/>
      <c r="F8" s="25"/>
      <c r="G8" s="22"/>
      <c r="H8" s="23"/>
      <c r="I8" s="20"/>
      <c r="J8" s="24"/>
      <c r="K8" s="24"/>
      <c r="L8" s="19"/>
      <c r="M8" s="24"/>
      <c r="N8" s="19"/>
      <c r="O8" s="24"/>
      <c r="P8" s="19"/>
      <c r="Q8" s="24"/>
      <c r="R8" s="19"/>
      <c r="S8" s="24"/>
      <c r="T8" s="19"/>
      <c r="U8" s="19"/>
    </row>
    <row r="9" spans="1:23" x14ac:dyDescent="0.35">
      <c r="A9" s="19"/>
      <c r="B9" s="20"/>
      <c r="C9" s="19"/>
      <c r="D9" s="19"/>
      <c r="E9" s="21"/>
      <c r="F9" s="25"/>
      <c r="G9" s="22"/>
      <c r="H9" s="23"/>
      <c r="I9" s="20"/>
      <c r="J9" s="24"/>
      <c r="K9" s="24"/>
      <c r="L9" s="19"/>
      <c r="M9" s="24"/>
      <c r="N9" s="19"/>
      <c r="O9" s="24"/>
      <c r="P9" s="19"/>
      <c r="Q9" s="24"/>
      <c r="R9" s="19"/>
      <c r="S9" s="24"/>
      <c r="T9" s="19"/>
      <c r="U9" s="19"/>
    </row>
    <row r="10" spans="1:23" x14ac:dyDescent="0.35">
      <c r="A10" s="19"/>
      <c r="B10" s="20"/>
      <c r="C10" s="19"/>
      <c r="D10" s="19"/>
      <c r="E10" s="21"/>
      <c r="F10" s="25"/>
      <c r="G10" s="22"/>
      <c r="H10" s="23"/>
      <c r="I10" s="20"/>
      <c r="J10" s="24"/>
      <c r="K10" s="24"/>
      <c r="L10" s="19"/>
      <c r="M10" s="24"/>
      <c r="N10" s="19"/>
      <c r="O10" s="24"/>
      <c r="P10" s="19"/>
      <c r="Q10" s="24"/>
      <c r="R10" s="19"/>
      <c r="S10" s="24"/>
      <c r="T10" s="19"/>
      <c r="U10" s="19"/>
    </row>
    <row r="11" spans="1:23" x14ac:dyDescent="0.35">
      <c r="A11" s="19"/>
      <c r="B11" s="20"/>
      <c r="C11" s="19"/>
      <c r="D11" s="19"/>
      <c r="E11" s="21"/>
      <c r="F11" s="25"/>
      <c r="G11" s="22"/>
      <c r="H11" s="23"/>
      <c r="I11" s="20"/>
      <c r="J11" s="24"/>
      <c r="K11" s="24"/>
      <c r="L11" s="19"/>
      <c r="M11" s="24"/>
      <c r="N11" s="19"/>
      <c r="O11" s="24"/>
      <c r="P11" s="19"/>
      <c r="Q11" s="24"/>
      <c r="R11" s="19"/>
      <c r="S11" s="24"/>
      <c r="T11" s="19"/>
      <c r="U11" s="19"/>
    </row>
    <row r="12" spans="1:23" x14ac:dyDescent="0.35">
      <c r="A12" s="19"/>
      <c r="B12" s="20"/>
      <c r="C12" s="19"/>
      <c r="D12" s="19"/>
      <c r="E12" s="21"/>
      <c r="F12" s="25"/>
      <c r="G12" s="22"/>
      <c r="H12" s="23"/>
      <c r="I12" s="20"/>
      <c r="J12" s="24"/>
      <c r="K12" s="24"/>
      <c r="L12" s="19"/>
      <c r="M12" s="24"/>
      <c r="N12" s="19"/>
      <c r="O12" s="24"/>
      <c r="P12" s="19"/>
      <c r="Q12" s="24"/>
      <c r="R12" s="19"/>
      <c r="S12" s="24"/>
      <c r="T12" s="19"/>
      <c r="U12" s="19"/>
    </row>
    <row r="13" spans="1:23" x14ac:dyDescent="0.35">
      <c r="A13" s="19"/>
      <c r="B13" s="20"/>
      <c r="C13" s="19"/>
      <c r="D13" s="19"/>
      <c r="E13" s="21"/>
      <c r="F13" s="25"/>
      <c r="G13" s="22"/>
      <c r="H13" s="23"/>
      <c r="I13" s="20"/>
      <c r="J13" s="24"/>
      <c r="K13" s="24"/>
      <c r="L13" s="19"/>
      <c r="M13" s="24"/>
      <c r="N13" s="19"/>
      <c r="O13" s="24"/>
      <c r="P13" s="19"/>
      <c r="Q13" s="24"/>
      <c r="R13" s="19"/>
      <c r="S13" s="24"/>
      <c r="T13" s="19"/>
      <c r="U13" s="19"/>
    </row>
    <row r="14" spans="1:23" x14ac:dyDescent="0.35">
      <c r="A14" s="19"/>
      <c r="B14" s="20"/>
      <c r="C14" s="19"/>
      <c r="D14" s="19"/>
      <c r="E14" s="21"/>
      <c r="F14" s="25"/>
      <c r="G14" s="22"/>
      <c r="H14" s="23"/>
      <c r="I14" s="20"/>
      <c r="J14" s="24"/>
      <c r="K14" s="24"/>
      <c r="L14" s="19"/>
      <c r="M14" s="24"/>
      <c r="N14" s="19"/>
      <c r="O14" s="24"/>
      <c r="P14" s="19"/>
      <c r="Q14" s="24"/>
      <c r="R14" s="19"/>
      <c r="S14" s="24"/>
      <c r="T14" s="19"/>
      <c r="U14" s="19"/>
    </row>
    <row r="15" spans="1:23" x14ac:dyDescent="0.35">
      <c r="A15" s="19"/>
      <c r="B15" s="20"/>
      <c r="C15" s="19"/>
      <c r="D15" s="19"/>
      <c r="E15" s="21"/>
      <c r="F15" s="25"/>
      <c r="G15" s="22"/>
      <c r="H15" s="23"/>
      <c r="I15" s="20"/>
      <c r="J15" s="24"/>
      <c r="K15" s="24"/>
      <c r="L15" s="19"/>
      <c r="M15" s="24"/>
      <c r="N15" s="19"/>
      <c r="O15" s="24"/>
      <c r="P15" s="19"/>
      <c r="Q15" s="24"/>
      <c r="R15" s="19"/>
      <c r="S15" s="24"/>
      <c r="T15" s="19"/>
      <c r="U15" s="19"/>
    </row>
    <row r="16" spans="1:23" x14ac:dyDescent="0.35">
      <c r="A16" s="19"/>
      <c r="B16" s="20"/>
      <c r="C16" s="19"/>
      <c r="D16" s="19"/>
      <c r="E16" s="21"/>
      <c r="F16" s="25"/>
      <c r="G16" s="22"/>
      <c r="H16" s="23"/>
      <c r="I16" s="20"/>
      <c r="J16" s="24"/>
      <c r="K16" s="24"/>
      <c r="L16" s="19"/>
      <c r="M16" s="24"/>
      <c r="N16" s="19"/>
      <c r="O16" s="24"/>
      <c r="P16" s="19"/>
      <c r="Q16" s="24"/>
      <c r="R16" s="19"/>
      <c r="S16" s="24"/>
      <c r="T16" s="19"/>
      <c r="U16" s="19"/>
    </row>
    <row r="17" spans="1:21" x14ac:dyDescent="0.35">
      <c r="A17" s="19"/>
      <c r="B17" s="20"/>
      <c r="C17" s="19"/>
      <c r="D17" s="19"/>
      <c r="E17" s="21"/>
      <c r="F17" s="25"/>
      <c r="G17" s="22"/>
      <c r="H17" s="23"/>
      <c r="I17" s="20"/>
      <c r="J17" s="24"/>
      <c r="K17" s="24"/>
      <c r="L17" s="19"/>
      <c r="M17" s="24"/>
      <c r="N17" s="19"/>
      <c r="O17" s="24"/>
      <c r="P17" s="19"/>
      <c r="Q17" s="24"/>
      <c r="R17" s="19"/>
      <c r="S17" s="24"/>
      <c r="T17" s="19"/>
      <c r="U17" s="19"/>
    </row>
    <row r="18" spans="1:21" x14ac:dyDescent="0.35">
      <c r="A18" s="19"/>
      <c r="B18" s="20"/>
      <c r="C18" s="19"/>
      <c r="D18" s="19"/>
      <c r="E18" s="21"/>
      <c r="F18" s="25"/>
      <c r="G18" s="22"/>
      <c r="H18" s="23"/>
      <c r="I18" s="20"/>
      <c r="J18" s="24"/>
      <c r="K18" s="24"/>
      <c r="L18" s="19"/>
      <c r="M18" s="24"/>
      <c r="N18" s="19"/>
      <c r="O18" s="24"/>
      <c r="P18" s="19"/>
      <c r="Q18" s="24"/>
      <c r="R18" s="19"/>
      <c r="S18" s="24"/>
      <c r="T18" s="19"/>
      <c r="U18" s="19"/>
    </row>
    <row r="19" spans="1:21" x14ac:dyDescent="0.35">
      <c r="A19" s="19"/>
      <c r="B19" s="20"/>
      <c r="C19" s="19"/>
      <c r="D19" s="19"/>
      <c r="E19" s="21"/>
      <c r="F19" s="25"/>
      <c r="G19" s="22"/>
      <c r="H19" s="23"/>
      <c r="I19" s="20"/>
      <c r="J19" s="24"/>
      <c r="K19" s="24"/>
      <c r="L19" s="19"/>
      <c r="M19" s="24"/>
      <c r="N19" s="19"/>
      <c r="O19" s="24"/>
      <c r="P19" s="19"/>
      <c r="Q19" s="24"/>
      <c r="R19" s="19"/>
      <c r="S19" s="24"/>
      <c r="T19" s="19"/>
      <c r="U19" s="19"/>
    </row>
    <row r="20" spans="1:21" x14ac:dyDescent="0.35">
      <c r="A20" s="19"/>
      <c r="B20" s="20"/>
      <c r="C20" s="19"/>
      <c r="D20" s="19"/>
      <c r="E20" s="21"/>
      <c r="F20" s="25"/>
      <c r="G20" s="22"/>
      <c r="H20" s="23"/>
      <c r="I20" s="20"/>
      <c r="J20" s="24"/>
      <c r="K20" s="24"/>
      <c r="L20" s="19"/>
      <c r="M20" s="24"/>
      <c r="N20" s="19"/>
      <c r="O20" s="24"/>
      <c r="P20" s="19"/>
      <c r="Q20" s="24"/>
      <c r="R20" s="19"/>
      <c r="S20" s="24"/>
      <c r="T20" s="19"/>
      <c r="U20" s="1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"/>
  <sheetViews>
    <sheetView workbookViewId="0">
      <selection activeCell="E2" sqref="E2:E3"/>
    </sheetView>
  </sheetViews>
  <sheetFormatPr baseColWidth="10" defaultRowHeight="14.5" x14ac:dyDescent="0.35"/>
  <cols>
    <col min="1" max="1" width="20.36328125" customWidth="1"/>
    <col min="5" max="5" width="13" customWidth="1"/>
  </cols>
  <sheetData>
    <row r="1" spans="1:5" x14ac:dyDescent="0.35">
      <c r="A1" t="s">
        <v>1</v>
      </c>
      <c r="C1" t="s">
        <v>7</v>
      </c>
      <c r="E1" t="s">
        <v>10</v>
      </c>
    </row>
    <row r="2" spans="1:5" x14ac:dyDescent="0.35">
      <c r="A2" t="s">
        <v>2</v>
      </c>
      <c r="C2" t="s">
        <v>0</v>
      </c>
      <c r="E2" t="s">
        <v>11</v>
      </c>
    </row>
    <row r="3" spans="1:5" x14ac:dyDescent="0.35">
      <c r="A3" t="s">
        <v>3</v>
      </c>
      <c r="C3" t="s">
        <v>8</v>
      </c>
      <c r="E3" t="s">
        <v>12</v>
      </c>
    </row>
    <row r="4" spans="1:5" x14ac:dyDescent="0.35">
      <c r="A4" t="s">
        <v>4</v>
      </c>
      <c r="C4" t="s">
        <v>9</v>
      </c>
    </row>
    <row r="5" spans="1:5" x14ac:dyDescent="0.35">
      <c r="A5" t="s">
        <v>5</v>
      </c>
    </row>
    <row r="6" spans="1:5" x14ac:dyDescent="0.35">
      <c r="A6" t="s">
        <v>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CALCUL</vt:lpstr>
      <vt:lpstr>Synthese</vt:lpstr>
      <vt:lpstr>liste</vt:lpstr>
      <vt:lpstr>Couleur</vt:lpstr>
      <vt:lpstr>Regle</vt:lpstr>
      <vt:lpstr>type_prix</vt:lpstr>
    </vt:vector>
  </TitlesOfParts>
  <Company>Groupama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POINTIS Thomas</dc:creator>
  <cp:lastModifiedBy>POINTIS Thomas</cp:lastModifiedBy>
  <cp:lastPrinted>2021-01-14T11:41:34Z</cp:lastPrinted>
  <dcterms:created xsi:type="dcterms:W3CDTF">2021-01-13T12:08:25Z</dcterms:created>
  <dcterms:modified xsi:type="dcterms:W3CDTF">2021-01-15T11:36:02Z</dcterms:modified>
</cp:coreProperties>
</file>