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FONDENV\5.Energie\3. Relevé hebdomadaire\"/>
    </mc:Choice>
  </mc:AlternateContent>
  <bookViews>
    <workbookView xWindow="0" yWindow="0" windowWidth="22260" windowHeight="12645"/>
  </bookViews>
  <sheets>
    <sheet name="Conso Hebd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7" i="1" l="1"/>
  <c r="AJ32" i="1"/>
  <c r="AJ26" i="1"/>
  <c r="AJ28" i="1"/>
  <c r="AJ29" i="1"/>
  <c r="AJ30" i="1"/>
  <c r="AJ31" i="1"/>
  <c r="AJ33" i="1" l="1"/>
  <c r="AJ34" i="1"/>
  <c r="AJ35" i="1"/>
  <c r="AJ36" i="1"/>
  <c r="AJ37" i="1"/>
  <c r="AJ38" i="1"/>
  <c r="AJ39" i="1"/>
  <c r="AJ40" i="1"/>
  <c r="AJ41" i="1"/>
  <c r="Z26" i="1" l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AA27" i="1" l="1"/>
  <c r="AN40" i="1" l="1"/>
  <c r="AM40" i="1"/>
  <c r="AH41" i="1" l="1"/>
  <c r="Y41" i="1" l="1"/>
  <c r="AM41" i="1"/>
  <c r="AL41" i="1"/>
  <c r="AL38" i="1"/>
  <c r="AL39" i="1"/>
  <c r="AL40" i="1"/>
  <c r="AK41" i="1"/>
  <c r="AN34" i="1"/>
  <c r="AD41" i="1"/>
  <c r="AP41" i="1"/>
  <c r="AA41" i="1"/>
  <c r="AB41" i="1"/>
  <c r="AC41" i="1"/>
  <c r="AG41" i="1" l="1"/>
  <c r="AE41" i="1"/>
  <c r="AI41" i="1"/>
  <c r="AN41" i="1"/>
  <c r="AO41" i="1"/>
  <c r="AF41" i="1" l="1"/>
  <c r="AP33" i="1" l="1"/>
  <c r="AP34" i="1"/>
  <c r="AP35" i="1"/>
  <c r="AP36" i="1"/>
  <c r="AP37" i="1"/>
  <c r="AP38" i="1"/>
  <c r="AP39" i="1"/>
  <c r="AP40" i="1"/>
  <c r="AO33" i="1"/>
  <c r="AO34" i="1"/>
  <c r="AO35" i="1"/>
  <c r="AO36" i="1"/>
  <c r="AO37" i="1"/>
  <c r="AO38" i="1"/>
  <c r="AO39" i="1"/>
  <c r="AO40" i="1"/>
  <c r="AP32" i="1"/>
  <c r="AO32" i="1"/>
  <c r="AN33" i="1"/>
  <c r="AN35" i="1"/>
  <c r="AN36" i="1"/>
  <c r="AN37" i="1"/>
  <c r="AN38" i="1"/>
  <c r="AN39" i="1"/>
  <c r="AN32" i="1"/>
  <c r="AO50" i="1" l="1"/>
  <c r="AN50" i="1"/>
  <c r="AP50" i="1"/>
  <c r="AM39" i="1"/>
  <c r="AM38" i="1"/>
  <c r="AM37" i="1" l="1"/>
  <c r="AL36" i="1"/>
  <c r="AL34" i="1"/>
  <c r="AL35" i="1"/>
  <c r="AL37" i="1"/>
  <c r="AL32" i="1"/>
  <c r="AE40" i="1"/>
  <c r="AI40" i="1"/>
  <c r="AK40" i="1"/>
  <c r="AG40" i="1"/>
  <c r="AH40" i="1"/>
  <c r="AD40" i="1"/>
  <c r="Y40" i="1"/>
  <c r="AA40" i="1"/>
  <c r="AB40" i="1"/>
  <c r="AC40" i="1"/>
  <c r="AF40" i="1"/>
  <c r="AE39" i="1" l="1"/>
  <c r="AF39" i="1"/>
  <c r="AG39" i="1"/>
  <c r="AH39" i="1"/>
  <c r="AI39" i="1"/>
  <c r="AK39" i="1"/>
  <c r="Y39" i="1"/>
  <c r="AA39" i="1"/>
  <c r="AB39" i="1"/>
  <c r="AC39" i="1"/>
  <c r="AD39" i="1"/>
  <c r="Y38" i="1" l="1"/>
  <c r="AA38" i="1"/>
  <c r="AB38" i="1"/>
  <c r="AC38" i="1"/>
  <c r="AD38" i="1"/>
  <c r="AE38" i="1"/>
  <c r="AF38" i="1"/>
  <c r="AG38" i="1"/>
  <c r="AH38" i="1"/>
  <c r="AI38" i="1"/>
  <c r="AK38" i="1"/>
  <c r="Y37" i="1"/>
  <c r="AA37" i="1" l="1"/>
  <c r="AB37" i="1"/>
  <c r="AC37" i="1"/>
  <c r="AD37" i="1"/>
  <c r="AE37" i="1"/>
  <c r="AF37" i="1"/>
  <c r="AG37" i="1"/>
  <c r="AH37" i="1"/>
  <c r="AI37" i="1"/>
  <c r="AK37" i="1"/>
  <c r="AM36" i="1" l="1"/>
  <c r="AF36" i="1"/>
  <c r="Y36" i="1"/>
  <c r="AA36" i="1"/>
  <c r="AB36" i="1"/>
  <c r="AC36" i="1"/>
  <c r="AD36" i="1"/>
  <c r="AE36" i="1"/>
  <c r="AG36" i="1"/>
  <c r="AH36" i="1"/>
  <c r="AI36" i="1"/>
  <c r="AK36" i="1"/>
  <c r="AF35" i="1" l="1"/>
  <c r="AF34" i="1"/>
  <c r="AF33" i="1"/>
  <c r="AF50" i="1" l="1"/>
  <c r="AM35" i="1"/>
  <c r="AK35" i="1" l="1"/>
  <c r="AI35" i="1"/>
  <c r="AH35" i="1"/>
  <c r="AG35" i="1"/>
  <c r="AE35" i="1"/>
  <c r="AD35" i="1"/>
  <c r="AC35" i="1"/>
  <c r="AB35" i="1"/>
  <c r="AA35" i="1"/>
  <c r="Y35" i="1"/>
  <c r="AH34" i="1" l="1"/>
  <c r="AG34" i="1"/>
  <c r="AM34" i="1"/>
  <c r="AK34" i="1"/>
  <c r="AI34" i="1"/>
  <c r="AE34" i="1"/>
  <c r="AD31" i="1"/>
  <c r="AD29" i="1"/>
  <c r="AC31" i="1"/>
  <c r="AB31" i="1"/>
  <c r="AA31" i="1"/>
  <c r="AC30" i="1"/>
  <c r="AB30" i="1"/>
  <c r="AA30" i="1"/>
  <c r="AA29" i="1"/>
  <c r="AB29" i="1"/>
  <c r="AC29" i="1"/>
  <c r="AC28" i="1"/>
  <c r="AB28" i="1"/>
  <c r="AA28" i="1"/>
  <c r="AC26" i="1"/>
  <c r="AB26" i="1"/>
  <c r="AA26" i="1"/>
  <c r="Y26" i="1"/>
  <c r="Y28" i="1"/>
  <c r="Y29" i="1"/>
  <c r="Y30" i="1"/>
  <c r="Y31" i="1"/>
  <c r="AD33" i="1" l="1"/>
  <c r="AD34" i="1"/>
  <c r="AC34" i="1"/>
  <c r="AB34" i="1"/>
  <c r="AA34" i="1"/>
  <c r="AC33" i="1"/>
  <c r="AB33" i="1"/>
  <c r="AA33" i="1"/>
  <c r="Y33" i="1"/>
  <c r="Y34" i="1"/>
  <c r="AH33" i="1" l="1"/>
  <c r="AG33" i="1"/>
  <c r="AE33" i="1"/>
  <c r="AM33" i="1" l="1"/>
  <c r="AL33" i="1"/>
  <c r="AK33" i="1"/>
  <c r="AI33" i="1"/>
  <c r="AM32" i="1" l="1"/>
  <c r="AH32" i="1"/>
  <c r="AG32" i="1"/>
  <c r="AK32" i="1"/>
  <c r="AI32" i="1"/>
  <c r="AE32" i="1"/>
  <c r="AD32" i="1"/>
  <c r="AC32" i="1"/>
  <c r="AB32" i="1"/>
  <c r="AA32" i="1"/>
  <c r="Y32" i="1"/>
  <c r="AE31" i="1" l="1"/>
  <c r="AK31" i="1"/>
  <c r="AI31" i="1"/>
  <c r="AH31" i="1"/>
  <c r="AG31" i="1"/>
  <c r="AM31" i="1" l="1"/>
  <c r="AL31" i="1"/>
  <c r="AM30" i="1" l="1"/>
  <c r="AC27" i="1" l="1"/>
  <c r="AC50" i="1" s="1"/>
  <c r="AC20" i="1"/>
  <c r="AM28" i="1" l="1"/>
  <c r="AL28" i="1"/>
  <c r="AM29" i="1"/>
  <c r="AL29" i="1"/>
  <c r="AL30" i="1"/>
  <c r="AL50" i="1" l="1"/>
  <c r="AM50" i="1"/>
  <c r="AK26" i="1"/>
  <c r="AK27" i="1"/>
  <c r="AK28" i="1"/>
  <c r="AK29" i="1"/>
  <c r="AK30" i="1"/>
  <c r="AI30" i="1"/>
  <c r="AI29" i="1"/>
  <c r="AI28" i="1"/>
  <c r="AI27" i="1"/>
  <c r="AI26" i="1"/>
  <c r="AE28" i="1"/>
  <c r="AE27" i="1"/>
  <c r="AE26" i="1"/>
  <c r="AE29" i="1"/>
  <c r="AE30" i="1"/>
  <c r="AE50" i="1" l="1"/>
  <c r="AK50" i="1"/>
  <c r="AJ50" i="1"/>
  <c r="AI50" i="1"/>
  <c r="AD30" i="1"/>
  <c r="AH30" i="1" l="1"/>
  <c r="AG30" i="1"/>
  <c r="AG28" i="1" l="1"/>
  <c r="AH28" i="1" l="1"/>
  <c r="AH27" i="1"/>
  <c r="AG27" i="1"/>
  <c r="AD28" i="1"/>
  <c r="AD27" i="1"/>
  <c r="AB27" i="1"/>
  <c r="AB50" i="1" s="1"/>
  <c r="AA50" i="1"/>
  <c r="Y27" i="1"/>
  <c r="AG29" i="1"/>
  <c r="AH29" i="1"/>
  <c r="Y50" i="1" l="1"/>
  <c r="AD26" i="1"/>
  <c r="AD50" i="1" s="1"/>
  <c r="AH26" i="1"/>
  <c r="AH50" i="1" s="1"/>
  <c r="AG26" i="1"/>
  <c r="AG50" i="1" s="1"/>
  <c r="AF20" i="1"/>
  <c r="AE20" i="1"/>
  <c r="AD20" i="1"/>
  <c r="AA20" i="1"/>
  <c r="AB20" i="1"/>
  <c r="Y20" i="1"/>
</calcChain>
</file>

<file path=xl/comments1.xml><?xml version="1.0" encoding="utf-8"?>
<comments xmlns="http://schemas.openxmlformats.org/spreadsheetml/2006/main">
  <authors>
    <author>Hugo CASANOVA</author>
  </authors>
  <commentList>
    <comment ref="Q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Données récupérées depuis les bilans hebdos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 xml:space="preserve">Hugo CASANOVA
Donnée dans fonderie
</t>
        </r>
      </text>
    </comment>
    <comment ref="E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Relevé hebdo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 fusion</t>
        </r>
      </text>
    </comment>
    <comment ref="G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 fusion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Donnée fonderie BC1-4</t>
        </r>
      </text>
    </comment>
    <comment ref="I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Donné relève hbdo</t>
        </r>
      </text>
    </comment>
    <comment ref="J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relève hebdo</t>
        </r>
      </text>
    </comment>
    <comment ref="K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Fichier de Guy "Détail conso secteur"
</t>
        </r>
      </text>
    </comment>
    <comment ref="L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relève hebdo</t>
        </r>
      </text>
    </comment>
    <comment ref="M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Fichier de Guy "détail conso secteur"</t>
        </r>
      </text>
    </comment>
    <comment ref="N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Fichier de Guy</t>
        </r>
      </text>
    </comment>
    <comment ref="O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Fichier de Guy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Fichier de Guy</t>
        </r>
      </text>
    </comment>
    <comment ref="Q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Variateurs relevé hebdo
</t>
        </r>
      </text>
    </comment>
    <comment ref="R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Variateurs
</t>
        </r>
      </text>
    </comment>
    <comment ref="S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Fonderie</t>
        </r>
      </text>
    </comment>
    <comment ref="T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O:\FONDFABR\FONDFUS\Fusion\Indicateurs fusion</t>
        </r>
      </text>
    </comment>
    <comment ref="U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O:\FONDFABR\FONDFUS\Fusion\Indicateurs fusion</t>
        </r>
      </text>
    </comment>
    <comment ref="V41" authorId="0" shapeId="0">
      <text>
        <r>
          <rPr>
            <b/>
            <sz val="9"/>
            <color indexed="81"/>
            <rFont val="Tahoma"/>
            <family val="2"/>
          </rPr>
          <t>Hugo CASANOVA:</t>
        </r>
        <r>
          <rPr>
            <sz val="9"/>
            <color indexed="81"/>
            <rFont val="Tahoma"/>
            <family val="2"/>
          </rPr>
          <t xml:space="preserve">
O:\FONDFABR\FONDEXPE\Production\RJP</t>
        </r>
      </text>
    </comment>
  </commentList>
</comments>
</file>

<file path=xl/sharedStrings.xml><?xml version="1.0" encoding="utf-8"?>
<sst xmlns="http://schemas.openxmlformats.org/spreadsheetml/2006/main" count="111" uniqueCount="87">
  <si>
    <t>Ligne 17</t>
  </si>
  <si>
    <t>Conso gaz kwh/moule</t>
  </si>
  <si>
    <t xml:space="preserve">Fusion </t>
  </si>
  <si>
    <t>Conso elect kwh/moule</t>
  </si>
  <si>
    <t xml:space="preserve">Noyautage </t>
  </si>
  <si>
    <t>Conso elec kwh/Tcoulée</t>
  </si>
  <si>
    <t>Expe</t>
  </si>
  <si>
    <t>Conso elec Four kwh/T fondue</t>
  </si>
  <si>
    <t>conso gaz kWh/Tonne fondue</t>
  </si>
  <si>
    <t>Conso Elec kwh/pièce peinte</t>
  </si>
  <si>
    <t>Conso Gaz kwh/pièce peinte</t>
  </si>
  <si>
    <t>chauffage</t>
  </si>
  <si>
    <t>semaine 10</t>
  </si>
  <si>
    <t>semaine 6</t>
  </si>
  <si>
    <t>semaine 7</t>
  </si>
  <si>
    <t>semaine 8</t>
  </si>
  <si>
    <t>semaine 9</t>
  </si>
  <si>
    <t>fevrier-2020</t>
  </si>
  <si>
    <t>semaine 11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</si>
  <si>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</si>
  <si>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</si>
  <si>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</si>
  <si>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</si>
  <si>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</si>
  <si>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</si>
  <si>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</si>
  <si>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</si>
  <si>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</si>
  <si>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semaine21</t>
  </si>
  <si>
    <t>semaine22</t>
  </si>
  <si>
    <t>semaine23</t>
  </si>
  <si>
    <t>semaine24</t>
  </si>
  <si>
    <t>semaine25</t>
  </si>
  <si>
    <t>semaine26</t>
  </si>
  <si>
    <t>semaine27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</si>
  <si>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</si>
  <si>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</si>
  <si>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</si>
  <si>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</si>
  <si>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</si>
  <si>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</si>
  <si>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</si>
  <si>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</si>
  <si>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Conso elec Hors Four kWh</t>
  </si>
  <si>
    <t>conso gaz kWh</t>
  </si>
  <si>
    <t>Conso elec Four kwh</t>
  </si>
  <si>
    <t>Conso elec fours weekend</t>
  </si>
  <si>
    <t>Conso elec kwh</t>
  </si>
  <si>
    <t>Conso gaz kwh</t>
  </si>
  <si>
    <t>conso gaz kwh</t>
  </si>
  <si>
    <t>Conso Elec kwh</t>
  </si>
  <si>
    <t>Conso Gaz kwh</t>
  </si>
  <si>
    <t>Conso elect kwh</t>
  </si>
  <si>
    <t>Services supports</t>
  </si>
  <si>
    <t>Décochage</t>
  </si>
  <si>
    <t>Conso Elec Kwh</t>
  </si>
  <si>
    <t>Parachèvement</t>
  </si>
  <si>
    <t>Conso elec Kwh</t>
  </si>
  <si>
    <t>SCOVAL</t>
  </si>
  <si>
    <t>EIRICH</t>
  </si>
  <si>
    <t>Conso Elec kwh/moule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</si>
  <si>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</si>
  <si>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</si>
  <si>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</si>
  <si>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</si>
  <si>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</si>
  <si>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</si>
  <si>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</si>
  <si>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</si>
  <si>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</si>
  <si>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</si>
  <si>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</si>
  <si>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</si>
  <si>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</si>
  <si>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Refroidissement fours kWh</t>
  </si>
  <si>
    <t>Tonne fondue</t>
  </si>
  <si>
    <t>Tonne coulée</t>
  </si>
  <si>
    <t>Pièce peinte</t>
  </si>
  <si>
    <t>Cycle moule</t>
  </si>
  <si>
    <t>conso gaz kwh/jour</t>
  </si>
  <si>
    <t>Aspi décoche</t>
  </si>
  <si>
    <t>Aspi refroid</t>
  </si>
  <si>
    <t>Garant</t>
  </si>
  <si>
    <t>Médiane</t>
  </si>
  <si>
    <t>Ligne 17 (moulage + sablerie)</t>
  </si>
  <si>
    <t>Tonne silice</t>
  </si>
  <si>
    <t>Conso elect kwh/t silice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</si>
</sst>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mmm\-yyyy"/>
    <numFmt numFmtId="165" formatCode="_-* #,##0\ _€_-;\-* #,##0\ _€_-;_-* &quot;-&quot;??\ _€_-;_-@_-"/>
    <numFmt numFmtId="166" formatCode="#,##0_ ;\-#,##0\ 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3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/>
    <xf numFmtId="165" fontId="0" fillId="0" borderId="1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65" fontId="0" fillId="0" borderId="10" xfId="1" applyNumberFormat="1" applyFont="1" applyBorder="1" applyAlignment="1">
      <alignment horizontal="center" vertical="center"/>
    </xf>
    <xf numFmtId="0" fontId="0" fillId="0" borderId="7" xfId="0" applyBorder="1"/>
    <xf numFmtId="0" fontId="0" fillId="0" borderId="10" xfId="0" applyBorder="1"/>
    <xf numFmtId="165" fontId="0" fillId="0" borderId="2" xfId="1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165" fontId="0" fillId="0" borderId="12" xfId="1" applyNumberFormat="1" applyFont="1" applyBorder="1" applyAlignment="1">
      <alignment horizontal="center" vertical="center"/>
    </xf>
    <xf numFmtId="0" fontId="0" fillId="0" borderId="0" xfId="0" applyBorder="1"/>
    <xf numFmtId="0" fontId="0" fillId="2" borderId="14" xfId="0" applyFont="1" applyFill="1" applyBorder="1" applyAlignment="1">
      <alignment horizontal="center" vertical="center" wrapText="1"/>
    </xf>
    <xf numFmtId="165" fontId="0" fillId="0" borderId="14" xfId="1" applyNumberFormat="1" applyFont="1" applyBorder="1" applyAlignment="1">
      <alignment horizontal="center" vertical="center"/>
    </xf>
    <xf numFmtId="166" fontId="0" fillId="0" borderId="12" xfId="1" applyNumberFormat="1" applyFont="1" applyBorder="1" applyAlignment="1">
      <alignment horizontal="center" vertical="center"/>
    </xf>
    <xf numFmtId="166" fontId="0" fillId="0" borderId="13" xfId="1" applyNumberFormat="1" applyFont="1" applyBorder="1" applyAlignment="1">
      <alignment horizontal="center" vertical="center"/>
    </xf>
    <xf numFmtId="17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Border="1"/>
    <xf numFmtId="165" fontId="0" fillId="0" borderId="2" xfId="1" applyNumberFormat="1" applyFont="1" applyFill="1" applyBorder="1" applyAlignment="1">
      <alignment horizontal="center" vertical="center"/>
    </xf>
    <xf numFmtId="0" fontId="0" fillId="0" borderId="16" xfId="0" applyBorder="1"/>
    <xf numFmtId="0" fontId="1" fillId="2" borderId="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165" fontId="0" fillId="0" borderId="7" xfId="1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1" fillId="2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4" xfId="1" applyNumberFormat="1" applyFont="1" applyFill="1" applyBorder="1" applyAlignment="1">
      <alignment horizontal="center" vertical="center"/>
    </xf>
    <xf numFmtId="0" fontId="0" fillId="0" borderId="14" xfId="0" applyBorder="1"/>
    <xf numFmtId="165" fontId="0" fillId="0" borderId="10" xfId="1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3" borderId="0" xfId="0" applyFill="1"/>
    <xf numFmtId="43" fontId="0" fillId="3" borderId="2" xfId="0" applyNumberFormat="1" applyFill="1" applyBorder="1" applyAlignment="1">
      <alignment horizontal="center" vertical="center"/>
    </xf>
    <xf numFmtId="43" fontId="0" fillId="3" borderId="6" xfId="0" applyNumberFormat="1" applyFill="1" applyBorder="1" applyAlignment="1">
      <alignment horizontal="center" vertical="center"/>
    </xf>
    <xf numFmtId="43" fontId="0" fillId="3" borderId="10" xfId="0" applyNumberFormat="1" applyFill="1" applyBorder="1" applyAlignment="1">
      <alignment horizontal="center" vertical="center"/>
    </xf>
    <xf numFmtId="0" fontId="0" fillId="3" borderId="2" xfId="0" applyFill="1" applyBorder="1"/>
    <xf numFmtId="0" fontId="0" fillId="3" borderId="1" xfId="0" applyFill="1" applyBorder="1"/>
    <xf numFmtId="0" fontId="0" fillId="3" borderId="7" xfId="0" applyFill="1" applyBorder="1"/>
    <xf numFmtId="43" fontId="0" fillId="3" borderId="2" xfId="0" applyNumberFormat="1" applyFill="1" applyBorder="1"/>
    <xf numFmtId="43" fontId="0" fillId="3" borderId="1" xfId="0" applyNumberFormat="1" applyFill="1" applyBorder="1"/>
    <xf numFmtId="43" fontId="0" fillId="3" borderId="7" xfId="0" applyNumberFormat="1" applyFill="1" applyBorder="1"/>
    <xf numFmtId="0" fontId="0" fillId="3" borderId="20" xfId="0" applyFill="1" applyBorder="1"/>
    <xf numFmtId="2" fontId="0" fillId="3" borderId="2" xfId="0" applyNumberFormat="1" applyFill="1" applyBorder="1"/>
    <xf numFmtId="2" fontId="0" fillId="3" borderId="1" xfId="0" applyNumberFormat="1" applyFill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43" fontId="0" fillId="3" borderId="2" xfId="0" applyNumberFormat="1" applyFill="1" applyBorder="1" applyAlignment="1">
      <alignment horizontal="center"/>
    </xf>
    <xf numFmtId="43" fontId="0" fillId="3" borderId="1" xfId="0" applyNumberFormat="1" applyFill="1" applyBorder="1" applyAlignment="1">
      <alignment horizontal="center"/>
    </xf>
    <xf numFmtId="43" fontId="0" fillId="3" borderId="7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3" borderId="10" xfId="0" applyFill="1" applyBorder="1" applyAlignment="1">
      <alignment horizontal="center"/>
    </xf>
    <xf numFmtId="43" fontId="3" fillId="3" borderId="7" xfId="0" applyNumberFormat="1" applyFont="1" applyFill="1" applyBorder="1" applyAlignment="1">
      <alignment horizontal="center"/>
    </xf>
    <xf numFmtId="43" fontId="0" fillId="3" borderId="18" xfId="0" applyNumberFormat="1" applyFill="1" applyBorder="1" applyAlignment="1">
      <alignment horizontal="center"/>
    </xf>
    <xf numFmtId="43" fontId="0" fillId="3" borderId="17" xfId="0" applyNumberFormat="1" applyFill="1" applyBorder="1" applyAlignment="1">
      <alignment horizontal="center"/>
    </xf>
    <xf numFmtId="43" fontId="0" fillId="3" borderId="19" xfId="0" applyNumberForma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2" fontId="0" fillId="0" borderId="2" xfId="0" applyNumberFormat="1" applyFill="1" applyBorder="1"/>
    <xf numFmtId="2" fontId="0" fillId="0" borderId="1" xfId="0" applyNumberFormat="1" applyFill="1" applyBorder="1"/>
    <xf numFmtId="0" fontId="0" fillId="0" borderId="2" xfId="0" applyFill="1" applyBorder="1"/>
    <xf numFmtId="0" fontId="0" fillId="0" borderId="1" xfId="0" applyFill="1" applyBorder="1"/>
    <xf numFmtId="43" fontId="0" fillId="3" borderId="22" xfId="0" applyNumberFormat="1" applyFill="1" applyBorder="1"/>
    <xf numFmtId="43" fontId="0" fillId="3" borderId="22" xfId="0" applyNumberFormat="1" applyFill="1" applyBorder="1" applyAlignment="1">
      <alignment horizontal="center"/>
    </xf>
    <xf numFmtId="43" fontId="0" fillId="3" borderId="23" xfId="0" applyNumberFormat="1" applyFill="1" applyBorder="1" applyAlignment="1">
      <alignment horizontal="center"/>
    </xf>
    <xf numFmtId="2" fontId="0" fillId="3" borderId="22" xfId="0" applyNumberFormat="1" applyFill="1" applyBorder="1" applyAlignment="1">
      <alignment horizontal="center"/>
    </xf>
    <xf numFmtId="2" fontId="0" fillId="3" borderId="12" xfId="0" applyNumberFormat="1" applyFill="1" applyBorder="1" applyAlignment="1">
      <alignment horizontal="center"/>
    </xf>
    <xf numFmtId="0" fontId="0" fillId="3" borderId="12" xfId="0" applyFill="1" applyBorder="1"/>
    <xf numFmtId="43" fontId="0" fillId="3" borderId="12" xfId="0" applyNumberFormat="1" applyFill="1" applyBorder="1"/>
    <xf numFmtId="0" fontId="0" fillId="0" borderId="24" xfId="0" applyBorder="1"/>
    <xf numFmtId="43" fontId="3" fillId="3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165" fontId="0" fillId="0" borderId="25" xfId="1" applyNumberFormat="1" applyFont="1" applyBorder="1" applyAlignment="1">
      <alignment horizontal="center" vertical="center"/>
    </xf>
    <xf numFmtId="0" fontId="0" fillId="0" borderId="25" xfId="0" applyBorder="1"/>
    <xf numFmtId="0" fontId="0" fillId="0" borderId="25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wrapText="1"/>
    </xf>
    <xf numFmtId="1" fontId="0" fillId="0" borderId="2" xfId="0" applyNumberFormat="1" applyBorder="1" applyAlignment="1">
      <alignment horizontal="center"/>
    </xf>
    <xf numFmtId="0" fontId="0" fillId="2" borderId="22" xfId="0" applyFill="1" applyBorder="1" applyAlignment="1">
      <alignment wrapText="1"/>
    </xf>
    <xf numFmtId="0" fontId="0" fillId="2" borderId="22" xfId="0" applyFont="1" applyFill="1" applyBorder="1" applyAlignment="1">
      <alignment horizontal="center" vertical="center" wrapText="1"/>
    </xf>
    <xf numFmtId="0" fontId="0" fillId="0" borderId="22" xfId="0" applyBorder="1"/>
    <xf numFmtId="0" fontId="0" fillId="0" borderId="22" xfId="0" applyBorder="1" applyAlignment="1">
      <alignment horizontal="center"/>
    </xf>
    <xf numFmtId="166" fontId="0" fillId="0" borderId="25" xfId="1" applyNumberFormat="1" applyFont="1" applyBorder="1" applyAlignment="1">
      <alignment horizontal="center" vertical="center"/>
    </xf>
    <xf numFmtId="166" fontId="0" fillId="0" borderId="26" xfId="1" applyNumberFormat="1" applyFont="1" applyBorder="1" applyAlignment="1">
      <alignment horizontal="center" vertical="center"/>
    </xf>
    <xf numFmtId="166" fontId="0" fillId="0" borderId="6" xfId="1" applyNumberFormat="1" applyFont="1" applyBorder="1" applyAlignment="1">
      <alignment horizontal="center" vertical="center"/>
    </xf>
    <xf numFmtId="166" fontId="0" fillId="0" borderId="6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" fontId="0" fillId="0" borderId="6" xfId="0" applyNumberFormat="1" applyFill="1" applyBorder="1"/>
    <xf numFmtId="1" fontId="0" fillId="0" borderId="1" xfId="0" applyNumberFormat="1" applyFill="1" applyBorder="1"/>
    <xf numFmtId="0" fontId="6" fillId="0" borderId="7" xfId="0" applyFont="1" applyBorder="1"/>
    <xf numFmtId="0" fontId="6" fillId="0" borderId="2" xfId="0" applyFont="1" applyFill="1" applyBorder="1"/>
    <xf numFmtId="0" fontId="0" fillId="0" borderId="12" xfId="0" applyBorder="1"/>
    <xf numFmtId="2" fontId="0" fillId="0" borderId="22" xfId="0" applyNumberFormat="1" applyFill="1" applyBorder="1"/>
    <xf numFmtId="0" fontId="1" fillId="2" borderId="12" xfId="0" applyFont="1" applyFill="1" applyBorder="1" applyAlignment="1">
      <alignment horizontal="center" vertical="center" wrapText="1"/>
    </xf>
    <xf numFmtId="166" fontId="0" fillId="0" borderId="22" xfId="1" applyNumberFormat="1" applyFont="1" applyBorder="1" applyAlignment="1">
      <alignment horizontal="center" vertical="center"/>
    </xf>
    <xf numFmtId="166" fontId="0" fillId="0" borderId="22" xfId="1" applyNumberFormat="1" applyFont="1" applyBorder="1"/>
    <xf numFmtId="166" fontId="0" fillId="0" borderId="22" xfId="1" applyNumberFormat="1" applyFont="1" applyFill="1" applyBorder="1" applyAlignment="1">
      <alignment horizontal="center" vertical="center"/>
    </xf>
    <xf numFmtId="1" fontId="0" fillId="0" borderId="28" xfId="0" applyNumberFormat="1" applyBorder="1" applyAlignment="1">
      <alignment horizontal="center"/>
    </xf>
    <xf numFmtId="1" fontId="0" fillId="0" borderId="22" xfId="0" applyNumberFormat="1" applyFill="1" applyBorder="1"/>
    <xf numFmtId="0" fontId="0" fillId="0" borderId="22" xfId="0" applyFill="1" applyBorder="1"/>
    <xf numFmtId="0" fontId="1" fillId="2" borderId="29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 wrapText="1"/>
    </xf>
    <xf numFmtId="165" fontId="0" fillId="0" borderId="29" xfId="1" applyNumberFormat="1" applyFont="1" applyBorder="1" applyAlignment="1">
      <alignment horizontal="center" vertical="center"/>
    </xf>
    <xf numFmtId="166" fontId="0" fillId="0" borderId="29" xfId="1" applyNumberFormat="1" applyFont="1" applyBorder="1" applyAlignment="1">
      <alignment horizontal="center" vertical="center"/>
    </xf>
    <xf numFmtId="166" fontId="0" fillId="0" borderId="27" xfId="1" applyNumberFormat="1" applyFont="1" applyBorder="1" applyAlignment="1">
      <alignment horizontal="center" vertical="center"/>
    </xf>
    <xf numFmtId="166" fontId="0" fillId="0" borderId="29" xfId="1" applyNumberFormat="1" applyFont="1" applyBorder="1"/>
    <xf numFmtId="166" fontId="0" fillId="0" borderId="29" xfId="1" applyNumberFormat="1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1" fontId="0" fillId="0" borderId="30" xfId="0" applyNumberFormat="1" applyBorder="1" applyAlignment="1">
      <alignment horizontal="center"/>
    </xf>
    <xf numFmtId="1" fontId="0" fillId="0" borderId="29" xfId="0" applyNumberFormat="1" applyFill="1" applyBorder="1"/>
    <xf numFmtId="2" fontId="0" fillId="0" borderId="29" xfId="0" applyNumberFormat="1" applyFill="1" applyBorder="1"/>
    <xf numFmtId="0" fontId="0" fillId="0" borderId="29" xfId="0" applyFill="1" applyBorder="1"/>
    <xf numFmtId="0" fontId="0" fillId="0" borderId="29" xfId="0" applyBorder="1"/>
    <xf numFmtId="0" fontId="0" fillId="0" borderId="3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P84"/>
  <sheetViews>
    <sheetView tabSelected="1" zoomScaleNormal="100" workbookViewId="0">
      <pane xSplit="2" ySplit="2" topLeftCell="D15" activePane="bottomRight" state="frozen"/>
      <selection pane="topRight" activeCell="C1" sqref="C1"/>
      <selection pane="bottomLeft" activeCell="A3" sqref="A3"/>
      <selection pane="bottomRight" activeCell="P20" sqref="P20:P41"/>
    </sheetView>
  </sheetViews>
  <sheetFormatPr baseColWidth="10" defaultColWidth="9.140625" defaultRowHeight="15" x14ac:dyDescent="0.25"/>
  <cols>
    <col min="1" max="1" width="11.85546875" customWidth="1"/>
    <col min="2" max="2" width="11" style="39" customWidth="1"/>
    <col min="3" max="6" width="11" customWidth="1"/>
    <col min="7" max="7" width="11" style="39" customWidth="1"/>
    <col min="8" max="8" width="11" customWidth="1"/>
    <col min="9" max="9" width="11" style="39" customWidth="1"/>
    <col min="10" max="10" width="9.7109375" style="46" customWidth="1"/>
    <col min="11" max="11" width="11" customWidth="1"/>
    <col min="12" max="13" width="11" style="39" customWidth="1"/>
    <col min="14" max="14" width="10.85546875" style="46" customWidth="1"/>
    <col min="15" max="15" width="10.28515625" style="39" customWidth="1"/>
    <col min="16" max="16" width="12" style="46" customWidth="1"/>
    <col min="17" max="17" width="9" style="24" customWidth="1"/>
    <col min="18" max="18" width="7.5703125" style="24" customWidth="1"/>
    <col min="19" max="19" width="6.7109375" style="24" customWidth="1"/>
    <col min="20" max="20" width="7.42578125" bestFit="1" customWidth="1"/>
    <col min="21" max="21" width="7" bestFit="1" customWidth="1"/>
    <col min="22" max="22" width="6.85546875" bestFit="1" customWidth="1"/>
    <col min="23" max="23" width="6.7109375" style="24" bestFit="1" customWidth="1"/>
    <col min="24" max="24" width="6.7109375" style="162" customWidth="1"/>
    <col min="25" max="26" width="12.28515625" customWidth="1"/>
    <col min="27" max="27" width="11.85546875" style="39" customWidth="1"/>
    <col min="28" max="28" width="11.85546875" style="46" customWidth="1"/>
    <col min="29" max="29" width="11.85546875" customWidth="1"/>
    <col min="30" max="30" width="12.85546875" style="39" customWidth="1"/>
    <col min="31" max="31" width="11.85546875" style="46" customWidth="1"/>
    <col min="32" max="32" width="14" style="46" customWidth="1"/>
    <col min="33" max="33" width="13.28515625" style="46" bestFit="1" customWidth="1"/>
    <col min="34" max="34" width="10.42578125" bestFit="1" customWidth="1"/>
    <col min="35" max="35" width="12.42578125" customWidth="1"/>
    <col min="36" max="36" width="13.7109375" bestFit="1" customWidth="1"/>
    <col min="37" max="37" width="13.28515625" bestFit="1" customWidth="1"/>
    <col min="38" max="38" width="11.85546875" customWidth="1"/>
    <col min="39" max="39" width="12" customWidth="1"/>
    <col min="40" max="40" width="12.140625" customWidth="1"/>
    <col min="41" max="41" width="11.5703125" customWidth="1"/>
    <col min="42" max="42" width="12.7109375" customWidth="1"/>
  </cols>
  <sheetData>
    <row r="1" spans="1:42" ht="37.5" x14ac:dyDescent="0.25">
      <c r="A1" s="1"/>
      <c r="B1" s="18"/>
      <c r="C1" s="118" t="s">
        <v>2</v>
      </c>
      <c r="D1" s="119"/>
      <c r="E1" s="119"/>
      <c r="F1" s="119"/>
      <c r="G1" s="120"/>
      <c r="H1" s="121" t="s">
        <v>84</v>
      </c>
      <c r="I1" s="122"/>
      <c r="J1" s="45" t="s">
        <v>11</v>
      </c>
      <c r="K1" s="123" t="s">
        <v>6</v>
      </c>
      <c r="L1" s="124"/>
      <c r="M1" s="53" t="s">
        <v>56</v>
      </c>
      <c r="N1" s="44" t="s">
        <v>4</v>
      </c>
      <c r="O1" s="47" t="s">
        <v>54</v>
      </c>
      <c r="P1" s="45" t="s">
        <v>53</v>
      </c>
      <c r="Q1" s="125" t="s">
        <v>80</v>
      </c>
      <c r="R1" s="91" t="s">
        <v>81</v>
      </c>
      <c r="S1" s="127" t="s">
        <v>82</v>
      </c>
      <c r="T1" s="111"/>
      <c r="U1" s="21"/>
      <c r="V1" s="21"/>
      <c r="W1" s="142"/>
      <c r="X1" s="149"/>
      <c r="Y1" s="112" t="s">
        <v>2</v>
      </c>
      <c r="Z1" s="112"/>
      <c r="AA1" s="88"/>
      <c r="AB1" s="88"/>
      <c r="AC1" s="89"/>
      <c r="AD1" s="87" t="s">
        <v>0</v>
      </c>
      <c r="AE1" s="89"/>
      <c r="AF1" s="45" t="s">
        <v>11</v>
      </c>
      <c r="AG1" s="90" t="s">
        <v>6</v>
      </c>
      <c r="AH1" s="40"/>
      <c r="AI1" s="42" t="s">
        <v>56</v>
      </c>
      <c r="AJ1" s="44" t="s">
        <v>4</v>
      </c>
      <c r="AK1" s="44" t="s">
        <v>54</v>
      </c>
      <c r="AL1" s="40" t="s">
        <v>59</v>
      </c>
      <c r="AM1" s="90" t="s">
        <v>58</v>
      </c>
      <c r="AN1" s="91" t="s">
        <v>80</v>
      </c>
      <c r="AO1" s="91" t="s">
        <v>81</v>
      </c>
      <c r="AP1" s="91" t="s">
        <v>82</v>
      </c>
    </row>
    <row r="2" spans="1:42" ht="48" customHeight="1" x14ac:dyDescent="0.25">
      <c r="A2" s="3"/>
      <c r="B2" s="9"/>
      <c r="C2" s="13" t="s">
        <v>43</v>
      </c>
      <c r="D2" s="13" t="s">
        <v>74</v>
      </c>
      <c r="E2" s="4" t="s">
        <v>44</v>
      </c>
      <c r="F2" s="5" t="s">
        <v>45</v>
      </c>
      <c r="G2" s="8" t="s">
        <v>46</v>
      </c>
      <c r="H2" s="52" t="s">
        <v>47</v>
      </c>
      <c r="I2" s="8" t="s">
        <v>48</v>
      </c>
      <c r="J2" s="11" t="s">
        <v>49</v>
      </c>
      <c r="K2" s="52" t="s">
        <v>50</v>
      </c>
      <c r="L2" s="8" t="s">
        <v>51</v>
      </c>
      <c r="M2" s="25" t="s">
        <v>57</v>
      </c>
      <c r="N2" s="11" t="s">
        <v>52</v>
      </c>
      <c r="O2" s="25" t="s">
        <v>55</v>
      </c>
      <c r="P2" s="11" t="s">
        <v>52</v>
      </c>
      <c r="Q2" s="52" t="s">
        <v>50</v>
      </c>
      <c r="R2" s="5" t="s">
        <v>50</v>
      </c>
      <c r="S2" s="128" t="s">
        <v>50</v>
      </c>
      <c r="T2" s="113" t="s">
        <v>75</v>
      </c>
      <c r="U2" s="22" t="s">
        <v>76</v>
      </c>
      <c r="V2" s="22" t="s">
        <v>77</v>
      </c>
      <c r="W2" s="22" t="s">
        <v>78</v>
      </c>
      <c r="X2" s="150" t="s">
        <v>85</v>
      </c>
      <c r="Y2" s="25" t="s">
        <v>3</v>
      </c>
      <c r="Z2" s="13" t="s">
        <v>74</v>
      </c>
      <c r="AA2" s="4" t="s">
        <v>8</v>
      </c>
      <c r="AB2" s="5" t="s">
        <v>7</v>
      </c>
      <c r="AC2" s="8" t="s">
        <v>46</v>
      </c>
      <c r="AD2" s="52" t="s">
        <v>5</v>
      </c>
      <c r="AE2" s="8" t="s">
        <v>1</v>
      </c>
      <c r="AF2" s="11" t="s">
        <v>79</v>
      </c>
      <c r="AG2" s="52" t="s">
        <v>9</v>
      </c>
      <c r="AH2" s="8" t="s">
        <v>10</v>
      </c>
      <c r="AI2" s="11" t="s">
        <v>3</v>
      </c>
      <c r="AJ2" s="11" t="s">
        <v>86</v>
      </c>
      <c r="AK2" s="11" t="s">
        <v>3</v>
      </c>
      <c r="AL2" s="52" t="s">
        <v>60</v>
      </c>
      <c r="AM2" s="10" t="s">
        <v>60</v>
      </c>
      <c r="AN2" s="11" t="s">
        <v>3</v>
      </c>
      <c r="AO2" s="11" t="s">
        <v>3</v>
      </c>
      <c r="AP2" s="52" t="s">
        <v>5</v>
      </c>
    </row>
    <row r="3" spans="1:42" x14ac:dyDescent="0.25">
      <c r="A3" s="1" t="s">
        <v>17</v>
      </c>
      <c r="B3" s="9" t="s">
        <v>13</v>
      </c>
      <c r="C3" s="20"/>
      <c r="D3" s="20"/>
      <c r="E3" s="15"/>
      <c r="F3" s="15"/>
      <c r="G3" s="16"/>
      <c r="H3" s="20"/>
      <c r="I3" s="16"/>
      <c r="J3" s="17"/>
      <c r="K3" s="20"/>
      <c r="L3" s="16"/>
      <c r="M3" s="26"/>
      <c r="N3" s="17"/>
      <c r="O3" s="26"/>
      <c r="P3" s="17"/>
      <c r="Q3" s="14"/>
      <c r="R3" s="1"/>
      <c r="S3" s="129"/>
      <c r="T3" s="114"/>
      <c r="U3" s="23"/>
      <c r="V3" s="23"/>
      <c r="W3" s="23"/>
      <c r="X3" s="151"/>
      <c r="Y3" s="54">
        <v>66.77</v>
      </c>
      <c r="Z3" s="54"/>
      <c r="AA3" s="55">
        <v>10.36</v>
      </c>
      <c r="AB3" s="55">
        <v>796.69</v>
      </c>
      <c r="AC3" s="56"/>
      <c r="AD3" s="54">
        <v>99.25</v>
      </c>
      <c r="AE3" s="56">
        <v>8.2200000000000006</v>
      </c>
      <c r="AF3" s="57">
        <v>20.3</v>
      </c>
      <c r="AG3" s="58">
        <v>3.44</v>
      </c>
      <c r="AH3" s="56">
        <v>11</v>
      </c>
      <c r="AI3" s="57"/>
      <c r="AJ3" s="57">
        <v>8.51</v>
      </c>
      <c r="AK3" s="59"/>
      <c r="AL3" s="60"/>
      <c r="AM3" s="60"/>
    </row>
    <row r="4" spans="1:42" x14ac:dyDescent="0.25">
      <c r="A4" s="1" t="s">
        <v>17</v>
      </c>
      <c r="B4" s="9" t="s">
        <v>14</v>
      </c>
      <c r="C4" s="20"/>
      <c r="D4" s="20"/>
      <c r="E4" s="15"/>
      <c r="F4" s="15"/>
      <c r="G4" s="16"/>
      <c r="H4" s="20"/>
      <c r="I4" s="16"/>
      <c r="J4" s="17"/>
      <c r="K4" s="20"/>
      <c r="L4" s="16"/>
      <c r="M4" s="26"/>
      <c r="N4" s="17"/>
      <c r="O4" s="26"/>
      <c r="P4" s="17"/>
      <c r="Q4" s="14"/>
      <c r="R4" s="1"/>
      <c r="S4" s="129"/>
      <c r="T4" s="114"/>
      <c r="U4" s="23"/>
      <c r="V4" s="23"/>
      <c r="W4" s="23"/>
      <c r="X4" s="151"/>
      <c r="Y4" s="54">
        <v>75.03</v>
      </c>
      <c r="Z4" s="54"/>
      <c r="AA4" s="55">
        <v>18.170000000000002</v>
      </c>
      <c r="AB4" s="55">
        <v>813.86</v>
      </c>
      <c r="AC4" s="56"/>
      <c r="AD4" s="54">
        <v>126.75</v>
      </c>
      <c r="AE4" s="56">
        <v>7.09</v>
      </c>
      <c r="AF4" s="57">
        <v>19.510000000000002</v>
      </c>
      <c r="AG4" s="58">
        <v>3.04</v>
      </c>
      <c r="AH4" s="56">
        <v>8.7799999999999994</v>
      </c>
      <c r="AI4" s="57"/>
      <c r="AJ4" s="57">
        <v>8.0299999999999994</v>
      </c>
      <c r="AK4" s="59"/>
      <c r="AL4" s="60"/>
      <c r="AM4" s="60"/>
    </row>
    <row r="5" spans="1:42" x14ac:dyDescent="0.25">
      <c r="A5" s="1" t="s">
        <v>17</v>
      </c>
      <c r="B5" s="9" t="s">
        <v>15</v>
      </c>
      <c r="C5" s="20"/>
      <c r="D5" s="20"/>
      <c r="E5" s="15"/>
      <c r="F5" s="15"/>
      <c r="G5" s="16"/>
      <c r="H5" s="20"/>
      <c r="I5" s="16"/>
      <c r="J5" s="17"/>
      <c r="K5" s="20"/>
      <c r="L5" s="16"/>
      <c r="M5" s="26"/>
      <c r="N5" s="17"/>
      <c r="O5" s="26"/>
      <c r="P5" s="17"/>
      <c r="Q5" s="14"/>
      <c r="R5" s="1"/>
      <c r="S5" s="129"/>
      <c r="T5" s="114"/>
      <c r="U5" s="23"/>
      <c r="V5" s="23"/>
      <c r="W5" s="23"/>
      <c r="X5" s="151"/>
      <c r="Y5" s="54">
        <v>85.19</v>
      </c>
      <c r="Z5" s="54"/>
      <c r="AA5" s="55">
        <v>11.1</v>
      </c>
      <c r="AB5" s="55">
        <v>820.46</v>
      </c>
      <c r="AC5" s="56"/>
      <c r="AD5" s="54">
        <v>127.18</v>
      </c>
      <c r="AE5" s="56">
        <v>8.4600000000000009</v>
      </c>
      <c r="AF5" s="57">
        <v>16.11</v>
      </c>
      <c r="AG5" s="58">
        <v>3.48</v>
      </c>
      <c r="AH5" s="56">
        <v>9.65</v>
      </c>
      <c r="AI5" s="57"/>
      <c r="AJ5" s="57">
        <v>10.01</v>
      </c>
      <c r="AK5" s="59"/>
      <c r="AL5" s="60"/>
      <c r="AM5" s="60"/>
    </row>
    <row r="6" spans="1:42" x14ac:dyDescent="0.25">
      <c r="A6" s="1" t="s">
        <v>17</v>
      </c>
      <c r="B6" s="9" t="s">
        <v>16</v>
      </c>
      <c r="C6" s="20"/>
      <c r="D6" s="20"/>
      <c r="E6" s="15"/>
      <c r="F6" s="15"/>
      <c r="G6" s="16"/>
      <c r="H6" s="20"/>
      <c r="I6" s="16"/>
      <c r="J6" s="17"/>
      <c r="K6" s="20"/>
      <c r="L6" s="16"/>
      <c r="M6" s="26"/>
      <c r="N6" s="17"/>
      <c r="O6" s="26"/>
      <c r="P6" s="17"/>
      <c r="Q6" s="14"/>
      <c r="R6" s="1"/>
      <c r="S6" s="129"/>
      <c r="T6" s="114"/>
      <c r="U6" s="23"/>
      <c r="V6" s="23"/>
      <c r="W6" s="23"/>
      <c r="X6" s="151"/>
      <c r="Y6" s="54">
        <v>85.78</v>
      </c>
      <c r="Z6" s="54"/>
      <c r="AA6" s="55">
        <v>10.67</v>
      </c>
      <c r="AB6" s="55">
        <v>877.48</v>
      </c>
      <c r="AC6" s="56"/>
      <c r="AD6" s="54">
        <v>108.73</v>
      </c>
      <c r="AE6" s="56">
        <v>8.5399999999999991</v>
      </c>
      <c r="AF6" s="57">
        <v>19.3</v>
      </c>
      <c r="AG6" s="58">
        <v>3.2</v>
      </c>
      <c r="AH6" s="56">
        <v>8.1999999999999993</v>
      </c>
      <c r="AI6" s="57"/>
      <c r="AJ6" s="57">
        <v>11.49</v>
      </c>
      <c r="AK6" s="59"/>
      <c r="AL6" s="60"/>
      <c r="AM6" s="60"/>
    </row>
    <row r="7" spans="1:42" x14ac:dyDescent="0.25">
      <c r="A7" s="2">
        <v>43891</v>
      </c>
      <c r="B7" s="9" t="s">
        <v>12</v>
      </c>
      <c r="C7" s="20"/>
      <c r="D7" s="20"/>
      <c r="E7" s="15"/>
      <c r="F7" s="15"/>
      <c r="G7" s="16"/>
      <c r="H7" s="20"/>
      <c r="I7" s="16"/>
      <c r="J7" s="17"/>
      <c r="K7" s="20"/>
      <c r="L7" s="16"/>
      <c r="M7" s="26"/>
      <c r="N7" s="17"/>
      <c r="O7" s="26"/>
      <c r="P7" s="17"/>
      <c r="Q7" s="14"/>
      <c r="R7" s="1"/>
      <c r="S7" s="129"/>
      <c r="T7" s="114"/>
      <c r="U7" s="23"/>
      <c r="V7" s="23"/>
      <c r="W7" s="23"/>
      <c r="X7" s="151"/>
      <c r="Y7" s="54">
        <v>64.52</v>
      </c>
      <c r="Z7" s="54"/>
      <c r="AA7" s="55">
        <v>9.2200000000000006</v>
      </c>
      <c r="AB7" s="55">
        <v>743.4</v>
      </c>
      <c r="AC7" s="56"/>
      <c r="AD7" s="54">
        <v>96.16</v>
      </c>
      <c r="AE7" s="56">
        <v>7.29</v>
      </c>
      <c r="AF7" s="57">
        <v>12.6</v>
      </c>
      <c r="AG7" s="58">
        <v>3.05</v>
      </c>
      <c r="AH7" s="56">
        <v>9.1300000000000008</v>
      </c>
      <c r="AI7" s="57"/>
      <c r="AJ7" s="57">
        <v>9.64</v>
      </c>
      <c r="AK7" s="59"/>
      <c r="AL7" s="60"/>
      <c r="AM7" s="60"/>
    </row>
    <row r="8" spans="1:42" x14ac:dyDescent="0.25">
      <c r="A8" s="2">
        <v>43891</v>
      </c>
      <c r="B8" s="9" t="s">
        <v>18</v>
      </c>
      <c r="C8" s="20"/>
      <c r="D8" s="20"/>
      <c r="E8" s="15"/>
      <c r="F8" s="15"/>
      <c r="G8" s="16"/>
      <c r="H8" s="20"/>
      <c r="I8" s="16"/>
      <c r="J8" s="17"/>
      <c r="K8" s="20"/>
      <c r="L8" s="16"/>
      <c r="M8" s="26"/>
      <c r="N8" s="17"/>
      <c r="O8" s="26"/>
      <c r="P8" s="17"/>
      <c r="Q8" s="14"/>
      <c r="R8" s="1"/>
      <c r="S8" s="129"/>
      <c r="T8" s="114"/>
      <c r="U8" s="23"/>
      <c r="V8" s="23"/>
      <c r="W8" s="23"/>
      <c r="X8" s="151"/>
      <c r="Y8" s="54">
        <v>71</v>
      </c>
      <c r="Z8" s="54"/>
      <c r="AA8" s="55">
        <v>9.9499999999999993</v>
      </c>
      <c r="AB8" s="55">
        <v>808</v>
      </c>
      <c r="AC8" s="56"/>
      <c r="AD8" s="54">
        <v>106.01</v>
      </c>
      <c r="AE8" s="56">
        <v>8.43</v>
      </c>
      <c r="AF8" s="57">
        <v>13.59</v>
      </c>
      <c r="AG8" s="58">
        <v>2.92</v>
      </c>
      <c r="AH8" s="56">
        <v>7.9</v>
      </c>
      <c r="AI8" s="57"/>
      <c r="AJ8" s="57">
        <v>7.95</v>
      </c>
      <c r="AK8" s="59"/>
      <c r="AL8" s="60"/>
      <c r="AM8" s="60"/>
    </row>
    <row r="9" spans="1:42" x14ac:dyDescent="0.25">
      <c r="A9" s="2">
        <v>43891</v>
      </c>
      <c r="B9" s="9" t="s">
        <v>19</v>
      </c>
      <c r="C9" s="20"/>
      <c r="D9" s="20"/>
      <c r="E9" s="15"/>
      <c r="F9" s="15"/>
      <c r="G9" s="16"/>
      <c r="H9" s="20"/>
      <c r="I9" s="16"/>
      <c r="J9" s="17"/>
      <c r="K9" s="20"/>
      <c r="L9" s="16"/>
      <c r="M9" s="26"/>
      <c r="N9" s="17"/>
      <c r="O9" s="26"/>
      <c r="P9" s="17"/>
      <c r="Q9" s="14"/>
      <c r="R9" s="1"/>
      <c r="S9" s="129"/>
      <c r="T9" s="114"/>
      <c r="U9" s="23"/>
      <c r="V9" s="23"/>
      <c r="W9" s="23"/>
      <c r="X9" s="151"/>
      <c r="Y9" s="54">
        <v>77.3</v>
      </c>
      <c r="Z9" s="54"/>
      <c r="AA9" s="55">
        <v>18.989999999999998</v>
      </c>
      <c r="AB9" s="55">
        <v>801.05</v>
      </c>
      <c r="AC9" s="56"/>
      <c r="AD9" s="54">
        <v>104.35</v>
      </c>
      <c r="AE9" s="56">
        <v>7.93</v>
      </c>
      <c r="AF9" s="57">
        <v>12.7</v>
      </c>
      <c r="AG9" s="58">
        <v>2.94</v>
      </c>
      <c r="AH9" s="56">
        <v>8.14</v>
      </c>
      <c r="AI9" s="57"/>
      <c r="AJ9" s="57">
        <v>8.6</v>
      </c>
      <c r="AK9" s="59"/>
      <c r="AL9" s="60"/>
      <c r="AM9" s="60"/>
    </row>
    <row r="10" spans="1:42" x14ac:dyDescent="0.25">
      <c r="A10" s="2">
        <v>43891</v>
      </c>
      <c r="B10" s="9" t="s">
        <v>20</v>
      </c>
      <c r="C10" s="20"/>
      <c r="D10" s="20"/>
      <c r="E10" s="15"/>
      <c r="F10" s="15"/>
      <c r="G10" s="16"/>
      <c r="H10" s="20"/>
      <c r="I10" s="16"/>
      <c r="J10" s="17"/>
      <c r="K10" s="20"/>
      <c r="L10" s="16"/>
      <c r="M10" s="26"/>
      <c r="N10" s="17"/>
      <c r="O10" s="26"/>
      <c r="P10" s="17"/>
      <c r="Q10" s="14"/>
      <c r="R10" s="1"/>
      <c r="S10" s="129"/>
      <c r="T10" s="114"/>
      <c r="U10" s="23"/>
      <c r="V10" s="23"/>
      <c r="W10" s="23"/>
      <c r="X10" s="151"/>
      <c r="Y10" s="54">
        <v>78.37</v>
      </c>
      <c r="Z10" s="54"/>
      <c r="AA10" s="55">
        <v>21.38</v>
      </c>
      <c r="AB10" s="55">
        <v>819.89</v>
      </c>
      <c r="AC10" s="56"/>
      <c r="AD10" s="54">
        <v>111.29</v>
      </c>
      <c r="AE10" s="56">
        <v>8.57</v>
      </c>
      <c r="AF10" s="57">
        <v>15.9</v>
      </c>
      <c r="AG10" s="58">
        <v>3.25</v>
      </c>
      <c r="AH10" s="56">
        <v>9.5</v>
      </c>
      <c r="AI10" s="57"/>
      <c r="AJ10" s="57">
        <v>7.83</v>
      </c>
      <c r="AK10" s="59"/>
      <c r="AL10" s="60"/>
      <c r="AM10" s="60"/>
    </row>
    <row r="11" spans="1:42" x14ac:dyDescent="0.25">
      <c r="A11" s="2">
        <v>43922</v>
      </c>
      <c r="B11" s="9" t="s">
        <v>21</v>
      </c>
      <c r="C11" s="20"/>
      <c r="D11" s="20"/>
      <c r="E11" s="15"/>
      <c r="F11" s="15"/>
      <c r="G11" s="16"/>
      <c r="H11" s="20"/>
      <c r="I11" s="16"/>
      <c r="J11" s="17"/>
      <c r="K11" s="20"/>
      <c r="L11" s="16"/>
      <c r="M11" s="26"/>
      <c r="N11" s="17"/>
      <c r="O11" s="26"/>
      <c r="P11" s="17"/>
      <c r="Q11" s="14"/>
      <c r="R11" s="1"/>
      <c r="S11" s="129"/>
      <c r="T11" s="114"/>
      <c r="U11" s="23"/>
      <c r="V11" s="23"/>
      <c r="W11" s="23"/>
      <c r="X11" s="151"/>
      <c r="Y11" s="54"/>
      <c r="Z11" s="54"/>
      <c r="AA11" s="55"/>
      <c r="AB11" s="55"/>
      <c r="AC11" s="56"/>
      <c r="AD11" s="54"/>
      <c r="AE11" s="56"/>
      <c r="AF11" s="57"/>
      <c r="AG11" s="58">
        <v>2.78</v>
      </c>
      <c r="AH11" s="56">
        <v>10.96</v>
      </c>
      <c r="AI11" s="57"/>
      <c r="AJ11" s="57"/>
      <c r="AK11" s="59"/>
      <c r="AL11" s="60"/>
      <c r="AM11" s="60"/>
    </row>
    <row r="12" spans="1:42" x14ac:dyDescent="0.25">
      <c r="A12" s="2">
        <v>43922</v>
      </c>
      <c r="B12" s="9" t="s">
        <v>22</v>
      </c>
      <c r="C12" s="20"/>
      <c r="D12" s="20"/>
      <c r="E12" s="15"/>
      <c r="F12" s="15"/>
      <c r="G12" s="16"/>
      <c r="H12" s="20"/>
      <c r="I12" s="16"/>
      <c r="J12" s="17"/>
      <c r="K12" s="20"/>
      <c r="L12" s="16"/>
      <c r="M12" s="26"/>
      <c r="N12" s="17"/>
      <c r="O12" s="26"/>
      <c r="P12" s="17"/>
      <c r="Q12" s="14"/>
      <c r="R12" s="1"/>
      <c r="S12" s="129"/>
      <c r="T12" s="114"/>
      <c r="U12" s="23"/>
      <c r="V12" s="23"/>
      <c r="W12" s="23"/>
      <c r="X12" s="151"/>
      <c r="Y12" s="54"/>
      <c r="Z12" s="54"/>
      <c r="AA12" s="55"/>
      <c r="AB12" s="55"/>
      <c r="AC12" s="56"/>
      <c r="AD12" s="54"/>
      <c r="AE12" s="56"/>
      <c r="AF12" s="57"/>
      <c r="AG12" s="58">
        <v>2.81</v>
      </c>
      <c r="AH12" s="56">
        <v>5.94</v>
      </c>
      <c r="AI12" s="57"/>
      <c r="AJ12" s="57"/>
      <c r="AK12" s="59"/>
      <c r="AL12" s="60"/>
      <c r="AM12" s="60"/>
    </row>
    <row r="13" spans="1:42" x14ac:dyDescent="0.25">
      <c r="A13" s="2">
        <v>43922</v>
      </c>
      <c r="B13" s="9" t="s">
        <v>23</v>
      </c>
      <c r="C13" s="20"/>
      <c r="D13" s="20"/>
      <c r="E13" s="15"/>
      <c r="F13" s="15"/>
      <c r="G13" s="16"/>
      <c r="H13" s="20"/>
      <c r="I13" s="16"/>
      <c r="J13" s="17"/>
      <c r="K13" s="20"/>
      <c r="L13" s="16"/>
      <c r="M13" s="26"/>
      <c r="N13" s="17"/>
      <c r="O13" s="26"/>
      <c r="P13" s="17"/>
      <c r="Q13" s="14"/>
      <c r="R13" s="1"/>
      <c r="S13" s="129"/>
      <c r="T13" s="114"/>
      <c r="U13" s="23"/>
      <c r="V13" s="23"/>
      <c r="W13" s="23"/>
      <c r="X13" s="151"/>
      <c r="Y13" s="54"/>
      <c r="Z13" s="54"/>
      <c r="AA13" s="55"/>
      <c r="AB13" s="55"/>
      <c r="AC13" s="56"/>
      <c r="AD13" s="54"/>
      <c r="AE13" s="56"/>
      <c r="AF13" s="57"/>
      <c r="AG13" s="58"/>
      <c r="AH13" s="56"/>
      <c r="AI13" s="57"/>
      <c r="AJ13" s="57"/>
      <c r="AK13" s="59"/>
      <c r="AL13" s="60"/>
      <c r="AM13" s="60"/>
    </row>
    <row r="14" spans="1:42" x14ac:dyDescent="0.25">
      <c r="A14" s="2">
        <v>43922</v>
      </c>
      <c r="B14" s="9" t="s">
        <v>24</v>
      </c>
      <c r="C14" s="20"/>
      <c r="D14" s="20"/>
      <c r="E14" s="15"/>
      <c r="F14" s="15"/>
      <c r="G14" s="16"/>
      <c r="H14" s="20"/>
      <c r="I14" s="16"/>
      <c r="J14" s="17"/>
      <c r="K14" s="20"/>
      <c r="L14" s="16"/>
      <c r="M14" s="26"/>
      <c r="N14" s="17"/>
      <c r="O14" s="26"/>
      <c r="P14" s="17"/>
      <c r="Q14" s="14"/>
      <c r="R14" s="1"/>
      <c r="S14" s="129"/>
      <c r="T14" s="114"/>
      <c r="U14" s="23"/>
      <c r="V14" s="23"/>
      <c r="W14" s="23"/>
      <c r="X14" s="151"/>
      <c r="Y14" s="54"/>
      <c r="Z14" s="54"/>
      <c r="AA14" s="55"/>
      <c r="AB14" s="55"/>
      <c r="AC14" s="56"/>
      <c r="AD14" s="54"/>
      <c r="AE14" s="56"/>
      <c r="AF14" s="57"/>
      <c r="AG14" s="58"/>
      <c r="AH14" s="56"/>
      <c r="AI14" s="57"/>
      <c r="AJ14" s="57"/>
      <c r="AK14" s="59"/>
      <c r="AL14" s="60"/>
      <c r="AM14" s="60"/>
    </row>
    <row r="15" spans="1:42" x14ac:dyDescent="0.25">
      <c r="A15" s="2">
        <v>43922</v>
      </c>
      <c r="B15" s="9" t="s">
        <v>25</v>
      </c>
      <c r="C15" s="20"/>
      <c r="D15" s="20"/>
      <c r="E15" s="15"/>
      <c r="F15" s="15"/>
      <c r="G15" s="16"/>
      <c r="H15" s="20"/>
      <c r="I15" s="16"/>
      <c r="J15" s="17"/>
      <c r="K15" s="20"/>
      <c r="L15" s="16"/>
      <c r="M15" s="26"/>
      <c r="N15" s="17"/>
      <c r="O15" s="26"/>
      <c r="P15" s="17"/>
      <c r="Q15" s="14"/>
      <c r="R15" s="1"/>
      <c r="S15" s="129"/>
      <c r="T15" s="114"/>
      <c r="U15" s="23"/>
      <c r="V15" s="23"/>
      <c r="W15" s="23"/>
      <c r="X15" s="151"/>
      <c r="Y15" s="54"/>
      <c r="Z15" s="54"/>
      <c r="AA15" s="55"/>
      <c r="AB15" s="55"/>
      <c r="AC15" s="56"/>
      <c r="AD15" s="54"/>
      <c r="AE15" s="56"/>
      <c r="AF15" s="57"/>
      <c r="AG15" s="58"/>
      <c r="AH15" s="56"/>
      <c r="AI15" s="57"/>
      <c r="AJ15" s="57"/>
      <c r="AK15" s="59"/>
      <c r="AL15" s="60"/>
      <c r="AM15" s="60"/>
    </row>
    <row r="16" spans="1:42" x14ac:dyDescent="0.25">
      <c r="A16" s="2">
        <v>43952</v>
      </c>
      <c r="B16" s="9" t="s">
        <v>26</v>
      </c>
      <c r="C16" s="20"/>
      <c r="D16" s="20"/>
      <c r="E16" s="15"/>
      <c r="F16" s="15"/>
      <c r="G16" s="16"/>
      <c r="H16" s="20"/>
      <c r="I16" s="16"/>
      <c r="J16" s="17"/>
      <c r="K16" s="20"/>
      <c r="L16" s="16"/>
      <c r="M16" s="26"/>
      <c r="N16" s="17"/>
      <c r="O16" s="26"/>
      <c r="P16" s="17"/>
      <c r="Q16" s="14"/>
      <c r="R16" s="1"/>
      <c r="S16" s="129"/>
      <c r="T16" s="114"/>
      <c r="U16" s="23"/>
      <c r="V16" s="23"/>
      <c r="W16" s="23"/>
      <c r="X16" s="151"/>
      <c r="Y16" s="54"/>
      <c r="Z16" s="54"/>
      <c r="AA16" s="55"/>
      <c r="AB16" s="55"/>
      <c r="AC16" s="56"/>
      <c r="AD16" s="54"/>
      <c r="AE16" s="56"/>
      <c r="AF16" s="57"/>
      <c r="AG16" s="54">
        <v>11.48</v>
      </c>
      <c r="AH16" s="56"/>
      <c r="AI16" s="57"/>
      <c r="AJ16" s="57"/>
      <c r="AK16" s="59"/>
      <c r="AL16" s="60"/>
      <c r="AM16" s="60"/>
    </row>
    <row r="17" spans="1:42" x14ac:dyDescent="0.25">
      <c r="A17" s="2">
        <v>43952</v>
      </c>
      <c r="B17" s="9" t="s">
        <v>27</v>
      </c>
      <c r="C17" s="20"/>
      <c r="D17" s="20"/>
      <c r="E17" s="15"/>
      <c r="F17" s="15"/>
      <c r="G17" s="16"/>
      <c r="H17" s="20"/>
      <c r="I17" s="16"/>
      <c r="J17" s="17"/>
      <c r="K17" s="20"/>
      <c r="L17" s="16"/>
      <c r="M17" s="26"/>
      <c r="N17" s="17"/>
      <c r="O17" s="26"/>
      <c r="P17" s="17"/>
      <c r="Q17" s="14"/>
      <c r="R17" s="1"/>
      <c r="S17" s="129"/>
      <c r="T17" s="114"/>
      <c r="U17" s="23"/>
      <c r="V17" s="23"/>
      <c r="W17" s="23"/>
      <c r="X17" s="151"/>
      <c r="Y17" s="54"/>
      <c r="Z17" s="54"/>
      <c r="AA17" s="55"/>
      <c r="AB17" s="55"/>
      <c r="AC17" s="56"/>
      <c r="AD17" s="54"/>
      <c r="AE17" s="56"/>
      <c r="AF17" s="57"/>
      <c r="AG17" s="54">
        <v>2.82</v>
      </c>
      <c r="AH17" s="56">
        <v>8.51</v>
      </c>
      <c r="AI17" s="57"/>
      <c r="AJ17" s="57"/>
      <c r="AK17" s="59"/>
      <c r="AL17" s="60"/>
      <c r="AM17" s="60"/>
    </row>
    <row r="18" spans="1:42" x14ac:dyDescent="0.25">
      <c r="A18" s="2">
        <v>43952</v>
      </c>
      <c r="B18" s="9" t="s">
        <v>28</v>
      </c>
      <c r="C18" s="20"/>
      <c r="D18" s="20"/>
      <c r="E18" s="15"/>
      <c r="F18" s="15"/>
      <c r="G18" s="16"/>
      <c r="H18" s="20"/>
      <c r="I18" s="16"/>
      <c r="J18" s="17"/>
      <c r="K18" s="20"/>
      <c r="L18" s="16"/>
      <c r="M18" s="26"/>
      <c r="N18" s="17"/>
      <c r="O18" s="26"/>
      <c r="P18" s="17"/>
      <c r="Q18" s="14"/>
      <c r="R18" s="1"/>
      <c r="S18" s="129"/>
      <c r="T18" s="114"/>
      <c r="U18" s="23"/>
      <c r="V18" s="23"/>
      <c r="W18" s="23"/>
      <c r="X18" s="151"/>
      <c r="Y18" s="54"/>
      <c r="Z18" s="54"/>
      <c r="AA18" s="55"/>
      <c r="AB18" s="55"/>
      <c r="AC18" s="56"/>
      <c r="AD18" s="54"/>
      <c r="AE18" s="56"/>
      <c r="AF18" s="57"/>
      <c r="AG18" s="54">
        <v>3.26</v>
      </c>
      <c r="AH18" s="56">
        <v>13.43</v>
      </c>
      <c r="AI18" s="57"/>
      <c r="AJ18" s="57"/>
      <c r="AK18" s="59"/>
      <c r="AL18" s="60"/>
      <c r="AM18" s="60"/>
    </row>
    <row r="19" spans="1:42" x14ac:dyDescent="0.25">
      <c r="A19" s="2">
        <v>43952</v>
      </c>
      <c r="B19" s="9" t="s">
        <v>29</v>
      </c>
      <c r="C19" s="20"/>
      <c r="D19" s="20">
        <v>22766</v>
      </c>
      <c r="E19" s="15"/>
      <c r="F19" s="15"/>
      <c r="G19" s="16"/>
      <c r="H19" s="20"/>
      <c r="I19" s="16"/>
      <c r="J19" s="17"/>
      <c r="K19" s="20"/>
      <c r="L19" s="16"/>
      <c r="M19" s="26"/>
      <c r="N19" s="17"/>
      <c r="O19" s="26"/>
      <c r="P19" s="17"/>
      <c r="Q19" s="14"/>
      <c r="R19" s="1"/>
      <c r="S19" s="129"/>
      <c r="T19" s="114"/>
      <c r="U19" s="23"/>
      <c r="V19" s="23"/>
      <c r="W19" s="23"/>
      <c r="X19" s="151"/>
      <c r="Y19" s="54"/>
      <c r="Z19" s="54"/>
      <c r="AA19" s="55"/>
      <c r="AB19" s="55"/>
      <c r="AC19" s="56"/>
      <c r="AD19" s="54"/>
      <c r="AE19" s="56"/>
      <c r="AF19" s="57"/>
      <c r="AG19" s="54">
        <v>2.34</v>
      </c>
      <c r="AH19" s="56">
        <v>4.28</v>
      </c>
      <c r="AI19" s="57"/>
      <c r="AJ19" s="57"/>
      <c r="AK19" s="59"/>
      <c r="AL19" s="60"/>
      <c r="AM19" s="60"/>
    </row>
    <row r="20" spans="1:42" x14ac:dyDescent="0.25">
      <c r="A20" s="6">
        <v>43983</v>
      </c>
      <c r="B20" s="9" t="s">
        <v>30</v>
      </c>
      <c r="C20" s="20">
        <v>70059</v>
      </c>
      <c r="D20" s="20">
        <v>22983</v>
      </c>
      <c r="E20" s="15"/>
      <c r="F20" s="15">
        <v>569310</v>
      </c>
      <c r="G20" s="16">
        <v>36530</v>
      </c>
      <c r="H20" s="20">
        <v>46149</v>
      </c>
      <c r="I20" s="16"/>
      <c r="J20" s="17"/>
      <c r="K20" s="20"/>
      <c r="L20" s="16"/>
      <c r="M20" s="26"/>
      <c r="N20" s="17"/>
      <c r="O20" s="26"/>
      <c r="P20" s="17">
        <v>11824</v>
      </c>
      <c r="Q20" s="14"/>
      <c r="R20" s="1"/>
      <c r="S20" s="129"/>
      <c r="T20" s="131">
        <v>733</v>
      </c>
      <c r="U20" s="27">
        <v>722</v>
      </c>
      <c r="V20" s="27"/>
      <c r="W20" s="27"/>
      <c r="X20" s="152"/>
      <c r="Y20" s="61">
        <f>C20/732.87</f>
        <v>95.595398911130218</v>
      </c>
      <c r="Z20" s="61"/>
      <c r="AA20" s="62">
        <f>E20/732.87</f>
        <v>0</v>
      </c>
      <c r="AB20" s="62">
        <f>F20/732.87</f>
        <v>776.82262884276884</v>
      </c>
      <c r="AC20" s="63">
        <f>G20/732.87</f>
        <v>49.845129422680692</v>
      </c>
      <c r="AD20" s="61">
        <f>H20/721.523</f>
        <v>63.960539026475935</v>
      </c>
      <c r="AE20" s="63">
        <f>I20/721.523</f>
        <v>0</v>
      </c>
      <c r="AF20" s="63">
        <f>J20/721.523</f>
        <v>0</v>
      </c>
      <c r="AG20" s="54">
        <v>2.4700000000000002</v>
      </c>
      <c r="AH20" s="56">
        <v>2.76</v>
      </c>
      <c r="AI20" s="57"/>
      <c r="AJ20" s="57"/>
      <c r="AK20" s="59"/>
      <c r="AL20" s="60"/>
      <c r="AM20" s="60"/>
    </row>
    <row r="21" spans="1:42" x14ac:dyDescent="0.25">
      <c r="A21" s="6">
        <v>43983</v>
      </c>
      <c r="B21" s="9" t="s">
        <v>31</v>
      </c>
      <c r="C21" s="20">
        <v>55708</v>
      </c>
      <c r="D21" s="20">
        <v>22743</v>
      </c>
      <c r="E21" s="15">
        <v>7164</v>
      </c>
      <c r="F21" s="15">
        <v>606990</v>
      </c>
      <c r="G21" s="16">
        <v>39380</v>
      </c>
      <c r="H21" s="20">
        <v>51277</v>
      </c>
      <c r="I21" s="16">
        <v>16429</v>
      </c>
      <c r="J21" s="17">
        <v>0</v>
      </c>
      <c r="K21" s="20">
        <v>10135</v>
      </c>
      <c r="L21" s="16">
        <v>8030</v>
      </c>
      <c r="M21" s="26">
        <v>18045</v>
      </c>
      <c r="N21" s="17">
        <v>16182</v>
      </c>
      <c r="O21" s="26">
        <v>28720</v>
      </c>
      <c r="P21" s="17">
        <v>14389</v>
      </c>
      <c r="Q21" s="14"/>
      <c r="R21" s="1"/>
      <c r="S21" s="129"/>
      <c r="T21" s="131"/>
      <c r="U21" s="27"/>
      <c r="V21" s="27"/>
      <c r="W21" s="27"/>
      <c r="X21" s="152"/>
      <c r="Y21" s="54"/>
      <c r="Z21" s="54"/>
      <c r="AA21" s="55"/>
      <c r="AB21" s="55"/>
      <c r="AC21" s="56"/>
      <c r="AD21" s="54"/>
      <c r="AE21" s="56"/>
      <c r="AF21" s="57"/>
      <c r="AG21" s="54">
        <v>2.08</v>
      </c>
      <c r="AH21" s="56">
        <v>2.41</v>
      </c>
      <c r="AI21" s="57"/>
      <c r="AJ21" s="57"/>
      <c r="AK21" s="59"/>
      <c r="AL21" s="60"/>
      <c r="AM21" s="60"/>
    </row>
    <row r="22" spans="1:42" x14ac:dyDescent="0.25">
      <c r="A22" s="6">
        <v>43983</v>
      </c>
      <c r="B22" s="9" t="s">
        <v>32</v>
      </c>
      <c r="C22" s="20">
        <v>59319</v>
      </c>
      <c r="D22" s="20">
        <v>24524</v>
      </c>
      <c r="E22" s="15">
        <v>10117</v>
      </c>
      <c r="F22" s="15">
        <v>716490</v>
      </c>
      <c r="G22" s="16">
        <v>39670</v>
      </c>
      <c r="H22" s="20">
        <v>18274</v>
      </c>
      <c r="I22" s="16">
        <v>86058</v>
      </c>
      <c r="J22" s="17">
        <v>0</v>
      </c>
      <c r="K22" s="20">
        <v>8043</v>
      </c>
      <c r="L22" s="16">
        <v>9156</v>
      </c>
      <c r="M22" s="26">
        <v>26029</v>
      </c>
      <c r="N22" s="17">
        <v>13397</v>
      </c>
      <c r="O22" s="26">
        <v>25688</v>
      </c>
      <c r="P22" s="17">
        <v>13613</v>
      </c>
      <c r="Q22" s="14"/>
      <c r="R22" s="1"/>
      <c r="S22" s="129"/>
      <c r="T22" s="131"/>
      <c r="U22" s="27"/>
      <c r="V22" s="27"/>
      <c r="W22" s="27"/>
      <c r="X22" s="152"/>
      <c r="Y22" s="54"/>
      <c r="Z22" s="54"/>
      <c r="AA22" s="55"/>
      <c r="AB22" s="55"/>
      <c r="AC22" s="56"/>
      <c r="AD22" s="54"/>
      <c r="AE22" s="56"/>
      <c r="AF22" s="57"/>
      <c r="AG22" s="54"/>
      <c r="AH22" s="56"/>
      <c r="AI22" s="57"/>
      <c r="AJ22" s="57"/>
      <c r="AK22" s="59"/>
      <c r="AL22" s="60"/>
      <c r="AM22" s="60"/>
    </row>
    <row r="23" spans="1:42" x14ac:dyDescent="0.25">
      <c r="A23" s="6">
        <v>43983</v>
      </c>
      <c r="B23" s="9" t="s">
        <v>33</v>
      </c>
      <c r="C23" s="20">
        <v>59765</v>
      </c>
      <c r="D23" s="20">
        <v>24612</v>
      </c>
      <c r="E23" s="15">
        <v>7582</v>
      </c>
      <c r="F23" s="15">
        <v>710600</v>
      </c>
      <c r="G23" s="16">
        <v>38240</v>
      </c>
      <c r="H23" s="20">
        <v>86038</v>
      </c>
      <c r="I23" s="16">
        <v>23926</v>
      </c>
      <c r="J23" s="17">
        <v>0</v>
      </c>
      <c r="K23" s="20">
        <v>8490</v>
      </c>
      <c r="L23" s="16">
        <v>8249</v>
      </c>
      <c r="M23" s="26">
        <v>26073</v>
      </c>
      <c r="N23" s="17">
        <v>13914</v>
      </c>
      <c r="O23" s="26">
        <v>26330</v>
      </c>
      <c r="P23" s="17">
        <v>13592</v>
      </c>
      <c r="Q23" s="14"/>
      <c r="R23" s="1"/>
      <c r="S23" s="129"/>
      <c r="T23" s="131"/>
      <c r="U23" s="27"/>
      <c r="V23" s="27"/>
      <c r="W23" s="27"/>
      <c r="X23" s="152"/>
      <c r="Y23" s="54"/>
      <c r="Z23" s="54"/>
      <c r="AA23" s="55"/>
      <c r="AB23" s="55"/>
      <c r="AC23" s="56"/>
      <c r="AD23" s="54"/>
      <c r="AE23" s="56"/>
      <c r="AF23" s="57"/>
      <c r="AG23" s="54"/>
      <c r="AH23" s="56"/>
      <c r="AI23" s="57"/>
      <c r="AJ23" s="57"/>
      <c r="AK23" s="59"/>
      <c r="AL23" s="60"/>
      <c r="AM23" s="60"/>
      <c r="AN23" s="60"/>
      <c r="AO23" s="60"/>
      <c r="AP23" s="60"/>
    </row>
    <row r="24" spans="1:42" x14ac:dyDescent="0.25">
      <c r="A24" s="6">
        <v>44013</v>
      </c>
      <c r="B24" s="9" t="s">
        <v>34</v>
      </c>
      <c r="C24" s="20">
        <v>59120</v>
      </c>
      <c r="D24" s="20">
        <v>24801</v>
      </c>
      <c r="E24" s="15">
        <v>6430</v>
      </c>
      <c r="F24" s="15">
        <v>681480</v>
      </c>
      <c r="G24" s="16">
        <v>36020</v>
      </c>
      <c r="H24" s="20">
        <v>76826</v>
      </c>
      <c r="I24" s="16">
        <v>22060</v>
      </c>
      <c r="J24" s="17">
        <v>0</v>
      </c>
      <c r="K24" s="20">
        <v>8490</v>
      </c>
      <c r="L24" s="16">
        <v>8562</v>
      </c>
      <c r="M24" s="26">
        <v>25825</v>
      </c>
      <c r="N24" s="17">
        <v>13265</v>
      </c>
      <c r="O24" s="26">
        <v>25359</v>
      </c>
      <c r="P24" s="17">
        <v>13599</v>
      </c>
      <c r="Q24" s="14"/>
      <c r="R24" s="1"/>
      <c r="S24" s="129"/>
      <c r="T24" s="131"/>
      <c r="U24" s="27"/>
      <c r="V24" s="27"/>
      <c r="W24" s="27"/>
      <c r="X24" s="152"/>
      <c r="Y24" s="54"/>
      <c r="Z24" s="54"/>
      <c r="AA24" s="55"/>
      <c r="AB24" s="55"/>
      <c r="AC24" s="56"/>
      <c r="AD24" s="54"/>
      <c r="AE24" s="56"/>
      <c r="AF24" s="57"/>
      <c r="AG24" s="54"/>
      <c r="AH24" s="56"/>
      <c r="AI24" s="57"/>
      <c r="AJ24" s="57"/>
      <c r="AK24" s="59"/>
      <c r="AL24" s="60"/>
      <c r="AM24" s="60"/>
      <c r="AN24" s="60"/>
      <c r="AO24" s="60"/>
      <c r="AP24" s="60"/>
    </row>
    <row r="25" spans="1:42" x14ac:dyDescent="0.25">
      <c r="A25" s="6">
        <v>44044</v>
      </c>
      <c r="B25" s="9" t="s">
        <v>35</v>
      </c>
      <c r="C25" s="20">
        <v>56086</v>
      </c>
      <c r="D25" s="20">
        <v>23628</v>
      </c>
      <c r="E25" s="15">
        <v>19372</v>
      </c>
      <c r="F25" s="15">
        <v>319830</v>
      </c>
      <c r="G25" s="16">
        <v>37580</v>
      </c>
      <c r="H25" s="20">
        <v>32177</v>
      </c>
      <c r="I25" s="16">
        <v>4906</v>
      </c>
      <c r="J25" s="17">
        <v>0</v>
      </c>
      <c r="K25" s="20">
        <v>1392</v>
      </c>
      <c r="L25" s="16">
        <v>3101</v>
      </c>
      <c r="M25" s="26">
        <v>25276</v>
      </c>
      <c r="N25" s="17">
        <v>11296</v>
      </c>
      <c r="O25" s="26">
        <v>18548</v>
      </c>
      <c r="P25" s="17">
        <v>10291</v>
      </c>
      <c r="Q25" s="14"/>
      <c r="R25" s="1"/>
      <c r="S25" s="129"/>
      <c r="T25" s="131"/>
      <c r="U25" s="27"/>
      <c r="V25" s="27"/>
      <c r="W25" s="27"/>
      <c r="X25" s="152"/>
      <c r="Y25" s="64"/>
      <c r="Z25" s="64"/>
      <c r="AA25" s="65"/>
      <c r="AB25" s="65"/>
      <c r="AC25" s="66"/>
      <c r="AD25" s="64"/>
      <c r="AE25" s="66"/>
      <c r="AF25" s="59"/>
      <c r="AG25" s="64"/>
      <c r="AH25" s="66"/>
      <c r="AI25" s="70"/>
      <c r="AJ25" s="70"/>
      <c r="AK25" s="70"/>
      <c r="AL25" s="60"/>
      <c r="AM25" s="60"/>
      <c r="AN25" s="60"/>
      <c r="AO25" s="60"/>
      <c r="AP25" s="60"/>
    </row>
    <row r="26" spans="1:42" x14ac:dyDescent="0.25">
      <c r="A26" s="6">
        <v>44044</v>
      </c>
      <c r="B26" s="9" t="s">
        <v>36</v>
      </c>
      <c r="C26" s="20">
        <v>66536</v>
      </c>
      <c r="D26" s="20">
        <v>25292</v>
      </c>
      <c r="E26" s="15">
        <v>6946</v>
      </c>
      <c r="F26" s="15">
        <v>669170</v>
      </c>
      <c r="G26" s="16">
        <v>43280</v>
      </c>
      <c r="H26" s="20">
        <v>73789</v>
      </c>
      <c r="I26" s="16">
        <v>24330</v>
      </c>
      <c r="J26" s="17">
        <v>0</v>
      </c>
      <c r="K26" s="20">
        <v>7223</v>
      </c>
      <c r="L26" s="16">
        <v>6464</v>
      </c>
      <c r="M26" s="26">
        <v>28811</v>
      </c>
      <c r="N26" s="17">
        <v>13952</v>
      </c>
      <c r="O26" s="26">
        <v>24274</v>
      </c>
      <c r="P26" s="17">
        <v>13167</v>
      </c>
      <c r="Q26" s="14"/>
      <c r="R26" s="1"/>
      <c r="S26" s="129"/>
      <c r="T26" s="131">
        <v>833</v>
      </c>
      <c r="U26" s="27">
        <v>838</v>
      </c>
      <c r="V26" s="27">
        <v>3624</v>
      </c>
      <c r="W26" s="27">
        <v>2392</v>
      </c>
      <c r="X26" s="152">
        <v>213</v>
      </c>
      <c r="Y26" s="67">
        <f>C26/833</f>
        <v>79.875150060024012</v>
      </c>
      <c r="Z26" s="67">
        <f>D26/833</f>
        <v>30.362545018007204</v>
      </c>
      <c r="AA26" s="68">
        <f>E26/833</f>
        <v>8.3385354141656656</v>
      </c>
      <c r="AB26" s="68">
        <f>F26/833</f>
        <v>803.32533013205284</v>
      </c>
      <c r="AC26" s="69">
        <f>G26/833</f>
        <v>51.956782713085232</v>
      </c>
      <c r="AD26" s="67">
        <f>H26/838</f>
        <v>88.053699284009554</v>
      </c>
      <c r="AE26" s="69">
        <f>I26/2392</f>
        <v>10.171404682274247</v>
      </c>
      <c r="AF26" s="59"/>
      <c r="AG26" s="67">
        <f>K26/3624</f>
        <v>1.9931015452538632</v>
      </c>
      <c r="AH26" s="102">
        <f>L26/3624</f>
        <v>1.7836644591611479</v>
      </c>
      <c r="AI26" s="68">
        <f>M26/2392</f>
        <v>12.044732441471572</v>
      </c>
      <c r="AJ26" s="79">
        <f>N26/X26</f>
        <v>65.502347417840369</v>
      </c>
      <c r="AK26" s="68">
        <f>O26/2392</f>
        <v>10.147993311036789</v>
      </c>
      <c r="AL26" s="65"/>
      <c r="AM26" s="65"/>
      <c r="AN26" s="65"/>
      <c r="AO26" s="65"/>
      <c r="AP26" s="65"/>
    </row>
    <row r="27" spans="1:42" x14ac:dyDescent="0.25">
      <c r="A27" s="6">
        <v>44044</v>
      </c>
      <c r="B27" s="9" t="s">
        <v>37</v>
      </c>
      <c r="C27" s="20">
        <v>69692</v>
      </c>
      <c r="D27" s="20">
        <v>25896</v>
      </c>
      <c r="E27" s="15">
        <v>12331</v>
      </c>
      <c r="F27" s="15">
        <v>628200</v>
      </c>
      <c r="G27" s="16">
        <v>86220</v>
      </c>
      <c r="H27" s="20">
        <v>72342</v>
      </c>
      <c r="I27" s="16">
        <v>23068</v>
      </c>
      <c r="J27" s="17">
        <v>0</v>
      </c>
      <c r="K27" s="20">
        <v>7797</v>
      </c>
      <c r="L27" s="16">
        <v>7253</v>
      </c>
      <c r="M27" s="26">
        <v>24627</v>
      </c>
      <c r="N27" s="17">
        <v>12483</v>
      </c>
      <c r="O27" s="26">
        <v>23780</v>
      </c>
      <c r="P27" s="17">
        <v>12937</v>
      </c>
      <c r="Q27" s="14"/>
      <c r="R27" s="1"/>
      <c r="S27" s="129"/>
      <c r="T27" s="131">
        <v>694</v>
      </c>
      <c r="U27" s="27">
        <v>792</v>
      </c>
      <c r="V27" s="27">
        <v>3989</v>
      </c>
      <c r="W27" s="27">
        <v>2272</v>
      </c>
      <c r="X27" s="152">
        <v>165</v>
      </c>
      <c r="Y27" s="67">
        <f>C27/694</f>
        <v>100.42074927953891</v>
      </c>
      <c r="Z27" s="67">
        <f>D27/694</f>
        <v>37.314121037463977</v>
      </c>
      <c r="AA27" s="68">
        <f>E27/694</f>
        <v>17.768011527377521</v>
      </c>
      <c r="AB27" s="68">
        <f>F27/694</f>
        <v>905.18731988472621</v>
      </c>
      <c r="AC27" s="69">
        <f>G27/694</f>
        <v>124.23631123919309</v>
      </c>
      <c r="AD27" s="67">
        <f>H27/792</f>
        <v>91.340909090909093</v>
      </c>
      <c r="AE27" s="69">
        <f>I27/2272</f>
        <v>10.153169014084508</v>
      </c>
      <c r="AF27" s="59"/>
      <c r="AG27" s="67">
        <f>K27/3989</f>
        <v>1.9546252193532214</v>
      </c>
      <c r="AH27" s="102">
        <f>L27/3989</f>
        <v>1.818250188017047</v>
      </c>
      <c r="AI27" s="68">
        <f>M27/2272</f>
        <v>10.839348591549296</v>
      </c>
      <c r="AJ27" s="79">
        <f t="shared" ref="AJ26:AJ31" si="0">N27/X27</f>
        <v>75.654545454545456</v>
      </c>
      <c r="AK27" s="68">
        <f>O27/2272</f>
        <v>10.466549295774648</v>
      </c>
      <c r="AL27" s="72"/>
      <c r="AM27" s="72"/>
      <c r="AN27" s="65"/>
      <c r="AO27" s="65"/>
      <c r="AP27" s="65"/>
    </row>
    <row r="28" spans="1:42" x14ac:dyDescent="0.25">
      <c r="A28" s="6">
        <v>44075</v>
      </c>
      <c r="B28" s="9" t="s">
        <v>38</v>
      </c>
      <c r="C28" s="20">
        <v>67540</v>
      </c>
      <c r="D28" s="20">
        <v>25060</v>
      </c>
      <c r="E28" s="15">
        <v>11846</v>
      </c>
      <c r="F28" s="15">
        <v>650920</v>
      </c>
      <c r="G28" s="16">
        <v>31390</v>
      </c>
      <c r="H28" s="20">
        <v>72230</v>
      </c>
      <c r="I28" s="16">
        <v>24952</v>
      </c>
      <c r="J28" s="17">
        <v>0</v>
      </c>
      <c r="K28" s="20">
        <v>8028</v>
      </c>
      <c r="L28" s="16">
        <v>10702</v>
      </c>
      <c r="M28" s="26">
        <v>24740</v>
      </c>
      <c r="N28" s="17">
        <v>13405</v>
      </c>
      <c r="O28" s="26">
        <v>23952</v>
      </c>
      <c r="P28" s="17">
        <v>12052</v>
      </c>
      <c r="Q28" s="14"/>
      <c r="R28" s="1"/>
      <c r="S28" s="129"/>
      <c r="T28" s="131">
        <v>820</v>
      </c>
      <c r="U28" s="27">
        <v>831</v>
      </c>
      <c r="V28" s="27">
        <v>4229</v>
      </c>
      <c r="W28" s="27">
        <v>2259</v>
      </c>
      <c r="X28" s="152">
        <v>231</v>
      </c>
      <c r="Y28" s="78">
        <f>C28/820</f>
        <v>82.365853658536579</v>
      </c>
      <c r="Z28" s="78">
        <f>D28/820</f>
        <v>30.560975609756099</v>
      </c>
      <c r="AA28" s="79">
        <f>E28/820</f>
        <v>14.446341463414635</v>
      </c>
      <c r="AB28" s="79">
        <f>F28/820</f>
        <v>793.80487804878044</v>
      </c>
      <c r="AC28" s="80">
        <f>G28/820</f>
        <v>38.280487804878049</v>
      </c>
      <c r="AD28" s="78">
        <f>H28/831</f>
        <v>86.919374247894098</v>
      </c>
      <c r="AE28" s="80">
        <f>I28/2259</f>
        <v>11.045595396193006</v>
      </c>
      <c r="AF28" s="92"/>
      <c r="AG28" s="78">
        <f>K28/4229</f>
        <v>1.8983211161030977</v>
      </c>
      <c r="AH28" s="103">
        <f>L28/4229</f>
        <v>2.530621896429416</v>
      </c>
      <c r="AI28" s="79">
        <f>M28/2259</f>
        <v>10.951748561310314</v>
      </c>
      <c r="AJ28" s="79">
        <f t="shared" si="0"/>
        <v>58.030303030303031</v>
      </c>
      <c r="AK28" s="79">
        <f>O28/2259</f>
        <v>10.602921646746347</v>
      </c>
      <c r="AL28" s="83">
        <f>8685/2259</f>
        <v>3.8446215139442232</v>
      </c>
      <c r="AM28" s="83">
        <f>14000/2259</f>
        <v>6.1974324922532098</v>
      </c>
      <c r="AN28" s="65"/>
      <c r="AO28" s="65"/>
      <c r="AP28" s="65"/>
    </row>
    <row r="29" spans="1:42" x14ac:dyDescent="0.25">
      <c r="A29" s="6">
        <v>44075</v>
      </c>
      <c r="B29" s="9" t="s">
        <v>39</v>
      </c>
      <c r="C29" s="20">
        <v>66324</v>
      </c>
      <c r="D29" s="20">
        <v>22533</v>
      </c>
      <c r="E29" s="15">
        <v>6234</v>
      </c>
      <c r="F29" s="15">
        <v>596460</v>
      </c>
      <c r="G29" s="16">
        <v>27290</v>
      </c>
      <c r="H29" s="20">
        <v>68550</v>
      </c>
      <c r="I29" s="16">
        <v>21241</v>
      </c>
      <c r="J29" s="17">
        <v>0</v>
      </c>
      <c r="K29" s="20">
        <v>7567</v>
      </c>
      <c r="L29" s="16">
        <v>11321</v>
      </c>
      <c r="M29" s="26">
        <v>24846</v>
      </c>
      <c r="N29" s="17">
        <v>10897</v>
      </c>
      <c r="O29" s="26">
        <v>22999</v>
      </c>
      <c r="P29" s="17">
        <v>12518</v>
      </c>
      <c r="Q29" s="14"/>
      <c r="R29" s="1"/>
      <c r="S29" s="129"/>
      <c r="T29" s="131">
        <v>765</v>
      </c>
      <c r="U29" s="27">
        <v>779</v>
      </c>
      <c r="V29" s="27">
        <v>3624</v>
      </c>
      <c r="W29" s="27">
        <v>2243</v>
      </c>
      <c r="X29" s="152">
        <v>228</v>
      </c>
      <c r="Y29" s="78">
        <f>C29/765</f>
        <v>86.698039215686279</v>
      </c>
      <c r="Z29" s="78">
        <f>D29/765</f>
        <v>29.454901960784312</v>
      </c>
      <c r="AA29" s="79">
        <f>E29/765</f>
        <v>8.1490196078431367</v>
      </c>
      <c r="AB29" s="79">
        <f>F29/765</f>
        <v>779.68627450980387</v>
      </c>
      <c r="AC29" s="80">
        <f>G29/765</f>
        <v>35.673202614379086</v>
      </c>
      <c r="AD29" s="78">
        <f>H29/779</f>
        <v>87.997432605905004</v>
      </c>
      <c r="AE29" s="93">
        <f>I29/2243</f>
        <v>9.4699063753901029</v>
      </c>
      <c r="AF29" s="92"/>
      <c r="AG29" s="78">
        <f>K29/3624</f>
        <v>2.0880242825607063</v>
      </c>
      <c r="AH29" s="103">
        <f>L29/3624</f>
        <v>3.123896247240618</v>
      </c>
      <c r="AI29" s="110">
        <f>M29/2243</f>
        <v>11.077128845296478</v>
      </c>
      <c r="AJ29" s="79">
        <f t="shared" si="0"/>
        <v>47.793859649122808</v>
      </c>
      <c r="AK29" s="110">
        <f>O29/2243</f>
        <v>10.253678109674542</v>
      </c>
      <c r="AL29" s="83">
        <f>8950/2243</f>
        <v>3.9901917075345521</v>
      </c>
      <c r="AM29" s="83">
        <f>11000/2243</f>
        <v>4.9041462327240302</v>
      </c>
      <c r="AN29" s="65"/>
      <c r="AO29" s="65"/>
      <c r="AP29" s="65"/>
    </row>
    <row r="30" spans="1:42" x14ac:dyDescent="0.25">
      <c r="A30" s="6">
        <v>44075</v>
      </c>
      <c r="B30" s="9" t="s">
        <v>40</v>
      </c>
      <c r="C30" s="20">
        <v>70659</v>
      </c>
      <c r="D30" s="20">
        <v>26301</v>
      </c>
      <c r="E30" s="15">
        <v>9504</v>
      </c>
      <c r="F30" s="15">
        <v>699320</v>
      </c>
      <c r="G30" s="16">
        <v>40190</v>
      </c>
      <c r="H30" s="20">
        <v>69435</v>
      </c>
      <c r="I30" s="16">
        <v>24401</v>
      </c>
      <c r="J30" s="17">
        <v>0</v>
      </c>
      <c r="K30" s="20">
        <v>7668</v>
      </c>
      <c r="L30" s="16">
        <v>7713</v>
      </c>
      <c r="M30" s="26">
        <v>25097</v>
      </c>
      <c r="N30" s="17">
        <v>13769</v>
      </c>
      <c r="O30" s="26">
        <v>24488</v>
      </c>
      <c r="P30" s="17">
        <v>11531</v>
      </c>
      <c r="Q30" s="14"/>
      <c r="R30" s="1"/>
      <c r="S30" s="129"/>
      <c r="T30" s="131">
        <v>881</v>
      </c>
      <c r="U30" s="27">
        <v>857</v>
      </c>
      <c r="V30" s="27">
        <v>4001</v>
      </c>
      <c r="W30" s="27">
        <v>2352</v>
      </c>
      <c r="X30" s="152">
        <v>234</v>
      </c>
      <c r="Y30" s="78">
        <f>C30/881</f>
        <v>80.203178206583431</v>
      </c>
      <c r="Z30" s="78">
        <f>D30/881</f>
        <v>29.853575482406356</v>
      </c>
      <c r="AA30" s="79">
        <f>E30/881</f>
        <v>10.787741203178207</v>
      </c>
      <c r="AB30" s="79">
        <f>F30/881</f>
        <v>793.77979568671958</v>
      </c>
      <c r="AC30" s="80">
        <f>G30/881</f>
        <v>45.618615209988647</v>
      </c>
      <c r="AD30" s="78">
        <f>H30/857</f>
        <v>81.021003500583433</v>
      </c>
      <c r="AE30" s="80">
        <f>I30/2352</f>
        <v>10.374574829931973</v>
      </c>
      <c r="AF30" s="92"/>
      <c r="AG30" s="78">
        <f>K30/4001</f>
        <v>1.9165208697825544</v>
      </c>
      <c r="AH30" s="103">
        <f>L30/4001</f>
        <v>1.9277680579855037</v>
      </c>
      <c r="AI30" s="79">
        <f>M30/2352</f>
        <v>10.670493197278912</v>
      </c>
      <c r="AJ30" s="79">
        <f t="shared" si="0"/>
        <v>58.841880341880341</v>
      </c>
      <c r="AK30" s="79">
        <f>O30/2352</f>
        <v>10.411564625850341</v>
      </c>
      <c r="AL30" s="83">
        <f>9113/2352</f>
        <v>3.8745748299319729</v>
      </c>
      <c r="AM30" s="83">
        <f>15000/2352</f>
        <v>6.3775510204081636</v>
      </c>
      <c r="AN30" s="65"/>
      <c r="AO30" s="65"/>
      <c r="AP30" s="65"/>
    </row>
    <row r="31" spans="1:42" x14ac:dyDescent="0.25">
      <c r="A31" s="29">
        <v>44075</v>
      </c>
      <c r="B31" s="32" t="s">
        <v>41</v>
      </c>
      <c r="C31" s="30">
        <v>66384</v>
      </c>
      <c r="D31" s="30">
        <v>25362</v>
      </c>
      <c r="E31" s="31">
        <v>5590</v>
      </c>
      <c r="F31" s="31">
        <v>750060</v>
      </c>
      <c r="G31" s="32">
        <v>39680</v>
      </c>
      <c r="H31" s="30">
        <v>67902</v>
      </c>
      <c r="I31" s="32">
        <v>26226</v>
      </c>
      <c r="J31" s="33">
        <v>0</v>
      </c>
      <c r="K31" s="30">
        <v>8007</v>
      </c>
      <c r="L31" s="32">
        <v>12853</v>
      </c>
      <c r="M31" s="41">
        <v>25794</v>
      </c>
      <c r="N31" s="33">
        <v>14156</v>
      </c>
      <c r="O31" s="41">
        <v>25139</v>
      </c>
      <c r="P31" s="33">
        <v>12014</v>
      </c>
      <c r="Q31" s="14"/>
      <c r="R31" s="1"/>
      <c r="S31" s="129"/>
      <c r="T31" s="132">
        <v>915</v>
      </c>
      <c r="U31" s="28">
        <v>933</v>
      </c>
      <c r="V31" s="28">
        <v>4338</v>
      </c>
      <c r="W31" s="28">
        <v>2548</v>
      </c>
      <c r="X31" s="153">
        <v>234</v>
      </c>
      <c r="Y31" s="94">
        <f>C31/915</f>
        <v>72.550819672131141</v>
      </c>
      <c r="Z31" s="94">
        <f>D31/915</f>
        <v>27.718032786885246</v>
      </c>
      <c r="AA31" s="95">
        <f>E31/915</f>
        <v>6.1092896174863389</v>
      </c>
      <c r="AB31" s="95">
        <f>F31/915</f>
        <v>819.73770491803282</v>
      </c>
      <c r="AC31" s="96">
        <f>G31/915</f>
        <v>43.366120218579233</v>
      </c>
      <c r="AD31" s="94">
        <f>H31/933</f>
        <v>72.778135048231505</v>
      </c>
      <c r="AE31" s="96">
        <f>I31/2548</f>
        <v>10.292778649921507</v>
      </c>
      <c r="AF31" s="97"/>
      <c r="AG31" s="94">
        <f>K31/4338</f>
        <v>1.8457814661134164</v>
      </c>
      <c r="AH31" s="104">
        <f>L31/4338</f>
        <v>2.9628861226371601</v>
      </c>
      <c r="AI31" s="79">
        <f>M31/2548</f>
        <v>10.123233908948194</v>
      </c>
      <c r="AJ31" s="79">
        <f t="shared" si="0"/>
        <v>60.495726495726494</v>
      </c>
      <c r="AK31" s="79">
        <f>O31/2548</f>
        <v>9.8661695447409734</v>
      </c>
      <c r="AL31" s="83">
        <f>10343/2548</f>
        <v>4.0592621664050235</v>
      </c>
      <c r="AM31" s="83">
        <f>14000/2548</f>
        <v>5.4945054945054945</v>
      </c>
      <c r="AN31" s="65"/>
      <c r="AO31" s="65"/>
      <c r="AP31" s="65"/>
    </row>
    <row r="32" spans="1:42" x14ac:dyDescent="0.25">
      <c r="A32" s="6">
        <v>44105</v>
      </c>
      <c r="B32" s="9" t="s">
        <v>42</v>
      </c>
      <c r="C32" s="7">
        <v>63807</v>
      </c>
      <c r="D32" s="3">
        <v>23942</v>
      </c>
      <c r="E32" s="3">
        <v>5864</v>
      </c>
      <c r="F32" s="3">
        <v>752990</v>
      </c>
      <c r="G32" s="9">
        <v>37480</v>
      </c>
      <c r="H32" s="7">
        <v>78895</v>
      </c>
      <c r="I32" s="9">
        <v>21643</v>
      </c>
      <c r="J32" s="12"/>
      <c r="K32" s="7">
        <v>8457</v>
      </c>
      <c r="L32" s="9">
        <v>29326</v>
      </c>
      <c r="M32" s="48">
        <v>27069</v>
      </c>
      <c r="N32" s="12">
        <v>13801</v>
      </c>
      <c r="O32" s="48">
        <v>24426</v>
      </c>
      <c r="P32" s="12">
        <v>14667</v>
      </c>
      <c r="Q32" s="126">
        <v>8645</v>
      </c>
      <c r="R32" s="117">
        <v>6399</v>
      </c>
      <c r="S32" s="130">
        <v>29843</v>
      </c>
      <c r="T32" s="133">
        <v>974</v>
      </c>
      <c r="U32" s="34">
        <v>1011</v>
      </c>
      <c r="V32" s="34">
        <v>4521</v>
      </c>
      <c r="W32" s="143">
        <v>2696</v>
      </c>
      <c r="X32" s="152">
        <v>171</v>
      </c>
      <c r="Y32" s="78">
        <f>C32/974</f>
        <v>65.510266940451743</v>
      </c>
      <c r="Z32" s="78">
        <f>D32/974</f>
        <v>24.581108829568787</v>
      </c>
      <c r="AA32" s="79">
        <f>E32/974</f>
        <v>6.020533880903491</v>
      </c>
      <c r="AB32" s="79">
        <f>F32/974</f>
        <v>773.09034907597538</v>
      </c>
      <c r="AC32" s="80">
        <f>G32/974</f>
        <v>38.480492813141687</v>
      </c>
      <c r="AD32" s="78">
        <f>H32/1011</f>
        <v>78.036597428288829</v>
      </c>
      <c r="AE32" s="80">
        <f>I32/2696</f>
        <v>8.0278189910979236</v>
      </c>
      <c r="AF32" s="92"/>
      <c r="AG32" s="78">
        <f>K32/4521</f>
        <v>1.8706038487060386</v>
      </c>
      <c r="AH32" s="103">
        <f>L32/4521</f>
        <v>6.4866180048661803</v>
      </c>
      <c r="AI32" s="79">
        <f>M32/2696</f>
        <v>10.040430267062314</v>
      </c>
      <c r="AJ32" s="79">
        <f>N32/X32</f>
        <v>80.707602339181292</v>
      </c>
      <c r="AK32" s="79">
        <f>O32/2696</f>
        <v>9.0600890207715139</v>
      </c>
      <c r="AL32" s="83">
        <f>10615/2696</f>
        <v>3.9373145400593472</v>
      </c>
      <c r="AM32" s="83">
        <f>16000/2696</f>
        <v>5.9347181008902075</v>
      </c>
      <c r="AN32" s="72">
        <f>Q32/W32</f>
        <v>3.2066023738872405</v>
      </c>
      <c r="AO32" s="72">
        <f>R32/W32</f>
        <v>2.3735163204747773</v>
      </c>
      <c r="AP32" s="72">
        <f>S32/U32</f>
        <v>29.518298714144411</v>
      </c>
    </row>
    <row r="33" spans="1:42" x14ac:dyDescent="0.25">
      <c r="A33" s="6">
        <v>44105</v>
      </c>
      <c r="B33" s="9" t="s">
        <v>61</v>
      </c>
      <c r="C33" s="38">
        <v>65838</v>
      </c>
      <c r="D33" s="35">
        <v>23208</v>
      </c>
      <c r="E33" s="35">
        <v>7645</v>
      </c>
      <c r="F33" s="35">
        <v>545170</v>
      </c>
      <c r="G33" s="43">
        <v>27230</v>
      </c>
      <c r="H33" s="38">
        <v>73224</v>
      </c>
      <c r="I33" s="43">
        <v>18214</v>
      </c>
      <c r="J33" s="51">
        <v>198</v>
      </c>
      <c r="K33" s="38">
        <v>8701</v>
      </c>
      <c r="L33" s="43">
        <v>32503</v>
      </c>
      <c r="M33" s="49">
        <v>28042</v>
      </c>
      <c r="N33" s="51">
        <v>12820</v>
      </c>
      <c r="O33" s="49">
        <v>23461</v>
      </c>
      <c r="P33" s="19">
        <v>13966</v>
      </c>
      <c r="Q33" s="126">
        <v>8911.9000000000233</v>
      </c>
      <c r="R33" s="117">
        <v>4538</v>
      </c>
      <c r="S33" s="130">
        <v>34139</v>
      </c>
      <c r="T33" s="134">
        <v>785</v>
      </c>
      <c r="U33" s="36">
        <v>784</v>
      </c>
      <c r="V33" s="36">
        <v>4764</v>
      </c>
      <c r="W33" s="144">
        <v>2262</v>
      </c>
      <c r="X33" s="154">
        <v>226</v>
      </c>
      <c r="Y33" s="78">
        <f>C33/785</f>
        <v>83.870063694267515</v>
      </c>
      <c r="Z33" s="78">
        <f>D33/785</f>
        <v>29.564331210191082</v>
      </c>
      <c r="AA33" s="79">
        <f>E33/785</f>
        <v>9.7388535031847141</v>
      </c>
      <c r="AB33" s="79">
        <f>F33/785</f>
        <v>694.484076433121</v>
      </c>
      <c r="AC33" s="80">
        <f>G33/785</f>
        <v>34.687898089171973</v>
      </c>
      <c r="AD33" s="78">
        <f>H33/785</f>
        <v>93.27898089171974</v>
      </c>
      <c r="AE33" s="80">
        <f>I33/2262</f>
        <v>8.0521662245800183</v>
      </c>
      <c r="AF33" s="81">
        <f>J33/5</f>
        <v>39.6</v>
      </c>
      <c r="AG33" s="78">
        <f>K33/4764</f>
        <v>1.8264063811922755</v>
      </c>
      <c r="AH33" s="103">
        <f>L33/4764</f>
        <v>6.8226280436607896</v>
      </c>
      <c r="AI33" s="79">
        <f>M33/2262</f>
        <v>12.396993810786915</v>
      </c>
      <c r="AJ33" s="79">
        <f t="shared" ref="AJ33:AJ41" si="1">N33/X33</f>
        <v>56.725663716814161</v>
      </c>
      <c r="AK33" s="79">
        <f>O33/2262</f>
        <v>10.371794871794872</v>
      </c>
      <c r="AL33" s="83">
        <f>9503/2262</f>
        <v>4.2011494252873565</v>
      </c>
      <c r="AM33" s="83">
        <f>13000/2262</f>
        <v>5.7471264367816088</v>
      </c>
      <c r="AN33" s="72">
        <f>Q33/W33</f>
        <v>3.9398320070733965</v>
      </c>
      <c r="AO33" s="72">
        <f>R33/W33</f>
        <v>2.0061892130857646</v>
      </c>
      <c r="AP33" s="72">
        <f>S33/U33</f>
        <v>43.544642857142854</v>
      </c>
    </row>
    <row r="34" spans="1:42" x14ac:dyDescent="0.25">
      <c r="A34" s="6">
        <v>44105</v>
      </c>
      <c r="B34" s="9" t="s">
        <v>62</v>
      </c>
      <c r="C34" s="38">
        <v>59016</v>
      </c>
      <c r="D34" s="35">
        <v>19207</v>
      </c>
      <c r="E34" s="35">
        <v>5517</v>
      </c>
      <c r="F34" s="35">
        <v>523150</v>
      </c>
      <c r="G34" s="43">
        <v>24860</v>
      </c>
      <c r="H34" s="38">
        <v>77181</v>
      </c>
      <c r="I34" s="43">
        <v>21387</v>
      </c>
      <c r="J34" s="51">
        <v>2612</v>
      </c>
      <c r="K34" s="38">
        <v>8303</v>
      </c>
      <c r="L34" s="43">
        <v>36340</v>
      </c>
      <c r="M34" s="49">
        <v>27442</v>
      </c>
      <c r="N34" s="51">
        <v>13397</v>
      </c>
      <c r="O34" s="49">
        <v>24151</v>
      </c>
      <c r="P34" s="115">
        <v>16031</v>
      </c>
      <c r="Q34" s="117">
        <v>8788.0999999999767</v>
      </c>
      <c r="R34" s="117">
        <v>5181</v>
      </c>
      <c r="S34" s="130">
        <v>31514</v>
      </c>
      <c r="T34" s="134">
        <v>865</v>
      </c>
      <c r="U34" s="37">
        <v>898</v>
      </c>
      <c r="V34" s="37">
        <v>4719</v>
      </c>
      <c r="W34" s="144">
        <v>2561</v>
      </c>
      <c r="X34" s="154">
        <v>227</v>
      </c>
      <c r="Y34" s="78">
        <f>C34/865</f>
        <v>68.226589595375728</v>
      </c>
      <c r="Z34" s="78">
        <f>D34/865</f>
        <v>22.204624277456649</v>
      </c>
      <c r="AA34" s="79">
        <f>E34/865</f>
        <v>6.3780346820809246</v>
      </c>
      <c r="AB34" s="79">
        <f>F34/865</f>
        <v>604.7976878612717</v>
      </c>
      <c r="AC34" s="80">
        <f>G34/865</f>
        <v>28.739884393063583</v>
      </c>
      <c r="AD34" s="78">
        <f>H34/898</f>
        <v>85.94766146993318</v>
      </c>
      <c r="AE34" s="80">
        <f>I34/2561</f>
        <v>8.3510347520499799</v>
      </c>
      <c r="AF34" s="81">
        <f>J34/5</f>
        <v>522.4</v>
      </c>
      <c r="AG34" s="78">
        <f>K34/4719</f>
        <v>1.759482941301123</v>
      </c>
      <c r="AH34" s="103">
        <f>L34/4719</f>
        <v>7.7007840644204277</v>
      </c>
      <c r="AI34" s="79">
        <f>M34/2561</f>
        <v>10.715345568137446</v>
      </c>
      <c r="AJ34" s="79">
        <f t="shared" si="1"/>
        <v>59.017621145374449</v>
      </c>
      <c r="AK34" s="79">
        <f>O34/2561</f>
        <v>9.4303006638032016</v>
      </c>
      <c r="AL34" s="83">
        <f>10246/2561</f>
        <v>4.0007809449433811</v>
      </c>
      <c r="AM34" s="83">
        <f>16000/2561</f>
        <v>6.2475595470519325</v>
      </c>
      <c r="AN34" s="72">
        <f>Q34/W34</f>
        <v>3.4315111284654343</v>
      </c>
      <c r="AO34" s="72">
        <f>R34/W34</f>
        <v>2.023037875829754</v>
      </c>
      <c r="AP34" s="72">
        <f>S34/U34</f>
        <v>35.093541202672604</v>
      </c>
    </row>
    <row r="35" spans="1:42" x14ac:dyDescent="0.25">
      <c r="A35" s="6">
        <v>44105</v>
      </c>
      <c r="B35" s="9" t="s">
        <v>63</v>
      </c>
      <c r="C35" s="38">
        <v>60513</v>
      </c>
      <c r="D35" s="35">
        <v>20771</v>
      </c>
      <c r="E35" s="35">
        <v>12767</v>
      </c>
      <c r="F35" s="35">
        <v>448560</v>
      </c>
      <c r="G35" s="43">
        <v>62800</v>
      </c>
      <c r="H35" s="38">
        <v>77186</v>
      </c>
      <c r="I35" s="43">
        <v>17799</v>
      </c>
      <c r="J35" s="51">
        <v>573</v>
      </c>
      <c r="K35" s="38">
        <v>8129</v>
      </c>
      <c r="L35" s="43">
        <v>27811</v>
      </c>
      <c r="M35" s="49">
        <v>25804</v>
      </c>
      <c r="N35" s="51">
        <v>13639</v>
      </c>
      <c r="O35" s="49">
        <v>24326</v>
      </c>
      <c r="P35" s="115">
        <v>14770</v>
      </c>
      <c r="Q35" s="117">
        <v>8445</v>
      </c>
      <c r="R35" s="117">
        <v>5230</v>
      </c>
      <c r="S35" s="130">
        <v>30375</v>
      </c>
      <c r="T35" s="134">
        <v>792</v>
      </c>
      <c r="U35" s="36">
        <v>820</v>
      </c>
      <c r="V35" s="36">
        <v>4185</v>
      </c>
      <c r="W35" s="145">
        <v>2200</v>
      </c>
      <c r="X35" s="155">
        <v>216</v>
      </c>
      <c r="Y35" s="78">
        <f>C35/T35</f>
        <v>76.405303030303031</v>
      </c>
      <c r="Z35" s="78">
        <f>D35/U35</f>
        <v>25.33048780487805</v>
      </c>
      <c r="AA35" s="79">
        <f>E35/T35</f>
        <v>16.119949494949495</v>
      </c>
      <c r="AB35" s="79">
        <f>F35/T35</f>
        <v>566.36363636363637</v>
      </c>
      <c r="AC35" s="80">
        <f>G35/T35</f>
        <v>79.292929292929287</v>
      </c>
      <c r="AD35" s="78">
        <f>H35/U35</f>
        <v>94.129268292682923</v>
      </c>
      <c r="AE35" s="80">
        <f>I35/W35</f>
        <v>8.0904545454545449</v>
      </c>
      <c r="AF35" s="81">
        <f>J35/5</f>
        <v>114.6</v>
      </c>
      <c r="AG35" s="78">
        <f>K35/V35</f>
        <v>1.9424133811230586</v>
      </c>
      <c r="AH35" s="103">
        <f>L35/V35</f>
        <v>6.6454002389486257</v>
      </c>
      <c r="AI35" s="79">
        <f>M35/W35</f>
        <v>11.729090909090909</v>
      </c>
      <c r="AJ35" s="79">
        <f t="shared" si="1"/>
        <v>63.143518518518519</v>
      </c>
      <c r="AK35" s="79">
        <f>O35/W35</f>
        <v>11.057272727272727</v>
      </c>
      <c r="AL35" s="83">
        <f>9199/2200</f>
        <v>4.1813636363636366</v>
      </c>
      <c r="AM35" s="83">
        <f>13000/2200</f>
        <v>5.9090909090909092</v>
      </c>
      <c r="AN35" s="72">
        <f>Q35/W35</f>
        <v>3.8386363636363638</v>
      </c>
      <c r="AO35" s="72">
        <f>R35/W35</f>
        <v>2.3772727272727274</v>
      </c>
      <c r="AP35" s="72">
        <f>S35/U35</f>
        <v>37.042682926829265</v>
      </c>
    </row>
    <row r="36" spans="1:42" x14ac:dyDescent="0.25">
      <c r="A36" s="6">
        <v>44105</v>
      </c>
      <c r="B36" s="9" t="s">
        <v>64</v>
      </c>
      <c r="C36" s="73">
        <v>60781</v>
      </c>
      <c r="D36" s="74">
        <v>22231</v>
      </c>
      <c r="E36" s="74">
        <v>5252</v>
      </c>
      <c r="F36" s="74">
        <v>675500</v>
      </c>
      <c r="G36" s="75">
        <v>85120</v>
      </c>
      <c r="H36" s="73">
        <v>80148</v>
      </c>
      <c r="I36" s="75">
        <v>21682</v>
      </c>
      <c r="J36" s="76">
        <v>785</v>
      </c>
      <c r="K36" s="73">
        <v>7736</v>
      </c>
      <c r="L36" s="75">
        <v>28568</v>
      </c>
      <c r="M36" s="77">
        <v>25230</v>
      </c>
      <c r="N36" s="76">
        <v>13514</v>
      </c>
      <c r="O36" s="77">
        <v>25482</v>
      </c>
      <c r="P36" s="116">
        <v>17707</v>
      </c>
      <c r="Q36" s="117">
        <v>10955</v>
      </c>
      <c r="R36" s="117">
        <v>4888</v>
      </c>
      <c r="S36" s="130">
        <v>29023</v>
      </c>
      <c r="T36" s="135">
        <v>944</v>
      </c>
      <c r="U36" s="74">
        <v>946</v>
      </c>
      <c r="V36" s="74">
        <v>3986</v>
      </c>
      <c r="W36" s="130">
        <v>2611</v>
      </c>
      <c r="X36" s="156">
        <v>224</v>
      </c>
      <c r="Y36" s="78">
        <f>C36/T36</f>
        <v>64.386652542372886</v>
      </c>
      <c r="Z36" s="78">
        <f>D36/U36</f>
        <v>23.5</v>
      </c>
      <c r="AA36" s="79">
        <f>E36/T36</f>
        <v>5.5635593220338979</v>
      </c>
      <c r="AB36" s="79">
        <f>F36/T36</f>
        <v>715.57203389830511</v>
      </c>
      <c r="AC36" s="80">
        <f>G36/T36</f>
        <v>90.169491525423723</v>
      </c>
      <c r="AD36" s="78">
        <f>H36/U36</f>
        <v>84.723044397462999</v>
      </c>
      <c r="AE36" s="80">
        <f>I36/W36</f>
        <v>8.3040980467253931</v>
      </c>
      <c r="AF36" s="81">
        <f>J36/5.5</f>
        <v>142.72727272727272</v>
      </c>
      <c r="AG36" s="78">
        <f>K36/V36</f>
        <v>1.9407927747114901</v>
      </c>
      <c r="AH36" s="103">
        <f>L36/V36</f>
        <v>7.1670847967887603</v>
      </c>
      <c r="AI36" s="79">
        <f>M36/W36</f>
        <v>9.6629643814630413</v>
      </c>
      <c r="AJ36" s="79">
        <f t="shared" si="1"/>
        <v>60.330357142857146</v>
      </c>
      <c r="AK36" s="79">
        <f>O36/W36</f>
        <v>9.7594791267713514</v>
      </c>
      <c r="AL36" s="83">
        <f>9463/2611</f>
        <v>3.6242818843355038</v>
      </c>
      <c r="AM36" s="83">
        <f>15000/2611</f>
        <v>5.7449253159708924</v>
      </c>
      <c r="AN36" s="72">
        <f>Q36/W36</f>
        <v>4.1957104557640754</v>
      </c>
      <c r="AO36" s="72">
        <f>R36/W36</f>
        <v>1.8720796629643814</v>
      </c>
      <c r="AP36" s="72">
        <f>S36/U36</f>
        <v>30.67970401691332</v>
      </c>
    </row>
    <row r="37" spans="1:42" x14ac:dyDescent="0.25">
      <c r="A37" s="6">
        <v>44136</v>
      </c>
      <c r="B37" s="9" t="s">
        <v>65</v>
      </c>
      <c r="C37" s="73">
        <v>68512</v>
      </c>
      <c r="D37" s="74">
        <v>23675</v>
      </c>
      <c r="E37" s="74">
        <v>13332</v>
      </c>
      <c r="F37" s="74">
        <v>696500</v>
      </c>
      <c r="G37" s="75">
        <v>36410</v>
      </c>
      <c r="H37" s="73">
        <v>80222</v>
      </c>
      <c r="I37" s="75">
        <v>24684</v>
      </c>
      <c r="J37" s="76">
        <v>1199</v>
      </c>
      <c r="K37" s="73">
        <v>9064</v>
      </c>
      <c r="L37" s="75">
        <v>40358</v>
      </c>
      <c r="M37" s="77">
        <v>29027</v>
      </c>
      <c r="N37" s="76">
        <v>15193</v>
      </c>
      <c r="O37" s="77">
        <v>25466</v>
      </c>
      <c r="P37" s="116">
        <v>17351</v>
      </c>
      <c r="Q37" s="117">
        <v>7487</v>
      </c>
      <c r="R37" s="117">
        <v>5000</v>
      </c>
      <c r="S37" s="130">
        <v>34702</v>
      </c>
      <c r="T37" s="135">
        <v>1022</v>
      </c>
      <c r="U37" s="74">
        <v>1047</v>
      </c>
      <c r="V37" s="74">
        <v>4767</v>
      </c>
      <c r="W37" s="130">
        <v>2980</v>
      </c>
      <c r="X37" s="156">
        <v>241</v>
      </c>
      <c r="Y37" s="78">
        <f>C37/T37</f>
        <v>67.037181996086105</v>
      </c>
      <c r="Z37" s="78">
        <f>D37/U37</f>
        <v>22.612225405921681</v>
      </c>
      <c r="AA37" s="79">
        <f>E37/T37</f>
        <v>13.045009784735813</v>
      </c>
      <c r="AB37" s="79">
        <f>F37/T37</f>
        <v>681.50684931506851</v>
      </c>
      <c r="AC37" s="80">
        <f>G37/T37</f>
        <v>35.62622309197652</v>
      </c>
      <c r="AD37" s="78">
        <f>H37/U37</f>
        <v>76.620821394460364</v>
      </c>
      <c r="AE37" s="80">
        <f>I37/W37</f>
        <v>8.2832214765100662</v>
      </c>
      <c r="AF37" s="81">
        <f>J37/5.5</f>
        <v>218</v>
      </c>
      <c r="AG37" s="78">
        <f>K37/V37</f>
        <v>1.9014054961191524</v>
      </c>
      <c r="AH37" s="103">
        <f>L37/V37</f>
        <v>8.4661212502622192</v>
      </c>
      <c r="AI37" s="79">
        <f>M37/W37</f>
        <v>9.740604026845638</v>
      </c>
      <c r="AJ37" s="79">
        <f t="shared" si="1"/>
        <v>63.04149377593361</v>
      </c>
      <c r="AK37" s="79">
        <f>O37/W37</f>
        <v>8.5456375838926171</v>
      </c>
      <c r="AL37" s="83">
        <f>10078/2980</f>
        <v>3.3818791946308724</v>
      </c>
      <c r="AM37" s="83">
        <f>16000/W37</f>
        <v>5.3691275167785237</v>
      </c>
      <c r="AN37" s="72">
        <f>Q37/W37</f>
        <v>2.5124161073825504</v>
      </c>
      <c r="AO37" s="72">
        <f>R37/W37</f>
        <v>1.6778523489932886</v>
      </c>
      <c r="AP37" s="72">
        <f>S37/U37</f>
        <v>33.144221585482327</v>
      </c>
    </row>
    <row r="38" spans="1:42" ht="15.75" thickBot="1" x14ac:dyDescent="0.3">
      <c r="A38" s="6">
        <v>44136</v>
      </c>
      <c r="B38" s="9" t="s">
        <v>66</v>
      </c>
      <c r="C38" s="73">
        <v>62301</v>
      </c>
      <c r="D38" s="74">
        <v>21535</v>
      </c>
      <c r="E38" s="74">
        <v>6378</v>
      </c>
      <c r="F38" s="74">
        <v>572950</v>
      </c>
      <c r="G38" s="75">
        <v>34760</v>
      </c>
      <c r="H38" s="73">
        <v>61735</v>
      </c>
      <c r="I38" s="75">
        <v>19909</v>
      </c>
      <c r="J38" s="76">
        <v>537</v>
      </c>
      <c r="K38" s="73">
        <v>7560</v>
      </c>
      <c r="L38" s="75">
        <v>33014</v>
      </c>
      <c r="M38" s="77">
        <v>24779</v>
      </c>
      <c r="N38" s="76">
        <v>10516</v>
      </c>
      <c r="O38" s="77">
        <v>18881</v>
      </c>
      <c r="P38" s="116">
        <v>15013</v>
      </c>
      <c r="Q38" s="117">
        <v>7488</v>
      </c>
      <c r="R38" s="117">
        <v>5001</v>
      </c>
      <c r="S38" s="130">
        <v>32565</v>
      </c>
      <c r="T38" s="135">
        <v>734</v>
      </c>
      <c r="U38" s="74">
        <v>734</v>
      </c>
      <c r="V38" s="74">
        <v>4081</v>
      </c>
      <c r="W38" s="130">
        <v>2082</v>
      </c>
      <c r="X38" s="156">
        <v>200</v>
      </c>
      <c r="Y38" s="78">
        <f>C38/T38</f>
        <v>84.878746594005449</v>
      </c>
      <c r="Z38" s="78">
        <f>D38/U38</f>
        <v>29.339237057220707</v>
      </c>
      <c r="AA38" s="79">
        <f>E38/T38</f>
        <v>8.6893732970027244</v>
      </c>
      <c r="AB38" s="79">
        <f>F38/T38</f>
        <v>780.58583106267031</v>
      </c>
      <c r="AC38" s="80">
        <f>G38/T38</f>
        <v>47.356948228882835</v>
      </c>
      <c r="AD38" s="78">
        <f>H38/U38</f>
        <v>84.107629427792915</v>
      </c>
      <c r="AE38" s="80">
        <f>I38/W38</f>
        <v>9.562439961575409</v>
      </c>
      <c r="AF38" s="81">
        <f>J38/5.5</f>
        <v>97.63636363636364</v>
      </c>
      <c r="AG38" s="78">
        <f>K38/V38</f>
        <v>1.8524871355060035</v>
      </c>
      <c r="AH38" s="103">
        <f>L38/V38</f>
        <v>8.0896839010046548</v>
      </c>
      <c r="AI38" s="79">
        <f>M38/W38</f>
        <v>11.901536983669548</v>
      </c>
      <c r="AJ38" s="79">
        <f t="shared" si="1"/>
        <v>52.58</v>
      </c>
      <c r="AK38" s="79">
        <f>O38/W38</f>
        <v>9.068683957732949</v>
      </c>
      <c r="AL38" s="83">
        <f>6142/W38</f>
        <v>2.9500480307396733</v>
      </c>
      <c r="AM38" s="83">
        <f>15000/W38</f>
        <v>7.2046109510086458</v>
      </c>
      <c r="AN38" s="72">
        <f>Q38/W38</f>
        <v>3.5965417867435159</v>
      </c>
      <c r="AO38" s="72">
        <f>R38/W38</f>
        <v>2.4020172910662825</v>
      </c>
      <c r="AP38" s="72">
        <f>S38/U38</f>
        <v>44.366485013623979</v>
      </c>
    </row>
    <row r="39" spans="1:42" ht="15.75" thickBot="1" x14ac:dyDescent="0.3">
      <c r="A39" s="6">
        <v>44136</v>
      </c>
      <c r="B39" s="9" t="s">
        <v>67</v>
      </c>
      <c r="C39" s="73">
        <v>67321</v>
      </c>
      <c r="D39" s="74">
        <v>22295</v>
      </c>
      <c r="E39" s="74">
        <v>7655</v>
      </c>
      <c r="F39" s="74">
        <v>781590</v>
      </c>
      <c r="G39" s="75">
        <v>93800</v>
      </c>
      <c r="H39" s="73">
        <v>85792</v>
      </c>
      <c r="I39" s="75">
        <v>36351</v>
      </c>
      <c r="J39" s="76">
        <v>13654</v>
      </c>
      <c r="K39" s="73">
        <v>8910</v>
      </c>
      <c r="L39" s="75">
        <v>40291</v>
      </c>
      <c r="M39" s="77">
        <v>29236</v>
      </c>
      <c r="N39" s="76">
        <v>13674</v>
      </c>
      <c r="O39" s="77">
        <v>25290</v>
      </c>
      <c r="P39" s="116">
        <v>19583</v>
      </c>
      <c r="Q39" s="117">
        <v>10069</v>
      </c>
      <c r="R39" s="117">
        <v>5816</v>
      </c>
      <c r="S39" s="130">
        <v>34762</v>
      </c>
      <c r="T39" s="135">
        <v>1143</v>
      </c>
      <c r="U39" s="74">
        <v>1139</v>
      </c>
      <c r="V39" s="84">
        <v>4768</v>
      </c>
      <c r="W39" s="146">
        <v>2985</v>
      </c>
      <c r="X39" s="157">
        <v>272</v>
      </c>
      <c r="Y39" s="82">
        <f>C39/T39</f>
        <v>58.898512685914262</v>
      </c>
      <c r="Z39" s="82">
        <f>D39/U39</f>
        <v>19.574187884108866</v>
      </c>
      <c r="AA39" s="83">
        <f>E39/T39</f>
        <v>6.6972878390201229</v>
      </c>
      <c r="AB39" s="83">
        <f>F39/T39</f>
        <v>683.80577427821527</v>
      </c>
      <c r="AC39" s="85">
        <f>G39/T39</f>
        <v>82.064741907261592</v>
      </c>
      <c r="AD39" s="82">
        <f>H39/U39</f>
        <v>75.322212467076383</v>
      </c>
      <c r="AE39" s="80">
        <f>I39/W39</f>
        <v>12.177889447236181</v>
      </c>
      <c r="AF39" s="81">
        <f>J39/5.5</f>
        <v>2482.5454545454545</v>
      </c>
      <c r="AG39" s="78">
        <f>K39/V39</f>
        <v>1.8687080536912752</v>
      </c>
      <c r="AH39" s="103">
        <f>L39/V39</f>
        <v>8.4502936241610733</v>
      </c>
      <c r="AI39" s="79">
        <f>M39/W39</f>
        <v>9.7943048576214409</v>
      </c>
      <c r="AJ39" s="79">
        <f t="shared" si="1"/>
        <v>50.272058823529413</v>
      </c>
      <c r="AK39" s="79">
        <f>O39/W39</f>
        <v>8.4723618090452266</v>
      </c>
      <c r="AL39" s="83">
        <f>7521/W39</f>
        <v>2.5195979899497489</v>
      </c>
      <c r="AM39" s="83">
        <f>15000/W39</f>
        <v>5.025125628140704</v>
      </c>
      <c r="AN39" s="72">
        <f>Q39/W39</f>
        <v>3.3731993299832497</v>
      </c>
      <c r="AO39" s="72">
        <f>R39/W39</f>
        <v>1.9484087102177554</v>
      </c>
      <c r="AP39" s="72">
        <f>S39/U39</f>
        <v>30.519754170324845</v>
      </c>
    </row>
    <row r="40" spans="1:42" x14ac:dyDescent="0.25">
      <c r="A40" s="6">
        <v>44136</v>
      </c>
      <c r="B40" s="9" t="s">
        <v>68</v>
      </c>
      <c r="C40" s="73">
        <v>64546</v>
      </c>
      <c r="D40" s="74">
        <v>19761</v>
      </c>
      <c r="E40" s="74">
        <v>6341</v>
      </c>
      <c r="F40" s="74">
        <v>632800</v>
      </c>
      <c r="G40" s="75">
        <v>37270</v>
      </c>
      <c r="H40" s="73">
        <v>75918</v>
      </c>
      <c r="I40" s="75">
        <v>21052</v>
      </c>
      <c r="J40" s="76">
        <v>23349</v>
      </c>
      <c r="K40" s="73">
        <v>8990</v>
      </c>
      <c r="L40" s="75">
        <v>43394</v>
      </c>
      <c r="M40" s="77">
        <v>28562</v>
      </c>
      <c r="N40" s="76">
        <v>14731</v>
      </c>
      <c r="O40" s="77">
        <v>25465</v>
      </c>
      <c r="P40" s="116">
        <v>21878</v>
      </c>
      <c r="Q40" s="117">
        <v>10209</v>
      </c>
      <c r="R40" s="117">
        <v>4550</v>
      </c>
      <c r="S40" s="130">
        <v>35014</v>
      </c>
      <c r="T40" s="135">
        <v>961</v>
      </c>
      <c r="U40" s="74">
        <v>942</v>
      </c>
      <c r="V40" s="74">
        <v>4664</v>
      </c>
      <c r="W40" s="130">
        <v>2709</v>
      </c>
      <c r="X40" s="156">
        <v>278</v>
      </c>
      <c r="Y40" s="82">
        <f>C40/T40</f>
        <v>67.165452653485957</v>
      </c>
      <c r="Z40" s="82">
        <f>D40/U40</f>
        <v>20.977707006369428</v>
      </c>
      <c r="AA40" s="83">
        <f>E40/T40</f>
        <v>6.5983350676378771</v>
      </c>
      <c r="AB40" s="83">
        <f>F40/T40</f>
        <v>658.48074921956299</v>
      </c>
      <c r="AC40" s="85">
        <f>G40/T40</f>
        <v>38.782518210197708</v>
      </c>
      <c r="AD40" s="82">
        <f>H40/U40</f>
        <v>80.592356687898089</v>
      </c>
      <c r="AE40" s="85">
        <f>I40/W40</f>
        <v>7.7711332595053522</v>
      </c>
      <c r="AF40" s="86">
        <f>J40/5.5</f>
        <v>4245.272727272727</v>
      </c>
      <c r="AG40" s="82">
        <f>K40/V40</f>
        <v>1.9275300171526586</v>
      </c>
      <c r="AH40" s="105">
        <f>L40/V40</f>
        <v>9.3040308747855924</v>
      </c>
      <c r="AI40" s="83">
        <f>M40/W40</f>
        <v>10.543373938722777</v>
      </c>
      <c r="AJ40" s="79">
        <f t="shared" si="1"/>
        <v>52.989208633093526</v>
      </c>
      <c r="AK40" s="83">
        <f>O40/W40</f>
        <v>9.4001476559616091</v>
      </c>
      <c r="AL40" s="83">
        <f>6879/W40</f>
        <v>2.539313399778516</v>
      </c>
      <c r="AM40" s="83">
        <f>15000/W40</f>
        <v>5.5370985603543739</v>
      </c>
      <c r="AN40" s="72">
        <f>Q40/W40</f>
        <v>3.7685492801771869</v>
      </c>
      <c r="AO40" s="72">
        <f>R40/W40</f>
        <v>1.6795865633074936</v>
      </c>
      <c r="AP40" s="72">
        <f>S40/U40</f>
        <v>37.169851380042466</v>
      </c>
    </row>
    <row r="41" spans="1:42" x14ac:dyDescent="0.25">
      <c r="A41" s="6">
        <v>44166</v>
      </c>
      <c r="B41" s="9" t="s">
        <v>69</v>
      </c>
      <c r="C41" s="14">
        <v>66429</v>
      </c>
      <c r="D41" s="1">
        <v>21088</v>
      </c>
      <c r="E41" s="1">
        <v>6587</v>
      </c>
      <c r="F41" s="1">
        <v>795750</v>
      </c>
      <c r="G41" s="138">
        <v>40910</v>
      </c>
      <c r="H41" s="139">
        <v>71444</v>
      </c>
      <c r="I41" s="18">
        <v>21954</v>
      </c>
      <c r="J41" s="19">
        <v>29958</v>
      </c>
      <c r="K41" s="14">
        <v>9854</v>
      </c>
      <c r="L41" s="18">
        <v>44991</v>
      </c>
      <c r="M41" s="50">
        <v>32096</v>
      </c>
      <c r="N41" s="19">
        <v>14152</v>
      </c>
      <c r="O41" s="50">
        <v>25130</v>
      </c>
      <c r="P41" s="115">
        <v>21305</v>
      </c>
      <c r="Q41" s="1">
        <v>9391</v>
      </c>
      <c r="R41" s="1">
        <v>4200</v>
      </c>
      <c r="S41" s="129">
        <v>35677</v>
      </c>
      <c r="T41" s="136">
        <v>1098</v>
      </c>
      <c r="U41" s="137">
        <v>1089</v>
      </c>
      <c r="V41" s="137">
        <v>4695</v>
      </c>
      <c r="W41" s="147">
        <v>2980</v>
      </c>
      <c r="X41" s="158">
        <v>280</v>
      </c>
      <c r="Y41" s="82">
        <f>C41/T41</f>
        <v>60.5</v>
      </c>
      <c r="Z41" s="82">
        <f>D41/U41</f>
        <v>19.364554637281909</v>
      </c>
      <c r="AA41" s="82">
        <f>E41/T41</f>
        <v>5.9990892531876137</v>
      </c>
      <c r="AB41" s="82">
        <f>F41/T41</f>
        <v>724.7267759562842</v>
      </c>
      <c r="AC41" s="82">
        <f>G41/T41</f>
        <v>37.258652094717668</v>
      </c>
      <c r="AD41" s="82">
        <f>H41/U41</f>
        <v>65.605142332415056</v>
      </c>
      <c r="AE41" s="82">
        <f>I41/W41</f>
        <v>7.3671140939597315</v>
      </c>
      <c r="AF41" s="82">
        <f>J41/5.5</f>
        <v>5446.909090909091</v>
      </c>
      <c r="AG41" s="82">
        <f>K41/V41</f>
        <v>2.098828541001065</v>
      </c>
      <c r="AH41" s="106">
        <f>L41/V41</f>
        <v>9.5827476038338659</v>
      </c>
      <c r="AI41" s="83">
        <f>M41/W41</f>
        <v>10.770469798657718</v>
      </c>
      <c r="AJ41" s="79">
        <f t="shared" si="1"/>
        <v>50.542857142857144</v>
      </c>
      <c r="AK41" s="83">
        <f>O41/W41</f>
        <v>8.4328859060402692</v>
      </c>
      <c r="AL41" s="83">
        <f>8357/W41</f>
        <v>2.8043624161073826</v>
      </c>
      <c r="AM41" s="83">
        <f>17000/W41</f>
        <v>5.7046979865771812</v>
      </c>
      <c r="AN41" s="72">
        <f>Q41/W41</f>
        <v>3.1513422818791947</v>
      </c>
      <c r="AO41" s="72">
        <f>R41/W41</f>
        <v>1.4093959731543624</v>
      </c>
      <c r="AP41" s="72">
        <f>S41/U41</f>
        <v>32.761248852157941</v>
      </c>
    </row>
    <row r="42" spans="1:42" x14ac:dyDescent="0.25">
      <c r="A42" s="6">
        <v>44166</v>
      </c>
      <c r="B42" s="9" t="s">
        <v>70</v>
      </c>
      <c r="C42" s="14"/>
      <c r="D42" s="1"/>
      <c r="E42" s="1"/>
      <c r="F42" s="1"/>
      <c r="G42" s="18"/>
      <c r="H42" s="14"/>
      <c r="I42" s="18"/>
      <c r="J42" s="19"/>
      <c r="K42" s="14"/>
      <c r="L42" s="18"/>
      <c r="M42" s="50"/>
      <c r="N42" s="19"/>
      <c r="O42" s="50"/>
      <c r="P42" s="19"/>
      <c r="Q42" s="14"/>
      <c r="R42" s="1"/>
      <c r="S42" s="1"/>
      <c r="T42" s="98"/>
      <c r="U42" s="99"/>
      <c r="V42" s="99"/>
      <c r="W42" s="141"/>
      <c r="X42" s="159"/>
      <c r="Y42" s="71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</row>
    <row r="43" spans="1:42" x14ac:dyDescent="0.25">
      <c r="A43" s="6">
        <v>44166</v>
      </c>
      <c r="B43" s="9" t="s">
        <v>71</v>
      </c>
      <c r="C43" s="14"/>
      <c r="D43" s="1"/>
      <c r="E43" s="1"/>
      <c r="F43" s="1"/>
      <c r="G43" s="18"/>
      <c r="H43" s="14"/>
      <c r="I43" s="18"/>
      <c r="J43" s="19"/>
      <c r="K43" s="14"/>
      <c r="L43" s="18"/>
      <c r="M43" s="50"/>
      <c r="N43" s="19"/>
      <c r="O43" s="50"/>
      <c r="P43" s="19"/>
      <c r="Q43" s="14"/>
      <c r="R43" s="1"/>
      <c r="S43" s="1"/>
      <c r="T43" s="100"/>
      <c r="U43" s="101"/>
      <c r="V43" s="101"/>
      <c r="W43" s="148"/>
      <c r="X43" s="160"/>
      <c r="Y43" s="64"/>
      <c r="Z43" s="107"/>
      <c r="AA43" s="66"/>
      <c r="AB43" s="59"/>
      <c r="AC43" s="64"/>
      <c r="AD43" s="69"/>
      <c r="AE43" s="59"/>
      <c r="AF43" s="59"/>
      <c r="AG43" s="59"/>
      <c r="AH43" s="107"/>
      <c r="AI43" s="65"/>
      <c r="AJ43" s="65"/>
      <c r="AK43" s="65"/>
      <c r="AL43" s="65"/>
      <c r="AM43" s="65"/>
      <c r="AN43" s="65"/>
      <c r="AO43" s="65"/>
      <c r="AP43" s="65"/>
    </row>
    <row r="44" spans="1:42" x14ac:dyDescent="0.25">
      <c r="A44" s="6">
        <v>44166</v>
      </c>
      <c r="B44" s="9" t="s">
        <v>72</v>
      </c>
      <c r="C44" s="14"/>
      <c r="D44" s="1"/>
      <c r="E44" s="1"/>
      <c r="F44" s="1"/>
      <c r="G44" s="18"/>
      <c r="H44" s="14"/>
      <c r="I44" s="18"/>
      <c r="J44" s="19"/>
      <c r="K44" s="14"/>
      <c r="L44" s="18"/>
      <c r="M44" s="50"/>
      <c r="N44" s="19"/>
      <c r="O44" s="50"/>
      <c r="P44" s="19"/>
      <c r="Q44" s="14"/>
      <c r="R44" s="1"/>
      <c r="S44" s="1"/>
      <c r="T44" s="100"/>
      <c r="U44" s="101"/>
      <c r="V44" s="101"/>
      <c r="W44" s="148"/>
      <c r="X44" s="160"/>
      <c r="Y44" s="64"/>
      <c r="Z44" s="107"/>
      <c r="AA44" s="66"/>
      <c r="AB44" s="59"/>
      <c r="AC44" s="64"/>
      <c r="AD44" s="66"/>
      <c r="AE44" s="59"/>
      <c r="AF44" s="59"/>
      <c r="AG44" s="59"/>
      <c r="AH44" s="107"/>
      <c r="AI44" s="65"/>
      <c r="AJ44" s="65"/>
      <c r="AK44" s="65"/>
      <c r="AL44" s="65"/>
      <c r="AM44" s="65"/>
      <c r="AN44" s="65"/>
      <c r="AO44" s="65"/>
      <c r="AP44" s="65"/>
    </row>
    <row r="45" spans="1:42" x14ac:dyDescent="0.25">
      <c r="A45" s="6">
        <v>44166</v>
      </c>
      <c r="B45" s="9" t="s">
        <v>73</v>
      </c>
      <c r="C45" s="14"/>
      <c r="D45" s="1"/>
      <c r="E45" s="1"/>
      <c r="F45" s="1"/>
      <c r="G45" s="18"/>
      <c r="H45" s="14"/>
      <c r="I45" s="18"/>
      <c r="J45" s="19"/>
      <c r="K45" s="14"/>
      <c r="L45" s="18"/>
      <c r="M45" s="50"/>
      <c r="N45" s="19"/>
      <c r="O45" s="50"/>
      <c r="P45" s="19"/>
      <c r="Q45" s="14"/>
      <c r="R45" s="1"/>
      <c r="S45" s="1"/>
      <c r="T45" s="100"/>
      <c r="U45" s="101"/>
      <c r="V45" s="101"/>
      <c r="W45" s="148"/>
      <c r="X45" s="160"/>
      <c r="Y45" s="64"/>
      <c r="Z45" s="107"/>
      <c r="AA45" s="66"/>
      <c r="AB45" s="59"/>
      <c r="AC45" s="64"/>
      <c r="AD45" s="66"/>
      <c r="AE45" s="59"/>
      <c r="AF45" s="59"/>
      <c r="AG45" s="59"/>
      <c r="AH45" s="107"/>
      <c r="AI45" s="65"/>
      <c r="AJ45" s="65"/>
      <c r="AK45" s="65"/>
      <c r="AL45" s="65"/>
      <c r="AM45" s="65"/>
      <c r="AN45" s="65"/>
      <c r="AO45" s="65"/>
      <c r="AP45" s="65"/>
    </row>
    <row r="46" spans="1:42" x14ac:dyDescent="0.25">
      <c r="A46" s="1"/>
      <c r="B46" s="18"/>
      <c r="C46" s="14"/>
      <c r="D46" s="1"/>
      <c r="E46" s="1"/>
      <c r="F46" s="1"/>
      <c r="G46" s="18"/>
      <c r="H46" s="14"/>
      <c r="I46" s="18"/>
      <c r="J46" s="19"/>
      <c r="K46" s="14"/>
      <c r="L46" s="18"/>
      <c r="M46" s="50"/>
      <c r="N46" s="19"/>
      <c r="O46" s="50"/>
      <c r="P46" s="19"/>
      <c r="Q46" s="14"/>
      <c r="R46" s="1"/>
      <c r="S46" s="1"/>
      <c r="T46" s="100"/>
      <c r="U46" s="101"/>
      <c r="V46" s="101"/>
      <c r="W46" s="148"/>
      <c r="X46" s="160"/>
      <c r="Y46" s="64"/>
      <c r="Z46" s="107"/>
      <c r="AA46" s="66"/>
      <c r="AB46" s="59"/>
      <c r="AC46" s="64"/>
      <c r="AD46" s="66"/>
      <c r="AE46" s="59"/>
      <c r="AF46" s="59"/>
      <c r="AG46" s="59"/>
      <c r="AH46" s="107"/>
      <c r="AI46" s="65"/>
      <c r="AJ46" s="65"/>
      <c r="AK46" s="65"/>
      <c r="AL46" s="65"/>
      <c r="AM46" s="65"/>
      <c r="AN46" s="65"/>
      <c r="AO46" s="65"/>
      <c r="AP46" s="65"/>
    </row>
    <row r="47" spans="1:42" x14ac:dyDescent="0.25">
      <c r="A47" s="1"/>
      <c r="B47" s="18"/>
      <c r="C47" s="14"/>
      <c r="D47" s="1"/>
      <c r="E47" s="1"/>
      <c r="F47" s="1"/>
      <c r="G47" s="18"/>
      <c r="H47" s="14"/>
      <c r="I47" s="18"/>
      <c r="J47" s="19"/>
      <c r="K47" s="14"/>
      <c r="L47" s="18"/>
      <c r="M47" s="50"/>
      <c r="N47" s="19"/>
      <c r="O47" s="50"/>
      <c r="P47" s="19"/>
      <c r="Q47" s="14"/>
      <c r="R47" s="1"/>
      <c r="S47" s="1"/>
      <c r="T47" s="100"/>
      <c r="U47" s="101"/>
      <c r="V47" s="101"/>
      <c r="W47" s="148"/>
      <c r="X47" s="160"/>
      <c r="Y47" s="64"/>
      <c r="Z47" s="107"/>
      <c r="AA47" s="66"/>
      <c r="AB47" s="59"/>
      <c r="AC47" s="64"/>
      <c r="AD47" s="66"/>
      <c r="AE47" s="59"/>
      <c r="AF47" s="59"/>
      <c r="AG47" s="59"/>
      <c r="AH47" s="107"/>
      <c r="AI47" s="65"/>
      <c r="AJ47" s="65"/>
      <c r="AK47" s="65"/>
      <c r="AL47" s="65"/>
      <c r="AM47" s="65"/>
      <c r="AN47" s="65"/>
      <c r="AO47" s="65"/>
      <c r="AP47" s="65"/>
    </row>
    <row r="48" spans="1:42" x14ac:dyDescent="0.25">
      <c r="A48" s="1"/>
      <c r="B48" s="18"/>
      <c r="C48" s="14"/>
      <c r="D48" s="1"/>
      <c r="E48" s="1"/>
      <c r="F48" s="1"/>
      <c r="G48" s="18"/>
      <c r="H48" s="14"/>
      <c r="I48" s="18"/>
      <c r="J48" s="19"/>
      <c r="K48" s="14"/>
      <c r="L48" s="18"/>
      <c r="M48" s="50"/>
      <c r="N48" s="19"/>
      <c r="O48" s="50"/>
      <c r="P48" s="19"/>
      <c r="Q48" s="14"/>
      <c r="R48" s="1"/>
      <c r="S48" s="1"/>
      <c r="T48" s="100"/>
      <c r="U48" s="101"/>
      <c r="V48" s="101"/>
      <c r="W48" s="129"/>
      <c r="X48" s="161"/>
      <c r="Y48" s="64"/>
      <c r="Z48" s="107"/>
      <c r="AA48" s="66"/>
      <c r="AB48" s="59"/>
      <c r="AC48" s="64"/>
      <c r="AD48" s="66"/>
      <c r="AE48" s="59"/>
      <c r="AF48" s="59"/>
      <c r="AG48" s="59"/>
      <c r="AH48" s="107"/>
      <c r="AI48" s="65"/>
      <c r="AJ48" s="65"/>
      <c r="AK48" s="65"/>
      <c r="AL48" s="65"/>
      <c r="AM48" s="65"/>
      <c r="AN48" s="65"/>
      <c r="AO48" s="65"/>
      <c r="AP48" s="65"/>
    </row>
    <row r="49" spans="1:42" x14ac:dyDescent="0.25">
      <c r="A49" s="1"/>
      <c r="B49" s="18"/>
      <c r="C49" s="14"/>
      <c r="D49" s="1"/>
      <c r="E49" s="1"/>
      <c r="F49" s="1"/>
      <c r="G49" s="18"/>
      <c r="H49" s="14"/>
      <c r="I49" s="18"/>
      <c r="J49" s="19"/>
      <c r="K49" s="14"/>
      <c r="L49" s="18"/>
      <c r="M49" s="50"/>
      <c r="N49" s="19"/>
      <c r="O49" s="50"/>
      <c r="P49" s="19"/>
      <c r="Q49" s="14"/>
      <c r="R49" s="1"/>
      <c r="S49" s="1"/>
      <c r="T49" s="14"/>
      <c r="U49" s="1"/>
      <c r="V49" s="1"/>
      <c r="W49" s="129"/>
      <c r="X49" s="161"/>
      <c r="Y49" s="64"/>
      <c r="Z49" s="107"/>
      <c r="AA49" s="66"/>
      <c r="AB49" s="59"/>
      <c r="AC49" s="64"/>
      <c r="AD49" s="66"/>
      <c r="AE49" s="59"/>
      <c r="AF49" s="59"/>
      <c r="AG49" s="59"/>
      <c r="AH49" s="107"/>
      <c r="AI49" s="65"/>
      <c r="AJ49" s="65"/>
      <c r="AK49" s="65"/>
      <c r="AL49" s="65"/>
      <c r="AM49" s="65"/>
      <c r="AN49" s="65"/>
      <c r="AO49" s="65"/>
      <c r="AP49" s="65"/>
    </row>
    <row r="50" spans="1:42" x14ac:dyDescent="0.25">
      <c r="A50" s="1" t="s">
        <v>83</v>
      </c>
      <c r="B50" s="18"/>
      <c r="C50" s="14"/>
      <c r="D50" s="1"/>
      <c r="E50" s="1"/>
      <c r="F50" s="1"/>
      <c r="G50" s="18"/>
      <c r="H50" s="14"/>
      <c r="I50" s="18"/>
      <c r="J50" s="19"/>
      <c r="K50" s="14"/>
      <c r="L50" s="18"/>
      <c r="M50" s="50"/>
      <c r="N50" s="19"/>
      <c r="O50" s="50"/>
      <c r="P50" s="19"/>
      <c r="Q50" s="14"/>
      <c r="R50" s="1"/>
      <c r="S50" s="1"/>
      <c r="T50" s="14"/>
      <c r="U50" s="1"/>
      <c r="V50" s="1"/>
      <c r="W50" s="129"/>
      <c r="X50" s="161"/>
      <c r="Y50" s="67">
        <f t="shared" ref="Y50:AP50" si="2">MEDIAN(Y26:Y41)</f>
        <v>74.478061351217093</v>
      </c>
      <c r="Z50" s="67"/>
      <c r="AA50" s="67">
        <f t="shared" si="2"/>
        <v>8.2437775110044011</v>
      </c>
      <c r="AB50" s="67">
        <f t="shared" si="2"/>
        <v>748.90856251612979</v>
      </c>
      <c r="AC50" s="67">
        <f t="shared" si="2"/>
        <v>41.074319214388467</v>
      </c>
      <c r="AD50" s="67">
        <f t="shared" si="2"/>
        <v>84.415336912627964</v>
      </c>
      <c r="AE50" s="67">
        <f t="shared" si="2"/>
        <v>8.9104705637200414</v>
      </c>
      <c r="AF50" s="67">
        <f t="shared" si="2"/>
        <v>218</v>
      </c>
      <c r="AG50" s="67">
        <f t="shared" si="2"/>
        <v>1.9089631829508535</v>
      </c>
      <c r="AH50" s="108">
        <f t="shared" si="2"/>
        <v>6.7340141413047077</v>
      </c>
      <c r="AI50" s="68">
        <f t="shared" si="2"/>
        <v>10.742907683397583</v>
      </c>
      <c r="AJ50" s="68">
        <f t="shared" si="2"/>
        <v>58.929750743627395</v>
      </c>
      <c r="AK50" s="68">
        <f t="shared" si="2"/>
        <v>9.8128243357561615</v>
      </c>
      <c r="AL50" s="68">
        <f t="shared" si="2"/>
        <v>3.8595981719380981</v>
      </c>
      <c r="AM50" s="68">
        <f t="shared" si="2"/>
        <v>5.7460258763762511</v>
      </c>
      <c r="AN50" s="68">
        <f t="shared" si="2"/>
        <v>3.5140264576044751</v>
      </c>
      <c r="AO50" s="68">
        <f t="shared" si="2"/>
        <v>1.97729896165176</v>
      </c>
      <c r="AP50" s="68">
        <f t="shared" si="2"/>
        <v>34.118881394077462</v>
      </c>
    </row>
    <row r="51" spans="1:42" x14ac:dyDescent="0.25">
      <c r="A51" s="1"/>
      <c r="B51" s="18"/>
      <c r="C51" s="14"/>
      <c r="D51" s="1"/>
      <c r="E51" s="1"/>
      <c r="F51" s="1"/>
      <c r="G51" s="18"/>
      <c r="H51" s="14"/>
      <c r="I51" s="18"/>
      <c r="J51" s="19"/>
      <c r="K51" s="14"/>
      <c r="L51" s="18"/>
      <c r="M51" s="50"/>
      <c r="N51" s="19"/>
      <c r="O51" s="50"/>
      <c r="P51" s="19"/>
      <c r="Q51" s="14"/>
      <c r="R51" s="1"/>
      <c r="S51" s="1"/>
      <c r="T51" s="14"/>
      <c r="U51" s="1"/>
      <c r="V51" s="1"/>
      <c r="W51" s="129"/>
      <c r="X51" s="161"/>
      <c r="Y51" s="64"/>
      <c r="Z51" s="107"/>
      <c r="AA51" s="66"/>
      <c r="AB51" s="59"/>
      <c r="AC51" s="64"/>
      <c r="AD51" s="66"/>
      <c r="AE51" s="59"/>
      <c r="AF51" s="59"/>
      <c r="AG51" s="59"/>
      <c r="AH51" s="107"/>
      <c r="AI51" s="65"/>
      <c r="AJ51" s="65"/>
      <c r="AK51" s="65"/>
      <c r="AL51" s="65"/>
      <c r="AM51" s="65"/>
      <c r="AN51" s="65"/>
      <c r="AO51" s="65"/>
      <c r="AP51" s="65"/>
    </row>
    <row r="52" spans="1:42" x14ac:dyDescent="0.25">
      <c r="A52" s="1"/>
      <c r="B52" s="18"/>
      <c r="C52" s="14"/>
      <c r="D52" s="1"/>
      <c r="E52" s="1"/>
      <c r="F52" s="1"/>
      <c r="G52" s="18"/>
      <c r="H52" s="14"/>
      <c r="I52" s="18"/>
      <c r="J52" s="19"/>
      <c r="K52" s="14"/>
      <c r="L52" s="18"/>
      <c r="M52" s="50"/>
      <c r="N52" s="19"/>
      <c r="O52" s="50"/>
      <c r="P52" s="19"/>
      <c r="Q52" s="14"/>
      <c r="R52" s="1"/>
      <c r="S52" s="1"/>
      <c r="T52" s="14"/>
      <c r="U52" s="1"/>
      <c r="V52" s="1"/>
      <c r="W52" s="129"/>
      <c r="X52" s="161"/>
      <c r="Y52" s="14"/>
      <c r="Z52" s="140"/>
      <c r="AA52" s="18"/>
      <c r="AB52" s="19"/>
      <c r="AC52" s="14"/>
      <c r="AD52" s="18"/>
      <c r="AE52" s="19"/>
      <c r="AF52" s="19"/>
      <c r="AG52" s="19"/>
      <c r="AH52" s="14"/>
      <c r="AI52" s="109"/>
    </row>
    <row r="53" spans="1:42" x14ac:dyDescent="0.25">
      <c r="A53" s="1"/>
      <c r="B53" s="18"/>
      <c r="C53" s="14"/>
      <c r="D53" s="1"/>
      <c r="E53" s="1"/>
      <c r="F53" s="1"/>
      <c r="G53" s="18"/>
      <c r="H53" s="14"/>
      <c r="I53" s="18"/>
      <c r="J53" s="19"/>
      <c r="K53" s="14"/>
      <c r="L53" s="18"/>
      <c r="M53" s="50"/>
      <c r="N53" s="19"/>
      <c r="O53" s="50"/>
      <c r="P53" s="19"/>
      <c r="Q53" s="14"/>
      <c r="R53" s="1"/>
      <c r="S53" s="1"/>
      <c r="T53" s="14"/>
      <c r="U53" s="1"/>
      <c r="V53" s="1"/>
      <c r="W53" s="129"/>
      <c r="X53" s="161"/>
      <c r="Y53" s="14"/>
      <c r="Z53" s="140"/>
      <c r="AA53" s="18"/>
      <c r="AB53" s="19"/>
      <c r="AC53" s="14"/>
      <c r="AD53" s="18"/>
      <c r="AE53" s="19"/>
      <c r="AF53" s="19"/>
      <c r="AG53" s="19"/>
      <c r="AH53" s="14"/>
      <c r="AI53" s="1"/>
    </row>
    <row r="54" spans="1:42" x14ac:dyDescent="0.25">
      <c r="A54" s="1"/>
      <c r="B54" s="18"/>
      <c r="C54" s="14"/>
      <c r="D54" s="1"/>
      <c r="E54" s="1"/>
      <c r="F54" s="1"/>
      <c r="G54" s="18"/>
      <c r="H54" s="14"/>
      <c r="I54" s="18"/>
      <c r="J54" s="19"/>
      <c r="K54" s="14"/>
      <c r="L54" s="18"/>
      <c r="M54" s="50"/>
      <c r="N54" s="19"/>
      <c r="O54" s="50"/>
      <c r="P54" s="19"/>
      <c r="Q54" s="14"/>
      <c r="R54" s="1"/>
      <c r="S54" s="1"/>
      <c r="T54" s="14"/>
      <c r="U54" s="1"/>
      <c r="V54" s="1"/>
      <c r="W54" s="129"/>
      <c r="X54" s="161"/>
      <c r="Y54" s="14"/>
      <c r="Z54" s="140"/>
      <c r="AA54" s="18"/>
      <c r="AB54" s="19"/>
      <c r="AC54" s="14"/>
      <c r="AD54" s="18"/>
      <c r="AE54" s="19"/>
      <c r="AF54" s="19"/>
      <c r="AG54" s="19"/>
      <c r="AH54" s="14"/>
      <c r="AI54" s="1"/>
    </row>
    <row r="55" spans="1:42" x14ac:dyDescent="0.25">
      <c r="A55" s="1"/>
      <c r="B55" s="18"/>
      <c r="C55" s="14"/>
      <c r="D55" s="1"/>
      <c r="E55" s="1"/>
      <c r="F55" s="1"/>
      <c r="G55" s="18"/>
      <c r="H55" s="14"/>
      <c r="I55" s="18"/>
      <c r="J55" s="19"/>
      <c r="K55" s="14"/>
      <c r="L55" s="18"/>
      <c r="M55" s="50"/>
      <c r="N55" s="19"/>
      <c r="O55" s="50"/>
      <c r="P55" s="19"/>
      <c r="Q55" s="14"/>
      <c r="R55" s="1"/>
      <c r="S55" s="1"/>
      <c r="T55" s="14"/>
      <c r="U55" s="1"/>
      <c r="V55" s="1"/>
      <c r="W55" s="129"/>
      <c r="X55" s="161"/>
      <c r="Y55" s="14"/>
      <c r="Z55" s="140"/>
      <c r="AA55" s="18"/>
      <c r="AB55" s="19"/>
      <c r="AC55" s="14"/>
      <c r="AD55" s="18"/>
      <c r="AE55" s="19"/>
      <c r="AF55" s="19"/>
      <c r="AG55" s="19"/>
      <c r="AH55" s="14"/>
      <c r="AI55" s="1"/>
    </row>
    <row r="56" spans="1:42" x14ac:dyDescent="0.25">
      <c r="A56" s="1"/>
      <c r="B56" s="18"/>
      <c r="C56" s="14"/>
      <c r="D56" s="1"/>
      <c r="E56" s="1"/>
      <c r="F56" s="1"/>
      <c r="G56" s="18"/>
      <c r="H56" s="14"/>
      <c r="I56" s="18"/>
      <c r="J56" s="19"/>
      <c r="K56" s="14"/>
      <c r="L56" s="18"/>
      <c r="M56" s="50"/>
      <c r="N56" s="19"/>
      <c r="O56" s="50"/>
      <c r="P56" s="19"/>
      <c r="Q56" s="14"/>
      <c r="R56" s="1"/>
      <c r="S56" s="1"/>
      <c r="T56" s="14"/>
      <c r="U56" s="1"/>
      <c r="V56" s="1"/>
      <c r="W56" s="129"/>
      <c r="X56" s="161"/>
      <c r="Y56" s="14"/>
      <c r="Z56" s="140"/>
      <c r="AA56" s="18"/>
      <c r="AB56" s="19"/>
      <c r="AC56" s="14"/>
      <c r="AD56" s="18"/>
      <c r="AE56" s="19"/>
      <c r="AF56" s="19"/>
      <c r="AG56" s="19"/>
      <c r="AH56" s="14"/>
      <c r="AI56" s="1"/>
    </row>
    <row r="57" spans="1:42" x14ac:dyDescent="0.25">
      <c r="A57" s="1"/>
      <c r="B57" s="18"/>
      <c r="C57" s="14"/>
      <c r="D57" s="1"/>
      <c r="E57" s="1"/>
      <c r="F57" s="1"/>
      <c r="G57" s="18"/>
      <c r="H57" s="14"/>
      <c r="I57" s="18"/>
      <c r="J57" s="19"/>
      <c r="K57" s="14"/>
      <c r="L57" s="18"/>
      <c r="M57" s="50"/>
      <c r="N57" s="19"/>
      <c r="O57" s="50"/>
      <c r="P57" s="19"/>
      <c r="Q57" s="14"/>
      <c r="R57" s="1"/>
      <c r="S57" s="1"/>
      <c r="T57" s="14"/>
      <c r="U57" s="1"/>
      <c r="V57" s="1"/>
      <c r="W57" s="129"/>
      <c r="X57" s="161"/>
      <c r="Y57" s="14"/>
      <c r="Z57" s="140"/>
      <c r="AA57" s="18"/>
      <c r="AB57" s="19"/>
      <c r="AC57" s="14"/>
      <c r="AD57" s="18"/>
      <c r="AE57" s="19"/>
      <c r="AF57" s="19"/>
      <c r="AG57" s="19"/>
      <c r="AH57" s="14"/>
      <c r="AI57" s="1"/>
    </row>
    <row r="58" spans="1:42" x14ac:dyDescent="0.25">
      <c r="A58" s="1"/>
      <c r="B58" s="18"/>
      <c r="C58" s="14"/>
      <c r="D58" s="1"/>
      <c r="E58" s="1"/>
      <c r="F58" s="1"/>
      <c r="G58" s="18"/>
      <c r="H58" s="14"/>
      <c r="I58" s="18"/>
      <c r="J58" s="19"/>
      <c r="K58" s="14"/>
      <c r="L58" s="18"/>
      <c r="M58" s="50"/>
      <c r="N58" s="19"/>
      <c r="O58" s="50"/>
      <c r="P58" s="19"/>
      <c r="Q58" s="14"/>
      <c r="R58" s="1"/>
      <c r="S58" s="1"/>
      <c r="T58" s="14"/>
      <c r="U58" s="1"/>
      <c r="V58" s="1"/>
      <c r="W58" s="129"/>
      <c r="X58" s="161"/>
      <c r="Y58" s="14"/>
      <c r="Z58" s="140"/>
      <c r="AA58" s="18"/>
      <c r="AB58" s="19"/>
      <c r="AC58" s="14"/>
      <c r="AD58" s="18"/>
      <c r="AE58" s="19"/>
      <c r="AF58" s="19"/>
      <c r="AG58" s="19"/>
      <c r="AH58" s="14"/>
      <c r="AI58" s="1"/>
    </row>
    <row r="59" spans="1:42" x14ac:dyDescent="0.25">
      <c r="A59" s="1"/>
      <c r="B59" s="18"/>
      <c r="C59" s="14"/>
      <c r="D59" s="1"/>
      <c r="E59" s="1"/>
      <c r="F59" s="1"/>
      <c r="G59" s="18"/>
      <c r="H59" s="14"/>
      <c r="I59" s="18"/>
      <c r="J59" s="19"/>
      <c r="K59" s="14"/>
      <c r="L59" s="18"/>
      <c r="M59" s="50"/>
      <c r="N59" s="19"/>
      <c r="O59" s="50"/>
      <c r="P59" s="19"/>
      <c r="Q59" s="14"/>
      <c r="R59" s="1"/>
      <c r="S59" s="1"/>
      <c r="T59" s="14"/>
      <c r="U59" s="1"/>
      <c r="V59" s="1"/>
      <c r="W59" s="129"/>
      <c r="X59" s="161"/>
      <c r="Y59" s="14"/>
      <c r="Z59" s="140"/>
      <c r="AA59" s="18"/>
      <c r="AB59" s="19"/>
      <c r="AC59" s="14"/>
      <c r="AD59" s="18"/>
      <c r="AE59" s="19"/>
      <c r="AF59" s="19"/>
      <c r="AG59" s="19"/>
      <c r="AH59" s="14"/>
      <c r="AI59" s="1"/>
    </row>
    <row r="60" spans="1:42" x14ac:dyDescent="0.25">
      <c r="A60" s="1"/>
      <c r="B60" s="18"/>
      <c r="C60" s="14"/>
      <c r="D60" s="1"/>
      <c r="E60" s="1"/>
      <c r="F60" s="1"/>
      <c r="G60" s="18"/>
      <c r="H60" s="14"/>
      <c r="I60" s="18"/>
      <c r="J60" s="19"/>
      <c r="K60" s="14"/>
      <c r="L60" s="18"/>
      <c r="M60" s="50"/>
      <c r="N60" s="19"/>
      <c r="O60" s="50"/>
      <c r="P60" s="19"/>
      <c r="Q60" s="14"/>
      <c r="R60" s="1"/>
      <c r="S60" s="1"/>
      <c r="T60" s="14"/>
      <c r="U60" s="1"/>
      <c r="V60" s="1"/>
      <c r="W60" s="129"/>
      <c r="X60" s="161"/>
      <c r="Y60" s="14"/>
      <c r="Z60" s="140"/>
      <c r="AA60" s="18"/>
      <c r="AB60" s="19"/>
      <c r="AC60" s="14"/>
      <c r="AD60" s="18"/>
      <c r="AE60" s="19"/>
      <c r="AF60" s="19"/>
      <c r="AG60" s="19"/>
      <c r="AH60" s="14"/>
      <c r="AI60" s="1"/>
    </row>
    <row r="61" spans="1:42" x14ac:dyDescent="0.25">
      <c r="A61" s="1"/>
      <c r="B61" s="18"/>
      <c r="C61" s="14"/>
      <c r="D61" s="1"/>
      <c r="E61" s="1"/>
      <c r="F61" s="1"/>
      <c r="G61" s="18"/>
      <c r="H61" s="14"/>
      <c r="I61" s="18"/>
      <c r="J61" s="19"/>
      <c r="K61" s="14"/>
      <c r="L61" s="18"/>
      <c r="M61" s="50"/>
      <c r="N61" s="19"/>
      <c r="O61" s="50"/>
      <c r="P61" s="19"/>
      <c r="Q61" s="14"/>
      <c r="R61" s="1"/>
      <c r="S61" s="1"/>
      <c r="T61" s="14"/>
      <c r="U61" s="1"/>
      <c r="V61" s="1"/>
      <c r="W61" s="129"/>
      <c r="X61" s="161"/>
      <c r="Y61" s="14"/>
      <c r="Z61" s="140"/>
      <c r="AA61" s="18"/>
      <c r="AB61" s="19"/>
      <c r="AC61" s="14"/>
      <c r="AD61" s="18"/>
      <c r="AE61" s="19"/>
      <c r="AF61" s="19"/>
      <c r="AG61" s="19"/>
      <c r="AH61" s="14"/>
      <c r="AI61" s="1"/>
    </row>
    <row r="62" spans="1:42" x14ac:dyDescent="0.25">
      <c r="A62" s="1"/>
      <c r="B62" s="18"/>
      <c r="C62" s="14"/>
      <c r="D62" s="1"/>
      <c r="E62" s="1"/>
      <c r="F62" s="1"/>
      <c r="G62" s="18"/>
      <c r="H62" s="14"/>
      <c r="I62" s="18"/>
      <c r="J62" s="19"/>
      <c r="K62" s="14"/>
      <c r="L62" s="18"/>
      <c r="M62" s="50"/>
      <c r="N62" s="19"/>
      <c r="O62" s="50"/>
      <c r="P62" s="19"/>
      <c r="Q62" s="14"/>
      <c r="R62" s="1"/>
      <c r="S62" s="1"/>
      <c r="T62" s="14"/>
      <c r="U62" s="1"/>
      <c r="V62" s="1"/>
      <c r="W62" s="129"/>
      <c r="X62" s="161"/>
      <c r="Y62" s="14"/>
      <c r="Z62" s="140"/>
      <c r="AA62" s="18"/>
      <c r="AB62" s="19"/>
      <c r="AC62" s="14"/>
      <c r="AD62" s="18"/>
      <c r="AE62" s="19"/>
      <c r="AF62" s="19"/>
      <c r="AG62" s="19"/>
      <c r="AH62" s="14"/>
      <c r="AI62" s="1"/>
    </row>
    <row r="63" spans="1:42" x14ac:dyDescent="0.25">
      <c r="A63" s="1"/>
      <c r="B63" s="18"/>
      <c r="C63" s="14"/>
      <c r="D63" s="1"/>
      <c r="E63" s="1"/>
      <c r="F63" s="1"/>
      <c r="G63" s="18"/>
      <c r="H63" s="14"/>
      <c r="I63" s="18"/>
      <c r="J63" s="19"/>
      <c r="K63" s="14"/>
      <c r="L63" s="18"/>
      <c r="M63" s="50"/>
      <c r="N63" s="19"/>
      <c r="O63" s="50"/>
      <c r="P63" s="19"/>
      <c r="Q63" s="14"/>
      <c r="R63" s="1"/>
      <c r="S63" s="1"/>
      <c r="T63" s="14"/>
      <c r="U63" s="1"/>
      <c r="V63" s="1"/>
      <c r="W63" s="129"/>
      <c r="X63" s="161"/>
      <c r="Y63" s="14"/>
      <c r="Z63" s="140"/>
      <c r="AA63" s="18"/>
      <c r="AB63" s="19"/>
      <c r="AC63" s="14"/>
      <c r="AD63" s="18"/>
      <c r="AE63" s="19"/>
      <c r="AF63" s="19"/>
      <c r="AG63" s="19"/>
      <c r="AH63" s="14"/>
      <c r="AI63" s="1"/>
    </row>
    <row r="64" spans="1:42" x14ac:dyDescent="0.25">
      <c r="A64" s="1"/>
      <c r="B64" s="18"/>
      <c r="C64" s="14"/>
      <c r="D64" s="1"/>
      <c r="E64" s="1"/>
      <c r="F64" s="1"/>
      <c r="G64" s="18"/>
      <c r="H64" s="14"/>
      <c r="I64" s="18"/>
      <c r="J64" s="19"/>
      <c r="K64" s="14"/>
      <c r="L64" s="18"/>
      <c r="M64" s="50"/>
      <c r="N64" s="19"/>
      <c r="O64" s="50"/>
      <c r="P64" s="19"/>
      <c r="Q64" s="14"/>
      <c r="R64" s="1"/>
      <c r="S64" s="1"/>
      <c r="T64" s="14"/>
      <c r="U64" s="1"/>
      <c r="V64" s="1"/>
      <c r="W64" s="129"/>
      <c r="X64" s="161"/>
      <c r="Y64" s="14"/>
      <c r="Z64" s="140"/>
      <c r="AA64" s="18"/>
      <c r="AB64" s="19"/>
      <c r="AC64" s="14"/>
      <c r="AD64" s="18"/>
      <c r="AE64" s="19"/>
      <c r="AF64" s="19"/>
      <c r="AG64" s="19"/>
      <c r="AH64" s="14"/>
      <c r="AI64" s="1"/>
    </row>
    <row r="65" spans="1:35" x14ac:dyDescent="0.25">
      <c r="A65" s="1"/>
      <c r="B65" s="18"/>
      <c r="C65" s="14"/>
      <c r="D65" s="1"/>
      <c r="E65" s="1"/>
      <c r="F65" s="1"/>
      <c r="G65" s="18"/>
      <c r="H65" s="14"/>
      <c r="I65" s="18"/>
      <c r="J65" s="19"/>
      <c r="K65" s="14"/>
      <c r="L65" s="18"/>
      <c r="M65" s="50"/>
      <c r="N65" s="19"/>
      <c r="O65" s="50"/>
      <c r="P65" s="19"/>
      <c r="Q65" s="14"/>
      <c r="R65" s="1"/>
      <c r="S65" s="1"/>
      <c r="T65" s="14"/>
      <c r="U65" s="1"/>
      <c r="V65" s="1"/>
      <c r="W65" s="129"/>
      <c r="X65" s="161"/>
      <c r="Y65" s="14"/>
      <c r="Z65" s="140"/>
      <c r="AA65" s="18"/>
      <c r="AB65" s="19"/>
      <c r="AC65" s="14"/>
      <c r="AD65" s="18"/>
      <c r="AE65" s="19"/>
      <c r="AF65" s="19"/>
      <c r="AG65" s="19"/>
      <c r="AH65" s="14"/>
      <c r="AI65" s="1"/>
    </row>
    <row r="66" spans="1:35" x14ac:dyDescent="0.25">
      <c r="A66" s="1"/>
      <c r="B66" s="18"/>
      <c r="C66" s="14"/>
      <c r="D66" s="1"/>
      <c r="E66" s="1"/>
      <c r="F66" s="1"/>
      <c r="G66" s="18"/>
      <c r="H66" s="14"/>
      <c r="I66" s="18"/>
      <c r="J66" s="19"/>
      <c r="K66" s="14"/>
      <c r="L66" s="18"/>
      <c r="M66" s="50"/>
      <c r="N66" s="19"/>
      <c r="O66" s="50"/>
      <c r="P66" s="19"/>
      <c r="Q66" s="14"/>
      <c r="R66" s="1"/>
      <c r="S66" s="1"/>
      <c r="T66" s="14"/>
      <c r="U66" s="1"/>
      <c r="V66" s="1"/>
      <c r="W66" s="129"/>
      <c r="X66" s="161"/>
      <c r="Y66" s="14"/>
      <c r="Z66" s="140"/>
      <c r="AA66" s="18"/>
      <c r="AB66" s="19"/>
      <c r="AC66" s="14"/>
      <c r="AD66" s="18"/>
      <c r="AE66" s="19"/>
      <c r="AF66" s="19"/>
      <c r="AG66" s="19"/>
      <c r="AH66" s="14"/>
      <c r="AI66" s="1"/>
    </row>
    <row r="67" spans="1:35" x14ac:dyDescent="0.25">
      <c r="A67" s="1"/>
      <c r="B67" s="18"/>
      <c r="C67" s="14"/>
      <c r="D67" s="1"/>
      <c r="E67" s="1"/>
      <c r="F67" s="1"/>
      <c r="G67" s="18"/>
      <c r="H67" s="14"/>
      <c r="I67" s="18"/>
      <c r="J67" s="19"/>
      <c r="K67" s="14"/>
      <c r="L67" s="18"/>
      <c r="M67" s="50"/>
      <c r="N67" s="19"/>
      <c r="O67" s="50"/>
      <c r="P67" s="19"/>
      <c r="Q67" s="14"/>
      <c r="R67" s="1"/>
      <c r="S67" s="1"/>
      <c r="T67" s="14"/>
      <c r="U67" s="1"/>
      <c r="V67" s="1"/>
      <c r="W67" s="129"/>
      <c r="X67" s="161"/>
      <c r="Y67" s="14"/>
      <c r="Z67" s="140"/>
      <c r="AA67" s="18"/>
      <c r="AB67" s="19"/>
      <c r="AC67" s="14"/>
      <c r="AD67" s="18"/>
      <c r="AE67" s="19"/>
      <c r="AF67" s="19"/>
      <c r="AG67" s="19"/>
      <c r="AH67" s="14"/>
      <c r="AI67" s="1"/>
    </row>
    <row r="68" spans="1:35" x14ac:dyDescent="0.25">
      <c r="A68" s="1"/>
      <c r="B68" s="18"/>
      <c r="C68" s="14"/>
      <c r="D68" s="1"/>
      <c r="E68" s="1"/>
      <c r="F68" s="1"/>
      <c r="G68" s="18"/>
      <c r="H68" s="14"/>
      <c r="I68" s="18"/>
      <c r="J68" s="19"/>
      <c r="K68" s="14"/>
      <c r="L68" s="18"/>
      <c r="M68" s="50"/>
      <c r="N68" s="19"/>
      <c r="O68" s="50"/>
      <c r="P68" s="19"/>
      <c r="Q68" s="14"/>
      <c r="R68" s="1"/>
      <c r="S68" s="1"/>
      <c r="T68" s="14"/>
      <c r="U68" s="1"/>
      <c r="V68" s="1"/>
      <c r="W68" s="129"/>
      <c r="X68" s="161"/>
      <c r="Y68" s="14"/>
      <c r="Z68" s="140"/>
      <c r="AA68" s="18"/>
      <c r="AB68" s="19"/>
      <c r="AC68" s="14"/>
      <c r="AD68" s="18"/>
      <c r="AE68" s="19"/>
      <c r="AF68" s="19"/>
      <c r="AG68" s="19"/>
      <c r="AH68" s="14"/>
      <c r="AI68" s="1"/>
    </row>
    <row r="69" spans="1:35" x14ac:dyDescent="0.25">
      <c r="A69" s="1"/>
      <c r="B69" s="18"/>
      <c r="C69" s="14"/>
      <c r="D69" s="1"/>
      <c r="E69" s="1"/>
      <c r="F69" s="1"/>
      <c r="G69" s="18"/>
      <c r="H69" s="14"/>
      <c r="I69" s="18"/>
      <c r="J69" s="19"/>
      <c r="K69" s="14"/>
      <c r="L69" s="18"/>
      <c r="M69" s="50"/>
      <c r="N69" s="19"/>
      <c r="O69" s="50"/>
      <c r="P69" s="19"/>
      <c r="Q69" s="14"/>
      <c r="R69" s="1"/>
      <c r="S69" s="1"/>
      <c r="T69" s="14"/>
      <c r="U69" s="1"/>
      <c r="V69" s="1"/>
      <c r="W69" s="129"/>
      <c r="X69" s="161"/>
      <c r="Y69" s="14"/>
      <c r="Z69" s="140"/>
      <c r="AA69" s="18"/>
      <c r="AB69" s="19"/>
      <c r="AC69" s="14"/>
      <c r="AD69" s="18"/>
      <c r="AE69" s="19"/>
      <c r="AF69" s="19"/>
      <c r="AG69" s="19"/>
      <c r="AH69" s="14"/>
      <c r="AI69" s="1"/>
    </row>
    <row r="70" spans="1:35" x14ac:dyDescent="0.25">
      <c r="A70" s="1"/>
      <c r="B70" s="18"/>
      <c r="C70" s="14"/>
      <c r="D70" s="1"/>
      <c r="E70" s="1"/>
      <c r="F70" s="1"/>
      <c r="G70" s="18"/>
      <c r="H70" s="14"/>
      <c r="I70" s="18"/>
      <c r="J70" s="19"/>
      <c r="K70" s="14"/>
      <c r="L70" s="18"/>
      <c r="M70" s="50"/>
      <c r="N70" s="19"/>
      <c r="O70" s="50"/>
      <c r="P70" s="19"/>
      <c r="Q70" s="14"/>
      <c r="R70" s="1"/>
      <c r="S70" s="1"/>
      <c r="T70" s="14"/>
      <c r="U70" s="1"/>
      <c r="V70" s="1"/>
      <c r="W70" s="129"/>
      <c r="X70" s="161"/>
      <c r="Y70" s="14"/>
      <c r="Z70" s="140"/>
      <c r="AA70" s="18"/>
      <c r="AB70" s="19"/>
      <c r="AC70" s="14"/>
      <c r="AD70" s="18"/>
      <c r="AE70" s="19"/>
      <c r="AF70" s="19"/>
      <c r="AG70" s="19"/>
      <c r="AH70" s="14"/>
      <c r="AI70" s="1"/>
    </row>
    <row r="71" spans="1:35" x14ac:dyDescent="0.25">
      <c r="A71" s="1"/>
      <c r="B71" s="18"/>
      <c r="C71" s="14"/>
      <c r="D71" s="1"/>
      <c r="E71" s="1"/>
      <c r="F71" s="1"/>
      <c r="G71" s="18"/>
      <c r="H71" s="14"/>
      <c r="I71" s="18"/>
      <c r="J71" s="19"/>
      <c r="K71" s="14"/>
      <c r="L71" s="18"/>
      <c r="M71" s="50"/>
      <c r="N71" s="19"/>
      <c r="O71" s="50"/>
      <c r="P71" s="19"/>
      <c r="Q71" s="14"/>
      <c r="R71" s="1"/>
      <c r="S71" s="1"/>
      <c r="T71" s="14"/>
      <c r="U71" s="1"/>
      <c r="V71" s="1"/>
      <c r="W71" s="129"/>
      <c r="X71" s="161"/>
      <c r="Y71" s="14"/>
      <c r="Z71" s="140"/>
      <c r="AA71" s="18"/>
      <c r="AB71" s="19"/>
      <c r="AC71" s="14"/>
      <c r="AD71" s="18"/>
      <c r="AE71" s="19"/>
      <c r="AF71" s="19"/>
      <c r="AG71" s="19"/>
      <c r="AH71" s="14"/>
      <c r="AI71" s="1"/>
    </row>
    <row r="72" spans="1:35" x14ac:dyDescent="0.25">
      <c r="A72" s="1"/>
      <c r="B72" s="18"/>
      <c r="C72" s="14"/>
      <c r="D72" s="1"/>
      <c r="E72" s="1"/>
      <c r="F72" s="1"/>
      <c r="G72" s="18"/>
      <c r="H72" s="14"/>
      <c r="I72" s="18"/>
      <c r="J72" s="19"/>
      <c r="K72" s="14"/>
      <c r="L72" s="18"/>
      <c r="M72" s="50"/>
      <c r="N72" s="19"/>
      <c r="O72" s="50"/>
      <c r="P72" s="19"/>
      <c r="Q72" s="14"/>
      <c r="R72" s="1"/>
      <c r="S72" s="1"/>
      <c r="T72" s="14"/>
      <c r="U72" s="1"/>
      <c r="V72" s="1"/>
      <c r="W72" s="129"/>
      <c r="X72" s="161"/>
      <c r="Y72" s="14"/>
      <c r="Z72" s="140"/>
      <c r="AA72" s="18"/>
      <c r="AB72" s="19"/>
      <c r="AC72" s="14"/>
      <c r="AD72" s="18"/>
      <c r="AE72" s="19"/>
      <c r="AF72" s="19"/>
      <c r="AG72" s="19"/>
      <c r="AH72" s="14"/>
      <c r="AI72" s="1"/>
    </row>
    <row r="73" spans="1:35" x14ac:dyDescent="0.25">
      <c r="A73" s="1"/>
      <c r="B73" s="18"/>
      <c r="C73" s="14"/>
      <c r="D73" s="1"/>
      <c r="E73" s="1"/>
      <c r="F73" s="1"/>
      <c r="G73" s="18"/>
      <c r="H73" s="14"/>
      <c r="I73" s="18"/>
      <c r="J73" s="19"/>
      <c r="K73" s="14"/>
      <c r="L73" s="18"/>
      <c r="M73" s="50"/>
      <c r="N73" s="19"/>
      <c r="O73" s="50"/>
      <c r="P73" s="19"/>
      <c r="Q73" s="14"/>
      <c r="R73" s="1"/>
      <c r="S73" s="1"/>
      <c r="T73" s="14"/>
      <c r="U73" s="1"/>
      <c r="V73" s="1"/>
      <c r="W73" s="129"/>
      <c r="X73" s="161"/>
      <c r="Y73" s="14"/>
      <c r="Z73" s="140"/>
      <c r="AA73" s="18"/>
      <c r="AB73" s="19"/>
      <c r="AC73" s="14"/>
      <c r="AD73" s="18"/>
      <c r="AE73" s="19"/>
      <c r="AF73" s="19"/>
      <c r="AG73" s="19"/>
      <c r="AH73" s="14"/>
      <c r="AI73" s="1"/>
    </row>
    <row r="74" spans="1:35" x14ac:dyDescent="0.25">
      <c r="A74" s="1"/>
      <c r="B74" s="18"/>
      <c r="C74" s="14"/>
      <c r="D74" s="1"/>
      <c r="E74" s="1"/>
      <c r="F74" s="1"/>
      <c r="G74" s="18"/>
      <c r="H74" s="14"/>
      <c r="I74" s="18"/>
      <c r="J74" s="19"/>
      <c r="K74" s="14"/>
      <c r="L74" s="18"/>
      <c r="M74" s="50"/>
      <c r="N74" s="19"/>
      <c r="O74" s="50"/>
      <c r="P74" s="19"/>
      <c r="Q74" s="14"/>
      <c r="R74" s="1"/>
      <c r="S74" s="1"/>
      <c r="T74" s="14"/>
      <c r="U74" s="1"/>
      <c r="V74" s="1"/>
      <c r="W74" s="129"/>
      <c r="X74" s="161"/>
      <c r="Y74" s="14"/>
      <c r="Z74" s="140"/>
      <c r="AA74" s="18"/>
      <c r="AB74" s="19"/>
      <c r="AC74" s="14"/>
      <c r="AD74" s="18"/>
      <c r="AE74" s="19"/>
      <c r="AF74" s="19"/>
      <c r="AG74" s="19"/>
      <c r="AH74" s="14"/>
      <c r="AI74" s="1"/>
    </row>
    <row r="75" spans="1:35" x14ac:dyDescent="0.25">
      <c r="A75" s="1"/>
      <c r="B75" s="18"/>
      <c r="C75" s="14"/>
      <c r="D75" s="1"/>
      <c r="E75" s="1"/>
      <c r="F75" s="1"/>
      <c r="G75" s="18"/>
      <c r="H75" s="14"/>
      <c r="I75" s="18"/>
      <c r="J75" s="19"/>
      <c r="K75" s="14"/>
      <c r="L75" s="18"/>
      <c r="M75" s="50"/>
      <c r="N75" s="19"/>
      <c r="O75" s="50"/>
      <c r="P75" s="19"/>
      <c r="Q75" s="14"/>
      <c r="R75" s="1"/>
      <c r="S75" s="1"/>
      <c r="T75" s="14"/>
      <c r="U75" s="1"/>
      <c r="V75" s="1"/>
      <c r="W75" s="129"/>
      <c r="X75" s="161"/>
      <c r="Y75" s="14"/>
      <c r="Z75" s="140"/>
      <c r="AA75" s="18"/>
      <c r="AB75" s="19"/>
      <c r="AC75" s="14"/>
      <c r="AD75" s="18"/>
      <c r="AE75" s="19"/>
      <c r="AF75" s="19"/>
      <c r="AG75" s="19"/>
      <c r="AH75" s="14"/>
      <c r="AI75" s="1"/>
    </row>
    <row r="76" spans="1:35" x14ac:dyDescent="0.25">
      <c r="A76" s="1"/>
      <c r="B76" s="18"/>
      <c r="C76" s="14"/>
      <c r="D76" s="1"/>
      <c r="E76" s="1"/>
      <c r="F76" s="1"/>
      <c r="G76" s="18"/>
      <c r="H76" s="14"/>
      <c r="I76" s="18"/>
      <c r="J76" s="19"/>
      <c r="K76" s="14"/>
      <c r="L76" s="18"/>
      <c r="M76" s="50"/>
      <c r="N76" s="19"/>
      <c r="O76" s="50"/>
      <c r="P76" s="19"/>
      <c r="Q76" s="14"/>
      <c r="R76" s="1"/>
      <c r="S76" s="1"/>
      <c r="T76" s="14"/>
      <c r="U76" s="1"/>
      <c r="V76" s="1"/>
      <c r="W76" s="129"/>
      <c r="X76" s="161"/>
      <c r="Y76" s="14"/>
      <c r="Z76" s="140"/>
      <c r="AA76" s="18"/>
      <c r="AB76" s="19"/>
      <c r="AC76" s="14"/>
      <c r="AD76" s="18"/>
      <c r="AE76" s="19"/>
      <c r="AF76" s="19"/>
      <c r="AG76" s="19"/>
      <c r="AH76" s="14"/>
      <c r="AI76" s="1"/>
    </row>
    <row r="77" spans="1:35" x14ac:dyDescent="0.25">
      <c r="A77" s="1"/>
      <c r="B77" s="18"/>
      <c r="C77" s="14"/>
      <c r="D77" s="1"/>
      <c r="E77" s="1"/>
      <c r="F77" s="1"/>
      <c r="G77" s="18"/>
      <c r="H77" s="14"/>
      <c r="I77" s="18"/>
      <c r="J77" s="19"/>
      <c r="K77" s="14"/>
      <c r="L77" s="18"/>
      <c r="M77" s="50"/>
      <c r="N77" s="19"/>
      <c r="O77" s="50"/>
      <c r="P77" s="19"/>
      <c r="Q77" s="14"/>
      <c r="R77" s="1"/>
      <c r="S77" s="1"/>
      <c r="T77" s="14"/>
      <c r="U77" s="1"/>
      <c r="V77" s="1"/>
      <c r="W77" s="129"/>
      <c r="X77" s="161"/>
      <c r="Y77" s="14"/>
      <c r="Z77" s="140"/>
      <c r="AA77" s="18"/>
      <c r="AB77" s="19"/>
      <c r="AC77" s="14"/>
      <c r="AD77" s="18"/>
      <c r="AE77" s="19"/>
      <c r="AF77" s="19"/>
      <c r="AG77" s="19"/>
      <c r="AH77" s="14"/>
      <c r="AI77" s="1"/>
    </row>
    <row r="78" spans="1:35" x14ac:dyDescent="0.25">
      <c r="A78" s="1"/>
      <c r="B78" s="18"/>
      <c r="C78" s="14"/>
      <c r="D78" s="1"/>
      <c r="E78" s="1"/>
      <c r="F78" s="1"/>
      <c r="G78" s="18"/>
      <c r="H78" s="14"/>
      <c r="I78" s="18"/>
      <c r="J78" s="19"/>
      <c r="K78" s="14"/>
      <c r="L78" s="18"/>
      <c r="M78" s="50"/>
      <c r="N78" s="19"/>
      <c r="O78" s="50"/>
      <c r="P78" s="19"/>
      <c r="Q78" s="14"/>
      <c r="R78" s="1"/>
      <c r="S78" s="1"/>
      <c r="T78" s="14"/>
      <c r="U78" s="1"/>
      <c r="V78" s="1"/>
      <c r="W78" s="129"/>
      <c r="X78" s="161"/>
      <c r="Y78" s="14"/>
      <c r="Z78" s="140"/>
      <c r="AA78" s="18"/>
      <c r="AB78" s="19"/>
      <c r="AC78" s="14"/>
      <c r="AD78" s="18"/>
      <c r="AE78" s="19"/>
      <c r="AF78" s="19"/>
      <c r="AG78" s="19"/>
      <c r="AH78" s="14"/>
      <c r="AI78" s="1"/>
    </row>
    <row r="79" spans="1:35" x14ac:dyDescent="0.25">
      <c r="A79" s="1"/>
      <c r="B79" s="18"/>
      <c r="C79" s="14"/>
      <c r="D79" s="1"/>
      <c r="E79" s="1"/>
      <c r="F79" s="1"/>
      <c r="G79" s="18"/>
      <c r="H79" s="14"/>
      <c r="I79" s="18"/>
      <c r="J79" s="19"/>
      <c r="K79" s="14"/>
      <c r="L79" s="18"/>
      <c r="M79" s="50"/>
      <c r="N79" s="19"/>
      <c r="O79" s="50"/>
      <c r="P79" s="19"/>
      <c r="Q79" s="14"/>
      <c r="R79" s="1"/>
      <c r="S79" s="1"/>
      <c r="T79" s="14"/>
      <c r="U79" s="1"/>
      <c r="V79" s="1"/>
      <c r="W79" s="129"/>
      <c r="X79" s="161"/>
      <c r="Y79" s="14"/>
      <c r="Z79" s="140"/>
      <c r="AA79" s="18"/>
      <c r="AB79" s="19"/>
      <c r="AC79" s="14"/>
      <c r="AD79" s="18"/>
      <c r="AE79" s="19"/>
      <c r="AF79" s="19"/>
      <c r="AG79" s="19"/>
      <c r="AH79" s="14"/>
      <c r="AI79" s="1"/>
    </row>
    <row r="80" spans="1:35" x14ac:dyDescent="0.25">
      <c r="A80" s="1"/>
      <c r="B80" s="18"/>
      <c r="C80" s="14"/>
      <c r="D80" s="1"/>
      <c r="E80" s="1"/>
      <c r="F80" s="1"/>
      <c r="G80" s="18"/>
      <c r="H80" s="14"/>
      <c r="I80" s="18"/>
      <c r="J80" s="19"/>
      <c r="K80" s="14"/>
      <c r="L80" s="18"/>
      <c r="M80" s="50"/>
      <c r="N80" s="19"/>
      <c r="O80" s="50"/>
      <c r="P80" s="19"/>
      <c r="Q80" s="14"/>
      <c r="R80" s="1"/>
      <c r="S80" s="1"/>
      <c r="T80" s="14"/>
      <c r="U80" s="1"/>
      <c r="V80" s="1"/>
      <c r="W80" s="129"/>
      <c r="X80" s="161"/>
      <c r="Y80" s="14"/>
      <c r="Z80" s="140"/>
      <c r="AA80" s="18"/>
      <c r="AB80" s="19"/>
      <c r="AC80" s="14"/>
      <c r="AD80" s="18"/>
      <c r="AE80" s="19"/>
      <c r="AF80" s="19"/>
      <c r="AG80" s="19"/>
      <c r="AH80" s="14"/>
      <c r="AI80" s="1"/>
    </row>
    <row r="81" spans="1:35" x14ac:dyDescent="0.25">
      <c r="A81" s="1"/>
      <c r="B81" s="18"/>
      <c r="C81" s="14"/>
      <c r="D81" s="1"/>
      <c r="E81" s="1"/>
      <c r="F81" s="1"/>
      <c r="G81" s="18"/>
      <c r="H81" s="14"/>
      <c r="I81" s="18"/>
      <c r="J81" s="19"/>
      <c r="K81" s="14"/>
      <c r="L81" s="18"/>
      <c r="M81" s="50"/>
      <c r="N81" s="19"/>
      <c r="O81" s="50"/>
      <c r="P81" s="19"/>
      <c r="Q81" s="14"/>
      <c r="R81" s="1"/>
      <c r="S81" s="1"/>
      <c r="T81" s="14"/>
      <c r="U81" s="1"/>
      <c r="V81" s="1"/>
      <c r="W81" s="129"/>
      <c r="X81" s="161"/>
      <c r="Y81" s="14"/>
      <c r="Z81" s="140"/>
      <c r="AA81" s="18"/>
      <c r="AB81" s="19"/>
      <c r="AC81" s="14"/>
      <c r="AD81" s="18"/>
      <c r="AE81" s="19"/>
      <c r="AF81" s="19"/>
      <c r="AG81" s="19"/>
      <c r="AH81" s="14"/>
      <c r="AI81" s="1"/>
    </row>
    <row r="82" spans="1:35" x14ac:dyDescent="0.25">
      <c r="A82" s="1"/>
      <c r="B82" s="18"/>
      <c r="C82" s="14"/>
      <c r="D82" s="1"/>
      <c r="E82" s="1"/>
      <c r="F82" s="1"/>
      <c r="G82" s="18"/>
      <c r="H82" s="14"/>
      <c r="I82" s="18"/>
      <c r="J82" s="19"/>
      <c r="K82" s="14"/>
      <c r="L82" s="18"/>
      <c r="M82" s="50"/>
      <c r="N82" s="19"/>
      <c r="O82" s="50"/>
      <c r="P82" s="19"/>
      <c r="Q82" s="14"/>
      <c r="R82" s="1"/>
      <c r="S82" s="1"/>
      <c r="T82" s="14"/>
      <c r="U82" s="1"/>
      <c r="V82" s="1"/>
      <c r="W82" s="129"/>
      <c r="X82" s="161"/>
      <c r="Y82" s="14"/>
      <c r="Z82" s="140"/>
      <c r="AA82" s="18"/>
      <c r="AB82" s="19"/>
      <c r="AC82" s="14"/>
      <c r="AD82" s="18"/>
      <c r="AE82" s="19"/>
      <c r="AF82" s="19"/>
      <c r="AG82" s="19"/>
      <c r="AH82" s="14"/>
      <c r="AI82" s="1"/>
    </row>
    <row r="83" spans="1:35" x14ac:dyDescent="0.25">
      <c r="A83" s="1"/>
      <c r="B83" s="18"/>
      <c r="C83" s="14"/>
      <c r="D83" s="1"/>
      <c r="E83" s="1"/>
      <c r="F83" s="1"/>
      <c r="G83" s="18"/>
      <c r="H83" s="14"/>
      <c r="I83" s="18"/>
      <c r="J83" s="19"/>
      <c r="K83" s="14"/>
      <c r="L83" s="18"/>
      <c r="M83" s="50"/>
      <c r="N83" s="19"/>
      <c r="O83" s="50"/>
      <c r="P83" s="19"/>
      <c r="Q83" s="14"/>
      <c r="R83" s="1"/>
      <c r="S83" s="1"/>
      <c r="T83" s="14"/>
      <c r="U83" s="1"/>
      <c r="V83" s="1"/>
      <c r="W83" s="129"/>
      <c r="X83" s="161"/>
      <c r="Y83" s="14"/>
      <c r="Z83" s="140"/>
      <c r="AA83" s="18"/>
      <c r="AB83" s="19"/>
      <c r="AC83" s="14"/>
      <c r="AD83" s="18"/>
      <c r="AE83" s="19"/>
      <c r="AF83" s="19"/>
      <c r="AG83" s="19"/>
      <c r="AH83" s="14"/>
      <c r="AI83" s="1"/>
    </row>
    <row r="84" spans="1:35" x14ac:dyDescent="0.25">
      <c r="A84" s="1"/>
      <c r="B84" s="18"/>
      <c r="C84" s="14"/>
      <c r="D84" s="1"/>
      <c r="E84" s="1"/>
      <c r="F84" s="1"/>
      <c r="G84" s="18"/>
      <c r="H84" s="14"/>
      <c r="I84" s="18"/>
      <c r="J84" s="19"/>
      <c r="K84" s="14"/>
      <c r="L84" s="18"/>
      <c r="M84" s="50"/>
      <c r="N84" s="19"/>
      <c r="O84" s="50"/>
      <c r="P84" s="19"/>
      <c r="Q84" s="14"/>
      <c r="R84" s="1"/>
      <c r="S84" s="1"/>
      <c r="T84" s="14"/>
      <c r="U84" s="1"/>
      <c r="V84" s="1"/>
      <c r="W84" s="129"/>
      <c r="X84" s="161"/>
      <c r="Y84" s="14"/>
      <c r="Z84" s="140"/>
      <c r="AA84" s="18"/>
      <c r="AB84" s="19"/>
      <c r="AC84" s="14"/>
      <c r="AD84" s="18"/>
      <c r="AE84" s="19"/>
      <c r="AF84" s="19"/>
      <c r="AG84" s="19"/>
      <c r="AH84" s="14"/>
      <c r="AI84" s="1"/>
    </row>
  </sheetData>
  <mergeCells count="3">
    <mergeCell ref="C1:G1"/>
    <mergeCell ref="H1:I1"/>
    <mergeCell ref="K1:L1"/>
  </mergeCells>
  <pageMargins left="0.7" right="0.7" top="0.75" bottom="0.75" header="0.3" footer="0.3"/>
  <pageSetup paperSize="9" scale="3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 Hebdo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COURNEE</dc:creator>
  <cp:lastModifiedBy>Chiara BOTTIGIOLA</cp:lastModifiedBy>
  <cp:lastPrinted>2020-10-05T13:35:30Z</cp:lastPrinted>
  <dcterms:created xsi:type="dcterms:W3CDTF">2015-06-05T18:17:20Z</dcterms:created>
  <dcterms:modified xsi:type="dcterms:W3CDTF">2020-12-09T10:13:18Z</dcterms:modified>
</cp:coreProperties>
</file>