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filterPrivacy="1" codeName="ThisWorkbook"/>
  <xr:revisionPtr revIDLastSave="0" documentId="13_ncr:1_{29F1525C-F7E1-422F-B987-4CB62B2E735D}" xr6:coauthVersionLast="46" xr6:coauthVersionMax="46" xr10:uidLastSave="{00000000-0000-0000-0000-000000000000}"/>
  <bookViews>
    <workbookView xWindow="4224" yWindow="1500" windowWidth="27252" windowHeight="15264" tabRatio="647" xr2:uid="{00000000-000D-0000-FFFF-FFFF00000000}"/>
  </bookViews>
  <sheets>
    <sheet name="Devis" sheetId="2" r:id="rId1"/>
    <sheet name="Nouveaux Prospects" sheetId="34" r:id="rId2"/>
    <sheet name="Sources" sheetId="22" r:id="rId3"/>
    <sheet name="Commerciaux" sheetId="35" r:id="rId4"/>
  </sheets>
  <externalReferences>
    <externalReference r:id="rId5"/>
  </externalReferences>
  <definedNames>
    <definedName name="ARTICLE">Articles[Code article]</definedName>
    <definedName name="ARTICLE_2">Familles[Code article]</definedName>
    <definedName name="Famille">Devis!$M$12</definedName>
    <definedName name="Lib_Famille">Lib_familles[Libelle famille]</definedName>
    <definedName name="LIBELLE_TIERS">Clients[Libelle tiers]</definedName>
    <definedName name="Prospect">Prospects[Libelle tiers]</definedName>
    <definedName name="Rappel_Devis">[1]!Devis_Histo[#Data]</definedName>
    <definedName name="_xlnm.Print_Area" localSheetId="0">Devis!$A:$G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D13" i="2"/>
  <c r="E13" i="2"/>
  <c r="G13" i="2"/>
  <c r="H13" i="2"/>
  <c r="I13" i="2"/>
  <c r="J13" i="2"/>
  <c r="B14" i="2"/>
  <c r="D14" i="2"/>
  <c r="E14" i="2"/>
  <c r="G14" i="2"/>
  <c r="H14" i="2"/>
  <c r="I14" i="2"/>
  <c r="J14" i="2"/>
  <c r="B15" i="2"/>
  <c r="D15" i="2"/>
  <c r="E15" i="2"/>
  <c r="G15" i="2"/>
  <c r="H15" i="2"/>
  <c r="I15" i="2"/>
  <c r="J15" i="2"/>
  <c r="B16" i="2"/>
  <c r="D16" i="2"/>
  <c r="E16" i="2"/>
  <c r="G16" i="2"/>
  <c r="H16" i="2"/>
  <c r="I16" i="2"/>
  <c r="J16" i="2"/>
  <c r="B17" i="2"/>
  <c r="D17" i="2"/>
  <c r="E17" i="2"/>
  <c r="G17" i="2"/>
  <c r="H17" i="2"/>
  <c r="I17" i="2"/>
  <c r="J17" i="2"/>
  <c r="B18" i="2"/>
  <c r="D18" i="2"/>
  <c r="E18" i="2"/>
  <c r="G18" i="2"/>
  <c r="H18" i="2"/>
  <c r="I18" i="2"/>
  <c r="J18" i="2"/>
  <c r="B19" i="2"/>
  <c r="D19" i="2"/>
  <c r="E19" i="2"/>
  <c r="G19" i="2"/>
  <c r="H19" i="2"/>
  <c r="I19" i="2"/>
  <c r="J19" i="2"/>
  <c r="B20" i="2"/>
  <c r="D20" i="2"/>
  <c r="E20" i="2"/>
  <c r="G20" i="2"/>
  <c r="H20" i="2"/>
  <c r="I20" i="2"/>
  <c r="J20" i="2"/>
  <c r="B21" i="2"/>
  <c r="D21" i="2"/>
  <c r="E21" i="2"/>
  <c r="G21" i="2"/>
  <c r="H21" i="2"/>
  <c r="I21" i="2"/>
  <c r="J21" i="2"/>
  <c r="B22" i="2"/>
  <c r="D22" i="2"/>
  <c r="E22" i="2"/>
  <c r="G22" i="2"/>
  <c r="H22" i="2"/>
  <c r="I22" i="2"/>
  <c r="J22" i="2"/>
  <c r="B23" i="2"/>
  <c r="D23" i="2"/>
  <c r="E23" i="2"/>
  <c r="G23" i="2"/>
  <c r="H23" i="2"/>
  <c r="I23" i="2"/>
  <c r="J23" i="2"/>
  <c r="B24" i="2"/>
  <c r="D24" i="2"/>
  <c r="E24" i="2"/>
  <c r="G24" i="2"/>
  <c r="H24" i="2"/>
  <c r="I24" i="2"/>
  <c r="J24" i="2"/>
  <c r="B25" i="2"/>
  <c r="D25" i="2"/>
  <c r="E25" i="2"/>
  <c r="G25" i="2"/>
  <c r="H25" i="2"/>
  <c r="I25" i="2"/>
  <c r="J25" i="2"/>
  <c r="B26" i="2"/>
  <c r="D26" i="2"/>
  <c r="E26" i="2"/>
  <c r="G26" i="2"/>
  <c r="H26" i="2"/>
  <c r="I26" i="2"/>
  <c r="J26" i="2"/>
  <c r="B27" i="2"/>
  <c r="D27" i="2"/>
  <c r="E27" i="2"/>
  <c r="G27" i="2"/>
  <c r="H27" i="2"/>
  <c r="I27" i="2"/>
  <c r="J27" i="2"/>
  <c r="B28" i="2"/>
  <c r="D28" i="2"/>
  <c r="E28" i="2"/>
  <c r="G28" i="2"/>
  <c r="H28" i="2"/>
  <c r="I28" i="2"/>
  <c r="J28" i="2"/>
  <c r="B29" i="2"/>
  <c r="D29" i="2"/>
  <c r="E29" i="2"/>
  <c r="G29" i="2"/>
  <c r="H29" i="2"/>
  <c r="I29" i="2"/>
  <c r="J29" i="2"/>
  <c r="B30" i="2"/>
  <c r="D30" i="2"/>
  <c r="E30" i="2"/>
  <c r="G30" i="2"/>
  <c r="H30" i="2"/>
  <c r="I30" i="2"/>
  <c r="J30" i="2"/>
  <c r="B31" i="2"/>
  <c r="D31" i="2"/>
  <c r="E31" i="2"/>
  <c r="G31" i="2"/>
  <c r="H31" i="2"/>
  <c r="I31" i="2"/>
  <c r="J31" i="2"/>
  <c r="B32" i="2"/>
  <c r="D32" i="2"/>
  <c r="E32" i="2"/>
  <c r="G32" i="2"/>
  <c r="H32" i="2"/>
  <c r="I32" i="2"/>
  <c r="J32" i="2"/>
  <c r="B33" i="2"/>
  <c r="D33" i="2"/>
  <c r="E33" i="2"/>
  <c r="G33" i="2"/>
  <c r="H33" i="2"/>
  <c r="I33" i="2"/>
  <c r="J33" i="2"/>
  <c r="B34" i="2"/>
  <c r="D34" i="2"/>
  <c r="E34" i="2"/>
  <c r="G34" i="2"/>
  <c r="H34" i="2"/>
  <c r="I34" i="2"/>
  <c r="J34" i="2"/>
  <c r="B35" i="2"/>
  <c r="D35" i="2"/>
  <c r="E35" i="2"/>
  <c r="G35" i="2"/>
  <c r="H35" i="2"/>
  <c r="I35" i="2"/>
  <c r="J35" i="2"/>
  <c r="B36" i="2"/>
  <c r="D36" i="2"/>
  <c r="E36" i="2"/>
  <c r="G36" i="2"/>
  <c r="H36" i="2"/>
  <c r="I36" i="2"/>
  <c r="J36" i="2"/>
  <c r="B37" i="2"/>
  <c r="D37" i="2"/>
  <c r="E37" i="2"/>
  <c r="G37" i="2"/>
  <c r="H37" i="2"/>
  <c r="I37" i="2"/>
  <c r="J37" i="2"/>
  <c r="B38" i="2"/>
  <c r="D38" i="2"/>
  <c r="E38" i="2"/>
  <c r="G38" i="2"/>
  <c r="H38" i="2"/>
  <c r="I38" i="2"/>
  <c r="J38" i="2"/>
  <c r="B39" i="2"/>
  <c r="D39" i="2"/>
  <c r="E39" i="2"/>
  <c r="G39" i="2"/>
  <c r="H39" i="2"/>
  <c r="I39" i="2"/>
  <c r="J39" i="2"/>
  <c r="B40" i="2"/>
  <c r="D40" i="2"/>
  <c r="E40" i="2"/>
  <c r="G40" i="2"/>
  <c r="H40" i="2"/>
  <c r="I40" i="2"/>
  <c r="J40" i="2"/>
  <c r="B41" i="2"/>
  <c r="D41" i="2"/>
  <c r="E41" i="2"/>
  <c r="G41" i="2"/>
  <c r="H41" i="2"/>
  <c r="I41" i="2"/>
  <c r="J41" i="2"/>
  <c r="B42" i="2"/>
  <c r="D42" i="2"/>
  <c r="E42" i="2"/>
  <c r="G42" i="2"/>
  <c r="H42" i="2"/>
  <c r="I42" i="2"/>
  <c r="J42" i="2"/>
  <c r="B43" i="2"/>
  <c r="D43" i="2"/>
  <c r="E43" i="2"/>
  <c r="G43" i="2"/>
  <c r="H43" i="2"/>
  <c r="I43" i="2"/>
  <c r="J43" i="2"/>
  <c r="B44" i="2"/>
  <c r="D44" i="2"/>
  <c r="E44" i="2"/>
  <c r="G44" i="2"/>
  <c r="H44" i="2"/>
  <c r="I44" i="2"/>
  <c r="J44" i="2"/>
  <c r="B45" i="2"/>
  <c r="D45" i="2"/>
  <c r="E45" i="2"/>
  <c r="G45" i="2"/>
  <c r="H45" i="2"/>
  <c r="I45" i="2"/>
  <c r="J45" i="2"/>
  <c r="B46" i="2"/>
  <c r="D46" i="2"/>
  <c r="E46" i="2"/>
  <c r="G46" i="2"/>
  <c r="H46" i="2"/>
  <c r="I46" i="2"/>
  <c r="J46" i="2"/>
  <c r="B47" i="2"/>
  <c r="D47" i="2"/>
  <c r="E47" i="2"/>
  <c r="G47" i="2"/>
  <c r="H47" i="2"/>
  <c r="I47" i="2"/>
  <c r="J47" i="2"/>
  <c r="B48" i="2"/>
  <c r="D48" i="2"/>
  <c r="E48" i="2"/>
  <c r="G48" i="2"/>
  <c r="H48" i="2"/>
  <c r="I48" i="2"/>
  <c r="J48" i="2"/>
  <c r="B49" i="2"/>
  <c r="D49" i="2"/>
  <c r="E49" i="2"/>
  <c r="G49" i="2"/>
  <c r="H49" i="2"/>
  <c r="I49" i="2"/>
  <c r="J49" i="2"/>
  <c r="B50" i="2"/>
  <c r="D50" i="2"/>
  <c r="E50" i="2"/>
  <c r="G50" i="2"/>
  <c r="H50" i="2"/>
  <c r="I50" i="2"/>
  <c r="J50" i="2"/>
  <c r="B51" i="2"/>
  <c r="D51" i="2"/>
  <c r="E51" i="2"/>
  <c r="G51" i="2"/>
  <c r="H51" i="2"/>
  <c r="I51" i="2"/>
  <c r="J51" i="2"/>
  <c r="B52" i="2"/>
  <c r="D52" i="2"/>
  <c r="E52" i="2"/>
  <c r="G52" i="2"/>
  <c r="H52" i="2"/>
  <c r="I52" i="2"/>
  <c r="J52" i="2"/>
  <c r="L6" i="2"/>
  <c r="J5" i="2" s="1"/>
  <c r="L5" i="2"/>
  <c r="J4" i="2" s="1"/>
  <c r="L4" i="2"/>
  <c r="J3" i="2" s="1"/>
  <c r="J2" i="2"/>
  <c r="B3" i="2"/>
  <c r="J12" i="2"/>
  <c r="I12" i="2"/>
  <c r="H12" i="2"/>
  <c r="G12" i="2"/>
  <c r="E12" i="2"/>
  <c r="D12" i="2"/>
  <c r="B12" i="2"/>
  <c r="J71" i="2"/>
  <c r="I71" i="2"/>
  <c r="H71" i="2"/>
  <c r="G71" i="2"/>
  <c r="E71" i="2"/>
  <c r="D71" i="2"/>
  <c r="B71" i="2"/>
  <c r="B1" i="22" l="1"/>
  <c r="G53" i="2" l="1"/>
  <c r="G55" i="2" s="1"/>
  <c r="G56" i="2" s="1"/>
</calcChain>
</file>

<file path=xl/sharedStrings.xml><?xml version="1.0" encoding="utf-8"?>
<sst xmlns="http://schemas.openxmlformats.org/spreadsheetml/2006/main" count="133" uniqueCount="99">
  <si>
    <t>Code famille</t>
  </si>
  <si>
    <t>Libelle famille</t>
  </si>
  <si>
    <t>Code article</t>
  </si>
  <si>
    <t>Libelle article</t>
  </si>
  <si>
    <t>Colliers Fil</t>
  </si>
  <si>
    <t>FIL083</t>
  </si>
  <si>
    <t>Collier monofil Ø 77-83 mm</t>
  </si>
  <si>
    <t>FIL090</t>
  </si>
  <si>
    <t>Collier monofil Ø 90 mm</t>
  </si>
  <si>
    <t>FIL104</t>
  </si>
  <si>
    <t>Collier monofil Ø 98-104 mm</t>
  </si>
  <si>
    <t>FIL104-1</t>
  </si>
  <si>
    <t>FIL130</t>
  </si>
  <si>
    <t>Collier monofil Ø 123-130 mm</t>
  </si>
  <si>
    <t>FIL130-1</t>
  </si>
  <si>
    <t>Prix vente</t>
  </si>
  <si>
    <t>Article</t>
  </si>
  <si>
    <t>FIL083 - Collier monofil Ø 77-83 mm</t>
  </si>
  <si>
    <t>FIL090 - Collier monofil Ø 90 mm</t>
  </si>
  <si>
    <t>FIL104 - Collier monofil Ø 98-104 mm</t>
  </si>
  <si>
    <t>FIL104-1 - Collier monofil Ø 98-104 mm</t>
  </si>
  <si>
    <t>FIL130 - Collier monofil Ø 123-130 mm</t>
  </si>
  <si>
    <t>FIL130-1 - Collier monofil Ø 123-130 mm</t>
  </si>
  <si>
    <t>PA Unitaire</t>
  </si>
  <si>
    <t>Marge Unitaire</t>
  </si>
  <si>
    <t xml:space="preserve"> Marge HT</t>
  </si>
  <si>
    <t>Quantite stock</t>
  </si>
  <si>
    <t>Quantite reservee</t>
  </si>
  <si>
    <t>Quantite Dispo</t>
  </si>
  <si>
    <t>Libelle tiers</t>
  </si>
  <si>
    <t>Code tiers</t>
  </si>
  <si>
    <t>Adresse</t>
  </si>
  <si>
    <t>Code Postal</t>
  </si>
  <si>
    <t>Ville</t>
  </si>
  <si>
    <t>Rue de la Caussade</t>
  </si>
  <si>
    <t>L'UNION</t>
  </si>
  <si>
    <t>LA CHAPELLE D'ANGILLON</t>
  </si>
  <si>
    <t>7 Avenue des Lacs</t>
  </si>
  <si>
    <t>LONS</t>
  </si>
  <si>
    <t>PARIS</t>
  </si>
  <si>
    <t>C0001</t>
  </si>
  <si>
    <t>C0003</t>
  </si>
  <si>
    <t>Désignation</t>
  </si>
  <si>
    <t>Code Article</t>
  </si>
  <si>
    <t>PrixAchatFourni</t>
  </si>
  <si>
    <t>Stock Dispo</t>
  </si>
  <si>
    <t>MASQUER LES COLONNES</t>
  </si>
  <si>
    <t>Total HT</t>
  </si>
  <si>
    <t>Prix achat HT</t>
  </si>
  <si>
    <t>TOTAL TTC</t>
  </si>
  <si>
    <t>Transport :</t>
  </si>
  <si>
    <t>FIL080S</t>
  </si>
  <si>
    <t>FIL125S</t>
  </si>
  <si>
    <t>FIL080S - Colliers monofil Ø 80 mm - S/10 - Cart/40</t>
  </si>
  <si>
    <t>Colliers monofil Ø 80 mm - S/10 - Cart/40</t>
  </si>
  <si>
    <t>FIL125S - Colliers monofil Ø 125 mm - S/4 - Cart/50</t>
  </si>
  <si>
    <t>Colliers monofil Ø 125 mm - S/4 - Cart/50</t>
  </si>
  <si>
    <t>TVA :</t>
  </si>
  <si>
    <t xml:space="preserve">Devis n° : </t>
  </si>
  <si>
    <t xml:space="preserve">Date : </t>
  </si>
  <si>
    <t xml:space="preserve">Validité : </t>
  </si>
  <si>
    <t xml:space="preserve">Affaire : </t>
  </si>
  <si>
    <t>Client :</t>
  </si>
  <si>
    <t>Si nouveau Prospect :</t>
  </si>
  <si>
    <t>Enregistrement devis</t>
  </si>
  <si>
    <t>Qté</t>
  </si>
  <si>
    <t>MARGE %</t>
  </si>
  <si>
    <t>Mise à jour famille produits</t>
  </si>
  <si>
    <t>2 mois</t>
  </si>
  <si>
    <t>PU H.T</t>
  </si>
  <si>
    <t>Mise en page</t>
  </si>
  <si>
    <t>Votre interlocuteur :</t>
  </si>
  <si>
    <t>Montant H.T.</t>
  </si>
  <si>
    <t xml:space="preserve"> </t>
  </si>
  <si>
    <t>Colonne1</t>
  </si>
  <si>
    <t>Saisie Nouveau devis</t>
  </si>
  <si>
    <t>Modification devis</t>
  </si>
  <si>
    <t>Testeur</t>
  </si>
  <si>
    <t>Prospect 1</t>
  </si>
  <si>
    <t>Prospect 2</t>
  </si>
  <si>
    <t>25 rue du Moulin</t>
  </si>
  <si>
    <t>Champiniers</t>
  </si>
  <si>
    <t>5 rue du Nord</t>
  </si>
  <si>
    <t>Tourniers</t>
  </si>
  <si>
    <t>FA0020</t>
  </si>
  <si>
    <t>Client 1</t>
  </si>
  <si>
    <t>Client 2</t>
  </si>
  <si>
    <t>Client 3</t>
  </si>
  <si>
    <t>Client 4</t>
  </si>
  <si>
    <t>C0002</t>
  </si>
  <si>
    <t>C0004</t>
  </si>
  <si>
    <t>51, Route du Sud</t>
  </si>
  <si>
    <t>2 rue du Nord</t>
  </si>
  <si>
    <t>25698</t>
  </si>
  <si>
    <t>14587</t>
  </si>
  <si>
    <t>69254</t>
  </si>
  <si>
    <t>26487</t>
  </si>
  <si>
    <t>Testeur 1</t>
  </si>
  <si>
    <t>Testeur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</si>
</sst>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%"/>
    <numFmt numFmtId="167" formatCode="_-* #,##0.00\ _€_-;\-* #,##0.00\ _€_-;_-* &quot;-&quot;??\ _€_-;_-@_-"/>
    <numFmt numFmtId="168" formatCode="_-* #,##0.00\ [$€-1]_-;\-* #,##0.00\ [$€-1]_-;_-* &quot;-&quot;??\ [$€-1]_-"/>
    <numFmt numFmtId="169" formatCode="dd/mm/yy;@"/>
    <numFmt numFmtId="170" formatCode="_-* #,##0.00\ [$€-40C]_-;\-* #,##0.00\ [$€-40C]_-;_-* &quot;-&quot;??\ [$€-40C]_-;_-@_-"/>
    <numFmt numFmtId="171" formatCode="#,##0.00;\-#,##0.00;"/>
    <numFmt numFmtId="172" formatCode="#,##0;\-#,##0;"/>
  </numFmts>
  <fonts count="31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0"/>
      <color theme="8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8"/>
      <name val="Calibri"/>
      <family val="2"/>
      <scheme val="minor"/>
    </font>
    <font>
      <sz val="11"/>
      <color theme="1"/>
      <name val="Calibri"/>
      <family val="2"/>
    </font>
    <font>
      <b/>
      <sz val="9"/>
      <color theme="8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4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theme="8" tint="0.39994506668294322"/>
      </left>
      <right style="thin">
        <color theme="8" tint="0.39994506668294322"/>
      </right>
      <top/>
      <bottom/>
      <diagonal/>
    </border>
    <border>
      <left style="thin">
        <color theme="8" tint="0.39994506668294322"/>
      </left>
      <right/>
      <top style="thin">
        <color theme="8" tint="0.39994506668294322"/>
      </top>
      <bottom/>
      <diagonal/>
    </border>
    <border>
      <left/>
      <right/>
      <top style="thin">
        <color theme="8" tint="0.39994506668294322"/>
      </top>
      <bottom/>
      <diagonal/>
    </border>
    <border>
      <left style="thin">
        <color theme="8" tint="0.39994506668294322"/>
      </left>
      <right/>
      <top/>
      <bottom/>
      <diagonal/>
    </border>
    <border>
      <left/>
      <right style="thin">
        <color theme="8" tint="0.39991454817346722"/>
      </right>
      <top style="thin">
        <color theme="8" tint="0.39994506668294322"/>
      </top>
      <bottom/>
      <diagonal/>
    </border>
    <border>
      <left/>
      <right style="thin">
        <color theme="8" tint="0.39991454817346722"/>
      </right>
      <top/>
      <bottom/>
      <diagonal/>
    </border>
    <border>
      <left style="thin">
        <color theme="8" tint="0.39994506668294322"/>
      </left>
      <right style="thin">
        <color theme="8" tint="0.39991454817346722"/>
      </right>
      <top/>
      <bottom/>
      <diagonal/>
    </border>
    <border>
      <left/>
      <right style="thin">
        <color theme="8" tint="0.39994506668294322"/>
      </right>
      <top/>
      <bottom/>
      <diagonal/>
    </border>
    <border>
      <left style="thin">
        <color theme="8" tint="0.39994506668294322"/>
      </left>
      <right/>
      <top/>
      <bottom style="thin">
        <color theme="8" tint="0.39994506668294322"/>
      </bottom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1454817346722"/>
      </left>
      <right style="thin">
        <color theme="8" tint="0.39991454817346722"/>
      </right>
      <top style="thin">
        <color theme="8" tint="0.39991454817346722"/>
      </top>
      <bottom/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/>
      <right style="thin">
        <color rgb="FF080000"/>
      </right>
      <top/>
      <bottom/>
      <diagonal/>
    </border>
    <border>
      <left style="thin">
        <color rgb="FF080000"/>
      </left>
      <right style="thin">
        <color rgb="FF080000"/>
      </right>
      <top/>
      <bottom/>
      <diagonal/>
    </border>
    <border>
      <left style="thin">
        <color rgb="FF080000"/>
      </left>
      <right/>
      <top/>
      <bottom/>
      <diagonal/>
    </border>
    <border>
      <left/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thin">
        <color rgb="FF080000"/>
      </right>
      <top/>
      <bottom/>
      <diagonal/>
    </border>
    <border>
      <left style="thin">
        <color rgb="FF080000"/>
      </left>
      <right style="medium">
        <color rgb="FF08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80000"/>
      </top>
      <bottom/>
      <diagonal/>
    </border>
    <border>
      <left style="thin">
        <color theme="8" tint="0.39991454817346722"/>
      </left>
      <right style="thin">
        <color theme="8" tint="0.39994506668294322"/>
      </right>
      <top/>
      <bottom/>
      <diagonal/>
    </border>
  </borders>
  <cellStyleXfs count="12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0" fillId="0" borderId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20" fillId="0" borderId="0" applyFont="0" applyFill="0" applyBorder="0" applyAlignment="0" applyProtection="0"/>
  </cellStyleXfs>
  <cellXfs count="127">
    <xf numFmtId="0" fontId="0" fillId="0" borderId="0" xfId="0"/>
    <xf numFmtId="0" fontId="3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/>
    <xf numFmtId="0" fontId="5" fillId="6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Alignment="1" applyProtection="1">
      <alignment horizontal="left" vertical="center"/>
      <protection locked="0"/>
    </xf>
    <xf numFmtId="0" fontId="16" fillId="0" borderId="0" xfId="0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wrapText="1"/>
    </xf>
    <xf numFmtId="0" fontId="17" fillId="0" borderId="0" xfId="0" applyNumberFormat="1" applyFont="1" applyFill="1" applyBorder="1"/>
    <xf numFmtId="0" fontId="14" fillId="0" borderId="0" xfId="0" applyFont="1" applyFill="1" applyBorder="1"/>
    <xf numFmtId="165" fontId="17" fillId="0" borderId="0" xfId="0" applyNumberFormat="1" applyFont="1" applyFill="1" applyBorder="1"/>
    <xf numFmtId="166" fontId="17" fillId="0" borderId="0" xfId="0" applyNumberFormat="1" applyFont="1" applyFill="1" applyBorder="1"/>
    <xf numFmtId="0" fontId="13" fillId="0" borderId="0" xfId="0" applyFont="1" applyAlignment="1">
      <alignment vertical="center"/>
    </xf>
    <xf numFmtId="0" fontId="13" fillId="0" borderId="0" xfId="0" applyFont="1" applyAlignment="1">
      <alignment wrapText="1"/>
    </xf>
    <xf numFmtId="0" fontId="13" fillId="0" borderId="0" xfId="0" applyFont="1"/>
    <xf numFmtId="0" fontId="18" fillId="0" borderId="0" xfId="0" applyFont="1" applyFill="1" applyBorder="1" applyAlignment="1">
      <alignment horizontal="right"/>
    </xf>
    <xf numFmtId="0" fontId="5" fillId="6" borderId="3" xfId="0" applyFont="1" applyFill="1" applyBorder="1"/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7" fillId="0" borderId="0" xfId="0" applyFont="1" applyBorder="1"/>
    <xf numFmtId="0" fontId="21" fillId="4" borderId="0" xfId="0" applyFont="1" applyFill="1" applyBorder="1"/>
    <xf numFmtId="0" fontId="21" fillId="4" borderId="0" xfId="0" applyFont="1" applyFill="1" applyBorder="1" applyAlignment="1">
      <alignment horizontal="right"/>
    </xf>
    <xf numFmtId="0" fontId="9" fillId="5" borderId="0" xfId="0" applyFont="1" applyFill="1" applyBorder="1"/>
    <xf numFmtId="0" fontId="0" fillId="0" borderId="0" xfId="0" applyBorder="1" applyAlignment="1"/>
    <xf numFmtId="3" fontId="0" fillId="0" borderId="0" xfId="0" applyNumberFormat="1" applyBorder="1"/>
    <xf numFmtId="3" fontId="17" fillId="0" borderId="0" xfId="0" applyNumberFormat="1" applyFont="1" applyFill="1" applyBorder="1"/>
    <xf numFmtId="3" fontId="13" fillId="0" borderId="0" xfId="0" applyNumberFormat="1" applyFont="1"/>
    <xf numFmtId="3" fontId="0" fillId="0" borderId="0" xfId="0" applyNumberFormat="1"/>
    <xf numFmtId="0" fontId="0" fillId="0" borderId="9" xfId="0" applyBorder="1"/>
    <xf numFmtId="0" fontId="0" fillId="0" borderId="9" xfId="0" applyBorder="1" applyAlignment="1" applyProtection="1">
      <alignment vertical="center"/>
      <protection locked="0"/>
    </xf>
    <xf numFmtId="0" fontId="0" fillId="0" borderId="9" xfId="0" applyBorder="1" applyAlignment="1">
      <alignment wrapText="1"/>
    </xf>
    <xf numFmtId="0" fontId="0" fillId="0" borderId="9" xfId="0" applyBorder="1" applyAlignment="1">
      <alignment vertical="center"/>
    </xf>
    <xf numFmtId="0" fontId="13" fillId="0" borderId="9" xfId="0" applyFont="1" applyBorder="1" applyAlignment="1">
      <alignment vertical="center" wrapText="1"/>
    </xf>
    <xf numFmtId="0" fontId="21" fillId="4" borderId="11" xfId="0" applyFont="1" applyFill="1" applyBorder="1"/>
    <xf numFmtId="0" fontId="4" fillId="5" borderId="6" xfId="0" applyFont="1" applyFill="1" applyBorder="1"/>
    <xf numFmtId="3" fontId="4" fillId="7" borderId="8" xfId="0" applyNumberFormat="1" applyFont="1" applyFill="1" applyBorder="1"/>
    <xf numFmtId="0" fontId="21" fillId="4" borderId="13" xfId="0" applyFont="1" applyFill="1" applyBorder="1"/>
    <xf numFmtId="0" fontId="21" fillId="4" borderId="14" xfId="0" applyFont="1" applyFill="1" applyBorder="1"/>
    <xf numFmtId="0" fontId="0" fillId="0" borderId="15" xfId="0" applyBorder="1"/>
    <xf numFmtId="170" fontId="19" fillId="0" borderId="0" xfId="1" applyNumberFormat="1" applyFont="1" applyFill="1" applyBorder="1" applyProtection="1">
      <protection locked="0"/>
    </xf>
    <xf numFmtId="170" fontId="19" fillId="0" borderId="0" xfId="1" applyNumberFormat="1" applyFont="1" applyFill="1" applyBorder="1" applyProtection="1"/>
    <xf numFmtId="0" fontId="10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49" fontId="2" fillId="3" borderId="1" xfId="0" applyNumberFormat="1" applyFont="1" applyFill="1" applyBorder="1" applyAlignment="1">
      <alignment vertical="center"/>
    </xf>
    <xf numFmtId="49" fontId="2" fillId="3" borderId="2" xfId="0" applyNumberFormat="1" applyFont="1" applyFill="1" applyBorder="1" applyAlignment="1">
      <alignment vertical="center"/>
    </xf>
    <xf numFmtId="4" fontId="2" fillId="3" borderId="2" xfId="0" applyNumberFormat="1" applyFont="1" applyFill="1" applyBorder="1" applyAlignment="1">
      <alignment vertical="center"/>
    </xf>
    <xf numFmtId="4" fontId="2" fillId="3" borderId="5" xfId="0" applyNumberFormat="1" applyFont="1" applyFill="1" applyBorder="1" applyAlignment="1">
      <alignment vertical="center"/>
    </xf>
    <xf numFmtId="0" fontId="23" fillId="0" borderId="9" xfId="0" applyFont="1" applyFill="1" applyBorder="1" applyAlignment="1">
      <alignment wrapText="1"/>
    </xf>
    <xf numFmtId="0" fontId="0" fillId="0" borderId="0" xfId="0"/>
    <xf numFmtId="0" fontId="4" fillId="9" borderId="9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wrapText="1"/>
    </xf>
    <xf numFmtId="0" fontId="4" fillId="9" borderId="15" xfId="0" applyFont="1" applyFill="1" applyBorder="1" applyAlignment="1">
      <alignment horizontal="center" vertical="center"/>
    </xf>
    <xf numFmtId="165" fontId="16" fillId="9" borderId="7" xfId="0" applyNumberFormat="1" applyFont="1" applyFill="1" applyBorder="1"/>
    <xf numFmtId="0" fontId="15" fillId="9" borderId="0" xfId="0" applyFont="1" applyFill="1" applyBorder="1" applyAlignment="1">
      <alignment horizontal="right"/>
    </xf>
    <xf numFmtId="0" fontId="4" fillId="9" borderId="16" xfId="0" applyFont="1" applyFill="1" applyBorder="1" applyAlignment="1" applyProtection="1">
      <alignment vertical="center"/>
      <protection locked="0"/>
    </xf>
    <xf numFmtId="0" fontId="4" fillId="5" borderId="17" xfId="0" applyFont="1" applyFill="1" applyBorder="1"/>
    <xf numFmtId="0" fontId="12" fillId="0" borderId="16" xfId="0" applyFont="1" applyBorder="1" applyAlignment="1" applyProtection="1">
      <alignment vertical="center"/>
      <protection locked="0"/>
    </xf>
    <xf numFmtId="9" fontId="13" fillId="0" borderId="18" xfId="2" applyFont="1" applyBorder="1" applyAlignment="1">
      <alignment vertical="center"/>
    </xf>
    <xf numFmtId="0" fontId="16" fillId="9" borderId="16" xfId="0" applyNumberFormat="1" applyFont="1" applyFill="1" applyBorder="1" applyAlignment="1" applyProtection="1">
      <alignment vertical="center"/>
      <protection locked="0"/>
    </xf>
    <xf numFmtId="0" fontId="17" fillId="9" borderId="9" xfId="0" applyNumberFormat="1" applyFont="1" applyFill="1" applyBorder="1" applyAlignment="1">
      <alignment vertical="center" wrapText="1"/>
    </xf>
    <xf numFmtId="4" fontId="14" fillId="9" borderId="19" xfId="0" applyNumberFormat="1" applyFont="1" applyFill="1" applyBorder="1" applyAlignment="1">
      <alignment vertical="center"/>
    </xf>
    <xf numFmtId="3" fontId="14" fillId="9" borderId="19" xfId="0" applyNumberFormat="1" applyFont="1" applyFill="1" applyBorder="1" applyAlignment="1">
      <alignment vertical="center"/>
    </xf>
    <xf numFmtId="165" fontId="17" fillId="9" borderId="9" xfId="0" applyNumberFormat="1" applyFont="1" applyFill="1" applyBorder="1" applyAlignment="1">
      <alignment vertical="center"/>
    </xf>
    <xf numFmtId="165" fontId="14" fillId="9" borderId="9" xfId="0" applyNumberFormat="1" applyFont="1" applyFill="1" applyBorder="1" applyAlignment="1" applyProtection="1">
      <alignment vertical="center"/>
    </xf>
    <xf numFmtId="165" fontId="17" fillId="9" borderId="15" xfId="0" applyNumberFormat="1" applyFont="1" applyFill="1" applyBorder="1" applyAlignment="1">
      <alignment vertical="center"/>
    </xf>
    <xf numFmtId="9" fontId="17" fillId="9" borderId="10" xfId="0" applyNumberFormat="1" applyFont="1" applyFill="1" applyBorder="1" applyAlignment="1">
      <alignment vertical="center"/>
    </xf>
    <xf numFmtId="0" fontId="24" fillId="4" borderId="10" xfId="0" applyFont="1" applyFill="1" applyBorder="1" applyAlignment="1">
      <alignment horizontal="right"/>
    </xf>
    <xf numFmtId="0" fontId="22" fillId="4" borderId="12" xfId="0" applyFont="1" applyFill="1" applyBorder="1" applyAlignment="1">
      <alignment horizontal="right"/>
    </xf>
    <xf numFmtId="0" fontId="22" fillId="4" borderId="12" xfId="0" applyFont="1" applyFill="1" applyBorder="1" applyAlignment="1">
      <alignment horizontal="right" vertical="top"/>
    </xf>
    <xf numFmtId="1" fontId="24" fillId="4" borderId="11" xfId="0" applyNumberFormat="1" applyFont="1" applyFill="1" applyBorder="1" applyAlignment="1">
      <alignment horizontal="left"/>
    </xf>
    <xf numFmtId="169" fontId="22" fillId="4" borderId="0" xfId="0" applyNumberFormat="1" applyFont="1" applyFill="1" applyBorder="1" applyAlignment="1">
      <alignment horizontal="left"/>
    </xf>
    <xf numFmtId="0" fontId="22" fillId="4" borderId="0" xfId="0" applyFont="1" applyFill="1" applyBorder="1" applyAlignment="1">
      <alignment horizontal="left"/>
    </xf>
    <xf numFmtId="0" fontId="22" fillId="4" borderId="0" xfId="0" applyFont="1" applyFill="1" applyBorder="1" applyAlignment="1">
      <alignment horizontal="left" vertical="top"/>
    </xf>
    <xf numFmtId="170" fontId="15" fillId="9" borderId="0" xfId="1" applyNumberFormat="1" applyFont="1" applyFill="1" applyBorder="1"/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Alignment="1" applyProtection="1">
      <alignment horizontal="left" vertical="center"/>
    </xf>
    <xf numFmtId="0" fontId="0" fillId="0" borderId="0" xfId="0" applyBorder="1" applyProtection="1"/>
    <xf numFmtId="0" fontId="25" fillId="0" borderId="0" xfId="0" applyFont="1" applyFill="1" applyBorder="1" applyAlignment="1">
      <alignment vertical="center"/>
    </xf>
    <xf numFmtId="0" fontId="26" fillId="9" borderId="9" xfId="0" applyFont="1" applyFill="1" applyBorder="1" applyAlignment="1" applyProtection="1">
      <alignment horizontal="right" vertical="center"/>
      <protection locked="0"/>
    </xf>
    <xf numFmtId="0" fontId="27" fillId="0" borderId="0" xfId="0" applyFont="1" applyFill="1" applyBorder="1" applyAlignment="1">
      <alignment vertical="center"/>
    </xf>
    <xf numFmtId="0" fontId="0" fillId="0" borderId="0" xfId="0"/>
    <xf numFmtId="0" fontId="11" fillId="0" borderId="0" xfId="0" applyFont="1" applyFill="1" applyBorder="1" applyAlignment="1" applyProtection="1">
      <alignment vertical="center"/>
      <protection locked="0"/>
    </xf>
    <xf numFmtId="0" fontId="28" fillId="0" borderId="0" xfId="0" applyFont="1"/>
    <xf numFmtId="0" fontId="0" fillId="0" borderId="0" xfId="0"/>
    <xf numFmtId="49" fontId="2" fillId="3" borderId="20" xfId="0" applyNumberFormat="1" applyFont="1" applyFill="1" applyBorder="1" applyAlignment="1">
      <alignment vertical="center"/>
    </xf>
    <xf numFmtId="49" fontId="2" fillId="3" borderId="21" xfId="0" applyNumberFormat="1" applyFont="1" applyFill="1" applyBorder="1" applyAlignment="1">
      <alignment vertical="center"/>
    </xf>
    <xf numFmtId="49" fontId="2" fillId="3" borderId="22" xfId="0" applyNumberFormat="1" applyFont="1" applyFill="1" applyBorder="1" applyAlignment="1">
      <alignment vertical="center"/>
    </xf>
    <xf numFmtId="49" fontId="2" fillId="3" borderId="5" xfId="0" applyNumberFormat="1" applyFont="1" applyFill="1" applyBorder="1" applyAlignment="1">
      <alignment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0" fontId="1" fillId="2" borderId="25" xfId="0" applyNumberFormat="1" applyFont="1" applyFill="1" applyBorder="1" applyAlignment="1">
      <alignment horizontal="center" vertical="center"/>
    </xf>
    <xf numFmtId="49" fontId="2" fillId="3" borderId="26" xfId="0" applyNumberFormat="1" applyFont="1" applyFill="1" applyBorder="1" applyAlignment="1">
      <alignment vertical="center"/>
    </xf>
    <xf numFmtId="49" fontId="2" fillId="3" borderId="27" xfId="0" applyNumberFormat="1" applyFont="1" applyFill="1" applyBorder="1" applyAlignment="1">
      <alignment vertical="center"/>
    </xf>
    <xf numFmtId="49" fontId="2" fillId="3" borderId="28" xfId="0" applyNumberFormat="1" applyFont="1" applyFill="1" applyBorder="1" applyAlignment="1">
      <alignment vertical="center"/>
    </xf>
    <xf numFmtId="4" fontId="2" fillId="3" borderId="27" xfId="0" applyNumberFormat="1" applyFont="1" applyFill="1" applyBorder="1" applyAlignment="1">
      <alignment vertical="center"/>
    </xf>
    <xf numFmtId="4" fontId="2" fillId="3" borderId="28" xfId="0" applyNumberFormat="1" applyFont="1" applyFill="1" applyBorder="1" applyAlignment="1">
      <alignment vertical="center"/>
    </xf>
    <xf numFmtId="171" fontId="13" fillId="0" borderId="15" xfId="3" applyNumberFormat="1" applyFont="1" applyBorder="1" applyAlignment="1">
      <alignment vertical="center"/>
    </xf>
    <xf numFmtId="171" fontId="13" fillId="0" borderId="9" xfId="3" applyNumberFormat="1" applyFont="1" applyBorder="1" applyAlignment="1" applyProtection="1">
      <alignment vertical="center"/>
      <protection locked="0"/>
    </xf>
    <xf numFmtId="171" fontId="14" fillId="0" borderId="9" xfId="0" applyNumberFormat="1" applyFont="1" applyFill="1" applyBorder="1" applyAlignment="1" applyProtection="1">
      <alignment vertical="center"/>
    </xf>
    <xf numFmtId="171" fontId="14" fillId="0" borderId="9" xfId="3" applyNumberFormat="1" applyFont="1" applyBorder="1" applyAlignment="1" applyProtection="1">
      <alignment vertical="center"/>
    </xf>
    <xf numFmtId="172" fontId="13" fillId="0" borderId="15" xfId="3" applyNumberFormat="1" applyFont="1" applyBorder="1" applyAlignment="1">
      <alignment vertical="center"/>
    </xf>
    <xf numFmtId="172" fontId="13" fillId="0" borderId="9" xfId="0" applyNumberFormat="1" applyFont="1" applyBorder="1" applyAlignment="1" applyProtection="1">
      <alignment vertical="center"/>
      <protection locked="0"/>
    </xf>
    <xf numFmtId="0" fontId="1" fillId="8" borderId="29" xfId="0" applyNumberFormat="1" applyFont="1" applyFill="1" applyBorder="1" applyAlignment="1">
      <alignment horizontal="center" vertical="center"/>
    </xf>
    <xf numFmtId="0" fontId="1" fillId="8" borderId="24" xfId="0" applyNumberFormat="1" applyFont="1" applyFill="1" applyBorder="1" applyAlignment="1">
      <alignment horizontal="center" vertical="center"/>
    </xf>
    <xf numFmtId="0" fontId="1" fillId="8" borderId="30" xfId="0" applyNumberFormat="1" applyFont="1" applyFill="1" applyBorder="1" applyAlignment="1">
      <alignment horizontal="center" vertical="center"/>
    </xf>
    <xf numFmtId="0" fontId="0" fillId="0" borderId="31" xfId="0" applyBorder="1"/>
    <xf numFmtId="49" fontId="2" fillId="3" borderId="32" xfId="0" applyNumberFormat="1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9" fillId="5" borderId="0" xfId="0" applyFont="1" applyFill="1" applyAlignment="1">
      <alignment horizontal="center" vertical="center"/>
    </xf>
    <xf numFmtId="0" fontId="11" fillId="6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4" fillId="5" borderId="9" xfId="0" applyFont="1" applyFill="1" applyBorder="1" applyAlignment="1">
      <alignment horizontal="center" vertical="center"/>
    </xf>
    <xf numFmtId="0" fontId="29" fillId="10" borderId="33" xfId="0" applyFont="1" applyFill="1" applyBorder="1" applyAlignment="1">
      <alignment vertical="center"/>
    </xf>
    <xf numFmtId="0" fontId="30" fillId="10" borderId="9" xfId="0" applyFont="1" applyFill="1" applyBorder="1" applyAlignment="1">
      <alignment vertical="center" wrapText="1"/>
    </xf>
    <xf numFmtId="171" fontId="30" fillId="10" borderId="9" xfId="0" applyNumberFormat="1" applyFont="1" applyFill="1" applyBorder="1" applyAlignment="1">
      <alignment vertical="center" wrapText="1"/>
    </xf>
    <xf numFmtId="172" fontId="30" fillId="10" borderId="9" xfId="0" applyNumberFormat="1" applyFont="1" applyFill="1" applyBorder="1" applyAlignment="1">
      <alignment vertical="center"/>
    </xf>
    <xf numFmtId="171" fontId="30" fillId="10" borderId="15" xfId="3" applyNumberFormat="1" applyFont="1" applyFill="1" applyBorder="1" applyAlignment="1">
      <alignment vertical="center"/>
    </xf>
    <xf numFmtId="172" fontId="30" fillId="10" borderId="15" xfId="3" applyNumberFormat="1" applyFont="1" applyFill="1" applyBorder="1" applyAlignment="1">
      <alignment vertical="center"/>
    </xf>
    <xf numFmtId="9" fontId="30" fillId="10" borderId="18" xfId="2" applyNumberFormat="1" applyFont="1" applyFill="1" applyBorder="1" applyAlignment="1">
      <alignment vertical="center"/>
    </xf>
  </cellXfs>
  <cellStyles count="12">
    <cellStyle name="Euro" xfId="5" xr:uid="{91412B49-5249-49E2-B12A-5FEE82673A64}"/>
    <cellStyle name="Milliers" xfId="3" builtinId="3"/>
    <cellStyle name="Milliers 2" xfId="6" xr:uid="{F8B05696-44D2-4495-B731-15C12691FFFB}"/>
    <cellStyle name="Milliers 3" xfId="10" xr:uid="{CE45CE44-6844-4A79-849A-1BB02E8F8B16}"/>
    <cellStyle name="Monétaire" xfId="1" builtinId="4"/>
    <cellStyle name="Monétaire 2" xfId="7" xr:uid="{CC97ECD3-218F-4A20-B189-4DC32351121E}"/>
    <cellStyle name="Monétaire 2 2" xfId="11" xr:uid="{C72301FD-4655-4FDB-8DBC-EA5D34F55868}"/>
    <cellStyle name="Monétaire 3" xfId="9" xr:uid="{471B4D90-27CA-4796-B8E7-42B805FEA7F4}"/>
    <cellStyle name="Normal" xfId="0" builtinId="0"/>
    <cellStyle name="Normal 2" xfId="4" xr:uid="{ECD9A716-700E-415A-B565-73FDE36868F5}"/>
    <cellStyle name="Pourcentage" xfId="2" builtinId="5"/>
    <cellStyle name="Pourcentage 2" xfId="8" xr:uid="{AFB3A9DD-BCD9-438D-A80A-31AD14A0730F}"/>
  </cellStyles>
  <dxfs count="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13" formatCode="0%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4506668294322"/>
        </left>
        <right/>
        <top style="thin">
          <color theme="8" tint="0.399945066682943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1454817346722"/>
        </left>
        <right style="thin">
          <color theme="8" tint="0.39991454817346722"/>
        </right>
        <top style="thin">
          <color theme="8" tint="0.399914548173467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4" formatCode="#,##0.00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1454817346722"/>
        </left>
        <right style="thin">
          <color theme="8" tint="0.39991454817346722"/>
        </right>
        <top style="thin">
          <color theme="8" tint="0.399914548173467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165" formatCode="_(* #,##0.00_);_(* \(#,##0.00\);_(* &quot;-&quot;??_);_(@_)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4506668294322"/>
        </left>
        <right style="thin">
          <color theme="8" tint="0.399914548173467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0.39994506668294322"/>
        </left>
        <right style="thin">
          <color theme="8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family val="2"/>
        <scheme val="minor"/>
      </font>
      <numFmt numFmtId="165" formatCode="_(* #,##0.00_);_(* \(#,##0.00\);_(* &quot;-&quot;??_);_(@_)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4506668294322"/>
        </left>
        <right style="thin">
          <color theme="8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165" formatCode="_(* #,##0.00_);_(* \(#,##0.00\);_(* &quot;-&quot;??_);_(@_)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4506668294322"/>
        </left>
        <right style="thin">
          <color theme="8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165" formatCode="_(* #,##0.00_);_(* \(#,##0.00\);_(* &quot;-&quot;??_);_(@_)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0.39994506668294322"/>
        </left>
        <right style="thin">
          <color theme="8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39994506668294322"/>
        </left>
        <right style="thin">
          <color theme="8" tint="0.39994506668294322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8" tint="0.39994506668294322"/>
        </right>
        <top/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 style="thin">
          <color theme="8" tint="0.39994506668294322"/>
        </right>
        <top/>
        <bottom/>
        <vertical style="thin">
          <color theme="8" tint="0.39994506668294322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3" formatCode="0%"/>
      <alignment horizontal="general" vertical="center" textRotation="0" indent="0" justifyLastLine="0" shrinkToFit="0" readingOrder="0"/>
      <border diagonalUp="0" diagonalDown="0">
        <left style="thin">
          <color theme="8" tint="0.39991454817346722"/>
        </left>
        <right/>
        <top style="thin">
          <color theme="8" tint="0.39994506668294322"/>
        </top>
        <bottom style="thin">
          <color theme="8" tint="0.39994506668294322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Calibri"/>
        <scheme val="minor"/>
      </font>
      <numFmt numFmtId="172" formatCode="#,##0;\-#,##0;"/>
      <alignment horizontal="general" vertical="center" textRotation="0" indent="0" justifyLastLine="0" shrinkToFit="0" readingOrder="0"/>
      <border diagonalUp="0" diagonalDown="0">
        <left style="thin">
          <color theme="8" tint="0.39991454817346722"/>
        </left>
        <right style="thin">
          <color theme="8" tint="0.39991454817346722"/>
        </right>
        <top style="thin">
          <color theme="8" tint="0.39991454817346722"/>
        </top>
        <bottom style="thin">
          <color theme="8" tint="0.39991454817346722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Calibri"/>
        <scheme val="minor"/>
      </font>
      <numFmt numFmtId="171" formatCode="#,##0.00;\-#,##0.00;"/>
      <alignment horizontal="general" vertical="center" textRotation="0" indent="0" justifyLastLine="0" shrinkToFit="0" readingOrder="0"/>
      <border diagonalUp="0" diagonalDown="0">
        <left style="thin">
          <color theme="8" tint="0.39991454817346722"/>
        </left>
        <right style="thin">
          <color theme="8" tint="0.39994506668294322"/>
        </right>
        <top style="thin">
          <color theme="8" tint="0.39991454817346722"/>
        </top>
        <bottom style="thin">
          <color theme="8" tint="0.39991454817346722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71" formatCode="#,##0.00;\-#,##0.00;"/>
      <alignment horizontal="general" vertical="center" textRotation="0" wrapText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1454817346722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72" formatCode="#,##0;\-#,##0;"/>
      <alignment horizontal="general" vertical="center" textRotation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9"/>
        <color rgb="FFFF0000"/>
        <name val="Calibri"/>
        <scheme val="minor"/>
      </font>
      <numFmt numFmtId="171" formatCode="#,##0.00;\-#,##0.00;"/>
      <alignment horizontal="general" vertical="center" textRotation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/>
        <bottom/>
      </border>
      <protection locked="1" hidden="0"/>
    </dxf>
    <dxf>
      <font>
        <b val="0"/>
        <strike val="0"/>
        <outline val="0"/>
        <shadow val="0"/>
        <u val="none"/>
        <vertAlign val="baseline"/>
        <sz val="9"/>
        <color rgb="FFFF0000"/>
        <name val="Calibri"/>
        <scheme val="minor"/>
      </font>
      <numFmt numFmtId="171" formatCode="#,##0.00;\-#,##0.00;"/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/>
        <bottom/>
        <vertical style="thin">
          <color theme="8" tint="0.39994506668294322"/>
        </vertical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71" formatCode="#,##0.00;\-#,##0.00;"/>
      <alignment horizontal="general" vertical="center" textRotation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/>
        <bottom/>
        <vertical style="thin">
          <color theme="8" tint="0.39994506668294322"/>
        </vertical>
        <horizontal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/>
        <bottom/>
        <vertical style="thin">
          <color theme="8" tint="0.39994506668294322"/>
        </vertical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rgb="FF080000"/>
        </top>
        <bottom/>
        <vertical/>
        <horizontal/>
      </border>
    </dxf>
    <dxf>
      <border outline="0">
        <left style="medium">
          <color rgb="FF080000"/>
        </left>
        <right style="medium">
          <color rgb="FF080000"/>
        </right>
        <top style="medium">
          <color rgb="FF080000"/>
        </top>
        <bottom style="thin">
          <color rgb="FF08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family val="2"/>
        <scheme val="none"/>
      </font>
      <numFmt numFmtId="0" formatCode="General"/>
      <fill>
        <patternFill patternType="solid">
          <fgColor indexed="64"/>
          <bgColor rgb="FF00008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/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border outline="0">
        <left style="medium">
          <color rgb="FF080000"/>
        </left>
        <right style="medium">
          <color rgb="FF080000"/>
        </right>
        <top style="medium">
          <color rgb="FF080000"/>
        </top>
        <bottom style="thin">
          <color rgb="FF08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family val="2"/>
        <scheme val="none"/>
      </font>
      <numFmt numFmtId="0" formatCode="General"/>
      <fill>
        <patternFill patternType="solid">
          <fgColor indexed="64"/>
          <bgColor rgb="FF000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80000"/>
        </left>
        <right style="thin">
          <color rgb="FF08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/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border outline="0">
        <left style="medium">
          <color rgb="FF080000"/>
        </left>
        <top style="medium">
          <color rgb="FF080000"/>
        </top>
        <bottom style="thin">
          <color rgb="FF08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family val="2"/>
        <scheme val="none"/>
      </font>
      <numFmt numFmtId="0" formatCode="General"/>
      <fill>
        <patternFill patternType="solid">
          <fgColor indexed="64"/>
          <bgColor rgb="FF000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80000"/>
        </left>
        <right style="thin">
          <color rgb="FF08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/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80000"/>
        </left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rgb="FF080000"/>
        </right>
        <top style="thin">
          <color rgb="FF080000"/>
        </top>
        <bottom style="thin">
          <color rgb="FF080000"/>
        </bottom>
        <vertical/>
        <horizontal/>
      </border>
    </dxf>
    <dxf>
      <border outline="0">
        <left style="medium">
          <color rgb="FF080000"/>
        </left>
        <right style="medium">
          <color rgb="FF080000"/>
        </right>
        <top style="medium">
          <color rgb="FF080000"/>
        </top>
        <bottom style="thin">
          <color rgb="FF08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family val="2"/>
        <scheme val="none"/>
      </font>
      <numFmt numFmtId="0" formatCode="General"/>
      <fill>
        <patternFill patternType="solid">
          <fgColor indexed="64"/>
          <bgColor rgb="FF000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80000"/>
        </left>
        <right style="thin">
          <color rgb="FF080000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080000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family val="2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80000"/>
        </left>
        <right style="thin">
          <color rgb="FF080000"/>
        </right>
        <top/>
        <bottom/>
      </border>
    </dxf>
    <dxf>
      <border diagonalUp="0" diagonalDown="0">
        <left style="thin">
          <color theme="8" tint="0.39991454817346722"/>
        </left>
        <right style="thin">
          <color theme="8" tint="0.39991454817346722"/>
        </right>
        <top style="thin">
          <color theme="8" tint="0.39991454817346722"/>
        </top>
        <bottom style="thin">
          <color theme="8" tint="0.39991454817346722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center" textRotation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8E5"/>
      <color rgb="FFFFEEBD"/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fi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fi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3133729</xdr:colOff>
      <xdr:row>1</xdr:row>
      <xdr:rowOff>16647</xdr:rowOff>
    </xdr:from>
    <xdr:to>
      <xdr:col>6</xdr:col>
      <xdr:colOff>627782</xdr:colOff>
      <xdr:row>5</xdr:row>
      <xdr:rowOff>1726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4324354" y="873897"/>
          <a:ext cx="4037728" cy="861379"/>
          <a:chOff x="7578589" y="230049"/>
          <a:chExt cx="2187148" cy="727019"/>
        </a:xfrm>
        <a:solidFill>
          <a:schemeClr val="accent5">
            <a:lumMod val="20000"/>
            <a:lumOff val="80000"/>
          </a:schemeClr>
        </a:solidFill>
      </xdr:grpSpPr>
      <xdr:sp macro="" textlink="$J$5">
        <xdr:nvSpPr>
          <xdr:cNvPr id="15" name="ZoneText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8017383" y="679476"/>
            <a:ext cx="1748354" cy="252018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2C138070-A028-4653-80A0-9374CF10C14C}" type="TxLink">
              <a:rPr lang="en-US" sz="1400" b="1" i="0" u="none" strike="noStrike">
                <a:solidFill>
                  <a:srgbClr val="2F75B5"/>
                </a:solidFill>
                <a:latin typeface="Calibri"/>
                <a:ea typeface="+mn-ea"/>
                <a:cs typeface="Calibri"/>
              </a:rPr>
              <a:pPr marL="0" indent="0"/>
              <a:t> </a:t>
            </a:fld>
            <a:endParaRPr lang="en-GB" sz="1400" b="1" i="0" u="none" strike="noStrike">
              <a:solidFill>
                <a:srgbClr val="2F75B5"/>
              </a:solidFill>
              <a:latin typeface="Calibri"/>
              <a:ea typeface="+mn-ea"/>
              <a:cs typeface="Calibri"/>
            </a:endParaRPr>
          </a:p>
        </xdr:txBody>
      </xdr: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7578589" y="230049"/>
            <a:ext cx="2134237" cy="727019"/>
            <a:chOff x="7416070" y="167238"/>
            <a:chExt cx="1584846" cy="665229"/>
          </a:xfrm>
          <a:grpFill/>
        </xdr:grpSpPr>
        <xdr:sp macro="" textlink="$J$4">
          <xdr:nvSpPr>
            <xdr:cNvPr id="13" name="ZoneText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/>
          </xdr:nvSpPr>
          <xdr:spPr>
            <a:xfrm>
              <a:off x="7418861" y="579913"/>
              <a:ext cx="315208" cy="252554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indent="0"/>
              <a:fld id="{997D13C3-623C-4F40-B72F-FF887021E853}" type="TxLink">
                <a:rPr lang="en-US" sz="1400" b="1" i="0" u="none" strike="noStrike">
                  <a:solidFill>
                    <a:srgbClr val="2F75B5"/>
                  </a:solidFill>
                  <a:latin typeface="Calibri"/>
                  <a:ea typeface="+mn-ea"/>
                  <a:cs typeface="Calibri"/>
                </a:rPr>
                <a:pPr marL="0" indent="0"/>
                <a:t> </a:t>
              </a:fld>
              <a:endParaRPr lang="en-GB" sz="1400" b="1" i="0" u="none" strike="noStrike">
                <a:solidFill>
                  <a:srgbClr val="2F75B5"/>
                </a:solidFill>
                <a:latin typeface="Calibri"/>
                <a:ea typeface="+mn-ea"/>
                <a:cs typeface="Calibri"/>
              </a:endParaRPr>
            </a:p>
          </xdr:txBody>
        </xdr:sp>
        <xdr:sp macro="" textlink="$J$2">
          <xdr:nvSpPr>
            <xdr:cNvPr id="5" name="ZoneText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7416070" y="167238"/>
              <a:ext cx="1584846" cy="228600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indent="0" algn="l"/>
              <a:fld id="{94067AA8-A54A-4551-AFBF-DA0A0AA7E91C}" type="TxLink">
                <a:rPr lang="en-US" sz="1600" b="1" i="0" u="none" strike="noStrike">
                  <a:solidFill>
                    <a:srgbClr val="2F75B5"/>
                  </a:solidFill>
                  <a:latin typeface="Calibri"/>
                  <a:ea typeface="+mn-ea"/>
                  <a:cs typeface="Calibri"/>
                </a:rPr>
                <a:pPr marL="0" indent="0" algn="l"/>
                <a:t>0</a:t>
              </a:fld>
              <a:endParaRPr lang="en-GB" sz="1400" b="1" i="0" u="none" strike="noStrike">
                <a:solidFill>
                  <a:srgbClr val="2F75B5"/>
                </a:solidFill>
                <a:latin typeface="Calibri"/>
                <a:ea typeface="+mn-ea"/>
                <a:cs typeface="Calibri"/>
              </a:endParaRPr>
            </a:p>
          </xdr:txBody>
        </xdr:sp>
        <xdr:sp macro="" textlink="$J$3">
          <xdr:nvSpPr>
            <xdr:cNvPr id="12" name="ZoneText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7420722" y="390763"/>
              <a:ext cx="1568032" cy="212017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indent="0" algn="l"/>
              <a:fld id="{920ABB31-3427-402F-9454-B6629FBDA603}" type="TxLink">
                <a:rPr lang="en-US" sz="1400" b="1" i="0" u="none" strike="noStrike">
                  <a:solidFill>
                    <a:srgbClr val="2F75B5"/>
                  </a:solidFill>
                  <a:latin typeface="Calibri"/>
                  <a:ea typeface="+mn-ea"/>
                  <a:cs typeface="Calibri"/>
                </a:rPr>
                <a:pPr marL="0" indent="0" algn="l"/>
                <a:t> </a:t>
              </a:fld>
              <a:endParaRPr lang="en-GB" sz="2400" b="1" i="0" u="none" strike="noStrike">
                <a:solidFill>
                  <a:srgbClr val="2F75B5"/>
                </a:solidFill>
                <a:latin typeface="Calibri"/>
                <a:ea typeface="+mn-ea"/>
                <a:cs typeface="Calibri"/>
              </a:endParaRPr>
            </a:p>
          </xdr:txBody>
        </xdr:sp>
      </xdr:grpSp>
    </xdr:grpSp>
    <xdr:clientData/>
  </xdr:twoCellAnchor>
  <xdr:twoCellAnchor editAs="oneCell">
    <xdr:from>
      <xdr:col>0</xdr:col>
      <xdr:colOff>0</xdr:colOff>
      <xdr:row>55</xdr:row>
      <xdr:rowOff>692</xdr:rowOff>
    </xdr:from>
    <xdr:to>
      <xdr:col>1</xdr:col>
      <xdr:colOff>4686300</xdr:colOff>
      <xdr:row>58</xdr:row>
      <xdr:rowOff>164522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10634056"/>
          <a:ext cx="5915891" cy="70415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/>
            <a:t>Date,</a:t>
          </a:r>
          <a:r>
            <a:rPr lang="en-GB" sz="1100" b="1" baseline="0"/>
            <a:t> signature et tampon, </a:t>
          </a:r>
          <a:r>
            <a:rPr lang="en-GB" sz="1100" b="0" baseline="0"/>
            <a:t>p</a:t>
          </a:r>
          <a:r>
            <a:rPr lang="en-GB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récédé de la mention "Bon pour commande"</a:t>
          </a:r>
          <a:endParaRPr lang="en-GB">
            <a:effectLst/>
          </a:endParaRPr>
        </a:p>
        <a:p>
          <a:endParaRPr lang="en-GB" sz="1100" b="1" baseline="0"/>
        </a:p>
      </xdr:txBody>
    </xdr:sp>
    <xdr:clientData/>
  </xdr:twoCellAnchor>
  <xdr:twoCellAnchor>
    <xdr:from>
      <xdr:col>13</xdr:col>
      <xdr:colOff>85726</xdr:colOff>
      <xdr:row>1</xdr:row>
      <xdr:rowOff>13334</xdr:rowOff>
    </xdr:from>
    <xdr:to>
      <xdr:col>13</xdr:col>
      <xdr:colOff>634154</xdr:colOff>
      <xdr:row>6</xdr:row>
      <xdr:rowOff>28574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169E196F-A689-40E4-BB1C-576FDD262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14130232" y="646853"/>
          <a:ext cx="1015365" cy="548428"/>
        </a:xfrm>
        <a:prstGeom prst="rect">
          <a:avLst/>
        </a:prstGeom>
      </xdr:spPr>
    </xdr:pic>
    <xdr:clientData fLocksWithSheet="0" fPrintsWithSheet="0"/>
  </xdr:twoCellAnchor>
  <xdr:twoCellAnchor>
    <xdr:from>
      <xdr:col>15</xdr:col>
      <xdr:colOff>53340</xdr:colOff>
      <xdr:row>22</xdr:row>
      <xdr:rowOff>7619</xdr:rowOff>
    </xdr:from>
    <xdr:to>
      <xdr:col>17</xdr:col>
      <xdr:colOff>129540</xdr:colOff>
      <xdr:row>30</xdr:row>
      <xdr:rowOff>60558</xdr:rowOff>
    </xdr:to>
    <xdr:pic macro="[0]!Enregistrement_historique">
      <xdr:nvPicPr>
        <xdr:cNvPr id="11" name="Image 10">
          <a:extLst>
            <a:ext uri="{FF2B5EF4-FFF2-40B4-BE49-F238E27FC236}">
              <a16:creationId xmlns:a16="http://schemas.microsoft.com/office/drawing/2014/main" id="{2A65C26C-2CA1-4F7A-B4D7-DAE5C260A1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102965" y="4951094"/>
          <a:ext cx="1657350" cy="1576939"/>
        </a:xfrm>
        <a:prstGeom prst="rect">
          <a:avLst/>
        </a:prstGeom>
      </xdr:spPr>
    </xdr:pic>
    <xdr:clientData/>
  </xdr:twoCellAnchor>
  <xdr:twoCellAnchor>
    <xdr:from>
      <xdr:col>11</xdr:col>
      <xdr:colOff>9525</xdr:colOff>
      <xdr:row>19</xdr:row>
      <xdr:rowOff>180976</xdr:rowOff>
    </xdr:from>
    <xdr:to>
      <xdr:col>13</xdr:col>
      <xdr:colOff>9525</xdr:colOff>
      <xdr:row>32</xdr:row>
      <xdr:rowOff>32356</xdr:rowOff>
    </xdr:to>
    <xdr:pic macro="[0]!Mise_en_page">
      <xdr:nvPicPr>
        <xdr:cNvPr id="185" name="Image 184">
          <a:extLst>
            <a:ext uri="{FF2B5EF4-FFF2-40B4-BE49-F238E27FC236}">
              <a16:creationId xmlns:a16="http://schemas.microsoft.com/office/drawing/2014/main" id="{2632D8B1-BAAE-438B-8FE6-B8F1EFCA1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6275" y="4029076"/>
          <a:ext cx="1647825" cy="2327880"/>
        </a:xfrm>
        <a:prstGeom prst="rect">
          <a:avLst/>
        </a:prstGeom>
      </xdr:spPr>
    </xdr:pic>
    <xdr:clientData/>
  </xdr:twoCellAnchor>
  <xdr:twoCellAnchor>
    <xdr:from>
      <xdr:col>2</xdr:col>
      <xdr:colOff>342900</xdr:colOff>
      <xdr:row>0</xdr:row>
      <xdr:rowOff>285751</xdr:rowOff>
    </xdr:from>
    <xdr:to>
      <xdr:col>7</xdr:col>
      <xdr:colOff>0</xdr:colOff>
      <xdr:row>0</xdr:row>
      <xdr:rowOff>790575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FD6A6DF0-7677-4B98-B07A-D33F1F038CBE}"/>
            </a:ext>
          </a:extLst>
        </xdr:cNvPr>
        <xdr:cNvSpPr txBox="1"/>
      </xdr:nvSpPr>
      <xdr:spPr>
        <a:xfrm>
          <a:off x="6181725" y="285751"/>
          <a:ext cx="1400175" cy="504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3600" b="1" i="0" u="none" strike="noStrike">
              <a:solidFill>
                <a:srgbClr val="2F75B5"/>
              </a:solidFill>
              <a:latin typeface="Calibri"/>
              <a:ea typeface="+mn-ea"/>
              <a:cs typeface="Calibri"/>
            </a:rPr>
            <a:t>DEVIS</a:t>
          </a:r>
        </a:p>
      </xdr:txBody>
    </xdr:sp>
    <xdr:clientData/>
  </xdr:twoCellAnchor>
  <xdr:twoCellAnchor editAs="oneCell">
    <xdr:from>
      <xdr:col>15</xdr:col>
      <xdr:colOff>38100</xdr:colOff>
      <xdr:row>11</xdr:row>
      <xdr:rowOff>28575</xdr:rowOff>
    </xdr:from>
    <xdr:to>
      <xdr:col>17</xdr:col>
      <xdr:colOff>190499</xdr:colOff>
      <xdr:row>19</xdr:row>
      <xdr:rowOff>43814</xdr:rowOff>
    </xdr:to>
    <xdr:pic macro="[0]!Nouveau_Devis">
      <xdr:nvPicPr>
        <xdr:cNvPr id="21" name="Image 20">
          <a:extLst>
            <a:ext uri="{FF2B5EF4-FFF2-40B4-BE49-F238E27FC236}">
              <a16:creationId xmlns:a16="http://schemas.microsoft.com/office/drawing/2014/main" id="{019F20DE-7915-42BC-9753-30C15935CC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087725" y="2876550"/>
          <a:ext cx="1733549" cy="1539239"/>
        </a:xfrm>
        <a:prstGeom prst="rect">
          <a:avLst/>
        </a:prstGeom>
      </xdr:spPr>
    </xdr:pic>
    <xdr:clientData/>
  </xdr:twoCellAnchor>
  <xdr:twoCellAnchor editAs="oneCell">
    <xdr:from>
      <xdr:col>18</xdr:col>
      <xdr:colOff>6928</xdr:colOff>
      <xdr:row>11</xdr:row>
      <xdr:rowOff>13162</xdr:rowOff>
    </xdr:from>
    <xdr:to>
      <xdr:col>19</xdr:col>
      <xdr:colOff>728750</xdr:colOff>
      <xdr:row>18</xdr:row>
      <xdr:rowOff>172488</xdr:rowOff>
    </xdr:to>
    <xdr:pic macro="[0]!Modif_Devis">
      <xdr:nvPicPr>
        <xdr:cNvPr id="4" name="Image 3">
          <a:extLst>
            <a:ext uri="{FF2B5EF4-FFF2-40B4-BE49-F238E27FC236}">
              <a16:creationId xmlns:a16="http://schemas.microsoft.com/office/drawing/2014/main" id="{D4E49972-95A4-4A49-A7B0-3E44460D1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22588" y="2870662"/>
          <a:ext cx="1521922" cy="14928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0</xdr:row>
      <xdr:rowOff>15240</xdr:rowOff>
    </xdr:from>
    <xdr:to>
      <xdr:col>3</xdr:col>
      <xdr:colOff>685800</xdr:colOff>
      <xdr:row>2</xdr:row>
      <xdr:rowOff>21836</xdr:rowOff>
    </xdr:to>
    <xdr:pic macro="[0]!Ellipse1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65120" y="15240"/>
          <a:ext cx="457200" cy="433316"/>
        </a:xfrm>
        <a:prstGeom prst="rect">
          <a:avLst/>
        </a:prstGeom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vis_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que Devis"/>
      <sheetName val="Détail_Devis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is" displayName="Devis" ref="A11:K53" totalsRowCount="1" dataDxfId="60" tableBorderDxfId="59">
  <autoFilter ref="A11:K52" xr:uid="{00000000-0009-0000-0100-000001000000}"/>
  <tableColumns count="11">
    <tableColumn id="1" xr3:uid="{00000000-0010-0000-0000-000001000000}" name="Code Article" dataDxfId="10" totalsRowDxfId="9"/>
    <tableColumn id="2" xr3:uid="{00000000-0010-0000-0000-000002000000}" name="Désignation" dataDxfId="20" totalsRowDxfId="8">
      <calculatedColumnFormula>IF($A12="","",VLOOKUP($A12,Articles[],2,FALSE))</calculatedColumnFormula>
    </tableColumn>
    <tableColumn id="3" xr3:uid="{00000000-0010-0000-0000-000003000000}" name="PU H.T" dataDxfId="19" totalsRowDxfId="7" dataCellStyle="Milliers"/>
    <tableColumn id="4" xr3:uid="{00000000-0010-0000-0000-000004000000}" name="PA Unitaire" dataDxfId="18" totalsRowDxfId="6">
      <calculatedColumnFormula>IF($A12="","",VLOOKUP($A12,Articles[],4,FALSE))</calculatedColumnFormula>
    </tableColumn>
    <tableColumn id="5" xr3:uid="{00000000-0010-0000-0000-000005000000}" name="Marge Unitaire" dataDxfId="17" totalsRowDxfId="5" dataCellStyle="Milliers">
      <calculatedColumnFormula>IF($A12&lt;&gt;"",Devis[[#This Row],[PU H.T]]-Devis[[#This Row],[PA Unitaire]],0)</calculatedColumnFormula>
    </tableColumn>
    <tableColumn id="6" xr3:uid="{00000000-0010-0000-0000-000006000000}" name="Qté" totalsRowLabel="Montant H.T." dataDxfId="16" totalsRowDxfId="4"/>
    <tableColumn id="7" xr3:uid="{00000000-0010-0000-0000-000007000000}" name="Total HT" totalsRowFunction="sum" dataDxfId="15" totalsRowDxfId="3" dataCellStyle="Milliers">
      <calculatedColumnFormula>IF($A12&lt;&gt;"",Devis[[#This Row],[PU H.T]]*Devis[[#This Row],[Qté]],0)</calculatedColumnFormula>
    </tableColumn>
    <tableColumn id="8" xr3:uid="{00000000-0010-0000-0000-000008000000}" name=" Marge HT" dataDxfId="14" totalsRowDxfId="2">
      <calculatedColumnFormula>IF($A12&lt;&gt;"",Devis[[#This Row],[Qté]]*Devis[[#This Row],[Marge Unitaire]],0)</calculatedColumnFormula>
    </tableColumn>
    <tableColumn id="9" xr3:uid="{00000000-0010-0000-0000-000009000000}" name="Stock Dispo" dataDxfId="13" totalsRowDxfId="1">
      <calculatedColumnFormula>IF($A12="","",VLOOKUP($A12,Articles[],9,FALSE))</calculatedColumnFormula>
    </tableColumn>
    <tableColumn id="10" xr3:uid="{00000000-0010-0000-0000-00000A000000}" name="MARGE %" dataDxfId="12" totalsRowDxfId="0" dataCellStyle="Pourcentage">
      <calculatedColumnFormula>IF($A12="",0,Devis[[#This Row],[ Marge HT]]/Devis[[#This Row],[Total HT]])</calculatedColumnFormula>
    </tableColumn>
    <tableColumn id="11" xr3:uid="{751E7FC0-C87F-4C85-86EF-FC89DC3A5346}" name="Colonne1" dataDxfId="11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5B9B499-05AD-4453-AA31-EDFB46414083}" name="Prospects" displayName="Prospects" ref="A1:E3" totalsRowShown="0" headerRowDxfId="58" tableBorderDxfId="57">
  <autoFilter ref="A1:E3" xr:uid="{C77536C6-3E88-4343-A1DD-6EF471DCA2BF}"/>
  <tableColumns count="5">
    <tableColumn id="1" xr3:uid="{1867F64D-07DE-4391-B705-918B68D41896}" name="Libelle tiers" dataDxfId="56"/>
    <tableColumn id="2" xr3:uid="{6314A6BC-7B54-4BE0-8354-A5E13A8E417E}" name="Code tiers" dataDxfId="55"/>
    <tableColumn id="3" xr3:uid="{1AB6DD8F-E656-4516-ADD3-17BEE846ABED}" name="Adresse"/>
    <tableColumn id="4" xr3:uid="{F42185EC-04DF-4A20-8A02-1B4CEF206828}" name="Code Postal"/>
    <tableColumn id="5" xr3:uid="{9DD13187-B99C-43FE-99A5-0A99E50F0A73}" name="Ville" dataDxfId="5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A139F8-6793-40EB-8F73-46AD0E557DD7}" name="Familles" displayName="Familles" ref="A3:C11" totalsRowShown="0" headerRowDxfId="53" tableBorderDxfId="52">
  <autoFilter ref="A3:C11" xr:uid="{FA5E1351-41A9-4185-89B4-90E95F8AFCD9}"/>
  <tableColumns count="3">
    <tableColumn id="1" xr3:uid="{75EF27AD-49B7-47DD-888A-78DF9A1C5663}" name="Code famille" dataDxfId="51"/>
    <tableColumn id="2" xr3:uid="{5FDB2919-FBD9-47B0-A0DF-B18C93B39E04}" name="Libelle famille" dataDxfId="50"/>
    <tableColumn id="3" xr3:uid="{A3560121-4106-43C7-BCD0-9B9F1393468F}" name="Code article" dataDxfId="4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E786DE-E4B7-4CC4-8271-18505DA398A6}" name="Articles" displayName="Articles" ref="G3:O11" totalsRowShown="0" headerRowDxfId="48" dataDxfId="47" tableBorderDxfId="46">
  <autoFilter ref="G3:O11" xr:uid="{2EBFE4BF-82A7-4887-AF56-E5567E024672}"/>
  <tableColumns count="9">
    <tableColumn id="1" xr3:uid="{362A11F2-3ECC-47DC-8C93-171D408060FC}" name="Code article" dataDxfId="45"/>
    <tableColumn id="2" xr3:uid="{F0C89931-9957-413E-9748-9890150ACC48}" name="Article" dataDxfId="44"/>
    <tableColumn id="3" xr3:uid="{7285D5EE-41B5-48FC-BAAC-56CB4B31AB3C}" name="Libelle article" dataDxfId="43"/>
    <tableColumn id="4" xr3:uid="{348A9754-1020-4E15-B296-EDC9B5676378}" name="PrixAchatFourni" dataDxfId="42"/>
    <tableColumn id="5" xr3:uid="{0F9771BC-0958-4C9E-ACE6-2965B27BC8D8}" name="Prix achat HT" dataDxfId="41"/>
    <tableColumn id="6" xr3:uid="{59CCCBA0-93C3-464C-BFF7-485EFA00A3C5}" name="Prix vente" dataDxfId="40"/>
    <tableColumn id="7" xr3:uid="{6C7A3360-4F9D-4DC8-9A3F-4549A1F144A7}" name="Quantite stock" dataDxfId="39"/>
    <tableColumn id="8" xr3:uid="{FF60EBC5-1A23-412C-ACB4-B0687850AB69}" name="Quantite reservee" dataDxfId="38"/>
    <tableColumn id="9" xr3:uid="{2C1DD93C-3403-4390-9C81-6D4B37E834D0}" name="Quantite Dispo" dataDxfId="37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D2E29A-5D0E-4E24-A89B-9DF995A33244}" name="Clients" displayName="Clients" ref="Q3:U7" totalsRowShown="0" headerRowDxfId="36" dataDxfId="35" tableBorderDxfId="34">
  <autoFilter ref="Q3:U7" xr:uid="{EA7E3E44-1BA4-4FA7-A40B-CA9820FDDE3C}"/>
  <tableColumns count="5">
    <tableColumn id="1" xr3:uid="{84849B1D-C77D-4D47-A795-08405F15F2D0}" name="Libelle tiers" dataDxfId="33"/>
    <tableColumn id="2" xr3:uid="{FA66E69F-A409-48E3-970B-9AA3B58EE74A}" name="Code tiers" dataDxfId="32"/>
    <tableColumn id="3" xr3:uid="{10774275-E3AA-40E8-94BD-C796B0D17ED3}" name="Adresse" dataDxfId="31"/>
    <tableColumn id="4" xr3:uid="{5CB2075B-A3DB-4EE2-9342-30946E9FC96E}" name="Code Postal" dataDxfId="30"/>
    <tableColumn id="5" xr3:uid="{D865EB6B-B78F-44B9-9BC7-801FE6391747}" name="Ville" dataDxfId="29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64BE547-1F9F-4CDC-9B35-BB9E9E41D19E}" name="Lib_familles" displayName="Lib_familles" ref="E1:E2" totalsRowShown="0" headerRowDxfId="28" dataDxfId="27" tableBorderDxfId="26">
  <autoFilter ref="E1:E2" xr:uid="{6699525B-0DEB-4D1B-B8D7-D3FD541249E9}"/>
  <tableColumns count="1">
    <tableColumn id="1" xr3:uid="{7B8A4092-00B8-4021-8F98-40327AB16719}" name="Libelle famille" dataDxfId="25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4" tint="-0.249977111117893"/>
    <pageSetUpPr fitToPage="1"/>
  </sheetPr>
  <dimension ref="A1:V71"/>
  <sheetViews>
    <sheetView showGridLines="0" showZeros="0" tabSelected="1" zoomScale="80" zoomScaleNormal="80" workbookViewId="0">
      <selection activeCell="S39" sqref="S39"/>
    </sheetView>
  </sheetViews>
  <sheetFormatPr baseColWidth="10" defaultRowHeight="14.4" x14ac:dyDescent="0.3"/>
  <cols>
    <col min="1" max="1" width="17.33203125" style="4" customWidth="1"/>
    <col min="2" max="2" width="70.33203125" style="3" customWidth="1"/>
    <col min="3" max="3" width="13" bestFit="1" customWidth="1"/>
    <col min="4" max="4" width="12.33203125" hidden="1" customWidth="1"/>
    <col min="5" max="5" width="15.44140625" hidden="1" customWidth="1"/>
    <col min="6" max="6" width="12.109375" bestFit="1" customWidth="1"/>
    <col min="7" max="7" width="14.44140625" bestFit="1" customWidth="1"/>
    <col min="8" max="8" width="11.5546875" hidden="1" customWidth="1"/>
    <col min="9" max="9" width="12.6640625" style="31" hidden="1" customWidth="1"/>
    <col min="10" max="10" width="11.5546875" hidden="1" customWidth="1"/>
    <col min="11" max="11" width="2.88671875" hidden="1" customWidth="1"/>
    <col min="12" max="12" width="13.44140625" hidden="1" customWidth="1"/>
    <col min="13" max="13" width="11.33203125" hidden="1" customWidth="1"/>
    <col min="14" max="14" width="10.6640625" hidden="1" customWidth="1"/>
    <col min="15" max="15" width="4.88671875" hidden="1" customWidth="1"/>
    <col min="16" max="17" width="11.5546875" customWidth="1"/>
    <col min="18" max="18" width="3.5546875" customWidth="1"/>
    <col min="19" max="20" width="11.6640625" customWidth="1"/>
  </cols>
  <sheetData>
    <row r="1" spans="1:22" s="22" customFormat="1" ht="67.95" customHeight="1" x14ac:dyDescent="0.35">
      <c r="A1" s="5"/>
      <c r="B1" s="21"/>
      <c r="D1" s="23"/>
      <c r="I1" s="28"/>
      <c r="L1"/>
      <c r="M1"/>
      <c r="N1"/>
      <c r="O1"/>
      <c r="P1" s="84"/>
      <c r="Q1" s="22">
        <v>2</v>
      </c>
      <c r="V1" s="22">
        <v>0</v>
      </c>
    </row>
    <row r="2" spans="1:22" s="22" customFormat="1" ht="21" x14ac:dyDescent="0.4">
      <c r="A2" s="70" t="s">
        <v>58</v>
      </c>
      <c r="B2" s="73">
        <v>210005</v>
      </c>
      <c r="C2" s="37"/>
      <c r="D2" s="37"/>
      <c r="E2" s="37"/>
      <c r="F2" s="37"/>
      <c r="G2" s="40"/>
      <c r="I2" s="28"/>
      <c r="J2" s="78">
        <f>IF(ISBLANK($L$8),$L$3,$L$8)</f>
        <v>0</v>
      </c>
      <c r="L2" s="26" t="s">
        <v>62</v>
      </c>
      <c r="M2" s="26"/>
    </row>
    <row r="3" spans="1:22" s="22" customFormat="1" ht="15.6" x14ac:dyDescent="0.3">
      <c r="A3" s="71" t="s">
        <v>59</v>
      </c>
      <c r="B3" s="74">
        <f ca="1">TODAY()</f>
        <v>44231</v>
      </c>
      <c r="C3" s="24"/>
      <c r="D3" s="24"/>
      <c r="E3" s="24"/>
      <c r="F3" s="25"/>
      <c r="G3" s="41"/>
      <c r="I3" s="28"/>
      <c r="J3" s="78" t="str">
        <f>IF(ISBLANK(L8),$L$4,VLOOKUP($J$2,Prospects[],3,FALSE))</f>
        <v/>
      </c>
      <c r="L3" s="116"/>
      <c r="M3" s="117"/>
    </row>
    <row r="4" spans="1:22" s="22" customFormat="1" ht="15.6" x14ac:dyDescent="0.3">
      <c r="A4" s="71" t="s">
        <v>60</v>
      </c>
      <c r="B4" s="75" t="s">
        <v>68</v>
      </c>
      <c r="C4" s="24"/>
      <c r="D4" s="24"/>
      <c r="E4" s="24"/>
      <c r="F4" s="25"/>
      <c r="G4" s="41"/>
      <c r="I4" s="28"/>
      <c r="J4" s="78" t="str">
        <f>IF(ISBLANK(L8),$L$5,VLOOKUP($J$2,Prospects[],4,FALSE))</f>
        <v/>
      </c>
      <c r="L4" s="78" t="str">
        <f>IFERROR(VLOOKUP(L$3,Clients[],3,FALSE),"")</f>
        <v/>
      </c>
      <c r="M4" s="80"/>
    </row>
    <row r="5" spans="1:22" s="22" customFormat="1" ht="16.95" customHeight="1" x14ac:dyDescent="0.3">
      <c r="A5" s="71"/>
      <c r="B5" s="75"/>
      <c r="C5" s="24"/>
      <c r="D5" s="24"/>
      <c r="E5" s="24"/>
      <c r="F5" s="24"/>
      <c r="G5" s="41"/>
      <c r="I5" s="28"/>
      <c r="J5" s="79" t="str">
        <f>IF(ISBLANK(L8),$L$6,VLOOKUP($J$2,Prospects[],5,FALSE))</f>
        <v/>
      </c>
      <c r="L5" s="78" t="str">
        <f>IFERROR(VLOOKUP(L$3,Clients[],4,FALSE),"")</f>
        <v/>
      </c>
      <c r="M5" s="80"/>
      <c r="T5" s="27"/>
    </row>
    <row r="6" spans="1:22" s="22" customFormat="1" ht="15" customHeight="1" x14ac:dyDescent="0.3">
      <c r="A6" s="72" t="s">
        <v>61</v>
      </c>
      <c r="B6" s="76"/>
      <c r="C6" s="24"/>
      <c r="D6" s="24"/>
      <c r="E6" s="24"/>
      <c r="F6" s="24"/>
      <c r="G6" s="41"/>
      <c r="I6" s="28"/>
      <c r="L6" s="78" t="str">
        <f>IFERROR(VLOOKUP(L$3,Clients[],5,FALSE),"")</f>
        <v/>
      </c>
      <c r="M6" s="80"/>
    </row>
    <row r="7" spans="1:22" s="22" customFormat="1" ht="15.6" hidden="1" x14ac:dyDescent="0.3">
      <c r="A7" s="33"/>
      <c r="B7" s="34"/>
      <c r="C7" s="32"/>
      <c r="D7" s="32"/>
      <c r="E7" s="32"/>
      <c r="F7" s="32"/>
      <c r="G7" s="42"/>
      <c r="I7" s="28"/>
      <c r="L7" s="26" t="s">
        <v>63</v>
      </c>
      <c r="M7" s="26"/>
      <c r="O7" s="1"/>
      <c r="P7" s="1"/>
    </row>
    <row r="8" spans="1:22" s="22" customFormat="1" hidden="1" x14ac:dyDescent="0.3">
      <c r="A8" s="33"/>
      <c r="B8" s="34"/>
      <c r="C8" s="32"/>
      <c r="D8" s="32"/>
      <c r="E8" s="32"/>
      <c r="F8" s="32"/>
      <c r="G8" s="42"/>
      <c r="I8" s="28"/>
      <c r="L8" s="116"/>
      <c r="M8" s="118"/>
    </row>
    <row r="9" spans="1:22" s="22" customFormat="1" hidden="1" x14ac:dyDescent="0.3">
      <c r="A9" s="33"/>
      <c r="B9" s="51"/>
      <c r="C9" s="32"/>
      <c r="D9" s="119" t="s">
        <v>46</v>
      </c>
      <c r="E9" s="119"/>
      <c r="F9" s="32"/>
      <c r="G9" s="42"/>
      <c r="H9" s="112" t="s">
        <v>46</v>
      </c>
      <c r="I9" s="114"/>
      <c r="J9" s="114"/>
    </row>
    <row r="10" spans="1:22" s="22" customFormat="1" hidden="1" x14ac:dyDescent="0.3">
      <c r="A10" s="35"/>
      <c r="B10" s="34"/>
      <c r="C10" s="32"/>
      <c r="D10" s="32"/>
      <c r="E10" s="32"/>
      <c r="F10" s="32"/>
      <c r="G10" s="42"/>
      <c r="I10" s="28"/>
      <c r="L10" s="1"/>
      <c r="M10" s="1"/>
      <c r="N10" s="1"/>
      <c r="O10" s="1"/>
      <c r="P10" s="1"/>
    </row>
    <row r="11" spans="1:22" s="1" customFormat="1" x14ac:dyDescent="0.3">
      <c r="A11" s="58" t="s">
        <v>43</v>
      </c>
      <c r="B11" s="54" t="s">
        <v>42</v>
      </c>
      <c r="C11" s="53" t="s">
        <v>69</v>
      </c>
      <c r="D11" s="53" t="s">
        <v>23</v>
      </c>
      <c r="E11" s="53" t="s">
        <v>24</v>
      </c>
      <c r="F11" s="53" t="s">
        <v>65</v>
      </c>
      <c r="G11" s="55" t="s">
        <v>47</v>
      </c>
      <c r="H11" s="38" t="s">
        <v>25</v>
      </c>
      <c r="I11" s="39" t="s">
        <v>45</v>
      </c>
      <c r="J11" s="59" t="s">
        <v>66</v>
      </c>
      <c r="K11" s="1" t="s">
        <v>74</v>
      </c>
      <c r="L11" s="112" t="s">
        <v>67</v>
      </c>
      <c r="M11" s="113"/>
      <c r="N11" s="4"/>
      <c r="O11" s="45"/>
      <c r="P11" s="112" t="s">
        <v>75</v>
      </c>
      <c r="Q11" s="113"/>
      <c r="S11" s="112" t="s">
        <v>76</v>
      </c>
      <c r="T11" s="113"/>
    </row>
    <row r="12" spans="1:22" s="4" customFormat="1" ht="15" customHeight="1" x14ac:dyDescent="0.3">
      <c r="A12" s="120"/>
      <c r="B12" s="121" t="str">
        <f>IF($A12="","",VLOOKUP($A12,Articles[],2,FALSE))</f>
        <v/>
      </c>
      <c r="C12" s="122"/>
      <c r="D12" s="122" t="str">
        <f>IF($A12="","",VLOOKUP($A12,Articles[],4,FALSE))</f>
        <v/>
      </c>
      <c r="E12" s="122">
        <f>IF($A12&lt;&gt;"",Devis[[#This Row],[PU H.T]]-Devis[[#This Row],[PA Unitaire]],0)</f>
        <v>0</v>
      </c>
      <c r="F12" s="123"/>
      <c r="G12" s="124">
        <f>IF($A12&lt;&gt;"",Devis[[#This Row],[PU H.T]]*Devis[[#This Row],[Qté]],0)</f>
        <v>0</v>
      </c>
      <c r="H12" s="124">
        <f>IF($A12&lt;&gt;"",Devis[[#This Row],[Qté]]*Devis[[#This Row],[Marge Unitaire]],0)</f>
        <v>0</v>
      </c>
      <c r="I12" s="125" t="str">
        <f>IF($A12="","",VLOOKUP($A12,Articles[],9,FALSE))</f>
        <v/>
      </c>
      <c r="J12" s="126">
        <f>IF($A12="",0,Devis[[#This Row],[ Marge HT]]/Devis[[#This Row],[Total HT]])</f>
        <v>0</v>
      </c>
      <c r="K12" s="85">
        <v>1</v>
      </c>
      <c r="L12" s="46"/>
      <c r="M12" s="7" t="s">
        <v>4</v>
      </c>
      <c r="N12" s="5"/>
      <c r="O12" s="8"/>
      <c r="P12" s="5"/>
    </row>
    <row r="13" spans="1:22" s="5" customFormat="1" ht="15" customHeight="1" x14ac:dyDescent="0.3">
      <c r="A13" s="60"/>
      <c r="B13" s="36" t="str">
        <f>IF($A13="","",VLOOKUP($A13,Articles[],2,FALSE))</f>
        <v/>
      </c>
      <c r="C13" s="101"/>
      <c r="D13" s="102" t="str">
        <f>IF($A13="","",VLOOKUP($A13,Articles[],4,FALSE))</f>
        <v/>
      </c>
      <c r="E13" s="103">
        <f>IF($A13&lt;&gt;"",Devis[[#This Row],[PU H.T]]-Devis[[#This Row],[PA Unitaire]],0)</f>
        <v>0</v>
      </c>
      <c r="F13" s="105"/>
      <c r="G13" s="100">
        <f>IF($A13&lt;&gt;"",Devis[[#This Row],[PU H.T]]*Devis[[#This Row],[Qté]],0)</f>
        <v>0</v>
      </c>
      <c r="H13" s="100">
        <f>IF($A13&lt;&gt;"",Devis[[#This Row],[Qté]]*Devis[[#This Row],[Marge Unitaire]],0)</f>
        <v>0</v>
      </c>
      <c r="I13" s="104" t="str">
        <f>IF($A13="","",VLOOKUP($A13,Articles[],9,FALSE))</f>
        <v/>
      </c>
      <c r="J13" s="61">
        <f>IF($A13="",0,Devis[[#This Row],[ Marge HT]]/Devis[[#This Row],[Total HT]])</f>
        <v>0</v>
      </c>
      <c r="K13" s="85"/>
    </row>
    <row r="14" spans="1:22" s="5" customFormat="1" ht="15" customHeight="1" x14ac:dyDescent="0.3">
      <c r="A14" s="60"/>
      <c r="B14" s="36" t="str">
        <f>IF($A14="","",VLOOKUP($A14,Articles[],2,FALSE))</f>
        <v/>
      </c>
      <c r="C14" s="101"/>
      <c r="D14" s="102" t="str">
        <f>IF($A14="","",VLOOKUP($A14,Articles[],4,FALSE))</f>
        <v/>
      </c>
      <c r="E14" s="103">
        <f>IF($A14&lt;&gt;"",Devis[[#This Row],[PU H.T]]-Devis[[#This Row],[PA Unitaire]],0)</f>
        <v>0</v>
      </c>
      <c r="F14" s="105"/>
      <c r="G14" s="100">
        <f>IF($A14&lt;&gt;"",Devis[[#This Row],[PU H.T]]*Devis[[#This Row],[Qté]],0)</f>
        <v>0</v>
      </c>
      <c r="H14" s="100">
        <f>IF($A14&lt;&gt;"",Devis[[#This Row],[Qté]]*Devis[[#This Row],[Marge Unitaire]],0)</f>
        <v>0</v>
      </c>
      <c r="I14" s="104" t="str">
        <f>IF($A14="","",VLOOKUP($A14,Articles[],9,FALSE))</f>
        <v/>
      </c>
      <c r="J14" s="61">
        <f>IF($A14="",0,Devis[[#This Row],[ Marge HT]]/Devis[[#This Row],[Total HT]])</f>
        <v>0</v>
      </c>
      <c r="K14" s="85"/>
    </row>
    <row r="15" spans="1:22" s="5" customFormat="1" ht="15" customHeight="1" x14ac:dyDescent="0.3">
      <c r="A15" s="60"/>
      <c r="B15" s="36" t="str">
        <f>IF($A15="","",VLOOKUP($A15,Articles[],2,FALSE))</f>
        <v/>
      </c>
      <c r="C15" s="101"/>
      <c r="D15" s="102" t="str">
        <f>IF($A15="","",VLOOKUP($A15,Articles[],4,FALSE))</f>
        <v/>
      </c>
      <c r="E15" s="103">
        <f>IF($A15&lt;&gt;"",Devis[[#This Row],[PU H.T]]-Devis[[#This Row],[PA Unitaire]],0)</f>
        <v>0</v>
      </c>
      <c r="F15" s="105"/>
      <c r="G15" s="100">
        <f>IF($A15&lt;&gt;"",Devis[[#This Row],[PU H.T]]*Devis[[#This Row],[Qté]],0)</f>
        <v>0</v>
      </c>
      <c r="H15" s="100">
        <f>IF($A15&lt;&gt;"",Devis[[#This Row],[Qté]]*Devis[[#This Row],[Marge Unitaire]],0)</f>
        <v>0</v>
      </c>
      <c r="I15" s="104" t="str">
        <f>IF($A15="","",VLOOKUP($A15,Articles[],9,FALSE))</f>
        <v/>
      </c>
      <c r="J15" s="61">
        <f>IF($A15="",0,Devis[[#This Row],[ Marge HT]]/Devis[[#This Row],[Total HT]])</f>
        <v>0</v>
      </c>
      <c r="K15" s="85"/>
    </row>
    <row r="16" spans="1:22" s="5" customFormat="1" ht="15" customHeight="1" x14ac:dyDescent="0.3">
      <c r="A16" s="60"/>
      <c r="B16" s="36" t="str">
        <f>IF($A16="","",VLOOKUP($A16,Articles[],2,FALSE))</f>
        <v/>
      </c>
      <c r="C16" s="101"/>
      <c r="D16" s="102" t="str">
        <f>IF($A16="","",VLOOKUP($A16,Articles[],4,FALSE))</f>
        <v/>
      </c>
      <c r="E16" s="103">
        <f>IF($A16&lt;&gt;"",Devis[[#This Row],[PU H.T]]-Devis[[#This Row],[PA Unitaire]],0)</f>
        <v>0</v>
      </c>
      <c r="F16" s="105"/>
      <c r="G16" s="100">
        <f>IF($A16&lt;&gt;"",Devis[[#This Row],[PU H.T]]*Devis[[#This Row],[Qté]],0)</f>
        <v>0</v>
      </c>
      <c r="H16" s="100">
        <f>IF($A16&lt;&gt;"",Devis[[#This Row],[Qté]]*Devis[[#This Row],[Marge Unitaire]],0)</f>
        <v>0</v>
      </c>
      <c r="I16" s="104" t="str">
        <f>IF($A16="","",VLOOKUP($A16,Articles[],9,FALSE))</f>
        <v/>
      </c>
      <c r="J16" s="61">
        <f>IF($A16="",0,Devis[[#This Row],[ Marge HT]]/Devis[[#This Row],[Total HT]])</f>
        <v>0</v>
      </c>
      <c r="K16" s="85"/>
      <c r="V16" s="5" t="s">
        <v>73</v>
      </c>
    </row>
    <row r="17" spans="1:17" s="5" customFormat="1" ht="15" customHeight="1" x14ac:dyDescent="0.3">
      <c r="A17" s="60"/>
      <c r="B17" s="36" t="str">
        <f>IF($A17="","",VLOOKUP($A17,Articles[],2,FALSE))</f>
        <v/>
      </c>
      <c r="C17" s="101"/>
      <c r="D17" s="102" t="str">
        <f>IF($A17="","",VLOOKUP($A17,Articles[],4,FALSE))</f>
        <v/>
      </c>
      <c r="E17" s="103">
        <f>IF($A17&lt;&gt;"",Devis[[#This Row],[PU H.T]]-Devis[[#This Row],[PA Unitaire]],0)</f>
        <v>0</v>
      </c>
      <c r="F17" s="105"/>
      <c r="G17" s="100">
        <f>IF($A17&lt;&gt;"",Devis[[#This Row],[PU H.T]]*Devis[[#This Row],[Qté]],0)</f>
        <v>0</v>
      </c>
      <c r="H17" s="100">
        <f>IF($A17&lt;&gt;"",Devis[[#This Row],[Qté]]*Devis[[#This Row],[Marge Unitaire]],0)</f>
        <v>0</v>
      </c>
      <c r="I17" s="104" t="str">
        <f>IF($A17="","",VLOOKUP($A17,Articles[],9,FALSE))</f>
        <v/>
      </c>
      <c r="J17" s="61">
        <f>IF($A17="",0,Devis[[#This Row],[ Marge HT]]/Devis[[#This Row],[Total HT]])</f>
        <v>0</v>
      </c>
      <c r="K17" s="85"/>
    </row>
    <row r="18" spans="1:17" s="5" customFormat="1" ht="15" customHeight="1" x14ac:dyDescent="0.3">
      <c r="A18" s="60"/>
      <c r="B18" s="36" t="str">
        <f>IF($A18="","",VLOOKUP($A18,Articles[],2,FALSE))</f>
        <v/>
      </c>
      <c r="C18" s="101"/>
      <c r="D18" s="102" t="str">
        <f>IF($A18="","",VLOOKUP($A18,Articles[],4,FALSE))</f>
        <v/>
      </c>
      <c r="E18" s="103">
        <f>IF($A18&lt;&gt;"",Devis[[#This Row],[PU H.T]]-Devis[[#This Row],[PA Unitaire]],0)</f>
        <v>0</v>
      </c>
      <c r="F18" s="105"/>
      <c r="G18" s="100">
        <f>IF($A18&lt;&gt;"",Devis[[#This Row],[PU H.T]]*Devis[[#This Row],[Qté]],0)</f>
        <v>0</v>
      </c>
      <c r="H18" s="100">
        <f>IF($A18&lt;&gt;"",Devis[[#This Row],[Qté]]*Devis[[#This Row],[Marge Unitaire]],0)</f>
        <v>0</v>
      </c>
      <c r="I18" s="104" t="str">
        <f>IF($A18="","",VLOOKUP($A18,Articles[],9,FALSE))</f>
        <v/>
      </c>
      <c r="J18" s="61">
        <f>IF($A18="",0,Devis[[#This Row],[ Marge HT]]/Devis[[#This Row],[Total HT]])</f>
        <v>0</v>
      </c>
      <c r="K18" s="85"/>
    </row>
    <row r="19" spans="1:17" s="5" customFormat="1" ht="15" customHeight="1" x14ac:dyDescent="0.3">
      <c r="A19" s="60"/>
      <c r="B19" s="36" t="str">
        <f>IF($A19="","",VLOOKUP($A19,Articles[],2,FALSE))</f>
        <v/>
      </c>
      <c r="C19" s="101"/>
      <c r="D19" s="102" t="str">
        <f>IF($A19="","",VLOOKUP($A19,Articles[],4,FALSE))</f>
        <v/>
      </c>
      <c r="E19" s="103">
        <f>IF($A19&lt;&gt;"",Devis[[#This Row],[PU H.T]]-Devis[[#This Row],[PA Unitaire]],0)</f>
        <v>0</v>
      </c>
      <c r="F19" s="105"/>
      <c r="G19" s="100">
        <f>IF($A19&lt;&gt;"",Devis[[#This Row],[PU H.T]]*Devis[[#This Row],[Qté]],0)</f>
        <v>0</v>
      </c>
      <c r="H19" s="100">
        <f>IF($A19&lt;&gt;"",Devis[[#This Row],[Qté]]*Devis[[#This Row],[Marge Unitaire]],0)</f>
        <v>0</v>
      </c>
      <c r="I19" s="104" t="str">
        <f>IF($A19="","",VLOOKUP($A19,Articles[],9,FALSE))</f>
        <v/>
      </c>
      <c r="J19" s="61">
        <f>IF($A19="",0,Devis[[#This Row],[ Marge HT]]/Devis[[#This Row],[Total HT]])</f>
        <v>0</v>
      </c>
      <c r="K19" s="85"/>
    </row>
    <row r="20" spans="1:17" s="5" customFormat="1" ht="15" customHeight="1" x14ac:dyDescent="0.3">
      <c r="A20" s="60"/>
      <c r="B20" s="36" t="str">
        <f>IF($A20="","",VLOOKUP($A20,Articles[],2,FALSE))</f>
        <v/>
      </c>
      <c r="C20" s="101"/>
      <c r="D20" s="102" t="str">
        <f>IF($A20="","",VLOOKUP($A20,Articles[],4,FALSE))</f>
        <v/>
      </c>
      <c r="E20" s="103">
        <f>IF($A20&lt;&gt;"",Devis[[#This Row],[PU H.T]]-Devis[[#This Row],[PA Unitaire]],0)</f>
        <v>0</v>
      </c>
      <c r="F20" s="105"/>
      <c r="G20" s="100">
        <f>IF($A20&lt;&gt;"",Devis[[#This Row],[PU H.T]]*Devis[[#This Row],[Qté]],0)</f>
        <v>0</v>
      </c>
      <c r="H20" s="100">
        <f>IF($A20&lt;&gt;"",Devis[[#This Row],[Qté]]*Devis[[#This Row],[Marge Unitaire]],0)</f>
        <v>0</v>
      </c>
      <c r="I20" s="104" t="str">
        <f>IF($A20="","",VLOOKUP($A20,Articles[],9,FALSE))</f>
        <v/>
      </c>
      <c r="J20" s="61">
        <f>IF($A20="",0,Devis[[#This Row],[ Marge HT]]/Devis[[#This Row],[Total HT]])</f>
        <v>0</v>
      </c>
      <c r="K20" s="85"/>
      <c r="L20" s="115" t="s">
        <v>70</v>
      </c>
      <c r="M20" s="113"/>
    </row>
    <row r="21" spans="1:17" s="5" customFormat="1" ht="15" customHeight="1" x14ac:dyDescent="0.3">
      <c r="A21" s="60"/>
      <c r="B21" s="36" t="str">
        <f>IF($A21="","",VLOOKUP($A21,Articles[],2,FALSE))</f>
        <v/>
      </c>
      <c r="C21" s="101"/>
      <c r="D21" s="102" t="str">
        <f>IF($A21="","",VLOOKUP($A21,Articles[],4,FALSE))</f>
        <v/>
      </c>
      <c r="E21" s="103">
        <f>IF($A21&lt;&gt;"",Devis[[#This Row],[PU H.T]]-Devis[[#This Row],[PA Unitaire]],0)</f>
        <v>0</v>
      </c>
      <c r="F21" s="105"/>
      <c r="G21" s="100">
        <f>IF($A21&lt;&gt;"",Devis[[#This Row],[PU H.T]]*Devis[[#This Row],[Qté]],0)</f>
        <v>0</v>
      </c>
      <c r="H21" s="100">
        <f>IF($A21&lt;&gt;"",Devis[[#This Row],[Qté]]*Devis[[#This Row],[Marge Unitaire]],0)</f>
        <v>0</v>
      </c>
      <c r="I21" s="104" t="str">
        <f>IF($A21="","",VLOOKUP($A21,Articles[],9,FALSE))</f>
        <v/>
      </c>
      <c r="J21" s="61">
        <f>IF($A21="",0,Devis[[#This Row],[ Marge HT]]/Devis[[#This Row],[Total HT]])</f>
        <v>0</v>
      </c>
      <c r="K21" s="85"/>
    </row>
    <row r="22" spans="1:17" s="5" customFormat="1" ht="15" customHeight="1" x14ac:dyDescent="0.3">
      <c r="A22" s="60"/>
      <c r="B22" s="36" t="str">
        <f>IF($A22="","",VLOOKUP($A22,Articles[],2,FALSE))</f>
        <v/>
      </c>
      <c r="C22" s="101"/>
      <c r="D22" s="102" t="str">
        <f>IF($A22="","",VLOOKUP($A22,Articles[],4,FALSE))</f>
        <v/>
      </c>
      <c r="E22" s="103">
        <f>IF($A22&lt;&gt;"",Devis[[#This Row],[PU H.T]]-Devis[[#This Row],[PA Unitaire]],0)</f>
        <v>0</v>
      </c>
      <c r="F22" s="105"/>
      <c r="G22" s="100">
        <f>IF($A22&lt;&gt;"",Devis[[#This Row],[PU H.T]]*Devis[[#This Row],[Qté]],0)</f>
        <v>0</v>
      </c>
      <c r="H22" s="100">
        <f>IF($A22&lt;&gt;"",Devis[[#This Row],[Qté]]*Devis[[#This Row],[Marge Unitaire]],0)</f>
        <v>0</v>
      </c>
      <c r="I22" s="104" t="str">
        <f>IF($A22="","",VLOOKUP($A22,Articles[],9,FALSE))</f>
        <v/>
      </c>
      <c r="J22" s="61">
        <f>IF($A22="",0,Devis[[#This Row],[ Marge HT]]/Devis[[#This Row],[Total HT]])</f>
        <v>0</v>
      </c>
      <c r="K22" s="85"/>
      <c r="P22" s="112" t="s">
        <v>64</v>
      </c>
      <c r="Q22" s="113"/>
    </row>
    <row r="23" spans="1:17" s="5" customFormat="1" ht="15" customHeight="1" x14ac:dyDescent="0.3">
      <c r="A23" s="60"/>
      <c r="B23" s="36" t="str">
        <f>IF($A23="","",VLOOKUP($A23,Articles[],2,FALSE))</f>
        <v/>
      </c>
      <c r="C23" s="101"/>
      <c r="D23" s="102" t="str">
        <f>IF($A23="","",VLOOKUP($A23,Articles[],4,FALSE))</f>
        <v/>
      </c>
      <c r="E23" s="103">
        <f>IF($A23&lt;&gt;"",Devis[[#This Row],[PU H.T]]-Devis[[#This Row],[PA Unitaire]],0)</f>
        <v>0</v>
      </c>
      <c r="F23" s="105"/>
      <c r="G23" s="100">
        <f>IF($A23&lt;&gt;"",Devis[[#This Row],[PU H.T]]*Devis[[#This Row],[Qté]],0)</f>
        <v>0</v>
      </c>
      <c r="H23" s="100">
        <f>IF($A23&lt;&gt;"",Devis[[#This Row],[Qté]]*Devis[[#This Row],[Marge Unitaire]],0)</f>
        <v>0</v>
      </c>
      <c r="I23" s="104" t="str">
        <f>IF($A23="","",VLOOKUP($A23,Articles[],9,FALSE))</f>
        <v/>
      </c>
      <c r="J23" s="61">
        <f>IF($A23="",0,Devis[[#This Row],[ Marge HT]]/Devis[[#This Row],[Total HT]])</f>
        <v>0</v>
      </c>
      <c r="K23" s="85"/>
    </row>
    <row r="24" spans="1:17" s="5" customFormat="1" ht="15" customHeight="1" x14ac:dyDescent="0.3">
      <c r="A24" s="60"/>
      <c r="B24" s="36" t="str">
        <f>IF($A24="","",VLOOKUP($A24,Articles[],2,FALSE))</f>
        <v/>
      </c>
      <c r="C24" s="101"/>
      <c r="D24" s="102" t="str">
        <f>IF($A24="","",VLOOKUP($A24,Articles[],4,FALSE))</f>
        <v/>
      </c>
      <c r="E24" s="103">
        <f>IF($A24&lt;&gt;"",Devis[[#This Row],[PU H.T]]-Devis[[#This Row],[PA Unitaire]],0)</f>
        <v>0</v>
      </c>
      <c r="F24" s="105"/>
      <c r="G24" s="100">
        <f>IF($A24&lt;&gt;"",Devis[[#This Row],[PU H.T]]*Devis[[#This Row],[Qté]],0)</f>
        <v>0</v>
      </c>
      <c r="H24" s="100">
        <f>IF($A24&lt;&gt;"",Devis[[#This Row],[Qté]]*Devis[[#This Row],[Marge Unitaire]],0)</f>
        <v>0</v>
      </c>
      <c r="I24" s="104" t="str">
        <f>IF($A24="","",VLOOKUP($A24,Articles[],9,FALSE))</f>
        <v/>
      </c>
      <c r="J24" s="61">
        <f>IF($A24="",0,Devis[[#This Row],[ Marge HT]]/Devis[[#This Row],[Total HT]])</f>
        <v>0</v>
      </c>
      <c r="K24" s="85"/>
    </row>
    <row r="25" spans="1:17" s="5" customFormat="1" ht="15" customHeight="1" x14ac:dyDescent="0.3">
      <c r="A25" s="60"/>
      <c r="B25" s="36" t="str">
        <f>IF($A25="","",VLOOKUP($A25,Articles[],2,FALSE))</f>
        <v/>
      </c>
      <c r="C25" s="101"/>
      <c r="D25" s="102" t="str">
        <f>IF($A25="","",VLOOKUP($A25,Articles[],4,FALSE))</f>
        <v/>
      </c>
      <c r="E25" s="103">
        <f>IF($A25&lt;&gt;"",Devis[[#This Row],[PU H.T]]-Devis[[#This Row],[PA Unitaire]],0)</f>
        <v>0</v>
      </c>
      <c r="F25" s="105"/>
      <c r="G25" s="100">
        <f>IF($A25&lt;&gt;"",Devis[[#This Row],[PU H.T]]*Devis[[#This Row],[Qté]],0)</f>
        <v>0</v>
      </c>
      <c r="H25" s="100">
        <f>IF($A25&lt;&gt;"",Devis[[#This Row],[Qté]]*Devis[[#This Row],[Marge Unitaire]],0)</f>
        <v>0</v>
      </c>
      <c r="I25" s="104" t="str">
        <f>IF($A25="","",VLOOKUP($A25,Articles[],9,FALSE))</f>
        <v/>
      </c>
      <c r="J25" s="61">
        <f>IF($A25="",0,Devis[[#This Row],[ Marge HT]]/Devis[[#This Row],[Total HT]])</f>
        <v>0</v>
      </c>
      <c r="K25" s="85"/>
    </row>
    <row r="26" spans="1:17" s="5" customFormat="1" ht="15" customHeight="1" x14ac:dyDescent="0.3">
      <c r="A26" s="60"/>
      <c r="B26" s="36" t="str">
        <f>IF($A26="","",VLOOKUP($A26,Articles[],2,FALSE))</f>
        <v/>
      </c>
      <c r="C26" s="101"/>
      <c r="D26" s="102" t="str">
        <f>IF($A26="","",VLOOKUP($A26,Articles[],4,FALSE))</f>
        <v/>
      </c>
      <c r="E26" s="103">
        <f>IF($A26&lt;&gt;"",Devis[[#This Row],[PU H.T]]-Devis[[#This Row],[PA Unitaire]],0)</f>
        <v>0</v>
      </c>
      <c r="F26" s="105"/>
      <c r="G26" s="100">
        <f>IF($A26&lt;&gt;"",Devis[[#This Row],[PU H.T]]*Devis[[#This Row],[Qté]],0)</f>
        <v>0</v>
      </c>
      <c r="H26" s="100">
        <f>IF($A26&lt;&gt;"",Devis[[#This Row],[Qté]]*Devis[[#This Row],[Marge Unitaire]],0)</f>
        <v>0</v>
      </c>
      <c r="I26" s="104" t="str">
        <f>IF($A26="","",VLOOKUP($A26,Articles[],9,FALSE))</f>
        <v/>
      </c>
      <c r="J26" s="61">
        <f>IF($A26="",0,Devis[[#This Row],[ Marge HT]]/Devis[[#This Row],[Total HT]])</f>
        <v>0</v>
      </c>
      <c r="K26" s="85"/>
    </row>
    <row r="27" spans="1:17" s="5" customFormat="1" ht="15" customHeight="1" x14ac:dyDescent="0.3">
      <c r="A27" s="60"/>
      <c r="B27" s="36" t="str">
        <f>IF($A27="","",VLOOKUP($A27,Articles[],2,FALSE))</f>
        <v/>
      </c>
      <c r="C27" s="101"/>
      <c r="D27" s="102" t="str">
        <f>IF($A27="","",VLOOKUP($A27,Articles[],4,FALSE))</f>
        <v/>
      </c>
      <c r="E27" s="103">
        <f>IF($A27&lt;&gt;"",Devis[[#This Row],[PU H.T]]-Devis[[#This Row],[PA Unitaire]],0)</f>
        <v>0</v>
      </c>
      <c r="F27" s="105"/>
      <c r="G27" s="100">
        <f>IF($A27&lt;&gt;"",Devis[[#This Row],[PU H.T]]*Devis[[#This Row],[Qté]],0)</f>
        <v>0</v>
      </c>
      <c r="H27" s="100">
        <f>IF($A27&lt;&gt;"",Devis[[#This Row],[Qté]]*Devis[[#This Row],[Marge Unitaire]],0)</f>
        <v>0</v>
      </c>
      <c r="I27" s="104" t="str">
        <f>IF($A27="","",VLOOKUP($A27,Articles[],9,FALSE))</f>
        <v/>
      </c>
      <c r="J27" s="61">
        <f>IF($A27="",0,Devis[[#This Row],[ Marge HT]]/Devis[[#This Row],[Total HT]])</f>
        <v>0</v>
      </c>
      <c r="K27" s="85"/>
    </row>
    <row r="28" spans="1:17" s="5" customFormat="1" ht="15" customHeight="1" x14ac:dyDescent="0.3">
      <c r="A28" s="60"/>
      <c r="B28" s="36" t="str">
        <f>IF($A28="","",VLOOKUP($A28,Articles[],2,FALSE))</f>
        <v/>
      </c>
      <c r="C28" s="101"/>
      <c r="D28" s="102" t="str">
        <f>IF($A28="","",VLOOKUP($A28,Articles[],4,FALSE))</f>
        <v/>
      </c>
      <c r="E28" s="103">
        <f>IF($A28&lt;&gt;"",Devis[[#This Row],[PU H.T]]-Devis[[#This Row],[PA Unitaire]],0)</f>
        <v>0</v>
      </c>
      <c r="F28" s="105"/>
      <c r="G28" s="100">
        <f>IF($A28&lt;&gt;"",Devis[[#This Row],[PU H.T]]*Devis[[#This Row],[Qté]],0)</f>
        <v>0</v>
      </c>
      <c r="H28" s="100">
        <f>IF($A28&lt;&gt;"",Devis[[#This Row],[Qté]]*Devis[[#This Row],[Marge Unitaire]],0)</f>
        <v>0</v>
      </c>
      <c r="I28" s="104" t="str">
        <f>IF($A28="","",VLOOKUP($A28,Articles[],9,FALSE))</f>
        <v/>
      </c>
      <c r="J28" s="61">
        <f>IF($A28="",0,Devis[[#This Row],[ Marge HT]]/Devis[[#This Row],[Total HT]])</f>
        <v>0</v>
      </c>
      <c r="K28" s="85"/>
    </row>
    <row r="29" spans="1:17" s="5" customFormat="1" ht="15" customHeight="1" x14ac:dyDescent="0.3">
      <c r="A29" s="60"/>
      <c r="B29" s="36" t="str">
        <f>IF($A29="","",VLOOKUP($A29,Articles[],2,FALSE))</f>
        <v/>
      </c>
      <c r="C29" s="101"/>
      <c r="D29" s="102" t="str">
        <f>IF($A29="","",VLOOKUP($A29,Articles[],4,FALSE))</f>
        <v/>
      </c>
      <c r="E29" s="103">
        <f>IF($A29&lt;&gt;"",Devis[[#This Row],[PU H.T]]-Devis[[#This Row],[PA Unitaire]],0)</f>
        <v>0</v>
      </c>
      <c r="F29" s="105"/>
      <c r="G29" s="100">
        <f>IF($A29&lt;&gt;"",Devis[[#This Row],[PU H.T]]*Devis[[#This Row],[Qté]],0)</f>
        <v>0</v>
      </c>
      <c r="H29" s="100">
        <f>IF($A29&lt;&gt;"",Devis[[#This Row],[Qté]]*Devis[[#This Row],[Marge Unitaire]],0)</f>
        <v>0</v>
      </c>
      <c r="I29" s="104" t="str">
        <f>IF($A29="","",VLOOKUP($A29,Articles[],9,FALSE))</f>
        <v/>
      </c>
      <c r="J29" s="61">
        <f>IF($A29="",0,Devis[[#This Row],[ Marge HT]]/Devis[[#This Row],[Total HT]])</f>
        <v>0</v>
      </c>
      <c r="K29" s="85"/>
    </row>
    <row r="30" spans="1:17" s="5" customFormat="1" ht="15" customHeight="1" x14ac:dyDescent="0.3">
      <c r="A30" s="60"/>
      <c r="B30" s="36" t="str">
        <f>IF($A30="","",VLOOKUP($A30,Articles[],2,FALSE))</f>
        <v/>
      </c>
      <c r="C30" s="101"/>
      <c r="D30" s="102" t="str">
        <f>IF($A30="","",VLOOKUP($A30,Articles[],4,FALSE))</f>
        <v/>
      </c>
      <c r="E30" s="103">
        <f>IF($A30&lt;&gt;"",Devis[[#This Row],[PU H.T]]-Devis[[#This Row],[PA Unitaire]],0)</f>
        <v>0</v>
      </c>
      <c r="F30" s="105"/>
      <c r="G30" s="100">
        <f>IF($A30&lt;&gt;"",Devis[[#This Row],[PU H.T]]*Devis[[#This Row],[Qté]],0)</f>
        <v>0</v>
      </c>
      <c r="H30" s="100">
        <f>IF($A30&lt;&gt;"",Devis[[#This Row],[Qté]]*Devis[[#This Row],[Marge Unitaire]],0)</f>
        <v>0</v>
      </c>
      <c r="I30" s="104" t="str">
        <f>IF($A30="","",VLOOKUP($A30,Articles[],9,FALSE))</f>
        <v/>
      </c>
      <c r="J30" s="61">
        <f>IF($A30="",0,Devis[[#This Row],[ Marge HT]]/Devis[[#This Row],[Total HT]])</f>
        <v>0</v>
      </c>
      <c r="K30" s="85"/>
    </row>
    <row r="31" spans="1:17" s="5" customFormat="1" ht="15" customHeight="1" x14ac:dyDescent="0.3">
      <c r="A31" s="60"/>
      <c r="B31" s="36" t="str">
        <f>IF($A31="","",VLOOKUP($A31,Articles[],2,FALSE))</f>
        <v/>
      </c>
      <c r="C31" s="101"/>
      <c r="D31" s="102" t="str">
        <f>IF($A31="","",VLOOKUP($A31,Articles[],4,FALSE))</f>
        <v/>
      </c>
      <c r="E31" s="103">
        <f>IF($A31&lt;&gt;"",Devis[[#This Row],[PU H.T]]-Devis[[#This Row],[PA Unitaire]],0)</f>
        <v>0</v>
      </c>
      <c r="F31" s="105"/>
      <c r="G31" s="100">
        <f>IF($A31&lt;&gt;"",Devis[[#This Row],[PU H.T]]*Devis[[#This Row],[Qté]],0)</f>
        <v>0</v>
      </c>
      <c r="H31" s="100">
        <f>IF($A31&lt;&gt;"",Devis[[#This Row],[Qté]]*Devis[[#This Row],[Marge Unitaire]],0)</f>
        <v>0</v>
      </c>
      <c r="I31" s="104" t="str">
        <f>IF($A31="","",VLOOKUP($A31,Articles[],9,FALSE))</f>
        <v/>
      </c>
      <c r="J31" s="61">
        <f>IF($A31="",0,Devis[[#This Row],[ Marge HT]]/Devis[[#This Row],[Total HT]])</f>
        <v>0</v>
      </c>
      <c r="K31" s="85"/>
    </row>
    <row r="32" spans="1:17" s="5" customFormat="1" ht="15" customHeight="1" x14ac:dyDescent="0.3">
      <c r="A32" s="60"/>
      <c r="B32" s="36" t="str">
        <f>IF($A32="","",VLOOKUP($A32,Articles[],2,FALSE))</f>
        <v/>
      </c>
      <c r="C32" s="101"/>
      <c r="D32" s="102" t="str">
        <f>IF($A32="","",VLOOKUP($A32,Articles[],4,FALSE))</f>
        <v/>
      </c>
      <c r="E32" s="103">
        <f>IF($A32&lt;&gt;"",Devis[[#This Row],[PU H.T]]-Devis[[#This Row],[PA Unitaire]],0)</f>
        <v>0</v>
      </c>
      <c r="F32" s="105"/>
      <c r="G32" s="100">
        <f>IF($A32&lt;&gt;"",Devis[[#This Row],[PU H.T]]*Devis[[#This Row],[Qté]],0)</f>
        <v>0</v>
      </c>
      <c r="H32" s="100">
        <f>IF($A32&lt;&gt;"",Devis[[#This Row],[Qté]]*Devis[[#This Row],[Marge Unitaire]],0)</f>
        <v>0</v>
      </c>
      <c r="I32" s="104" t="str">
        <f>IF($A32="","",VLOOKUP($A32,Articles[],9,FALSE))</f>
        <v/>
      </c>
      <c r="J32" s="61">
        <f>IF($A32="",0,Devis[[#This Row],[ Marge HT]]/Devis[[#This Row],[Total HT]])</f>
        <v>0</v>
      </c>
      <c r="K32" s="85"/>
    </row>
    <row r="33" spans="1:16" s="5" customFormat="1" ht="15" customHeight="1" x14ac:dyDescent="0.3">
      <c r="A33" s="60"/>
      <c r="B33" s="36" t="str">
        <f>IF($A33="","",VLOOKUP($A33,Articles[],2,FALSE))</f>
        <v/>
      </c>
      <c r="C33" s="101"/>
      <c r="D33" s="102" t="str">
        <f>IF($A33="","",VLOOKUP($A33,Articles[],4,FALSE))</f>
        <v/>
      </c>
      <c r="E33" s="103">
        <f>IF($A33&lt;&gt;"",Devis[[#This Row],[PU H.T]]-Devis[[#This Row],[PA Unitaire]],0)</f>
        <v>0</v>
      </c>
      <c r="F33" s="105"/>
      <c r="G33" s="100">
        <f>IF($A33&lt;&gt;"",Devis[[#This Row],[PU H.T]]*Devis[[#This Row],[Qté]],0)</f>
        <v>0</v>
      </c>
      <c r="H33" s="100">
        <f>IF($A33&lt;&gt;"",Devis[[#This Row],[Qté]]*Devis[[#This Row],[Marge Unitaire]],0)</f>
        <v>0</v>
      </c>
      <c r="I33" s="104" t="str">
        <f>IF($A33="","",VLOOKUP($A33,Articles[],9,FALSE))</f>
        <v/>
      </c>
      <c r="J33" s="61">
        <f>IF($A33="",0,Devis[[#This Row],[ Marge HT]]/Devis[[#This Row],[Total HT]])</f>
        <v>0</v>
      </c>
      <c r="K33" s="85"/>
    </row>
    <row r="34" spans="1:16" s="5" customFormat="1" ht="15" customHeight="1" x14ac:dyDescent="0.3">
      <c r="A34" s="60"/>
      <c r="B34" s="36" t="str">
        <f>IF($A34="","",VLOOKUP($A34,Articles[],2,FALSE))</f>
        <v/>
      </c>
      <c r="C34" s="101"/>
      <c r="D34" s="102" t="str">
        <f>IF($A34="","",VLOOKUP($A34,Articles[],4,FALSE))</f>
        <v/>
      </c>
      <c r="E34" s="103">
        <f>IF($A34&lt;&gt;"",Devis[[#This Row],[PU H.T]]-Devis[[#This Row],[PA Unitaire]],0)</f>
        <v>0</v>
      </c>
      <c r="F34" s="105"/>
      <c r="G34" s="100">
        <f>IF($A34&lt;&gt;"",Devis[[#This Row],[PU H.T]]*Devis[[#This Row],[Qté]],0)</f>
        <v>0</v>
      </c>
      <c r="H34" s="100">
        <f>IF($A34&lt;&gt;"",Devis[[#This Row],[Qté]]*Devis[[#This Row],[Marge Unitaire]],0)</f>
        <v>0</v>
      </c>
      <c r="I34" s="104" t="str">
        <f>IF($A34="","",VLOOKUP($A34,Articles[],9,FALSE))</f>
        <v/>
      </c>
      <c r="J34" s="61">
        <f>IF($A34="",0,Devis[[#This Row],[ Marge HT]]/Devis[[#This Row],[Total HT]])</f>
        <v>0</v>
      </c>
      <c r="K34" s="85"/>
    </row>
    <row r="35" spans="1:16" s="5" customFormat="1" ht="15" customHeight="1" x14ac:dyDescent="0.3">
      <c r="A35" s="60"/>
      <c r="B35" s="36" t="str">
        <f>IF($A35="","",VLOOKUP($A35,Articles[],2,FALSE))</f>
        <v/>
      </c>
      <c r="C35" s="101"/>
      <c r="D35" s="102" t="str">
        <f>IF($A35="","",VLOOKUP($A35,Articles[],4,FALSE))</f>
        <v/>
      </c>
      <c r="E35" s="103">
        <f>IF($A35&lt;&gt;"",Devis[[#This Row],[PU H.T]]-Devis[[#This Row],[PA Unitaire]],0)</f>
        <v>0</v>
      </c>
      <c r="F35" s="105"/>
      <c r="G35" s="100">
        <f>IF($A35&lt;&gt;"",Devis[[#This Row],[PU H.T]]*Devis[[#This Row],[Qté]],0)</f>
        <v>0</v>
      </c>
      <c r="H35" s="100">
        <f>IF($A35&lt;&gt;"",Devis[[#This Row],[Qté]]*Devis[[#This Row],[Marge Unitaire]],0)</f>
        <v>0</v>
      </c>
      <c r="I35" s="104" t="str">
        <f>IF($A35="","",VLOOKUP($A35,Articles[],9,FALSE))</f>
        <v/>
      </c>
      <c r="J35" s="61">
        <f>IF($A35="",0,Devis[[#This Row],[ Marge HT]]/Devis[[#This Row],[Total HT]])</f>
        <v>0</v>
      </c>
      <c r="K35" s="85"/>
    </row>
    <row r="36" spans="1:16" s="5" customFormat="1" ht="15" customHeight="1" x14ac:dyDescent="0.3">
      <c r="A36" s="60"/>
      <c r="B36" s="36" t="str">
        <f>IF($A36="","",VLOOKUP($A36,Articles[],2,FALSE))</f>
        <v/>
      </c>
      <c r="C36" s="101"/>
      <c r="D36" s="102" t="str">
        <f>IF($A36="","",VLOOKUP($A36,Articles[],4,FALSE))</f>
        <v/>
      </c>
      <c r="E36" s="103">
        <f>IF($A36&lt;&gt;"",Devis[[#This Row],[PU H.T]]-Devis[[#This Row],[PA Unitaire]],0)</f>
        <v>0</v>
      </c>
      <c r="F36" s="105"/>
      <c r="G36" s="100">
        <f>IF($A36&lt;&gt;"",Devis[[#This Row],[PU H.T]]*Devis[[#This Row],[Qté]],0)</f>
        <v>0</v>
      </c>
      <c r="H36" s="100">
        <f>IF($A36&lt;&gt;"",Devis[[#This Row],[Qté]]*Devis[[#This Row],[Marge Unitaire]],0)</f>
        <v>0</v>
      </c>
      <c r="I36" s="104" t="str">
        <f>IF($A36="","",VLOOKUP($A36,Articles[],9,FALSE))</f>
        <v/>
      </c>
      <c r="J36" s="61">
        <f>IF($A36="",0,Devis[[#This Row],[ Marge HT]]/Devis[[#This Row],[Total HT]])</f>
        <v>0</v>
      </c>
      <c r="K36" s="85"/>
    </row>
    <row r="37" spans="1:16" s="5" customFormat="1" ht="15" customHeight="1" x14ac:dyDescent="0.3">
      <c r="A37" s="60"/>
      <c r="B37" s="36" t="str">
        <f>IF($A37="","",VLOOKUP($A37,Articles[],2,FALSE))</f>
        <v/>
      </c>
      <c r="C37" s="101"/>
      <c r="D37" s="102" t="str">
        <f>IF($A37="","",VLOOKUP($A37,Articles[],4,FALSE))</f>
        <v/>
      </c>
      <c r="E37" s="103">
        <f>IF($A37&lt;&gt;"",Devis[[#This Row],[PU H.T]]-Devis[[#This Row],[PA Unitaire]],0)</f>
        <v>0</v>
      </c>
      <c r="F37" s="105"/>
      <c r="G37" s="100">
        <f>IF($A37&lt;&gt;"",Devis[[#This Row],[PU H.T]]*Devis[[#This Row],[Qté]],0)</f>
        <v>0</v>
      </c>
      <c r="H37" s="100">
        <f>IF($A37&lt;&gt;"",Devis[[#This Row],[Qté]]*Devis[[#This Row],[Marge Unitaire]],0)</f>
        <v>0</v>
      </c>
      <c r="I37" s="104" t="str">
        <f>IF($A37="","",VLOOKUP($A37,Articles[],9,FALSE))</f>
        <v/>
      </c>
      <c r="J37" s="61">
        <f>IF($A37="",0,Devis[[#This Row],[ Marge HT]]/Devis[[#This Row],[Total HT]])</f>
        <v>0</v>
      </c>
      <c r="K37" s="85"/>
    </row>
    <row r="38" spans="1:16" s="5" customFormat="1" ht="15" customHeight="1" x14ac:dyDescent="0.3">
      <c r="A38" s="60"/>
      <c r="B38" s="36" t="str">
        <f>IF($A38="","",VLOOKUP($A38,Articles[],2,FALSE))</f>
        <v/>
      </c>
      <c r="C38" s="101"/>
      <c r="D38" s="102" t="str">
        <f>IF($A38="","",VLOOKUP($A38,Articles[],4,FALSE))</f>
        <v/>
      </c>
      <c r="E38" s="103">
        <f>IF($A38&lt;&gt;"",Devis[[#This Row],[PU H.T]]-Devis[[#This Row],[PA Unitaire]],0)</f>
        <v>0</v>
      </c>
      <c r="F38" s="105"/>
      <c r="G38" s="100">
        <f>IF($A38&lt;&gt;"",Devis[[#This Row],[PU H.T]]*Devis[[#This Row],[Qté]],0)</f>
        <v>0</v>
      </c>
      <c r="H38" s="100">
        <f>IF($A38&lt;&gt;"",Devis[[#This Row],[Qté]]*Devis[[#This Row],[Marge Unitaire]],0)</f>
        <v>0</v>
      </c>
      <c r="I38" s="104" t="str">
        <f>IF($A38="","",VLOOKUP($A38,Articles[],9,FALSE))</f>
        <v/>
      </c>
      <c r="J38" s="61">
        <f>IF($A38="",0,Devis[[#This Row],[ Marge HT]]/Devis[[#This Row],[Total HT]])</f>
        <v>0</v>
      </c>
      <c r="K38" s="85"/>
    </row>
    <row r="39" spans="1:16" s="5" customFormat="1" ht="15" customHeight="1" x14ac:dyDescent="0.3">
      <c r="A39" s="60"/>
      <c r="B39" s="36" t="str">
        <f>IF($A39="","",VLOOKUP($A39,Articles[],2,FALSE))</f>
        <v/>
      </c>
      <c r="C39" s="101"/>
      <c r="D39" s="102" t="str">
        <f>IF($A39="","",VLOOKUP($A39,Articles[],4,FALSE))</f>
        <v/>
      </c>
      <c r="E39" s="103">
        <f>IF($A39&lt;&gt;"",Devis[[#This Row],[PU H.T]]-Devis[[#This Row],[PA Unitaire]],0)</f>
        <v>0</v>
      </c>
      <c r="F39" s="105"/>
      <c r="G39" s="100">
        <f>IF($A39&lt;&gt;"",Devis[[#This Row],[PU H.T]]*Devis[[#This Row],[Qté]],0)</f>
        <v>0</v>
      </c>
      <c r="H39" s="100">
        <f>IF($A39&lt;&gt;"",Devis[[#This Row],[Qté]]*Devis[[#This Row],[Marge Unitaire]],0)</f>
        <v>0</v>
      </c>
      <c r="I39" s="104" t="str">
        <f>IF($A39="","",VLOOKUP($A39,Articles[],9,FALSE))</f>
        <v/>
      </c>
      <c r="J39" s="61">
        <f>IF($A39="",0,Devis[[#This Row],[ Marge HT]]/Devis[[#This Row],[Total HT]])</f>
        <v>0</v>
      </c>
      <c r="K39" s="85"/>
    </row>
    <row r="40" spans="1:16" s="5" customFormat="1" ht="15" customHeight="1" x14ac:dyDescent="0.3">
      <c r="A40" s="60"/>
      <c r="B40" s="36" t="str">
        <f>IF($A40="","",VLOOKUP($A40,Articles[],2,FALSE))</f>
        <v/>
      </c>
      <c r="C40" s="101"/>
      <c r="D40" s="102" t="str">
        <f>IF($A40="","",VLOOKUP($A40,Articles[],4,FALSE))</f>
        <v/>
      </c>
      <c r="E40" s="103">
        <f>IF($A40&lt;&gt;"",Devis[[#This Row],[PU H.T]]-Devis[[#This Row],[PA Unitaire]],0)</f>
        <v>0</v>
      </c>
      <c r="F40" s="105"/>
      <c r="G40" s="100">
        <f>IF($A40&lt;&gt;"",Devis[[#This Row],[PU H.T]]*Devis[[#This Row],[Qté]],0)</f>
        <v>0</v>
      </c>
      <c r="H40" s="100">
        <f>IF($A40&lt;&gt;"",Devis[[#This Row],[Qté]]*Devis[[#This Row],[Marge Unitaire]],0)</f>
        <v>0</v>
      </c>
      <c r="I40" s="104" t="str">
        <f>IF($A40="","",VLOOKUP($A40,Articles[],9,FALSE))</f>
        <v/>
      </c>
      <c r="J40" s="61">
        <f>IF($A40="",0,Devis[[#This Row],[ Marge HT]]/Devis[[#This Row],[Total HT]])</f>
        <v>0</v>
      </c>
      <c r="K40" s="85"/>
    </row>
    <row r="41" spans="1:16" s="5" customFormat="1" ht="15" customHeight="1" x14ac:dyDescent="0.3">
      <c r="A41" s="60"/>
      <c r="B41" s="36" t="str">
        <f>IF($A41="","",VLOOKUP($A41,Articles[],2,FALSE))</f>
        <v/>
      </c>
      <c r="C41" s="101"/>
      <c r="D41" s="102" t="str">
        <f>IF($A41="","",VLOOKUP($A41,Articles[],4,FALSE))</f>
        <v/>
      </c>
      <c r="E41" s="103">
        <f>IF($A41&lt;&gt;"",Devis[[#This Row],[PU H.T]]-Devis[[#This Row],[PA Unitaire]],0)</f>
        <v>0</v>
      </c>
      <c r="F41" s="105"/>
      <c r="G41" s="100">
        <f>IF($A41&lt;&gt;"",Devis[[#This Row],[PU H.T]]*Devis[[#This Row],[Qté]],0)</f>
        <v>0</v>
      </c>
      <c r="H41" s="100">
        <f>IF($A41&lt;&gt;"",Devis[[#This Row],[Qté]]*Devis[[#This Row],[Marge Unitaire]],0)</f>
        <v>0</v>
      </c>
      <c r="I41" s="104" t="str">
        <f>IF($A41="","",VLOOKUP($A41,Articles[],9,FALSE))</f>
        <v/>
      </c>
      <c r="J41" s="61">
        <f>IF($A41="",0,Devis[[#This Row],[ Marge HT]]/Devis[[#This Row],[Total HT]])</f>
        <v>0</v>
      </c>
      <c r="K41" s="85"/>
      <c r="L41"/>
      <c r="M41"/>
      <c r="N41"/>
      <c r="O41"/>
      <c r="P41"/>
    </row>
    <row r="42" spans="1:16" ht="15" customHeight="1" x14ac:dyDescent="0.3">
      <c r="A42" s="60"/>
      <c r="B42" s="36" t="str">
        <f>IF($A42="","",VLOOKUP($A42,Articles[],2,FALSE))</f>
        <v/>
      </c>
      <c r="C42" s="101"/>
      <c r="D42" s="102" t="str">
        <f>IF($A42="","",VLOOKUP($A42,Articles[],4,FALSE))</f>
        <v/>
      </c>
      <c r="E42" s="103">
        <f>IF($A42&lt;&gt;"",Devis[[#This Row],[PU H.T]]-Devis[[#This Row],[PA Unitaire]],0)</f>
        <v>0</v>
      </c>
      <c r="F42" s="105"/>
      <c r="G42" s="100">
        <f>IF($A42&lt;&gt;"",Devis[[#This Row],[PU H.T]]*Devis[[#This Row],[Qté]],0)</f>
        <v>0</v>
      </c>
      <c r="H42" s="100">
        <f>IF($A42&lt;&gt;"",Devis[[#This Row],[Qté]]*Devis[[#This Row],[Marge Unitaire]],0)</f>
        <v>0</v>
      </c>
      <c r="I42" s="104" t="str">
        <f>IF($A42="","",VLOOKUP($A42,Articles[],9,FALSE))</f>
        <v/>
      </c>
      <c r="J42" s="61">
        <f>IF($A42="",0,Devis[[#This Row],[ Marge HT]]/Devis[[#This Row],[Total HT]])</f>
        <v>0</v>
      </c>
      <c r="K42" s="85"/>
    </row>
    <row r="43" spans="1:16" ht="15" customHeight="1" x14ac:dyDescent="0.3">
      <c r="A43" s="60"/>
      <c r="B43" s="36" t="str">
        <f>IF($A43="","",VLOOKUP($A43,Articles[],2,FALSE))</f>
        <v/>
      </c>
      <c r="C43" s="101"/>
      <c r="D43" s="102" t="str">
        <f>IF($A43="","",VLOOKUP($A43,Articles[],4,FALSE))</f>
        <v/>
      </c>
      <c r="E43" s="103">
        <f>IF($A43&lt;&gt;"",Devis[[#This Row],[PU H.T]]-Devis[[#This Row],[PA Unitaire]],0)</f>
        <v>0</v>
      </c>
      <c r="F43" s="105"/>
      <c r="G43" s="100">
        <f>IF($A43&lt;&gt;"",Devis[[#This Row],[PU H.T]]*Devis[[#This Row],[Qté]],0)</f>
        <v>0</v>
      </c>
      <c r="H43" s="100">
        <f>IF($A43&lt;&gt;"",Devis[[#This Row],[Qté]]*Devis[[#This Row],[Marge Unitaire]],0)</f>
        <v>0</v>
      </c>
      <c r="I43" s="104" t="str">
        <f>IF($A43="","",VLOOKUP($A43,Articles[],9,FALSE))</f>
        <v/>
      </c>
      <c r="J43" s="61">
        <f>IF($A43="",0,Devis[[#This Row],[ Marge HT]]/Devis[[#This Row],[Total HT]])</f>
        <v>0</v>
      </c>
      <c r="K43" s="85"/>
    </row>
    <row r="44" spans="1:16" ht="15" customHeight="1" x14ac:dyDescent="0.3">
      <c r="A44" s="60"/>
      <c r="B44" s="36" t="str">
        <f>IF($A44="","",VLOOKUP($A44,Articles[],2,FALSE))</f>
        <v/>
      </c>
      <c r="C44" s="101"/>
      <c r="D44" s="102" t="str">
        <f>IF($A44="","",VLOOKUP($A44,Articles[],4,FALSE))</f>
        <v/>
      </c>
      <c r="E44" s="103">
        <f>IF($A44&lt;&gt;"",Devis[[#This Row],[PU H.T]]-Devis[[#This Row],[PA Unitaire]],0)</f>
        <v>0</v>
      </c>
      <c r="F44" s="105"/>
      <c r="G44" s="100">
        <f>IF($A44&lt;&gt;"",Devis[[#This Row],[PU H.T]]*Devis[[#This Row],[Qté]],0)</f>
        <v>0</v>
      </c>
      <c r="H44" s="100">
        <f>IF($A44&lt;&gt;"",Devis[[#This Row],[Qté]]*Devis[[#This Row],[Marge Unitaire]],0)</f>
        <v>0</v>
      </c>
      <c r="I44" s="104" t="str">
        <f>IF($A44="","",VLOOKUP($A44,Articles[],9,FALSE))</f>
        <v/>
      </c>
      <c r="J44" s="61">
        <f>IF($A44="",0,Devis[[#This Row],[ Marge HT]]/Devis[[#This Row],[Total HT]])</f>
        <v>0</v>
      </c>
      <c r="K44" s="85"/>
    </row>
    <row r="45" spans="1:16" ht="15" customHeight="1" x14ac:dyDescent="0.3">
      <c r="A45" s="60"/>
      <c r="B45" s="36" t="str">
        <f>IF($A45="","",VLOOKUP($A45,Articles[],2,FALSE))</f>
        <v/>
      </c>
      <c r="C45" s="101"/>
      <c r="D45" s="102" t="str">
        <f>IF($A45="","",VLOOKUP($A45,Articles[],4,FALSE))</f>
        <v/>
      </c>
      <c r="E45" s="103">
        <f>IF($A45&lt;&gt;"",Devis[[#This Row],[PU H.T]]-Devis[[#This Row],[PA Unitaire]],0)</f>
        <v>0</v>
      </c>
      <c r="F45" s="105"/>
      <c r="G45" s="100">
        <f>IF($A45&lt;&gt;"",Devis[[#This Row],[PU H.T]]*Devis[[#This Row],[Qté]],0)</f>
        <v>0</v>
      </c>
      <c r="H45" s="100">
        <f>IF($A45&lt;&gt;"",Devis[[#This Row],[Qté]]*Devis[[#This Row],[Marge Unitaire]],0)</f>
        <v>0</v>
      </c>
      <c r="I45" s="104" t="str">
        <f>IF($A45="","",VLOOKUP($A45,Articles[],9,FALSE))</f>
        <v/>
      </c>
      <c r="J45" s="61">
        <f>IF($A45="",0,Devis[[#This Row],[ Marge HT]]/Devis[[#This Row],[Total HT]])</f>
        <v>0</v>
      </c>
      <c r="K45" s="85"/>
    </row>
    <row r="46" spans="1:16" ht="15" customHeight="1" x14ac:dyDescent="0.3">
      <c r="A46" s="60"/>
      <c r="B46" s="36" t="str">
        <f>IF($A46="","",VLOOKUP($A46,Articles[],2,FALSE))</f>
        <v/>
      </c>
      <c r="C46" s="101"/>
      <c r="D46" s="102" t="str">
        <f>IF($A46="","",VLOOKUP($A46,Articles[],4,FALSE))</f>
        <v/>
      </c>
      <c r="E46" s="103">
        <f>IF($A46&lt;&gt;"",Devis[[#This Row],[PU H.T]]-Devis[[#This Row],[PA Unitaire]],0)</f>
        <v>0</v>
      </c>
      <c r="F46" s="105"/>
      <c r="G46" s="100">
        <f>IF($A46&lt;&gt;"",Devis[[#This Row],[PU H.T]]*Devis[[#This Row],[Qté]],0)</f>
        <v>0</v>
      </c>
      <c r="H46" s="100">
        <f>IF($A46&lt;&gt;"",Devis[[#This Row],[Qté]]*Devis[[#This Row],[Marge Unitaire]],0)</f>
        <v>0</v>
      </c>
      <c r="I46" s="104" t="str">
        <f>IF($A46="","",VLOOKUP($A46,Articles[],9,FALSE))</f>
        <v/>
      </c>
      <c r="J46" s="61">
        <f>IF($A46="",0,Devis[[#This Row],[ Marge HT]]/Devis[[#This Row],[Total HT]])</f>
        <v>0</v>
      </c>
      <c r="K46" s="85"/>
    </row>
    <row r="47" spans="1:16" ht="15" customHeight="1" x14ac:dyDescent="0.3">
      <c r="A47" s="60"/>
      <c r="B47" s="36" t="str">
        <f>IF($A47="","",VLOOKUP($A47,Articles[],2,FALSE))</f>
        <v/>
      </c>
      <c r="C47" s="101"/>
      <c r="D47" s="102" t="str">
        <f>IF($A47="","",VLOOKUP($A47,Articles[],4,FALSE))</f>
        <v/>
      </c>
      <c r="E47" s="103">
        <f>IF($A47&lt;&gt;"",Devis[[#This Row],[PU H.T]]-Devis[[#This Row],[PA Unitaire]],0)</f>
        <v>0</v>
      </c>
      <c r="F47" s="105"/>
      <c r="G47" s="100">
        <f>IF($A47&lt;&gt;"",Devis[[#This Row],[PU H.T]]*Devis[[#This Row],[Qté]],0)</f>
        <v>0</v>
      </c>
      <c r="H47" s="100">
        <f>IF($A47&lt;&gt;"",Devis[[#This Row],[Qté]]*Devis[[#This Row],[Marge Unitaire]],0)</f>
        <v>0</v>
      </c>
      <c r="I47" s="104" t="str">
        <f>IF($A47="","",VLOOKUP($A47,Articles[],9,FALSE))</f>
        <v/>
      </c>
      <c r="J47" s="61">
        <f>IF($A47="",0,Devis[[#This Row],[ Marge HT]]/Devis[[#This Row],[Total HT]])</f>
        <v>0</v>
      </c>
      <c r="K47" s="85"/>
    </row>
    <row r="48" spans="1:16" ht="15" customHeight="1" x14ac:dyDescent="0.3">
      <c r="A48" s="60"/>
      <c r="B48" s="36" t="str">
        <f>IF($A48="","",VLOOKUP($A48,Articles[],2,FALSE))</f>
        <v/>
      </c>
      <c r="C48" s="101"/>
      <c r="D48" s="102" t="str">
        <f>IF($A48="","",VLOOKUP($A48,Articles[],4,FALSE))</f>
        <v/>
      </c>
      <c r="E48" s="103">
        <f>IF($A48&lt;&gt;"",Devis[[#This Row],[PU H.T]]-Devis[[#This Row],[PA Unitaire]],0)</f>
        <v>0</v>
      </c>
      <c r="F48" s="105"/>
      <c r="G48" s="100">
        <f>IF($A48&lt;&gt;"",Devis[[#This Row],[PU H.T]]*Devis[[#This Row],[Qté]],0)</f>
        <v>0</v>
      </c>
      <c r="H48" s="100">
        <f>IF($A48&lt;&gt;"",Devis[[#This Row],[Qté]]*Devis[[#This Row],[Marge Unitaire]],0)</f>
        <v>0</v>
      </c>
      <c r="I48" s="104" t="str">
        <f>IF($A48="","",VLOOKUP($A48,Articles[],9,FALSE))</f>
        <v/>
      </c>
      <c r="J48" s="61">
        <f>IF($A48="",0,Devis[[#This Row],[ Marge HT]]/Devis[[#This Row],[Total HT]])</f>
        <v>0</v>
      </c>
      <c r="K48" s="85"/>
    </row>
    <row r="49" spans="1:16" ht="15" customHeight="1" x14ac:dyDescent="0.3">
      <c r="A49" s="60"/>
      <c r="B49" s="36" t="str">
        <f>IF($A49="","",VLOOKUP($A49,Articles[],2,FALSE))</f>
        <v/>
      </c>
      <c r="C49" s="101"/>
      <c r="D49" s="102" t="str">
        <f>IF($A49="","",VLOOKUP($A49,Articles[],4,FALSE))</f>
        <v/>
      </c>
      <c r="E49" s="103">
        <f>IF($A49&lt;&gt;"",Devis[[#This Row],[PU H.T]]-Devis[[#This Row],[PA Unitaire]],0)</f>
        <v>0</v>
      </c>
      <c r="F49" s="105"/>
      <c r="G49" s="100">
        <f>IF($A49&lt;&gt;"",Devis[[#This Row],[PU H.T]]*Devis[[#This Row],[Qté]],0)</f>
        <v>0</v>
      </c>
      <c r="H49" s="100">
        <f>IF($A49&lt;&gt;"",Devis[[#This Row],[Qté]]*Devis[[#This Row],[Marge Unitaire]],0)</f>
        <v>0</v>
      </c>
      <c r="I49" s="104" t="str">
        <f>IF($A49="","",VLOOKUP($A49,Articles[],9,FALSE))</f>
        <v/>
      </c>
      <c r="J49" s="61">
        <f>IF($A49="",0,Devis[[#This Row],[ Marge HT]]/Devis[[#This Row],[Total HT]])</f>
        <v>0</v>
      </c>
      <c r="K49" s="85"/>
    </row>
    <row r="50" spans="1:16" ht="15" customHeight="1" x14ac:dyDescent="0.3">
      <c r="A50" s="60"/>
      <c r="B50" s="36" t="str">
        <f>IF($A50="","",VLOOKUP($A50,Articles[],2,FALSE))</f>
        <v/>
      </c>
      <c r="C50" s="101"/>
      <c r="D50" s="102" t="str">
        <f>IF($A50="","",VLOOKUP($A50,Articles[],4,FALSE))</f>
        <v/>
      </c>
      <c r="E50" s="103">
        <f>IF($A50&lt;&gt;"",Devis[[#This Row],[PU H.T]]-Devis[[#This Row],[PA Unitaire]],0)</f>
        <v>0</v>
      </c>
      <c r="F50" s="105"/>
      <c r="G50" s="100">
        <f>IF($A50&lt;&gt;"",Devis[[#This Row],[PU H.T]]*Devis[[#This Row],[Qté]],0)</f>
        <v>0</v>
      </c>
      <c r="H50" s="100">
        <f>IF($A50&lt;&gt;"",Devis[[#This Row],[Qté]]*Devis[[#This Row],[Marge Unitaire]],0)</f>
        <v>0</v>
      </c>
      <c r="I50" s="104" t="str">
        <f>IF($A50="","",VLOOKUP($A50,Articles[],9,FALSE))</f>
        <v/>
      </c>
      <c r="J50" s="61">
        <f>IF($A50="",0,Devis[[#This Row],[ Marge HT]]/Devis[[#This Row],[Total HT]])</f>
        <v>0</v>
      </c>
      <c r="K50" s="85"/>
      <c r="L50" s="6"/>
      <c r="M50" s="6"/>
      <c r="N50" s="6"/>
      <c r="O50" s="6"/>
      <c r="P50" s="6"/>
    </row>
    <row r="51" spans="1:16" s="6" customFormat="1" ht="15" customHeight="1" x14ac:dyDescent="0.3">
      <c r="A51" s="60"/>
      <c r="B51" s="36" t="str">
        <f>IF($A51="","",VLOOKUP($A51,Articles[],2,FALSE))</f>
        <v/>
      </c>
      <c r="C51" s="101"/>
      <c r="D51" s="102" t="str">
        <f>IF($A51="","",VLOOKUP($A51,Articles[],4,FALSE))</f>
        <v/>
      </c>
      <c r="E51" s="103">
        <f>IF($A51&lt;&gt;"",Devis[[#This Row],[PU H.T]]-Devis[[#This Row],[PA Unitaire]],0)</f>
        <v>0</v>
      </c>
      <c r="F51" s="105"/>
      <c r="G51" s="100">
        <f>IF($A51&lt;&gt;"",Devis[[#This Row],[PU H.T]]*Devis[[#This Row],[Qté]],0)</f>
        <v>0</v>
      </c>
      <c r="H51" s="100">
        <f>IF($A51&lt;&gt;"",Devis[[#This Row],[Qté]]*Devis[[#This Row],[Marge Unitaire]],0)</f>
        <v>0</v>
      </c>
      <c r="I51" s="104" t="str">
        <f>IF($A51="","",VLOOKUP($A51,Articles[],9,FALSE))</f>
        <v/>
      </c>
      <c r="J51" s="61">
        <f>IF($A51="",0,Devis[[#This Row],[ Marge HT]]/Devis[[#This Row],[Total HT]])</f>
        <v>0</v>
      </c>
      <c r="K51" s="85"/>
    </row>
    <row r="52" spans="1:16" s="6" customFormat="1" ht="15" customHeight="1" x14ac:dyDescent="0.3">
      <c r="A52" s="60"/>
      <c r="B52" s="36" t="str">
        <f>IF($A52="","",VLOOKUP($A52,Articles[],2,FALSE))</f>
        <v/>
      </c>
      <c r="C52" s="101"/>
      <c r="D52" s="102" t="str">
        <f>IF($A52="","",VLOOKUP($A52,Articles[],4,FALSE))</f>
        <v/>
      </c>
      <c r="E52" s="103">
        <f>IF($A52&lt;&gt;"",Devis[[#This Row],[PU H.T]]-Devis[[#This Row],[PA Unitaire]],0)</f>
        <v>0</v>
      </c>
      <c r="F52" s="105"/>
      <c r="G52" s="100">
        <f>IF($A52&lt;&gt;"",Devis[[#This Row],[PU H.T]]*Devis[[#This Row],[Qté]],0)</f>
        <v>0</v>
      </c>
      <c r="H52" s="100">
        <f>IF($A52&lt;&gt;"",Devis[[#This Row],[Qté]]*Devis[[#This Row],[Marge Unitaire]],0)</f>
        <v>0</v>
      </c>
      <c r="I52" s="104" t="str">
        <f>IF($A52="","",VLOOKUP($A52,Articles[],9,FALSE))</f>
        <v/>
      </c>
      <c r="J52" s="61">
        <f>IF($A52="",0,Devis[[#This Row],[ Marge HT]]/Devis[[#This Row],[Total HT]])</f>
        <v>0</v>
      </c>
      <c r="K52" s="85"/>
      <c r="L52"/>
      <c r="M52"/>
      <c r="N52"/>
      <c r="O52"/>
      <c r="P52"/>
    </row>
    <row r="53" spans="1:16" s="52" customFormat="1" x14ac:dyDescent="0.3">
      <c r="A53" s="62"/>
      <c r="B53" s="63"/>
      <c r="C53" s="66"/>
      <c r="D53" s="66"/>
      <c r="E53" s="67"/>
      <c r="F53" s="82" t="s">
        <v>72</v>
      </c>
      <c r="G53" s="68">
        <f>SUBTOTAL(109,Devis[Total HT])</f>
        <v>0</v>
      </c>
      <c r="H53" s="64"/>
      <c r="I53" s="65"/>
      <c r="J53" s="69"/>
    </row>
    <row r="54" spans="1:16" ht="15.6" x14ac:dyDescent="0.3">
      <c r="A54" s="81" t="s">
        <v>71</v>
      </c>
      <c r="B54" s="83" t="s">
        <v>77</v>
      </c>
      <c r="C54" s="11"/>
      <c r="D54" s="11"/>
      <c r="E54" s="12"/>
      <c r="F54" s="18" t="s">
        <v>50</v>
      </c>
      <c r="G54" s="43"/>
      <c r="H54" s="13"/>
      <c r="I54" s="29"/>
      <c r="J54" s="14"/>
    </row>
    <row r="55" spans="1:16" x14ac:dyDescent="0.3">
      <c r="A55" s="9"/>
      <c r="B55" s="10"/>
      <c r="C55" s="11"/>
      <c r="D55" s="11"/>
      <c r="E55" s="12"/>
      <c r="F55" s="18" t="s">
        <v>57</v>
      </c>
      <c r="G55" s="44">
        <f>SUM(G54,Devis[[#Totals],[Total HT]])*20%</f>
        <v>0</v>
      </c>
      <c r="H55" s="13"/>
      <c r="I55" s="29"/>
      <c r="J55" s="14"/>
    </row>
    <row r="56" spans="1:16" x14ac:dyDescent="0.3">
      <c r="A56" s="15"/>
      <c r="B56" s="16"/>
      <c r="C56" s="56"/>
      <c r="D56" s="56"/>
      <c r="E56" s="56"/>
      <c r="F56" s="57" t="s">
        <v>49</v>
      </c>
      <c r="G56" s="77">
        <f>SUM(G54:G55,Devis[[#Totals],[Total HT]])</f>
        <v>0</v>
      </c>
      <c r="H56" s="17"/>
      <c r="I56" s="30"/>
      <c r="J56" s="17"/>
    </row>
    <row r="71" spans="1:10" x14ac:dyDescent="0.3">
      <c r="A71" s="120"/>
      <c r="B71" s="121" t="str">
        <f>IF($A71="","",VLOOKUP($A71,Articles[],2,FALSE))</f>
        <v/>
      </c>
      <c r="C71" s="122"/>
      <c r="D71" s="122" t="str">
        <f>IF($A71="","",VLOOKUP($A71,Articles[],4,FALSE))</f>
        <v/>
      </c>
      <c r="E71" s="122">
        <f>IF($A71&lt;&gt;"",Devis[[#This Row],[PU H.T]]-Devis[[#This Row],[PA Unitaire]],0)</f>
        <v>0</v>
      </c>
      <c r="F71" s="123"/>
      <c r="G71" s="124">
        <f>IF($A71&lt;&gt;"",Devis[[#This Row],[PU H.T]]*Devis[[#This Row],[Qté]],0)</f>
        <v>0</v>
      </c>
      <c r="H71" s="124">
        <f>IF($A71&lt;&gt;"",Devis[[#This Row],[Qté]]*Devis[[#This Row],[Marge Unitaire]],0)</f>
        <v>0</v>
      </c>
      <c r="I71" s="125" t="str">
        <f>IF($A71="","",VLOOKUP($A71,Articles[],9,FALSE))</f>
        <v/>
      </c>
      <c r="J71" s="126">
        <f>IF($A71="",0,Devis[[#This Row],[ Marge HT]]/Devis[[#This Row],[Total HT]])</f>
        <v>0</v>
      </c>
    </row>
  </sheetData>
  <sheetProtection selectLockedCells="1" selectUnlockedCells="1"/>
  <mergeCells count="9">
    <mergeCell ref="L3:M3"/>
    <mergeCell ref="L8:M8"/>
    <mergeCell ref="P11:Q11"/>
    <mergeCell ref="D9:E9"/>
    <mergeCell ref="P22:Q22"/>
    <mergeCell ref="H9:J9"/>
    <mergeCell ref="L11:M11"/>
    <mergeCell ref="L20:M20"/>
    <mergeCell ref="S11:T11"/>
  </mergeCells>
  <phoneticPr fontId="8" type="noConversion"/>
  <conditionalFormatting sqref="J13:J52">
    <cfRule type="cellIs" dxfId="61" priority="5" operator="lessThan">
      <formula>0.3</formula>
    </cfRule>
  </conditionalFormatting>
  <conditionalFormatting sqref="J71">
    <cfRule type="cellIs" dxfId="23" priority="2" operator="lessThan">
      <formula>0.3</formula>
    </cfRule>
  </conditionalFormatting>
  <conditionalFormatting sqref="J12">
    <cfRule type="cellIs" dxfId="21" priority="1" operator="lessThan">
      <formula>0.3</formula>
    </cfRule>
  </conditionalFormatting>
  <dataValidations count="5">
    <dataValidation type="list" allowBlank="1" showInputMessage="1" showErrorMessage="1" sqref="B2" xr:uid="{2229AFEF-93E4-4F57-9479-956D14A997CE}">
      <formula1>Devis_n°</formula1>
    </dataValidation>
    <dataValidation type="list" allowBlank="1" showInputMessage="1" showErrorMessage="1" sqref="A1:A1048576" xr:uid="{F5E2C0EB-E423-47A7-B0CB-0162E9DB9FC6}">
      <formula1>ARTICLE_2</formula1>
    </dataValidation>
    <dataValidation type="list" allowBlank="1" showInputMessage="1" showErrorMessage="1" sqref="M12" xr:uid="{00000000-0002-0000-0000-000001000000}">
      <formula1>Lib_Famille</formula1>
    </dataValidation>
    <dataValidation type="list" allowBlank="1" showInputMessage="1" showErrorMessage="1" sqref="L3:M3" xr:uid="{AEFCEED5-90E5-4180-B0B9-4F5C1AFF8493}">
      <formula1>LIBELLE_TIERS</formula1>
    </dataValidation>
    <dataValidation type="list" allowBlank="1" showInputMessage="1" showErrorMessage="1" sqref="L8:M8" xr:uid="{E801B66B-C852-4C64-94E2-2E51B0B695D1}">
      <formula1>Prospect</formula1>
    </dataValidation>
  </dataValidations>
  <pageMargins left="0.31496062992125984" right="0" top="0.19685039370078741" bottom="0.59055118110236227" header="0.31496062992125984" footer="0"/>
  <pageSetup paperSize="9" scale="80" fitToHeight="0" orientation="portrait" r:id="rId1"/>
  <headerFooter scaleWithDoc="0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53725EA-F4AD-44A1-9647-E02194D73182}">
          <x14:formula1>
            <xm:f>Commerciaux!$A:$A</xm:f>
          </x14:formula1>
          <xm:sqref>B54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E3"/>
  <sheetViews>
    <sheetView workbookViewId="0">
      <selection activeCell="A2" sqref="A2:A3"/>
    </sheetView>
  </sheetViews>
  <sheetFormatPr baseColWidth="10" defaultRowHeight="14.4" x14ac:dyDescent="0.3"/>
  <cols>
    <col min="1" max="1" width="15" bestFit="1" customWidth="1"/>
    <col min="3" max="3" width="23.44140625" bestFit="1" customWidth="1"/>
    <col min="4" max="4" width="12.5546875" customWidth="1"/>
    <col min="5" max="5" width="15.33203125" bestFit="1" customWidth="1"/>
  </cols>
  <sheetData>
    <row r="1" spans="1:5" x14ac:dyDescent="0.3">
      <c r="A1" s="106" t="s">
        <v>29</v>
      </c>
      <c r="B1" s="107" t="s">
        <v>30</v>
      </c>
      <c r="C1" s="107" t="s">
        <v>31</v>
      </c>
      <c r="D1" s="107" t="s">
        <v>32</v>
      </c>
      <c r="E1" s="108" t="s">
        <v>33</v>
      </c>
    </row>
    <row r="2" spans="1:5" x14ac:dyDescent="0.3">
      <c r="A2" s="20" t="s">
        <v>78</v>
      </c>
      <c r="B2" s="20"/>
      <c r="C2" s="86" t="s">
        <v>80</v>
      </c>
      <c r="D2">
        <v>16430</v>
      </c>
      <c r="E2" s="20" t="s">
        <v>81</v>
      </c>
    </row>
    <row r="3" spans="1:5" x14ac:dyDescent="0.3">
      <c r="A3" s="109" t="s">
        <v>79</v>
      </c>
      <c r="B3" s="109"/>
      <c r="C3" s="109" t="s">
        <v>82</v>
      </c>
      <c r="D3" s="109">
        <v>23587</v>
      </c>
      <c r="E3" s="109" t="s">
        <v>83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U28"/>
  <sheetViews>
    <sheetView workbookViewId="0">
      <selection activeCell="E7" sqref="E7"/>
    </sheetView>
  </sheetViews>
  <sheetFormatPr baseColWidth="10" defaultRowHeight="14.4" x14ac:dyDescent="0.3"/>
  <cols>
    <col min="1" max="1" width="13" customWidth="1"/>
    <col min="2" max="2" width="14.109375" customWidth="1"/>
    <col min="3" max="3" width="12.5546875" customWidth="1"/>
    <col min="4" max="4" width="12" bestFit="1" customWidth="1"/>
    <col min="5" max="5" width="16" bestFit="1" customWidth="1"/>
    <col min="7" max="7" width="17" bestFit="1" customWidth="1"/>
    <col min="8" max="8" width="67.44140625" bestFit="1" customWidth="1"/>
    <col min="9" max="9" width="51" bestFit="1" customWidth="1"/>
    <col min="10" max="10" width="26.44140625" bestFit="1" customWidth="1"/>
    <col min="11" max="11" width="15.5546875" bestFit="1" customWidth="1"/>
    <col min="12" max="12" width="13.44140625" bestFit="1" customWidth="1"/>
    <col min="13" max="13" width="17" bestFit="1" customWidth="1"/>
    <col min="14" max="14" width="17.44140625" customWidth="1"/>
    <col min="15" max="15" width="14.5546875" customWidth="1"/>
    <col min="16" max="16" width="11.109375" style="87" customWidth="1"/>
    <col min="17" max="17" width="31.6640625" bestFit="1" customWidth="1"/>
    <col min="18" max="18" width="11.44140625" customWidth="1"/>
    <col min="19" max="19" width="31.44140625" bestFit="1" customWidth="1"/>
    <col min="20" max="20" width="12.5546875" customWidth="1"/>
    <col min="21" max="21" width="24.6640625" bestFit="1" customWidth="1"/>
    <col min="22" max="22" width="14.6640625" bestFit="1" customWidth="1"/>
    <col min="23" max="24" width="21" bestFit="1" customWidth="1"/>
    <col min="25" max="25" width="26.6640625" bestFit="1" customWidth="1"/>
    <col min="26" max="26" width="9.109375" bestFit="1" customWidth="1"/>
    <col min="27" max="27" width="20.6640625" bestFit="1" customWidth="1"/>
    <col min="28" max="28" width="3.88671875" bestFit="1" customWidth="1"/>
    <col min="29" max="29" width="21.33203125" bestFit="1" customWidth="1"/>
    <col min="30" max="30" width="9.109375" bestFit="1" customWidth="1"/>
    <col min="31" max="31" width="21.88671875" bestFit="1" customWidth="1"/>
    <col min="32" max="32" width="4.5546875" bestFit="1" customWidth="1"/>
    <col min="33" max="33" width="27.33203125" bestFit="1" customWidth="1"/>
    <col min="34" max="34" width="5.109375" bestFit="1" customWidth="1"/>
    <col min="35" max="35" width="19.44140625" bestFit="1" customWidth="1"/>
    <col min="36" max="36" width="6.33203125" bestFit="1" customWidth="1"/>
    <col min="37" max="37" width="23.88671875" bestFit="1" customWidth="1"/>
    <col min="38" max="38" width="4.33203125" bestFit="1" customWidth="1"/>
    <col min="39" max="39" width="29.109375" bestFit="1" customWidth="1"/>
    <col min="40" max="40" width="11.88671875" bestFit="1" customWidth="1"/>
    <col min="41" max="41" width="15.109375" bestFit="1" customWidth="1"/>
    <col min="42" max="42" width="4.33203125" bestFit="1" customWidth="1"/>
    <col min="43" max="43" width="20" bestFit="1" customWidth="1"/>
    <col min="44" max="44" width="8.33203125" bestFit="1" customWidth="1"/>
    <col min="45" max="45" width="28.5546875" bestFit="1" customWidth="1"/>
    <col min="46" max="47" width="3.5546875" bestFit="1" customWidth="1"/>
    <col min="48" max="48" width="11.44140625" bestFit="1" customWidth="1"/>
    <col min="49" max="49" width="29.109375" bestFit="1" customWidth="1"/>
    <col min="50" max="50" width="7" bestFit="1" customWidth="1"/>
    <col min="51" max="51" width="30.5546875" bestFit="1" customWidth="1"/>
    <col min="52" max="52" width="7.6640625" bestFit="1" customWidth="1"/>
    <col min="53" max="53" width="21.88671875" bestFit="1" customWidth="1"/>
    <col min="54" max="54" width="13.109375" bestFit="1" customWidth="1"/>
    <col min="55" max="55" width="42.44140625" bestFit="1" customWidth="1"/>
    <col min="56" max="56" width="13.5546875" bestFit="1" customWidth="1"/>
    <col min="57" max="57" width="31.5546875" bestFit="1" customWidth="1"/>
    <col min="58" max="58" width="4.88671875" bestFit="1" customWidth="1"/>
    <col min="59" max="59" width="28.5546875" bestFit="1" customWidth="1"/>
    <col min="60" max="60" width="6.6640625" bestFit="1" customWidth="1"/>
    <col min="61" max="61" width="29.5546875" bestFit="1" customWidth="1"/>
    <col min="62" max="62" width="10.6640625" bestFit="1" customWidth="1"/>
    <col min="63" max="63" width="42" bestFit="1" customWidth="1"/>
    <col min="64" max="64" width="6.109375" bestFit="1" customWidth="1"/>
    <col min="65" max="65" width="38" bestFit="1" customWidth="1"/>
    <col min="66" max="66" width="4.88671875" bestFit="1" customWidth="1"/>
    <col min="67" max="67" width="27.33203125" bestFit="1" customWidth="1"/>
    <col min="68" max="68" width="7.44140625" bestFit="1" customWidth="1"/>
    <col min="69" max="69" width="33" bestFit="1" customWidth="1"/>
    <col min="70" max="70" width="9.33203125" bestFit="1" customWidth="1"/>
    <col min="71" max="71" width="32.33203125" bestFit="1" customWidth="1"/>
    <col min="72" max="72" width="10" bestFit="1" customWidth="1"/>
    <col min="73" max="73" width="22.44140625" bestFit="1" customWidth="1"/>
    <col min="74" max="74" width="4.88671875" bestFit="1" customWidth="1"/>
    <col min="75" max="75" width="38.44140625" bestFit="1" customWidth="1"/>
    <col min="76" max="76" width="4.88671875" bestFit="1" customWidth="1"/>
    <col min="77" max="77" width="32.6640625" bestFit="1" customWidth="1"/>
    <col min="78" max="78" width="16" bestFit="1" customWidth="1"/>
    <col min="79" max="79" width="12.109375" bestFit="1" customWidth="1"/>
    <col min="80" max="80" width="11.33203125" bestFit="1" customWidth="1"/>
    <col min="81" max="81" width="16.33203125" bestFit="1" customWidth="1"/>
    <col min="82" max="82" width="10.44140625" bestFit="1" customWidth="1"/>
    <col min="83" max="83" width="17.109375" bestFit="1" customWidth="1"/>
    <col min="84" max="84" width="8.6640625" bestFit="1" customWidth="1"/>
    <col min="85" max="85" width="31.6640625" bestFit="1" customWidth="1"/>
    <col min="86" max="86" width="15" bestFit="1" customWidth="1"/>
    <col min="87" max="87" width="29.6640625" bestFit="1" customWidth="1"/>
  </cols>
  <sheetData>
    <row r="1" spans="1:21" ht="18.600000000000001" thickBot="1" x14ac:dyDescent="0.4">
      <c r="B1" s="19" t="str">
        <f>Famille</f>
        <v>Colliers Fil</v>
      </c>
      <c r="E1" s="111" t="s">
        <v>1</v>
      </c>
      <c r="J1" s="2"/>
      <c r="K1" s="2"/>
    </row>
    <row r="2" spans="1:21" x14ac:dyDescent="0.3">
      <c r="E2" s="110" t="s">
        <v>4</v>
      </c>
    </row>
    <row r="3" spans="1:21" ht="15" thickBot="1" x14ac:dyDescent="0.35">
      <c r="A3" s="92" t="s">
        <v>0</v>
      </c>
      <c r="B3" s="93" t="s">
        <v>1</v>
      </c>
      <c r="C3" s="94" t="s">
        <v>2</v>
      </c>
      <c r="E3" s="87"/>
      <c r="G3" s="92" t="s">
        <v>2</v>
      </c>
      <c r="H3" s="93" t="s">
        <v>16</v>
      </c>
      <c r="I3" s="93" t="s">
        <v>3</v>
      </c>
      <c r="J3" s="93" t="s">
        <v>44</v>
      </c>
      <c r="K3" s="93" t="s">
        <v>48</v>
      </c>
      <c r="L3" s="93" t="s">
        <v>15</v>
      </c>
      <c r="M3" s="93" t="s">
        <v>26</v>
      </c>
      <c r="N3" s="93" t="s">
        <v>27</v>
      </c>
      <c r="O3" s="94" t="s">
        <v>28</v>
      </c>
      <c r="Q3" s="92" t="s">
        <v>29</v>
      </c>
      <c r="R3" s="93" t="s">
        <v>30</v>
      </c>
      <c r="S3" s="93" t="s">
        <v>31</v>
      </c>
      <c r="T3" s="93" t="s">
        <v>32</v>
      </c>
      <c r="U3" s="94" t="s">
        <v>33</v>
      </c>
    </row>
    <row r="4" spans="1:21" x14ac:dyDescent="0.3">
      <c r="A4" s="88" t="s">
        <v>84</v>
      </c>
      <c r="B4" s="47" t="s">
        <v>4</v>
      </c>
      <c r="C4" s="90" t="s">
        <v>51</v>
      </c>
      <c r="E4" s="87"/>
      <c r="G4" s="89" t="s">
        <v>51</v>
      </c>
      <c r="H4" s="48" t="s">
        <v>53</v>
      </c>
      <c r="I4" s="48" t="s">
        <v>54</v>
      </c>
      <c r="J4" s="49">
        <v>1</v>
      </c>
      <c r="K4" s="49">
        <v>1</v>
      </c>
      <c r="L4" s="49"/>
      <c r="M4" s="49">
        <v>2011</v>
      </c>
      <c r="N4" s="49">
        <v>0</v>
      </c>
      <c r="O4" s="50">
        <v>2011</v>
      </c>
      <c r="Q4" s="88" t="s">
        <v>85</v>
      </c>
      <c r="R4" s="47" t="s">
        <v>40</v>
      </c>
      <c r="S4" s="47" t="s">
        <v>91</v>
      </c>
      <c r="T4" s="47" t="s">
        <v>93</v>
      </c>
      <c r="U4" s="90" t="s">
        <v>39</v>
      </c>
    </row>
    <row r="5" spans="1:21" x14ac:dyDescent="0.3">
      <c r="A5" s="89" t="s">
        <v>84</v>
      </c>
      <c r="B5" s="48" t="s">
        <v>4</v>
      </c>
      <c r="C5" s="91" t="s">
        <v>5</v>
      </c>
      <c r="E5" s="87"/>
      <c r="G5" s="89" t="s">
        <v>5</v>
      </c>
      <c r="H5" s="48" t="s">
        <v>17</v>
      </c>
      <c r="I5" s="48" t="s">
        <v>6</v>
      </c>
      <c r="J5" s="49">
        <v>2</v>
      </c>
      <c r="K5" s="49">
        <v>2</v>
      </c>
      <c r="L5" s="49"/>
      <c r="M5" s="49">
        <v>690</v>
      </c>
      <c r="N5" s="49">
        <v>0</v>
      </c>
      <c r="O5" s="50">
        <v>690</v>
      </c>
      <c r="Q5" s="89" t="s">
        <v>86</v>
      </c>
      <c r="R5" s="48" t="s">
        <v>89</v>
      </c>
      <c r="S5" s="48" t="s">
        <v>34</v>
      </c>
      <c r="T5" s="48" t="s">
        <v>94</v>
      </c>
      <c r="U5" s="91" t="s">
        <v>35</v>
      </c>
    </row>
    <row r="6" spans="1:21" x14ac:dyDescent="0.3">
      <c r="A6" s="89" t="s">
        <v>84</v>
      </c>
      <c r="B6" s="48" t="s">
        <v>4</v>
      </c>
      <c r="C6" s="91" t="s">
        <v>7</v>
      </c>
      <c r="E6" s="87"/>
      <c r="G6" s="89" t="s">
        <v>7</v>
      </c>
      <c r="H6" s="48" t="s">
        <v>18</v>
      </c>
      <c r="I6" s="48" t="s">
        <v>8</v>
      </c>
      <c r="J6" s="49">
        <v>3</v>
      </c>
      <c r="K6" s="49">
        <v>3</v>
      </c>
      <c r="L6" s="49"/>
      <c r="M6" s="49">
        <v>1290</v>
      </c>
      <c r="N6" s="49">
        <v>0</v>
      </c>
      <c r="O6" s="50">
        <v>1290</v>
      </c>
      <c r="Q6" s="89" t="s">
        <v>87</v>
      </c>
      <c r="R6" s="48" t="s">
        <v>41</v>
      </c>
      <c r="S6" s="48" t="s">
        <v>92</v>
      </c>
      <c r="T6" s="48" t="s">
        <v>95</v>
      </c>
      <c r="U6" s="91" t="s">
        <v>36</v>
      </c>
    </row>
    <row r="7" spans="1:21" x14ac:dyDescent="0.3">
      <c r="A7" s="89" t="s">
        <v>84</v>
      </c>
      <c r="B7" s="48" t="s">
        <v>4</v>
      </c>
      <c r="C7" s="91" t="s">
        <v>9</v>
      </c>
      <c r="E7" s="87"/>
      <c r="G7" s="89" t="s">
        <v>9</v>
      </c>
      <c r="H7" s="48" t="s">
        <v>19</v>
      </c>
      <c r="I7" s="48" t="s">
        <v>10</v>
      </c>
      <c r="J7" s="49">
        <v>4</v>
      </c>
      <c r="K7" s="49">
        <v>4</v>
      </c>
      <c r="L7" s="49"/>
      <c r="M7" s="49">
        <v>10212</v>
      </c>
      <c r="N7" s="49">
        <v>0</v>
      </c>
      <c r="O7" s="50">
        <v>10212</v>
      </c>
      <c r="Q7" s="95" t="s">
        <v>88</v>
      </c>
      <c r="R7" s="96" t="s">
        <v>90</v>
      </c>
      <c r="S7" s="96" t="s">
        <v>37</v>
      </c>
      <c r="T7" s="96" t="s">
        <v>96</v>
      </c>
      <c r="U7" s="97" t="s">
        <v>38</v>
      </c>
    </row>
    <row r="8" spans="1:21" x14ac:dyDescent="0.3">
      <c r="A8" s="89" t="s">
        <v>84</v>
      </c>
      <c r="B8" s="48" t="s">
        <v>4</v>
      </c>
      <c r="C8" s="91" t="s">
        <v>11</v>
      </c>
      <c r="E8" s="87"/>
      <c r="G8" s="89" t="s">
        <v>11</v>
      </c>
      <c r="H8" s="48" t="s">
        <v>20</v>
      </c>
      <c r="I8" s="48" t="s">
        <v>10</v>
      </c>
      <c r="J8" s="49">
        <v>5</v>
      </c>
      <c r="K8" s="49">
        <v>5</v>
      </c>
      <c r="L8" s="49"/>
      <c r="M8" s="49">
        <v>1290</v>
      </c>
      <c r="N8" s="49">
        <v>0</v>
      </c>
      <c r="O8" s="50">
        <v>1290</v>
      </c>
    </row>
    <row r="9" spans="1:21" x14ac:dyDescent="0.3">
      <c r="A9" s="89" t="s">
        <v>84</v>
      </c>
      <c r="B9" s="48" t="s">
        <v>4</v>
      </c>
      <c r="C9" s="91" t="s">
        <v>52</v>
      </c>
      <c r="E9" s="87"/>
      <c r="G9" s="89" t="s">
        <v>52</v>
      </c>
      <c r="H9" s="48" t="s">
        <v>55</v>
      </c>
      <c r="I9" s="48" t="s">
        <v>56</v>
      </c>
      <c r="J9" s="49">
        <v>6</v>
      </c>
      <c r="K9" s="49">
        <v>6</v>
      </c>
      <c r="L9" s="49"/>
      <c r="M9" s="49">
        <v>3741</v>
      </c>
      <c r="N9" s="49">
        <v>0</v>
      </c>
      <c r="O9" s="50">
        <v>3741</v>
      </c>
    </row>
    <row r="10" spans="1:21" x14ac:dyDescent="0.3">
      <c r="A10" s="89" t="s">
        <v>84</v>
      </c>
      <c r="B10" s="48" t="s">
        <v>4</v>
      </c>
      <c r="C10" s="91" t="s">
        <v>12</v>
      </c>
      <c r="E10" s="87"/>
      <c r="G10" s="89" t="s">
        <v>12</v>
      </c>
      <c r="H10" s="48" t="s">
        <v>21</v>
      </c>
      <c r="I10" s="48" t="s">
        <v>13</v>
      </c>
      <c r="J10" s="49">
        <v>7</v>
      </c>
      <c r="K10" s="49">
        <v>7</v>
      </c>
      <c r="L10" s="49"/>
      <c r="M10" s="49">
        <v>16755</v>
      </c>
      <c r="N10" s="49">
        <v>0</v>
      </c>
      <c r="O10" s="50">
        <v>16755</v>
      </c>
    </row>
    <row r="11" spans="1:21" x14ac:dyDescent="0.3">
      <c r="A11" s="95" t="s">
        <v>84</v>
      </c>
      <c r="B11" s="96" t="s">
        <v>4</v>
      </c>
      <c r="C11" s="97" t="s">
        <v>14</v>
      </c>
      <c r="E11" s="87"/>
      <c r="G11" s="95" t="s">
        <v>14</v>
      </c>
      <c r="H11" s="96" t="s">
        <v>22</v>
      </c>
      <c r="I11" s="96" t="s">
        <v>13</v>
      </c>
      <c r="J11" s="98">
        <v>8</v>
      </c>
      <c r="K11" s="98">
        <v>8</v>
      </c>
      <c r="L11" s="98"/>
      <c r="M11" s="98">
        <v>0</v>
      </c>
      <c r="N11" s="98">
        <v>0</v>
      </c>
      <c r="O11" s="99">
        <v>0</v>
      </c>
    </row>
    <row r="12" spans="1:21" x14ac:dyDescent="0.3">
      <c r="E12" s="87"/>
    </row>
    <row r="13" spans="1:21" x14ac:dyDescent="0.3">
      <c r="E13" s="87"/>
    </row>
    <row r="14" spans="1:21" x14ac:dyDescent="0.3">
      <c r="E14" s="87"/>
    </row>
    <row r="15" spans="1:21" x14ac:dyDescent="0.3">
      <c r="E15" s="87"/>
    </row>
    <row r="16" spans="1:21" x14ac:dyDescent="0.3">
      <c r="E16" s="87"/>
    </row>
    <row r="17" spans="5:5" x14ac:dyDescent="0.3">
      <c r="E17" s="87"/>
    </row>
    <row r="18" spans="5:5" x14ac:dyDescent="0.3">
      <c r="E18" s="87"/>
    </row>
    <row r="19" spans="5:5" x14ac:dyDescent="0.3">
      <c r="E19" s="87"/>
    </row>
    <row r="20" spans="5:5" x14ac:dyDescent="0.3">
      <c r="E20" s="87"/>
    </row>
    <row r="21" spans="5:5" x14ac:dyDescent="0.3">
      <c r="E21" s="87"/>
    </row>
    <row r="22" spans="5:5" x14ac:dyDescent="0.3">
      <c r="E22" s="87"/>
    </row>
    <row r="23" spans="5:5" x14ac:dyDescent="0.3">
      <c r="E23" s="87"/>
    </row>
    <row r="24" spans="5:5" x14ac:dyDescent="0.3">
      <c r="E24" s="87"/>
    </row>
    <row r="25" spans="5:5" x14ac:dyDescent="0.3">
      <c r="E25" s="87"/>
    </row>
    <row r="26" spans="5:5" x14ac:dyDescent="0.3">
      <c r="E26" s="87"/>
    </row>
    <row r="27" spans="5:5" x14ac:dyDescent="0.3">
      <c r="E27" s="87"/>
    </row>
    <row r="28" spans="5:5" x14ac:dyDescent="0.3">
      <c r="E28" s="87"/>
    </row>
  </sheetData>
  <phoneticPr fontId="8" type="noConversion"/>
  <dataValidations count="1">
    <dataValidation type="list" allowBlank="1" showInputMessage="1" showErrorMessage="1" sqref="B1" xr:uid="{00000000-0002-0000-0100-000000000000}">
      <formula1>$E$2:$E$27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26E63-86C1-46EF-9C12-F8EBD2C4A941}">
  <sheetPr codeName="Feuil2"/>
  <dimension ref="A1:A2"/>
  <sheetViews>
    <sheetView workbookViewId="0">
      <selection activeCell="A3" sqref="A3"/>
    </sheetView>
  </sheetViews>
  <sheetFormatPr baseColWidth="10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71E248-071E-452C-BA12-67310EBFC6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Devis</vt:lpstr>
      <vt:lpstr>Nouveaux Prospects</vt:lpstr>
      <vt:lpstr>Sources</vt:lpstr>
      <vt:lpstr>Commerciaux</vt:lpstr>
      <vt:lpstr>ARTICLE</vt:lpstr>
      <vt:lpstr>ARTICLE_2</vt:lpstr>
      <vt:lpstr>Famille</vt:lpstr>
      <vt:lpstr>Lib_Famille</vt:lpstr>
      <vt:lpstr>LIBELLE_TIERS</vt:lpstr>
      <vt:lpstr>Prospect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2021-02-03T10:42:30Z</dcterms:created>
  <dcterms:modified xsi:type="dcterms:W3CDTF">2021-02-04T14:28:28Z</dcterms:modified>
</cp:coreProperties>
</file>