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SODATADDO\groupes\Methodes\METHODES D'ORGANISATION\05-ECHANGES\_OCCITANIE (sera déplacé sous peu)\DLJ\COMPARATIF HEURE\"/>
    </mc:Choice>
  </mc:AlternateContent>
  <xr:revisionPtr revIDLastSave="0" documentId="13_ncr:1_{DB1B2DD1-97C2-4768-B8F5-669B2D3D0EBF}" xr6:coauthVersionLast="45" xr6:coauthVersionMax="45" xr10:uidLastSave="{00000000-0000-0000-0000-000000000000}"/>
  <bookViews>
    <workbookView xWindow="-120" yWindow="-120" windowWidth="29040" windowHeight="15840" activeTab="3" xr2:uid="{305A3F19-DF87-40E6-8071-B9DD621CFD76}"/>
  </bookViews>
  <sheets>
    <sheet name="B-G1-00" sheetId="4" r:id="rId1"/>
    <sheet name="B-G1-01" sheetId="5" r:id="rId2"/>
    <sheet name="B-G1-02" sheetId="6" r:id="rId3"/>
    <sheet name="COMPAR EDP (2)" sheetId="3" r:id="rId4"/>
    <sheet name="TABLEAU DE BASE" sheetId="2" r:id="rId5"/>
  </sheets>
  <externalReferences>
    <externalReference r:id="rId6"/>
    <externalReference r:id="rId7"/>
  </externalReferences>
  <definedNames>
    <definedName name="BMO.GABARIT.LIGNE" localSheetId="0">'B-G1-00'!$13:$13</definedName>
    <definedName name="BMO.GABARIT.LIGNE" localSheetId="1">'B-G1-01'!$10:$10</definedName>
    <definedName name="BMO.GABARIT.LIGNE" localSheetId="2">'B-G1-02'!$12:$12</definedName>
    <definedName name="BMO.NEXT" localSheetId="0">'B-G1-00'!$36:$36</definedName>
    <definedName name="BMO.NEXT" localSheetId="1">'B-G1-01'!$54:$54</definedName>
    <definedName name="BMO.NEXT" localSheetId="2">'B-G1-02'!#REF!</definedName>
    <definedName name="OUVRAGES" localSheetId="0">[1]Categories_CDG!$E$3:$E$30</definedName>
    <definedName name="OUVRAGES" localSheetId="1">[1]Categories_CDG!$E$3:$E$30</definedName>
    <definedName name="OUVRAGES" localSheetId="2">[1]Categories_CDG!$E$3:$E$30</definedName>
    <definedName name="OUVRAGES" localSheetId="3">[1]Categories_CDG!$E$3:$E$30</definedName>
    <definedName name="OUVRAGES">[2]Categories_CDG!$E$3:$E$30</definedName>
    <definedName name="PHFONDATION">'B-G1-00'!$W$45:$AB$75</definedName>
    <definedName name="PHR_01">'B-G1-01'!$W$60:$AB$89</definedName>
    <definedName name="PHRDC">'B-G1-02'!$W$92:$AB$122</definedName>
    <definedName name="VCF.B.EQUIPE.1" localSheetId="0">'B-G1-00'!$12:$23</definedName>
    <definedName name="VCF.B.EQUIPE.1" localSheetId="1">'B-G1-01'!$9:$20</definedName>
    <definedName name="VCF.B.EQUIPE.1" localSheetId="2">'B-G1-02'!$11:$22</definedName>
    <definedName name="VCF.BMO.ALL" localSheetId="0">OFFSET([1]BMO!$B$6,0,0,250,1)</definedName>
    <definedName name="VCF.BMO.ALL" localSheetId="1">OFFSET([1]BMO!$B$6,0,0,250,1)</definedName>
    <definedName name="VCF.BMO.ALL" localSheetId="2">OFFSET([1]BMO!$B$6,0,0,250,1)</definedName>
    <definedName name="VCF.BMO.ALL" localSheetId="3">OFFSET([1]BMO!$B$6,0,0,250,1)</definedName>
    <definedName name="VCF.BMO.ALL">OFFSET([2]BMO!$B$6,0,0,250,1)</definedName>
    <definedName name="VCF.BMO.END" localSheetId="0">'B-G1-00'!$40:$40</definedName>
    <definedName name="VCF.BMO.END" localSheetId="1">'B-G1-01'!$56:$56</definedName>
    <definedName name="VCF.BMO.END" localSheetId="2">'B-G1-02'!$88:$88</definedName>
    <definedName name="VCF.BMO.FINITION" localSheetId="0">'B-G1-00'!$37:$37</definedName>
    <definedName name="VCF.BMO.FINITION" localSheetId="1">'B-G1-01'!#REF!</definedName>
    <definedName name="VCF.BMO.FINITION" localSheetId="2">'B-G1-02'!$85:$85</definedName>
    <definedName name="VCF.BMO.INSTALL" localSheetId="0">OFFSET([1]BMO!$W$6,0,0,200,1)</definedName>
    <definedName name="VCF.BMO.INSTALL" localSheetId="1">OFFSET([1]BMO!$W$6,0,0,200,1)</definedName>
    <definedName name="VCF.BMO.INSTALL" localSheetId="2">OFFSET([1]BMO!$W$6,0,0,200,1)</definedName>
    <definedName name="VCF.BMO.INSTALL" localSheetId="3">OFFSET([1]BMO!$W$6,0,0,200,1)</definedName>
    <definedName name="VCF.BMO.INSTALL">OFFSET([2]BMO!$W$6,0,0,200,1)</definedName>
    <definedName name="VCF.BMO.LIBRE" localSheetId="0">'B-G1-00'!$A$41:$AB$98</definedName>
    <definedName name="VCF.BMO.LIBRE" localSheetId="1">'B-G1-01'!$A$57:$AB$114</definedName>
    <definedName name="VCF.BMO.LIBRE" localSheetId="2">'B-G1-02'!$A$89:$AB$147</definedName>
    <definedName name="VCF.BMO.MONTAGE" localSheetId="0">'B-G1-00'!$6:$6</definedName>
    <definedName name="VCF.BMO.MONTAGE" localSheetId="1">'B-G1-01'!$6:$6</definedName>
    <definedName name="VCF.BMO.MONTAGE" localSheetId="2">'B-G1-02'!$6:$6</definedName>
    <definedName name="VCF.BMO.OD" localSheetId="0">OFFSET([1]BMO!$P$6,0,0,50,1)</definedName>
    <definedName name="VCF.BMO.OD" localSheetId="1">OFFSET([1]BMO!$P$6,0,0,50,1)</definedName>
    <definedName name="VCF.BMO.OD" localSheetId="2">OFFSET([1]BMO!$P$6,0,0,50,1)</definedName>
    <definedName name="VCF.BMO.OD" localSheetId="3">OFFSET([1]BMO!$P$6,0,0,50,1)</definedName>
    <definedName name="VCF.BMO.OD">OFFSET([2]BMO!$P$6,0,0,50,1)</definedName>
    <definedName name="VCF.BMO.PREFA" localSheetId="0">OFFSET([1]BMO!$I$6,0,0,50,1)</definedName>
    <definedName name="VCF.BMO.PREFA" localSheetId="1">OFFSET([1]BMO!$I$6,0,0,50,1)</definedName>
    <definedName name="VCF.BMO.PREFA" localSheetId="2">OFFSET([1]BMO!$I$6,0,0,50,1)</definedName>
    <definedName name="VCF.BMO.PREFA" localSheetId="3">OFFSET([1]BMO!$I$6,0,0,50,1)</definedName>
    <definedName name="VCF.BMO.PREFA">OFFSET([2]BMO!$I$6,0,0,50,1)</definedName>
    <definedName name="VCF.BMO.SUIVI.ARCHIVE" localSheetId="0">'B-G1-00'!#REF!</definedName>
    <definedName name="VCF.BMO.SUIVI.ARCHIVE" localSheetId="1">'B-G1-01'!#REF!</definedName>
    <definedName name="VCF.BMO.SUIVI.ARCHIVE" localSheetId="2">'B-G1-02'!#REF!</definedName>
    <definedName name="VCF.BMO.SUIVI.CUMULE" localSheetId="0">'B-G1-00'!#REF!</definedName>
    <definedName name="VCF.BMO.SUIVI.CUMULE" localSheetId="1">'B-G1-01'!#REF!</definedName>
    <definedName name="VCF.BMO.SUIVI.CUMULE" localSheetId="2">'B-G1-02'!#REF!</definedName>
    <definedName name="VCF.C.DUREE_NIVEAU" localSheetId="0">#REF!</definedName>
    <definedName name="VCF.C.DUREE_NIVEAU" localSheetId="1">#REF!</definedName>
    <definedName name="VCF.C.DUREE_NIVEAU" localSheetId="2">#REF!</definedName>
    <definedName name="VCF.C.DUREE_NIVEAU" localSheetId="3">#REF!</definedName>
    <definedName name="VCF.C.DUREE_NIVEAU">#REF!</definedName>
    <definedName name="VCF.CATEGORIES.NOT.PREFA" localSheetId="0">[1]Categories_CDG!$B$3:$B$47</definedName>
    <definedName name="VCF.CATEGORIES.NOT.PREFA" localSheetId="1">[1]Categories_CDG!$B$3:$B$47</definedName>
    <definedName name="VCF.CATEGORIES.NOT.PREFA" localSheetId="2">[1]Categories_CDG!$B$3:$B$47</definedName>
    <definedName name="VCF.CATEGORIES.NOT.PREFA" localSheetId="3">[1]Categories_CDG!$B$3:$B$47</definedName>
    <definedName name="VCF.CATEGORIES.NOT.PREFA">[2]Categories_CDG!$B$3:$B$47</definedName>
    <definedName name="VCF.CATEGORIES.PREFA" localSheetId="0">[1]Categories_CDG!$B$48:$B$53</definedName>
    <definedName name="VCF.CATEGORIES.PREFA" localSheetId="1">[1]Categories_CDG!$B$48:$B$53</definedName>
    <definedName name="VCF.CATEGORIES.PREFA" localSheetId="2">[1]Categories_CDG!$B$48:$B$53</definedName>
    <definedName name="VCF.CATEGORIES.PREFA" localSheetId="3">[1]Categories_CDG!$B$48:$B$53</definedName>
    <definedName name="VCF.CATEGORIES.PREFA">[2]Categories_CDG!$B$48:$B$53</definedName>
    <definedName name="VCF.ENTREPRISES.NOMS" localSheetId="0">[1]Entreprises!$A$1:$A$30</definedName>
    <definedName name="VCF.ENTREPRISES.NOMS" localSheetId="1">[1]Entreprises!$A$1:$A$30</definedName>
    <definedName name="VCF.ENTREPRISES.NOMS" localSheetId="2">[1]Entreprises!$A$1:$A$30</definedName>
    <definedName name="VCF.ENTREPRISES.NOMS" localSheetId="3">[1]Entreprises!$A$1:$A$30</definedName>
    <definedName name="VCF.ENTREPRISES.NOMS">[2]Entreprises!$A$1:$A$30</definedName>
    <definedName name="VCF.SOMMAIRE.CHANTIER" localSheetId="0">[1]Sommaire!$B$3</definedName>
    <definedName name="VCF.SOMMAIRE.CHANTIER" localSheetId="1">[1]Sommaire!$B$3</definedName>
    <definedName name="VCF.SOMMAIRE.CHANTIER" localSheetId="2">[1]Sommaire!$B$3</definedName>
    <definedName name="VCF.SOMMAIRE.CHANTIER" localSheetId="3">[1]Sommaire!$B$3</definedName>
    <definedName name="VCF.SOMMAIRE.CHANTIER">[2]Sommaire!$B$3</definedName>
    <definedName name="VCF.SOMMAIRE.DATEBY" localSheetId="0">[1]Sommaire!$B$2</definedName>
    <definedName name="VCF.SOMMAIRE.DATEBY" localSheetId="1">[1]Sommaire!$B$2</definedName>
    <definedName name="VCF.SOMMAIRE.DATEBY" localSheetId="2">[1]Sommaire!$B$2</definedName>
    <definedName name="VCF.SOMMAIRE.DATEBY" localSheetId="3">[1]Sommaire!$B$2</definedName>
    <definedName name="VCF.SOMMAIRE.DATEBY">[2]Sommaire!$B$2</definedName>
    <definedName name="VCF.SOMMAIRE.ENTREPRISE" localSheetId="0">[1]Sommaire!$B$4</definedName>
    <definedName name="VCF.SOMMAIRE.ENTREPRISE" localSheetId="1">[1]Sommaire!$B$4</definedName>
    <definedName name="VCF.SOMMAIRE.ENTREPRISE" localSheetId="2">[1]Sommaire!$B$4</definedName>
    <definedName name="VCF.SOMMAIRE.ENTREPRISE" localSheetId="3">[1]Sommaire!$B$4</definedName>
    <definedName name="VCF.SOMMAIRE.ENTREPRISE">[2]Sommaire!$B$4</definedName>
    <definedName name="VCF.SOMMAIRE.GRUES.G1" localSheetId="0">[1]Sommaire!$B$12</definedName>
    <definedName name="VCF.SOMMAIRE.GRUES.G1" localSheetId="1">[1]Sommaire!$B$12</definedName>
    <definedName name="VCF.SOMMAIRE.GRUES.G1" localSheetId="2">[1]Sommaire!$B$12</definedName>
    <definedName name="VCF.SOMMAIRE.GRUES.G1" localSheetId="3">[1]Sommaire!$B$12</definedName>
    <definedName name="VCF.SOMMAIRE.GRUES.G1">[2]Sommaire!$B$12</definedName>
    <definedName name="VCF.SOMMAIRE.HYP1" localSheetId="0">[1]Sommaire!$B$8</definedName>
    <definedName name="VCF.SOMMAIRE.HYP1" localSheetId="1">[1]Sommaire!$B$8</definedName>
    <definedName name="VCF.SOMMAIRE.HYP1" localSheetId="2">[1]Sommaire!$B$8</definedName>
    <definedName name="VCF.SOMMAIRE.HYP1" localSheetId="3">[1]Sommaire!$B$8</definedName>
    <definedName name="VCF.SOMMAIRE.HYP1">[2]Sommaire!$B$8</definedName>
    <definedName name="VCF.SOMMAIRE.HYP2" localSheetId="0">[1]Sommaire!$B$9</definedName>
    <definedName name="VCF.SOMMAIRE.HYP2" localSheetId="1">[1]Sommaire!$B$9</definedName>
    <definedName name="VCF.SOMMAIRE.HYP2" localSheetId="2">[1]Sommaire!$B$9</definedName>
    <definedName name="VCF.SOMMAIRE.HYP2" localSheetId="3">[1]Sommaire!$B$9</definedName>
    <definedName name="VCF.SOMMAIRE.HYP2">[2]Sommaire!$B$9</definedName>
    <definedName name="VCF.SOMMAIRE.INDICE" localSheetId="0">[1]Sommaire!$B$6</definedName>
    <definedName name="VCF.SOMMAIRE.INDICE" localSheetId="1">[1]Sommaire!$B$6</definedName>
    <definedName name="VCF.SOMMAIRE.INDICE" localSheetId="2">[1]Sommaire!$B$6</definedName>
    <definedName name="VCF.SOMMAIRE.INDICE" localSheetId="3">[1]Sommaire!$B$6</definedName>
    <definedName name="VCF.SOMMAIRE.INDICE">[2]Sommaire!$B$6</definedName>
    <definedName name="VCF.SOMMAIRE.NIVEAUX.61336566323664612D643233662D343635632D393361322D626130363130303361613063.32666538376562332D316236392D343138332D393238342D666633316362353238643732.35303839326438622D393938392D343662372D626466332D373437306130636666343566" localSheetId="0">[1]Sommaire!#REF!</definedName>
    <definedName name="VCF.SOMMAIRE.NIVEAUX.61336566323664612D643233662D343635632D393361322D626130363130303361613063.32666538376562332D316236392D343138332D393238342D666633316362353238643732.35303839326438622D393938392D343662372D626466332D373437306130636666343566" localSheetId="1">[1]Sommaire!#REF!</definedName>
    <definedName name="VCF.SOMMAIRE.NIVEAUX.61336566323664612D643233662D343635632D393361322D626130363130303361613063.32666538376562332D316236392D343138332D393238342D666633316362353238643732.35303839326438622D393938392D343662372D626466332D373437306130636666343566" localSheetId="2">[1]Sommaire!#REF!</definedName>
    <definedName name="VCF.SOMMAIRE.NIVEAUX.61336566323664612D643233662D343635632D393361322D626130363130303361613063.32666538376562332D316236392D343138332D393238342D666633316362353238643732.35303839326438622D393938392D343662372D626466332D373437306130636666343566" localSheetId="3">[1]Sommaire!#REF!</definedName>
    <definedName name="VCF.SOMMAIRE.NIVEAUX.61336566323664612D643233662D343635632D393361322D626130363130303361613063.32666538376562332D316236392D343138332D393238342D666633316362353238643732.35303839326438622D393938392D343662372D626466332D373437306130636666343566">[2]Sommaire!#REF!</definedName>
    <definedName name="VCF.SOMMAIRE.NIVEAUX.63366237336634372D623230622D346366342D613132662D643661386338316337363564.65653364353933342D663566652D346664302D626536352D363265393836356538316230.32366234663732352D333732362D346135622D626662632D366131643466386630326165" localSheetId="0">[1]Sommaire!$C$20</definedName>
    <definedName name="VCF.SOMMAIRE.NIVEAUX.63366237336634372D623230622D346366342D613132662D643661386338316337363564.65653364353933342D663566652D346664302D626536352D363265393836356538316230.32366234663732352D333732362D346135622D626662632D366131643466386630326165" localSheetId="1">[1]Sommaire!$C$20</definedName>
    <definedName name="VCF.SOMMAIRE.NIVEAUX.63366237336634372D623230622D346366342D613132662D643661386338316337363564.65653364353933342D663566652D346664302D626536352D363265393836356538316230.32366234663732352D333732362D346135622D626662632D366131643466386630326165" localSheetId="2">[1]Sommaire!$C$20</definedName>
    <definedName name="VCF.SOMMAIRE.NIVEAUX.63366237336634372D623230622D346366342D613132662D643661386338316337363564.65653364353933342D663566652D346664302D626536352D363265393836356538316230.32366234663732352D333732362D346135622D626662632D366131643466386630326165" localSheetId="3">[1]Sommaire!$C$20</definedName>
    <definedName name="VCF.SOMMAIRE.NIVEAUX.63366237336634372D623230622D346366342D613132662D643661386338316337363564.65653364353933342D663566652D346664302D626536352D363265393836356538316230.32366234663732352D333732362D346135622D626662632D366131643466386630326165">[2]Sommaire!$C$20</definedName>
    <definedName name="VCF.SOMMAIRE.NIVEAUX.63366237336634372D623230622D346366342D613132662D643661386338316337363564.65653364353933342D663566652D346664302D626536352D363265393836356538316230.34313563623836342D333836312D343830392D386632612D383735343239623038346562" localSheetId="0">[1]Sommaire!$C$21</definedName>
    <definedName name="VCF.SOMMAIRE.NIVEAUX.63366237336634372D623230622D346366342D613132662D643661386338316337363564.65653364353933342D663566652D346664302D626536352D363265393836356538316230.34313563623836342D333836312D343830392D386632612D383735343239623038346562" localSheetId="1">[1]Sommaire!$C$21</definedName>
    <definedName name="VCF.SOMMAIRE.NIVEAUX.63366237336634372D623230622D346366342D613132662D643661386338316337363564.65653364353933342D663566652D346664302D626536352D363265393836356538316230.34313563623836342D333836312D343830392D386632612D383735343239623038346562" localSheetId="2">[1]Sommaire!$C$21</definedName>
    <definedName name="VCF.SOMMAIRE.NIVEAUX.63366237336634372D623230622D346366342D613132662D643661386338316337363564.65653364353933342D663566652D346664302D626536352D363265393836356538316230.34313563623836342D333836312D343830392D386632612D383735343239623038346562" localSheetId="3">[1]Sommaire!$C$21</definedName>
    <definedName name="VCF.SOMMAIRE.NIVEAUX.63366237336634372D623230622D346366342D613132662D643661386338316337363564.65653364353933342D663566652D346664302D626536352D363265393836356538316230.34313563623836342D333836312D343830392D386632612D383735343239623038346562">[2]Sommaire!$C$21</definedName>
    <definedName name="VCF.SOMMAIRE.NIVEAUX.63366237336634372D623230622D346366342D613132662D643661386338316337363564.65653364353933342D663566652D346664302D626536352D363265393836356538316230.36666132623934362D613161332D346631302D616561632D356539623331306463623835" localSheetId="0">[1]Sommaire!$C$25</definedName>
    <definedName name="VCF.SOMMAIRE.NIVEAUX.63366237336634372D623230622D346366342D613132662D643661386338316337363564.65653364353933342D663566652D346664302D626536352D363265393836356538316230.36666132623934362D613161332D346631302D616561632D356539623331306463623835" localSheetId="1">[1]Sommaire!$C$25</definedName>
    <definedName name="VCF.SOMMAIRE.NIVEAUX.63366237336634372D623230622D346366342D613132662D643661386338316337363564.65653364353933342D663566652D346664302D626536352D363265393836356538316230.36666132623934362D613161332D346631302D616561632D356539623331306463623835" localSheetId="2">[1]Sommaire!$C$25</definedName>
    <definedName name="VCF.SOMMAIRE.NIVEAUX.63366237336634372D623230622D346366342D613132662D643661386338316337363564.65653364353933342D663566652D346664302D626536352D363265393836356538316230.36666132623934362D613161332D346631302D616561632D356539623331306463623835" localSheetId="3">[1]Sommaire!$C$25</definedName>
    <definedName name="VCF.SOMMAIRE.NIVEAUX.63366237336634372D623230622D346366342D613132662D643661386338316337363564.65653364353933342D663566652D346664302D626536352D363265393836356538316230.36666132623934362D613161332D346631302D616561632D356539623331306463623835">[2]Sommaire!$C$25</definedName>
    <definedName name="VCF.SOMMAIRE.NIVEAUX.63366237336634372D623230622D346366342D613132662D643661386338316337363564.65653364353933342D663566652D346664302D626536352D363265393836356538316230.37393062373530392D633130312D343465622D393131392D666531373035313863396133" localSheetId="0">[1]Sommaire!$C$26</definedName>
    <definedName name="VCF.SOMMAIRE.NIVEAUX.63366237336634372D623230622D346366342D613132662D643661386338316337363564.65653364353933342D663566652D346664302D626536352D363265393836356538316230.37393062373530392D633130312D343465622D393131392D666531373035313863396133" localSheetId="1">[1]Sommaire!$C$26</definedName>
    <definedName name="VCF.SOMMAIRE.NIVEAUX.63366237336634372D623230622D346366342D613132662D643661386338316337363564.65653364353933342D663566652D346664302D626536352D363265393836356538316230.37393062373530392D633130312D343465622D393131392D666531373035313863396133" localSheetId="2">[1]Sommaire!$C$26</definedName>
    <definedName name="VCF.SOMMAIRE.NIVEAUX.63366237336634372D623230622D346366342D613132662D643661386338316337363564.65653364353933342D663566652D346664302D626536352D363265393836356538316230.37393062373530392D633130312D343465622D393131392D666531373035313863396133" localSheetId="3">[1]Sommaire!$C$26</definedName>
    <definedName name="VCF.SOMMAIRE.NIVEAUX.63366237336634372D623230622D346366342D613132662D643661386338316337363564.65653364353933342D663566652D346664302D626536352D363265393836356538316230.37393062373530392D633130312D343465622D393131392D666531373035313863396133">[2]Sommaire!$C$26</definedName>
    <definedName name="VCF.SOMMAIRE.NIVEAUX.63366237336634372D623230622D346366342D613132662D643661386338316337363564.65653364353933342D663566652D346664302D626536352D363265393836356538316230.61323034363735372D633863622D343638352D623331662D383763653463663533646531" localSheetId="0">[1]Sommaire!$C$22</definedName>
    <definedName name="VCF.SOMMAIRE.NIVEAUX.63366237336634372D623230622D346366342D613132662D643661386338316337363564.65653364353933342D663566652D346664302D626536352D363265393836356538316230.61323034363735372D633863622D343638352D623331662D383763653463663533646531" localSheetId="1">[1]Sommaire!$C$22</definedName>
    <definedName name="VCF.SOMMAIRE.NIVEAUX.63366237336634372D623230622D346366342D613132662D643661386338316337363564.65653364353933342D663566652D346664302D626536352D363265393836356538316230.61323034363735372D633863622D343638352D623331662D383763653463663533646531" localSheetId="2">[1]Sommaire!$C$22</definedName>
    <definedName name="VCF.SOMMAIRE.NIVEAUX.63366237336634372D623230622D346366342D613132662D643661386338316337363564.65653364353933342D663566652D346664302D626536352D363265393836356538316230.61323034363735372D633863622D343638352D623331662D383763653463663533646531" localSheetId="3">[1]Sommaire!$C$22</definedName>
    <definedName name="VCF.SOMMAIRE.NIVEAUX.63366237336634372D623230622D346366342D613132662D643661386338316337363564.65653364353933342D663566652D346664302D626536352D363265393836356538316230.61323034363735372D633863622D343638352D623331662D383763653463663533646531">[2]Sommaire!$C$22</definedName>
    <definedName name="VCF.SOMMAIRE.NIVEAUX.63366237336634372D623230622D346366342D613132662D643661386338316337363564.65653364353933342D663566652D346664302D626536352D363265393836356538316230.63343061636334632D313539322D346631352D613964632D613534353464663365303761" localSheetId="0">[1]Sommaire!$C$23</definedName>
    <definedName name="VCF.SOMMAIRE.NIVEAUX.63366237336634372D623230622D346366342D613132662D643661386338316337363564.65653364353933342D663566652D346664302D626536352D363265393836356538316230.63343061636334632D313539322D346631352D613964632D613534353464663365303761" localSheetId="1">[1]Sommaire!$C$23</definedName>
    <definedName name="VCF.SOMMAIRE.NIVEAUX.63366237336634372D623230622D346366342D613132662D643661386338316337363564.65653364353933342D663566652D346664302D626536352D363265393836356538316230.63343061636334632D313539322D346631352D613964632D613534353464663365303761" localSheetId="2">[1]Sommaire!$C$23</definedName>
    <definedName name="VCF.SOMMAIRE.NIVEAUX.63366237336634372D623230622D346366342D613132662D643661386338316337363564.65653364353933342D663566652D346664302D626536352D363265393836356538316230.63343061636334632D313539322D346631352D613964632D613534353464663365303761" localSheetId="3">[1]Sommaire!$C$23</definedName>
    <definedName name="VCF.SOMMAIRE.NIVEAUX.63366237336634372D623230622D346366342D613132662D643661386338316337363564.65653364353933342D663566652D346664302D626536352D363265393836356538316230.63343061636334632D313539322D346631352D613964632D613534353464663365303761">[2]Sommaire!$C$23</definedName>
    <definedName name="VCF.SOMMAIRE.NIVEAUX.63366237336634372D623230622D346366342D613132662D643661386338316337363564.65653364353933342D663566652D346664302D626536352D363265393836356538316230.64343864653464632D346338642D346463642D383631632D353035643432396134623761" localSheetId="0">[1]Sommaire!$C$24</definedName>
    <definedName name="VCF.SOMMAIRE.NIVEAUX.63366237336634372D623230622D346366342D613132662D643661386338316337363564.65653364353933342D663566652D346664302D626536352D363265393836356538316230.64343864653464632D346338642D346463642D383631632D353035643432396134623761" localSheetId="1">[1]Sommaire!$C$24</definedName>
    <definedName name="VCF.SOMMAIRE.NIVEAUX.63366237336634372D623230622D346366342D613132662D643661386338316337363564.65653364353933342D663566652D346664302D626536352D363265393836356538316230.64343864653464632D346338642D346463642D383631632D353035643432396134623761" localSheetId="2">[1]Sommaire!$C$24</definedName>
    <definedName name="VCF.SOMMAIRE.NIVEAUX.63366237336634372D623230622D346366342D613132662D643661386338316337363564.65653364353933342D663566652D346664302D626536352D363265393836356538316230.64343864653464632D346338642D346463642D383631632D353035643432396134623761" localSheetId="3">[1]Sommaire!$C$24</definedName>
    <definedName name="VCF.SOMMAIRE.NIVEAUX.63366237336634372D623230622D346366342D613132662D643661386338316337363564.65653364353933342D663566652D346664302D626536352D363265393836356538316230.64343864653464632D346338642D346463642D383631632D353035643432396134623761">[2]Sommaire!$C$24</definedName>
    <definedName name="VCF.SOMMAIRE.NUM_DOC" localSheetId="0">[1]Sommaire!$B$5</definedName>
    <definedName name="VCF.SOMMAIRE.NUM_DOC" localSheetId="1">[1]Sommaire!$B$5</definedName>
    <definedName name="VCF.SOMMAIRE.NUM_DOC" localSheetId="2">[1]Sommaire!$B$5</definedName>
    <definedName name="VCF.SOMMAIRE.NUM_DOC" localSheetId="3">[1]Sommaire!$B$5</definedName>
    <definedName name="VCF.SOMMAIRE.NUM_DOC">[2]Sommaire!$B$5</definedName>
    <definedName name="_xlnm.Print_Area" localSheetId="0">'B-G1-00'!$A$1:$AB$40</definedName>
    <definedName name="_xlnm.Print_Area" localSheetId="1">'B-G1-01'!$A$1:$AB$56</definedName>
    <definedName name="_xlnm.Print_Area" localSheetId="2">'B-G1-02'!$A$1:$AB$88</definedName>
    <definedName name="_xlnm.Print_Area" localSheetId="3">'COMPAR EDP (2)'!$B$1:$M$43</definedName>
    <definedName name="Zone_d_impression_par_defaut" localSheetId="0">'B-G1-00'!$A$1:$AB$40</definedName>
    <definedName name="Zone_d_impression_par_defaut" localSheetId="1">'B-G1-01'!$A$1:$AB$56</definedName>
    <definedName name="Zone_d_impression_par_defaut" localSheetId="2">'B-G1-02'!$A$1:$AB$88</definedName>
    <definedName name="Zone_d_impression_suivi" localSheetId="0">'B-G1-00'!#REF!</definedName>
    <definedName name="Zone_d_impression_suivi" localSheetId="1">'B-G1-01'!#REF!</definedName>
    <definedName name="Zone_d_impression_suivi" localSheetId="2">'B-G1-02'!#REF!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4" i="2" l="1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G13" i="2"/>
  <c r="H12" i="2"/>
  <c r="G12" i="2"/>
  <c r="H11" i="2"/>
  <c r="G11" i="2"/>
  <c r="H10" i="2"/>
  <c r="G10" i="2"/>
  <c r="H9" i="2"/>
  <c r="G9" i="2"/>
  <c r="H8" i="2"/>
  <c r="G8" i="2"/>
  <c r="H7" i="2"/>
  <c r="G7" i="2"/>
  <c r="H6" i="2"/>
  <c r="G6" i="2"/>
  <c r="H5" i="2"/>
  <c r="G5" i="2"/>
  <c r="G35" i="2" s="1"/>
  <c r="AA121" i="6"/>
  <c r="Z121" i="6"/>
  <c r="AA120" i="6"/>
  <c r="Z120" i="6"/>
  <c r="AA119" i="6"/>
  <c r="Z119" i="6"/>
  <c r="AA118" i="6"/>
  <c r="Z118" i="6"/>
  <c r="AA117" i="6"/>
  <c r="Z117" i="6"/>
  <c r="AA116" i="6"/>
  <c r="Z116" i="6"/>
  <c r="AA115" i="6"/>
  <c r="Z115" i="6"/>
  <c r="AA114" i="6"/>
  <c r="Z114" i="6"/>
  <c r="AA113" i="6"/>
  <c r="Z113" i="6"/>
  <c r="AA112" i="6"/>
  <c r="AA110" i="6"/>
  <c r="Z110" i="6"/>
  <c r="AA109" i="6"/>
  <c r="Z109" i="6"/>
  <c r="AA108" i="6"/>
  <c r="Z108" i="6"/>
  <c r="AA103" i="6"/>
  <c r="Z103" i="6"/>
  <c r="AA102" i="6"/>
  <c r="Z102" i="6"/>
  <c r="AA101" i="6"/>
  <c r="Z101" i="6"/>
  <c r="AA100" i="6"/>
  <c r="Z100" i="6"/>
  <c r="AA99" i="6"/>
  <c r="Z99" i="6"/>
  <c r="AA98" i="6"/>
  <c r="Z98" i="6"/>
  <c r="AA97" i="6"/>
  <c r="Z97" i="6"/>
  <c r="AA96" i="6"/>
  <c r="Z96" i="6"/>
  <c r="AA95" i="6"/>
  <c r="Z95" i="6"/>
  <c r="AA94" i="6"/>
  <c r="Z94" i="6"/>
  <c r="AA93" i="6"/>
  <c r="Z93" i="6"/>
  <c r="AA92" i="6"/>
  <c r="Z92" i="6"/>
  <c r="AB87" i="6"/>
  <c r="AA87" i="6"/>
  <c r="Z87" i="6"/>
  <c r="L87" i="6"/>
  <c r="K87" i="6"/>
  <c r="H87" i="6"/>
  <c r="W87" i="6" s="1"/>
  <c r="X87" i="6" s="1"/>
  <c r="I86" i="6"/>
  <c r="H86" i="6" s="1"/>
  <c r="I85" i="6"/>
  <c r="H85" i="6" s="1"/>
  <c r="AB82" i="6"/>
  <c r="AA82" i="6"/>
  <c r="Z82" i="6"/>
  <c r="I82" i="6"/>
  <c r="AB80" i="6"/>
  <c r="AA80" i="6"/>
  <c r="Z80" i="6"/>
  <c r="I80" i="6"/>
  <c r="AB79" i="6"/>
  <c r="AA79" i="6"/>
  <c r="Z79" i="6"/>
  <c r="I79" i="6"/>
  <c r="AB78" i="6"/>
  <c r="AA78" i="6"/>
  <c r="Z78" i="6"/>
  <c r="I78" i="6"/>
  <c r="AB77" i="6"/>
  <c r="AA77" i="6"/>
  <c r="Z77" i="6"/>
  <c r="I77" i="6"/>
  <c r="AB76" i="6"/>
  <c r="AA76" i="6"/>
  <c r="Z76" i="6"/>
  <c r="AB75" i="6"/>
  <c r="AA75" i="6"/>
  <c r="Z75" i="6"/>
  <c r="I75" i="6"/>
  <c r="AB71" i="6"/>
  <c r="AA71" i="6"/>
  <c r="Z71" i="6"/>
  <c r="I71" i="6"/>
  <c r="L71" i="6" s="1"/>
  <c r="AB70" i="6"/>
  <c r="AA70" i="6"/>
  <c r="Z70" i="6"/>
  <c r="I70" i="6"/>
  <c r="AB68" i="6"/>
  <c r="AA68" i="6"/>
  <c r="Z68" i="6"/>
  <c r="I68" i="6"/>
  <c r="AB67" i="6"/>
  <c r="AA67" i="6"/>
  <c r="Z67" i="6"/>
  <c r="I67" i="6"/>
  <c r="L67" i="6" s="1"/>
  <c r="AB66" i="6"/>
  <c r="AA66" i="6"/>
  <c r="Z66" i="6"/>
  <c r="I66" i="6"/>
  <c r="L66" i="6" s="1"/>
  <c r="AB65" i="6"/>
  <c r="AA65" i="6"/>
  <c r="Z65" i="6"/>
  <c r="I65" i="6"/>
  <c r="L65" i="6" s="1"/>
  <c r="AB64" i="6"/>
  <c r="AA64" i="6"/>
  <c r="Z64" i="6"/>
  <c r="I64" i="6"/>
  <c r="L64" i="6" s="1"/>
  <c r="AB62" i="6"/>
  <c r="AA62" i="6"/>
  <c r="Z62" i="6"/>
  <c r="I62" i="6"/>
  <c r="L62" i="6" s="1"/>
  <c r="AB61" i="6"/>
  <c r="AA61" i="6"/>
  <c r="Z61" i="6"/>
  <c r="I61" i="6"/>
  <c r="L61" i="6" s="1"/>
  <c r="AB60" i="6"/>
  <c r="AA60" i="6"/>
  <c r="Z60" i="6"/>
  <c r="I60" i="6"/>
  <c r="L60" i="6" s="1"/>
  <c r="AB59" i="6"/>
  <c r="AA59" i="6"/>
  <c r="Z59" i="6"/>
  <c r="I59" i="6"/>
  <c r="L59" i="6" s="1"/>
  <c r="AB57" i="6"/>
  <c r="AA57" i="6"/>
  <c r="Z57" i="6"/>
  <c r="I57" i="6"/>
  <c r="L57" i="6" s="1"/>
  <c r="AB56" i="6"/>
  <c r="AA56" i="6"/>
  <c r="Z56" i="6"/>
  <c r="I56" i="6"/>
  <c r="L56" i="6" s="1"/>
  <c r="AB55" i="6"/>
  <c r="AA55" i="6"/>
  <c r="Z55" i="6"/>
  <c r="I55" i="6"/>
  <c r="L55" i="6" s="1"/>
  <c r="AB54" i="6"/>
  <c r="AA54" i="6"/>
  <c r="Z54" i="6"/>
  <c r="I54" i="6"/>
  <c r="L54" i="6" s="1"/>
  <c r="AB52" i="6"/>
  <c r="AA52" i="6"/>
  <c r="Z52" i="6"/>
  <c r="I52" i="6"/>
  <c r="L52" i="6" s="1"/>
  <c r="AB51" i="6"/>
  <c r="AA51" i="6"/>
  <c r="Z51" i="6"/>
  <c r="I51" i="6"/>
  <c r="L51" i="6" s="1"/>
  <c r="AB47" i="6"/>
  <c r="AA47" i="6"/>
  <c r="Z47" i="6"/>
  <c r="I47" i="6"/>
  <c r="AB46" i="6"/>
  <c r="AA46" i="6"/>
  <c r="Z46" i="6"/>
  <c r="I46" i="6"/>
  <c r="L46" i="6" s="1"/>
  <c r="AB45" i="6"/>
  <c r="AA45" i="6"/>
  <c r="Z45" i="6"/>
  <c r="I45" i="6"/>
  <c r="AB44" i="6"/>
  <c r="AA44" i="6"/>
  <c r="Z44" i="6"/>
  <c r="I44" i="6"/>
  <c r="AB43" i="6"/>
  <c r="AA43" i="6"/>
  <c r="Z43" i="6"/>
  <c r="I43" i="6"/>
  <c r="AB42" i="6"/>
  <c r="AA42" i="6"/>
  <c r="Z42" i="6"/>
  <c r="I42" i="6"/>
  <c r="L42" i="6" s="1"/>
  <c r="AB41" i="6"/>
  <c r="AA41" i="6"/>
  <c r="Z41" i="6"/>
  <c r="I41" i="6"/>
  <c r="AB40" i="6"/>
  <c r="AA40" i="6"/>
  <c r="Z40" i="6"/>
  <c r="I40" i="6"/>
  <c r="L40" i="6" s="1"/>
  <c r="AB39" i="6"/>
  <c r="AA39" i="6"/>
  <c r="Z39" i="6"/>
  <c r="I39" i="6"/>
  <c r="L39" i="6" s="1"/>
  <c r="AB38" i="6"/>
  <c r="AA38" i="6"/>
  <c r="Z38" i="6"/>
  <c r="I38" i="6"/>
  <c r="AB37" i="6"/>
  <c r="AA37" i="6"/>
  <c r="Z37" i="6"/>
  <c r="I37" i="6"/>
  <c r="L37" i="6" s="1"/>
  <c r="AB33" i="6"/>
  <c r="AA33" i="6"/>
  <c r="Z33" i="6"/>
  <c r="I33" i="6"/>
  <c r="L33" i="6" s="1"/>
  <c r="AB32" i="6"/>
  <c r="AA32" i="6"/>
  <c r="Z32" i="6"/>
  <c r="L32" i="6"/>
  <c r="I32" i="6"/>
  <c r="H32" i="6"/>
  <c r="W32" i="6" s="1"/>
  <c r="X32" i="6" s="1"/>
  <c r="AB31" i="6"/>
  <c r="AA31" i="6"/>
  <c r="Z31" i="6"/>
  <c r="I31" i="6"/>
  <c r="L31" i="6" s="1"/>
  <c r="AB27" i="6"/>
  <c r="AA27" i="6"/>
  <c r="Z27" i="6"/>
  <c r="I27" i="6"/>
  <c r="AB26" i="6"/>
  <c r="AA26" i="6"/>
  <c r="Z26" i="6"/>
  <c r="I26" i="6"/>
  <c r="AB25" i="6"/>
  <c r="AA25" i="6"/>
  <c r="Z25" i="6"/>
  <c r="I25" i="6"/>
  <c r="L25" i="6" s="1"/>
  <c r="AB24" i="6"/>
  <c r="AA24" i="6"/>
  <c r="Z24" i="6"/>
  <c r="I24" i="6"/>
  <c r="AB20" i="6"/>
  <c r="AA20" i="6"/>
  <c r="Z20" i="6"/>
  <c r="K20" i="6"/>
  <c r="I20" i="6"/>
  <c r="H20" i="6" s="1"/>
  <c r="AB19" i="6"/>
  <c r="AA19" i="6"/>
  <c r="Z19" i="6"/>
  <c r="K19" i="6"/>
  <c r="I19" i="6"/>
  <c r="H19" i="6" s="1"/>
  <c r="AB18" i="6"/>
  <c r="AA18" i="6"/>
  <c r="Z18" i="6"/>
  <c r="K18" i="6"/>
  <c r="I18" i="6"/>
  <c r="H18" i="6" s="1"/>
  <c r="AB17" i="6"/>
  <c r="AA17" i="6"/>
  <c r="Z17" i="6"/>
  <c r="L17" i="6"/>
  <c r="K17" i="6"/>
  <c r="I17" i="6"/>
  <c r="H17" i="6" s="1"/>
  <c r="AB16" i="6"/>
  <c r="AA16" i="6"/>
  <c r="Z16" i="6"/>
  <c r="K16" i="6"/>
  <c r="I16" i="6"/>
  <c r="L16" i="6" s="1"/>
  <c r="H16" i="6"/>
  <c r="AB15" i="6"/>
  <c r="AA15" i="6"/>
  <c r="Z15" i="6"/>
  <c r="L15" i="6"/>
  <c r="K15" i="6"/>
  <c r="I15" i="6"/>
  <c r="H15" i="6" s="1"/>
  <c r="AB14" i="6"/>
  <c r="AA14" i="6"/>
  <c r="Z14" i="6"/>
  <c r="K14" i="6"/>
  <c r="I14" i="6"/>
  <c r="L14" i="6" s="1"/>
  <c r="AB13" i="6"/>
  <c r="AA13" i="6"/>
  <c r="Z13" i="6"/>
  <c r="L13" i="6"/>
  <c r="K13" i="6"/>
  <c r="I13" i="6"/>
  <c r="H13" i="6"/>
  <c r="M13" i="6" s="1"/>
  <c r="AB12" i="6"/>
  <c r="AA12" i="6"/>
  <c r="Z12" i="6"/>
  <c r="K12" i="6"/>
  <c r="I12" i="6"/>
  <c r="L12" i="6" s="1"/>
  <c r="H12" i="6"/>
  <c r="I10" i="6"/>
  <c r="H10" i="6" s="1"/>
  <c r="I9" i="6"/>
  <c r="H9" i="6" s="1"/>
  <c r="I8" i="6"/>
  <c r="H8" i="6"/>
  <c r="Y8" i="6" s="1"/>
  <c r="Z8" i="6" s="1"/>
  <c r="AA8" i="6" s="1"/>
  <c r="AB8" i="6" s="1"/>
  <c r="I7" i="6"/>
  <c r="H7" i="6" s="1"/>
  <c r="X2" i="6"/>
  <c r="H2" i="6"/>
  <c r="X1" i="6"/>
  <c r="H1" i="6"/>
  <c r="A1" i="6"/>
  <c r="AA89" i="5"/>
  <c r="Z89" i="5"/>
  <c r="AA88" i="5"/>
  <c r="Z88" i="5"/>
  <c r="AA87" i="5"/>
  <c r="Z87" i="5"/>
  <c r="AA86" i="5"/>
  <c r="Z86" i="5"/>
  <c r="AA85" i="5"/>
  <c r="Z85" i="5"/>
  <c r="AA84" i="5"/>
  <c r="Z84" i="5"/>
  <c r="AA83" i="5"/>
  <c r="Z83" i="5"/>
  <c r="AA82" i="5"/>
  <c r="Z82" i="5"/>
  <c r="AA81" i="5"/>
  <c r="Z81" i="5"/>
  <c r="AA80" i="5"/>
  <c r="Z80" i="5"/>
  <c r="AA78" i="5"/>
  <c r="Z78" i="5"/>
  <c r="AA77" i="5"/>
  <c r="Z77" i="5"/>
  <c r="AA76" i="5"/>
  <c r="Z76" i="5"/>
  <c r="AA75" i="5"/>
  <c r="Z75" i="5"/>
  <c r="AA74" i="5"/>
  <c r="Z74" i="5"/>
  <c r="AA73" i="5"/>
  <c r="Z73" i="5"/>
  <c r="AA72" i="5"/>
  <c r="Z72" i="5"/>
  <c r="AA71" i="5"/>
  <c r="Z71" i="5"/>
  <c r="AA70" i="5"/>
  <c r="AA65" i="5"/>
  <c r="Z65" i="5"/>
  <c r="AA64" i="5"/>
  <c r="Z64" i="5"/>
  <c r="AA63" i="5"/>
  <c r="Z63" i="5"/>
  <c r="AA62" i="5"/>
  <c r="Z62" i="5"/>
  <c r="AA61" i="5"/>
  <c r="Z61" i="5"/>
  <c r="AA60" i="5"/>
  <c r="Z60" i="5"/>
  <c r="AB55" i="5"/>
  <c r="AA55" i="5"/>
  <c r="Z55" i="5"/>
  <c r="W55" i="5"/>
  <c r="X55" i="5" s="1"/>
  <c r="L55" i="5"/>
  <c r="H55" i="5"/>
  <c r="K55" i="5" s="1"/>
  <c r="I54" i="5"/>
  <c r="H54" i="5"/>
  <c r="M54" i="5" s="1"/>
  <c r="AB51" i="5"/>
  <c r="AA51" i="5"/>
  <c r="Z51" i="5"/>
  <c r="I51" i="5"/>
  <c r="L51" i="5" s="1"/>
  <c r="AB50" i="5"/>
  <c r="AA50" i="5"/>
  <c r="Z50" i="5"/>
  <c r="K50" i="5"/>
  <c r="I50" i="5"/>
  <c r="L50" i="5" s="1"/>
  <c r="H50" i="5"/>
  <c r="M50" i="5" s="1"/>
  <c r="AB49" i="5"/>
  <c r="AA49" i="5"/>
  <c r="Z49" i="5"/>
  <c r="L49" i="5"/>
  <c r="I49" i="5"/>
  <c r="AB48" i="5"/>
  <c r="AA48" i="5"/>
  <c r="Z48" i="5"/>
  <c r="I48" i="5"/>
  <c r="L48" i="5" s="1"/>
  <c r="AB47" i="5"/>
  <c r="AA47" i="5"/>
  <c r="Z47" i="5"/>
  <c r="I47" i="5"/>
  <c r="L47" i="5" s="1"/>
  <c r="AB46" i="5"/>
  <c r="AA46" i="5"/>
  <c r="Z46" i="5"/>
  <c r="I46" i="5"/>
  <c r="L46" i="5" s="1"/>
  <c r="AB45" i="5"/>
  <c r="AA45" i="5"/>
  <c r="Z45" i="5"/>
  <c r="K45" i="5"/>
  <c r="I45" i="5"/>
  <c r="L45" i="5" s="1"/>
  <c r="AB43" i="5"/>
  <c r="AA43" i="5"/>
  <c r="Z43" i="5"/>
  <c r="I43" i="5"/>
  <c r="AB39" i="5"/>
  <c r="AA39" i="5"/>
  <c r="Z39" i="5"/>
  <c r="I39" i="5"/>
  <c r="L39" i="5" s="1"/>
  <c r="AB38" i="5"/>
  <c r="AA38" i="5"/>
  <c r="Z38" i="5"/>
  <c r="I38" i="5"/>
  <c r="L38" i="5" s="1"/>
  <c r="AB37" i="5"/>
  <c r="AA37" i="5"/>
  <c r="Z37" i="5"/>
  <c r="AB33" i="5"/>
  <c r="AA33" i="5"/>
  <c r="Z33" i="5"/>
  <c r="I33" i="5"/>
  <c r="L33" i="5" s="1"/>
  <c r="AB32" i="5"/>
  <c r="AA32" i="5"/>
  <c r="Z32" i="5"/>
  <c r="L32" i="5"/>
  <c r="I32" i="5"/>
  <c r="AB31" i="5"/>
  <c r="AA31" i="5"/>
  <c r="Z31" i="5"/>
  <c r="AB30" i="5"/>
  <c r="AA30" i="5"/>
  <c r="Z30" i="5"/>
  <c r="I30" i="5"/>
  <c r="L30" i="5" s="1"/>
  <c r="AB29" i="5"/>
  <c r="AA29" i="5"/>
  <c r="Z29" i="5"/>
  <c r="AB25" i="5"/>
  <c r="AA25" i="5"/>
  <c r="Z25" i="5"/>
  <c r="I25" i="5"/>
  <c r="L25" i="5" s="1"/>
  <c r="AB24" i="5"/>
  <c r="AA24" i="5"/>
  <c r="Z24" i="5"/>
  <c r="AB23" i="5"/>
  <c r="AA23" i="5"/>
  <c r="Z23" i="5"/>
  <c r="L23" i="5"/>
  <c r="I23" i="5"/>
  <c r="AB22" i="5"/>
  <c r="AA22" i="5"/>
  <c r="Z22" i="5"/>
  <c r="AB18" i="5"/>
  <c r="AA18" i="5"/>
  <c r="Z18" i="5"/>
  <c r="K18" i="5"/>
  <c r="I18" i="5"/>
  <c r="H18" i="5" s="1"/>
  <c r="AB17" i="5"/>
  <c r="AA17" i="5"/>
  <c r="Z17" i="5"/>
  <c r="L17" i="5"/>
  <c r="K17" i="5"/>
  <c r="I17" i="5"/>
  <c r="H17" i="5"/>
  <c r="AB16" i="5"/>
  <c r="AA16" i="5"/>
  <c r="Z16" i="5"/>
  <c r="L16" i="5"/>
  <c r="K16" i="5"/>
  <c r="I16" i="5"/>
  <c r="H16" i="5" s="1"/>
  <c r="W16" i="5" s="1"/>
  <c r="X16" i="5" s="1"/>
  <c r="AB15" i="5"/>
  <c r="AA15" i="5"/>
  <c r="Z15" i="5"/>
  <c r="K15" i="5"/>
  <c r="I15" i="5"/>
  <c r="L15" i="5" s="1"/>
  <c r="H15" i="5"/>
  <c r="AB14" i="5"/>
  <c r="AA14" i="5"/>
  <c r="Z14" i="5"/>
  <c r="K14" i="5"/>
  <c r="I14" i="5"/>
  <c r="L14" i="5" s="1"/>
  <c r="AB13" i="5"/>
  <c r="AA13" i="5"/>
  <c r="Z13" i="5"/>
  <c r="K13" i="5"/>
  <c r="I13" i="5"/>
  <c r="L13" i="5" s="1"/>
  <c r="H13" i="5"/>
  <c r="W13" i="5" s="1"/>
  <c r="X13" i="5" s="1"/>
  <c r="AB12" i="5"/>
  <c r="AA12" i="5"/>
  <c r="Z12" i="5"/>
  <c r="L12" i="5"/>
  <c r="K12" i="5"/>
  <c r="I12" i="5"/>
  <c r="H12" i="5"/>
  <c r="AB11" i="5"/>
  <c r="AA11" i="5"/>
  <c r="Z11" i="5"/>
  <c r="L11" i="5"/>
  <c r="K11" i="5"/>
  <c r="I11" i="5"/>
  <c r="H11" i="5" s="1"/>
  <c r="AB10" i="5"/>
  <c r="AA10" i="5"/>
  <c r="Z10" i="5"/>
  <c r="K10" i="5"/>
  <c r="I10" i="5"/>
  <c r="H10" i="5" s="1"/>
  <c r="I8" i="5"/>
  <c r="H8" i="5"/>
  <c r="L8" i="5" s="1"/>
  <c r="I7" i="5"/>
  <c r="H7" i="5" s="1"/>
  <c r="X2" i="5"/>
  <c r="H2" i="5"/>
  <c r="X1" i="5"/>
  <c r="H1" i="5"/>
  <c r="A1" i="5"/>
  <c r="AA74" i="4"/>
  <c r="Z74" i="4"/>
  <c r="AA73" i="4"/>
  <c r="Z73" i="4"/>
  <c r="AA72" i="4"/>
  <c r="Z72" i="4"/>
  <c r="AA71" i="4"/>
  <c r="Z71" i="4"/>
  <c r="AA70" i="4"/>
  <c r="Z70" i="4"/>
  <c r="AA69" i="4"/>
  <c r="Z69" i="4"/>
  <c r="AA68" i="4"/>
  <c r="Z68" i="4"/>
  <c r="AA67" i="4"/>
  <c r="Z67" i="4"/>
  <c r="AA66" i="4"/>
  <c r="Z66" i="4"/>
  <c r="AA65" i="4"/>
  <c r="Z65" i="4"/>
  <c r="AA64" i="4"/>
  <c r="Z64" i="4"/>
  <c r="AA63" i="4"/>
  <c r="Z63" i="4"/>
  <c r="AA62" i="4"/>
  <c r="Z62" i="4"/>
  <c r="AA61" i="4"/>
  <c r="Z61" i="4"/>
  <c r="AA60" i="4"/>
  <c r="Z60" i="4"/>
  <c r="AA59" i="4"/>
  <c r="Z59" i="4"/>
  <c r="AA58" i="4"/>
  <c r="Z58" i="4"/>
  <c r="AA57" i="4"/>
  <c r="Z57" i="4"/>
  <c r="AA56" i="4"/>
  <c r="Z56" i="4"/>
  <c r="AA55" i="4"/>
  <c r="Z55" i="4"/>
  <c r="AA54" i="4"/>
  <c r="Z54" i="4"/>
  <c r="AA53" i="4"/>
  <c r="Z53" i="4"/>
  <c r="AA52" i="4"/>
  <c r="Z52" i="4"/>
  <c r="AA51" i="4"/>
  <c r="Z51" i="4"/>
  <c r="AA50" i="4"/>
  <c r="Z50" i="4"/>
  <c r="AA49" i="4"/>
  <c r="AB39" i="4"/>
  <c r="AA39" i="4"/>
  <c r="Z39" i="4"/>
  <c r="W39" i="4"/>
  <c r="X39" i="4" s="1"/>
  <c r="L39" i="4"/>
  <c r="H39" i="4"/>
  <c r="M39" i="4" s="1"/>
  <c r="I38" i="4"/>
  <c r="H38" i="4"/>
  <c r="M38" i="4" s="1"/>
  <c r="I37" i="4"/>
  <c r="H37" i="4" s="1"/>
  <c r="K37" i="4" s="1"/>
  <c r="I36" i="4"/>
  <c r="H36" i="4" s="1"/>
  <c r="AB33" i="4"/>
  <c r="AA33" i="4"/>
  <c r="Z33" i="4"/>
  <c r="I33" i="4"/>
  <c r="L33" i="4" s="1"/>
  <c r="AB32" i="4"/>
  <c r="AA32" i="4"/>
  <c r="Z32" i="4"/>
  <c r="I32" i="4"/>
  <c r="AB28" i="4"/>
  <c r="AA28" i="4"/>
  <c r="Z28" i="4"/>
  <c r="I28" i="4"/>
  <c r="L28" i="4" s="1"/>
  <c r="AB27" i="4"/>
  <c r="AA27" i="4"/>
  <c r="Z27" i="4"/>
  <c r="I27" i="4"/>
  <c r="AB26" i="4"/>
  <c r="AA26" i="4"/>
  <c r="Z26" i="4"/>
  <c r="I26" i="4"/>
  <c r="L26" i="4" s="1"/>
  <c r="AB25" i="4"/>
  <c r="AA25" i="4"/>
  <c r="Z25" i="4"/>
  <c r="I25" i="4"/>
  <c r="L25" i="4" s="1"/>
  <c r="AB21" i="4"/>
  <c r="AA21" i="4"/>
  <c r="Z21" i="4"/>
  <c r="L21" i="4"/>
  <c r="K21" i="4"/>
  <c r="I21" i="4"/>
  <c r="H21" i="4"/>
  <c r="AB20" i="4"/>
  <c r="AA20" i="4"/>
  <c r="Z20" i="4"/>
  <c r="K20" i="4"/>
  <c r="I20" i="4"/>
  <c r="H20" i="4" s="1"/>
  <c r="AB19" i="4"/>
  <c r="AA19" i="4"/>
  <c r="Z19" i="4"/>
  <c r="L19" i="4"/>
  <c r="K19" i="4"/>
  <c r="I19" i="4"/>
  <c r="H19" i="4" s="1"/>
  <c r="AB18" i="4"/>
  <c r="AA18" i="4"/>
  <c r="Z18" i="4"/>
  <c r="L18" i="4"/>
  <c r="K18" i="4"/>
  <c r="I18" i="4"/>
  <c r="H18" i="4"/>
  <c r="W18" i="4" s="1"/>
  <c r="X18" i="4" s="1"/>
  <c r="AB17" i="4"/>
  <c r="AA17" i="4"/>
  <c r="Z17" i="4"/>
  <c r="K17" i="4"/>
  <c r="I17" i="4"/>
  <c r="L17" i="4" s="1"/>
  <c r="H17" i="4"/>
  <c r="AB16" i="4"/>
  <c r="AA16" i="4"/>
  <c r="Z16" i="4"/>
  <c r="L16" i="4"/>
  <c r="K16" i="4"/>
  <c r="I16" i="4"/>
  <c r="H16" i="4" s="1"/>
  <c r="AB15" i="4"/>
  <c r="AA15" i="4"/>
  <c r="Z15" i="4"/>
  <c r="W15" i="4"/>
  <c r="X15" i="4" s="1"/>
  <c r="L15" i="4"/>
  <c r="K15" i="4"/>
  <c r="I15" i="4"/>
  <c r="H15" i="4"/>
  <c r="AB14" i="4"/>
  <c r="AA14" i="4"/>
  <c r="Z14" i="4"/>
  <c r="L14" i="4"/>
  <c r="K14" i="4"/>
  <c r="I14" i="4"/>
  <c r="H14" i="4" s="1"/>
  <c r="AB13" i="4"/>
  <c r="AA13" i="4"/>
  <c r="Z13" i="4"/>
  <c r="L13" i="4"/>
  <c r="K13" i="4"/>
  <c r="I13" i="4"/>
  <c r="H13" i="4" s="1"/>
  <c r="I11" i="4"/>
  <c r="H11" i="4" s="1"/>
  <c r="I10" i="4"/>
  <c r="H10" i="4"/>
  <c r="X10" i="4" s="1"/>
  <c r="I9" i="4"/>
  <c r="H9" i="4" s="1"/>
  <c r="I8" i="4"/>
  <c r="H8" i="4" s="1"/>
  <c r="M7" i="4"/>
  <c r="L7" i="4"/>
  <c r="K7" i="4"/>
  <c r="I7" i="4"/>
  <c r="H7" i="4"/>
  <c r="Y7" i="4" s="1"/>
  <c r="Z7" i="4" s="1"/>
  <c r="X2" i="4"/>
  <c r="H2" i="4"/>
  <c r="X1" i="4"/>
  <c r="H1" i="4"/>
  <c r="A1" i="4"/>
  <c r="W17" i="6" l="1"/>
  <c r="X17" i="6" s="1"/>
  <c r="M9" i="6"/>
  <c r="W9" i="6"/>
  <c r="M87" i="6"/>
  <c r="K8" i="6"/>
  <c r="W16" i="6"/>
  <c r="X16" i="6" s="1"/>
  <c r="M8" i="6"/>
  <c r="M16" i="6"/>
  <c r="L8" i="6"/>
  <c r="M15" i="6"/>
  <c r="W15" i="6"/>
  <c r="X15" i="6" s="1"/>
  <c r="L41" i="6"/>
  <c r="L44" i="6"/>
  <c r="L43" i="6"/>
  <c r="L38" i="6"/>
  <c r="X7" i="6"/>
  <c r="Y7" i="6"/>
  <c r="Z7" i="6" s="1"/>
  <c r="W7" i="6"/>
  <c r="M7" i="6"/>
  <c r="L7" i="6"/>
  <c r="K7" i="6"/>
  <c r="M19" i="6"/>
  <c r="W19" i="6"/>
  <c r="X19" i="6" s="1"/>
  <c r="Y10" i="6"/>
  <c r="Z10" i="6" s="1"/>
  <c r="AA10" i="6" s="1"/>
  <c r="AB10" i="6" s="1"/>
  <c r="X10" i="6"/>
  <c r="W10" i="6"/>
  <c r="M10" i="6"/>
  <c r="K10" i="6"/>
  <c r="L10" i="6"/>
  <c r="W18" i="6"/>
  <c r="X18" i="6" s="1"/>
  <c r="M18" i="6"/>
  <c r="M20" i="6"/>
  <c r="W20" i="6"/>
  <c r="X20" i="6" s="1"/>
  <c r="L70" i="6"/>
  <c r="Y85" i="6"/>
  <c r="Z85" i="6" s="1"/>
  <c r="AA85" i="6" s="1"/>
  <c r="AB85" i="6" s="1"/>
  <c r="M85" i="6"/>
  <c r="L85" i="6"/>
  <c r="K85" i="6"/>
  <c r="Y9" i="6"/>
  <c r="Z9" i="6" s="1"/>
  <c r="AA9" i="6" s="1"/>
  <c r="AB9" i="6" s="1"/>
  <c r="H14" i="6"/>
  <c r="M17" i="6"/>
  <c r="L18" i="6"/>
  <c r="L19" i="6"/>
  <c r="L26" i="6"/>
  <c r="W8" i="6"/>
  <c r="L20" i="6"/>
  <c r="L24" i="6"/>
  <c r="L45" i="6"/>
  <c r="L68" i="6"/>
  <c r="L82" i="6"/>
  <c r="M86" i="6"/>
  <c r="L86" i="6"/>
  <c r="K86" i="6"/>
  <c r="Y86" i="6"/>
  <c r="Z86" i="6" s="1"/>
  <c r="AA86" i="6" s="1"/>
  <c r="AB86" i="6" s="1"/>
  <c r="X8" i="6"/>
  <c r="K9" i="6"/>
  <c r="X9" i="6"/>
  <c r="Y11" i="6"/>
  <c r="W12" i="6"/>
  <c r="X12" i="6" s="1"/>
  <c r="L9" i="6"/>
  <c r="M12" i="6"/>
  <c r="W13" i="6"/>
  <c r="X13" i="6" s="1"/>
  <c r="L27" i="6"/>
  <c r="L47" i="6"/>
  <c r="L75" i="6"/>
  <c r="L77" i="6"/>
  <c r="L78" i="6"/>
  <c r="L79" i="6"/>
  <c r="L80" i="6"/>
  <c r="I76" i="6"/>
  <c r="W12" i="5"/>
  <c r="X12" i="5" s="1"/>
  <c r="W8" i="5"/>
  <c r="L18" i="5"/>
  <c r="M55" i="5"/>
  <c r="W17" i="5"/>
  <c r="X17" i="5" s="1"/>
  <c r="L10" i="5"/>
  <c r="Y54" i="5"/>
  <c r="Z54" i="5" s="1"/>
  <c r="AA54" i="5" s="1"/>
  <c r="AB54" i="5" s="1"/>
  <c r="M18" i="5"/>
  <c r="W18" i="5"/>
  <c r="X18" i="5" s="1"/>
  <c r="Y7" i="5"/>
  <c r="Z7" i="5" s="1"/>
  <c r="M7" i="5"/>
  <c r="X7" i="5"/>
  <c r="L7" i="5"/>
  <c r="W7" i="5"/>
  <c r="K7" i="5"/>
  <c r="L43" i="5"/>
  <c r="M10" i="5"/>
  <c r="W10" i="5"/>
  <c r="X10" i="5" s="1"/>
  <c r="M11" i="5"/>
  <c r="W11" i="5"/>
  <c r="X11" i="5" s="1"/>
  <c r="X8" i="5"/>
  <c r="M8" i="5"/>
  <c r="M16" i="5"/>
  <c r="H14" i="5"/>
  <c r="M17" i="5"/>
  <c r="I22" i="5"/>
  <c r="I31" i="5"/>
  <c r="H45" i="5"/>
  <c r="W50" i="5"/>
  <c r="X50" i="5" s="1"/>
  <c r="M13" i="5"/>
  <c r="I24" i="5"/>
  <c r="I29" i="5"/>
  <c r="Y8" i="5"/>
  <c r="Z8" i="5" s="1"/>
  <c r="AA8" i="5" s="1"/>
  <c r="AB8" i="5" s="1"/>
  <c r="M12" i="5"/>
  <c r="K8" i="5"/>
  <c r="W15" i="5"/>
  <c r="X15" i="5" s="1"/>
  <c r="I37" i="5"/>
  <c r="K54" i="5"/>
  <c r="M15" i="5"/>
  <c r="L54" i="5"/>
  <c r="K36" i="4"/>
  <c r="Y36" i="4"/>
  <c r="Z36" i="4" s="1"/>
  <c r="AA36" i="4" s="1"/>
  <c r="AB36" i="4" s="1"/>
  <c r="M36" i="4"/>
  <c r="L36" i="4"/>
  <c r="M13" i="4"/>
  <c r="W13" i="4"/>
  <c r="X13" i="4" s="1"/>
  <c r="W14" i="4"/>
  <c r="X14" i="4" s="1"/>
  <c r="M14" i="4"/>
  <c r="W19" i="4"/>
  <c r="X19" i="4" s="1"/>
  <c r="X8" i="4"/>
  <c r="K8" i="4"/>
  <c r="Y8" i="4"/>
  <c r="Z8" i="4" s="1"/>
  <c r="AA8" i="4" s="1"/>
  <c r="AB8" i="4" s="1"/>
  <c r="L8" i="4"/>
  <c r="W8" i="4"/>
  <c r="M8" i="4"/>
  <c r="L9" i="4"/>
  <c r="Y9" i="4"/>
  <c r="Z9" i="4" s="1"/>
  <c r="AA9" i="4" s="1"/>
  <c r="AB9" i="4" s="1"/>
  <c r="M9" i="4"/>
  <c r="K11" i="4"/>
  <c r="L11" i="4"/>
  <c r="W16" i="4"/>
  <c r="X16" i="4" s="1"/>
  <c r="M16" i="4"/>
  <c r="M20" i="4"/>
  <c r="W20" i="4"/>
  <c r="X20" i="4" s="1"/>
  <c r="W7" i="4"/>
  <c r="W17" i="4"/>
  <c r="X17" i="4" s="1"/>
  <c r="W21" i="4"/>
  <c r="X21" i="4" s="1"/>
  <c r="X7" i="4"/>
  <c r="M17" i="4"/>
  <c r="M15" i="4"/>
  <c r="M18" i="4"/>
  <c r="L20" i="4"/>
  <c r="M21" i="4"/>
  <c r="Y10" i="4"/>
  <c r="Z10" i="4" s="1"/>
  <c r="AA10" i="4" s="1"/>
  <c r="AB10" i="4" s="1"/>
  <c r="K39" i="4"/>
  <c r="AA7" i="4"/>
  <c r="W9" i="4"/>
  <c r="M11" i="4"/>
  <c r="M19" i="4"/>
  <c r="L27" i="4"/>
  <c r="Y38" i="4"/>
  <c r="Z38" i="4" s="1"/>
  <c r="AA38" i="4" s="1"/>
  <c r="AB38" i="4" s="1"/>
  <c r="X9" i="4"/>
  <c r="K10" i="4"/>
  <c r="Y12" i="4"/>
  <c r="L32" i="4"/>
  <c r="L10" i="4"/>
  <c r="W11" i="4"/>
  <c r="L37" i="4"/>
  <c r="M10" i="4"/>
  <c r="M37" i="4"/>
  <c r="X11" i="4"/>
  <c r="K9" i="4"/>
  <c r="Y11" i="4"/>
  <c r="Z11" i="4" s="1"/>
  <c r="AA11" i="4" s="1"/>
  <c r="AB11" i="4" s="1"/>
  <c r="Y37" i="4"/>
  <c r="Z37" i="4" s="1"/>
  <c r="AA37" i="4" s="1"/>
  <c r="AB37" i="4" s="1"/>
  <c r="K38" i="4"/>
  <c r="W10" i="4"/>
  <c r="L38" i="4"/>
  <c r="AB11" i="6" l="1"/>
  <c r="AA11" i="6"/>
  <c r="Z11" i="6"/>
  <c r="M14" i="6"/>
  <c r="W14" i="6"/>
  <c r="X14" i="6" s="1"/>
  <c r="AA7" i="6"/>
  <c r="L76" i="6"/>
  <c r="L22" i="5"/>
  <c r="M14" i="5"/>
  <c r="W14" i="5"/>
  <c r="X14" i="5" s="1"/>
  <c r="L29" i="5"/>
  <c r="M45" i="5"/>
  <c r="W45" i="5"/>
  <c r="X45" i="5" s="1"/>
  <c r="L24" i="5"/>
  <c r="L31" i="5"/>
  <c r="Y9" i="5"/>
  <c r="L37" i="5"/>
  <c r="AA7" i="5"/>
  <c r="AB12" i="4"/>
  <c r="AA12" i="4"/>
  <c r="Z12" i="4"/>
  <c r="AB7" i="4"/>
  <c r="H36" i="2"/>
  <c r="AB7" i="6" l="1"/>
  <c r="AA9" i="5"/>
  <c r="Z9" i="5"/>
  <c r="AB9" i="5"/>
  <c r="AB7" i="5"/>
  <c r="L41" i="3" l="1"/>
  <c r="K41" i="3"/>
  <c r="I41" i="3"/>
  <c r="H41" i="3"/>
  <c r="F41" i="3"/>
  <c r="E41" i="3"/>
  <c r="L37" i="3"/>
  <c r="K37" i="3"/>
  <c r="I37" i="3"/>
  <c r="H37" i="3"/>
  <c r="F37" i="3"/>
  <c r="E37" i="3"/>
  <c r="L32" i="3"/>
  <c r="K32" i="3"/>
  <c r="I32" i="3"/>
  <c r="H32" i="3"/>
  <c r="F32" i="3"/>
  <c r="E32" i="3"/>
  <c r="L26" i="3"/>
  <c r="K26" i="3"/>
  <c r="I26" i="3"/>
  <c r="H26" i="3"/>
  <c r="F26" i="3"/>
  <c r="E26" i="3"/>
  <c r="L20" i="3"/>
  <c r="K20" i="3"/>
  <c r="I20" i="3"/>
  <c r="H20" i="3"/>
  <c r="F20" i="3"/>
  <c r="E20" i="3"/>
  <c r="D8" i="3"/>
  <c r="D25" i="3"/>
  <c r="F22" i="3"/>
  <c r="L23" i="3"/>
  <c r="F34" i="3"/>
  <c r="L42" i="3"/>
  <c r="H19" i="3"/>
  <c r="G20" i="3" l="1"/>
  <c r="J20" i="3"/>
  <c r="J26" i="3"/>
  <c r="I29" i="3"/>
  <c r="H40" i="3"/>
  <c r="J40" i="3"/>
  <c r="G30" i="3"/>
  <c r="L16" i="3"/>
  <c r="I42" i="3"/>
  <c r="D42" i="3"/>
  <c r="H18" i="3"/>
  <c r="G16" i="3"/>
  <c r="G38" i="3"/>
  <c r="F42" i="3"/>
  <c r="E36" i="3"/>
  <c r="L28" i="3"/>
  <c r="L18" i="3"/>
  <c r="L30" i="3"/>
  <c r="D24" i="3"/>
  <c r="I30" i="3"/>
  <c r="H16" i="3"/>
  <c r="G39" i="3"/>
  <c r="E35" i="3"/>
  <c r="H39" i="3"/>
  <c r="E21" i="3"/>
  <c r="L27" i="3"/>
  <c r="E25" i="3"/>
  <c r="D39" i="3"/>
  <c r="J42" i="3"/>
  <c r="I25" i="3"/>
  <c r="K42" i="3"/>
  <c r="I24" i="3"/>
  <c r="H38" i="3"/>
  <c r="D34" i="3"/>
  <c r="E33" i="3"/>
  <c r="I21" i="3"/>
  <c r="F38" i="3"/>
  <c r="H25" i="3"/>
  <c r="F36" i="3"/>
  <c r="H27" i="3"/>
  <c r="E30" i="3"/>
  <c r="I31" i="3"/>
  <c r="D33" i="3"/>
  <c r="G17" i="3"/>
  <c r="J17" i="3"/>
  <c r="I15" i="3"/>
  <c r="G42" i="3"/>
  <c r="G40" i="3"/>
  <c r="G34" i="3"/>
  <c r="G31" i="3"/>
  <c r="K16" i="3"/>
  <c r="K21" i="3"/>
  <c r="J25" i="3"/>
  <c r="D30" i="3"/>
  <c r="E40" i="3"/>
  <c r="I40" i="3"/>
  <c r="F35" i="3"/>
  <c r="I22" i="3"/>
  <c r="D22" i="3"/>
  <c r="D28" i="3"/>
  <c r="D40" i="3"/>
  <c r="E23" i="3"/>
  <c r="J22" i="3"/>
  <c r="E34" i="3"/>
  <c r="H28" i="3"/>
  <c r="L35" i="3"/>
  <c r="H29" i="3"/>
  <c r="K35" i="3"/>
  <c r="L17" i="3"/>
  <c r="L25" i="3"/>
  <c r="K38" i="3"/>
  <c r="F28" i="3"/>
  <c r="G35" i="3"/>
  <c r="K31" i="3"/>
  <c r="E29" i="3"/>
  <c r="G27" i="3"/>
  <c r="K22" i="3"/>
  <c r="L31" i="3"/>
  <c r="G15" i="3"/>
  <c r="I16" i="3"/>
  <c r="I28" i="3"/>
  <c r="J16" i="3"/>
  <c r="K17" i="3"/>
  <c r="G18" i="3"/>
  <c r="G29" i="3"/>
  <c r="J36" i="3"/>
  <c r="G28" i="3"/>
  <c r="J35" i="3"/>
  <c r="L33" i="3"/>
  <c r="L19" i="3"/>
  <c r="L40" i="3"/>
  <c r="F39" i="3"/>
  <c r="E27" i="3"/>
  <c r="J24" i="3"/>
  <c r="H35" i="3"/>
  <c r="L36" i="3"/>
  <c r="K25" i="3"/>
  <c r="D38" i="3"/>
  <c r="D31" i="3"/>
  <c r="I17" i="3"/>
  <c r="I33" i="3"/>
  <c r="D27" i="3"/>
  <c r="L22" i="3"/>
  <c r="F29" i="3"/>
  <c r="K19" i="3"/>
  <c r="D29" i="3"/>
  <c r="E42" i="3"/>
  <c r="F24" i="3"/>
  <c r="H31" i="3"/>
  <c r="F30" i="3"/>
  <c r="E28" i="3"/>
  <c r="J31" i="3"/>
  <c r="F25" i="3"/>
  <c r="F18" i="3"/>
  <c r="F17" i="3"/>
  <c r="G19" i="3"/>
  <c r="E22" i="3"/>
  <c r="F33" i="3"/>
  <c r="F23" i="3"/>
  <c r="J19" i="3"/>
  <c r="L34" i="3"/>
  <c r="H15" i="3"/>
  <c r="F19" i="3"/>
  <c r="I36" i="3"/>
  <c r="G36" i="3"/>
  <c r="J18" i="3"/>
  <c r="E39" i="3"/>
  <c r="J23" i="3"/>
  <c r="I35" i="3"/>
  <c r="H17" i="3"/>
  <c r="I18" i="3"/>
  <c r="E19" i="3"/>
  <c r="K18" i="3"/>
  <c r="I23" i="3"/>
  <c r="H36" i="3"/>
  <c r="I34" i="3"/>
  <c r="D23" i="3"/>
  <c r="F31" i="3"/>
  <c r="L24" i="3"/>
  <c r="H42" i="3"/>
  <c r="K24" i="3"/>
  <c r="I38" i="3"/>
  <c r="K15" i="3"/>
  <c r="K40" i="3"/>
  <c r="K39" i="3"/>
  <c r="I39" i="3"/>
  <c r="I19" i="3"/>
  <c r="E24" i="3"/>
  <c r="J39" i="3"/>
  <c r="F15" i="3"/>
  <c r="E31" i="3"/>
  <c r="K23" i="3"/>
  <c r="H30" i="3"/>
  <c r="L21" i="3"/>
  <c r="E38" i="3"/>
  <c r="J38" i="3"/>
  <c r="D21" i="3"/>
  <c r="L29" i="3"/>
  <c r="J21" i="3"/>
  <c r="J15" i="3"/>
  <c r="D35" i="3"/>
  <c r="L39" i="3"/>
  <c r="I27" i="3"/>
  <c r="H34" i="3"/>
  <c r="F40" i="3"/>
  <c r="L15" i="3"/>
  <c r="F27" i="3"/>
  <c r="D36" i="3"/>
  <c r="K36" i="3"/>
  <c r="L38" i="3"/>
  <c r="K34" i="3"/>
  <c r="F21" i="3"/>
  <c r="F16" i="3"/>
  <c r="J41" i="3" l="1"/>
  <c r="D26" i="3"/>
  <c r="G32" i="3"/>
  <c r="G37" i="3"/>
  <c r="D41" i="3"/>
  <c r="D20" i="3"/>
  <c r="G26" i="3"/>
  <c r="J32" i="3"/>
  <c r="J37" i="3"/>
  <c r="G41" i="3"/>
  <c r="D32" i="3"/>
  <c r="D37" i="3"/>
  <c r="G36" i="2" l="1"/>
  <c r="G37" i="2" l="1"/>
  <c r="H26" i="6" l="1"/>
  <c r="H25" i="6"/>
  <c r="H43" i="6" l="1"/>
  <c r="W26" i="6"/>
  <c r="X26" i="6" s="1"/>
  <c r="H38" i="6"/>
  <c r="H75" i="6"/>
  <c r="W25" i="6"/>
  <c r="X25" i="6" s="1"/>
  <c r="H45" i="6"/>
  <c r="H37" i="6"/>
  <c r="H44" i="6"/>
  <c r="H24" i="6"/>
  <c r="H31" i="6"/>
  <c r="H46" i="6" l="1"/>
  <c r="H66" i="6"/>
  <c r="W75" i="6"/>
  <c r="X75" i="6" s="1"/>
  <c r="W24" i="6"/>
  <c r="X24" i="6" s="1"/>
  <c r="W37" i="6"/>
  <c r="X37" i="6" s="1"/>
  <c r="W43" i="6"/>
  <c r="X43" i="6" s="1"/>
  <c r="H41" i="6"/>
  <c r="H39" i="6"/>
  <c r="W31" i="6"/>
  <c r="X31" i="6" s="1"/>
  <c r="H40" i="6"/>
  <c r="H52" i="6"/>
  <c r="AA105" i="6"/>
  <c r="H33" i="6"/>
  <c r="W44" i="6"/>
  <c r="X44" i="6" s="1"/>
  <c r="W45" i="6"/>
  <c r="X45" i="6" s="1"/>
  <c r="AA106" i="6"/>
  <c r="H51" i="6"/>
  <c r="W38" i="6"/>
  <c r="X38" i="6" s="1"/>
  <c r="K28" i="3"/>
  <c r="K29" i="3"/>
  <c r="W51" i="6" l="1"/>
  <c r="X51" i="6" s="1"/>
  <c r="W33" i="6"/>
  <c r="X33" i="6" s="1"/>
  <c r="W40" i="6"/>
  <c r="X40" i="6" s="1"/>
  <c r="Y30" i="6"/>
  <c r="H42" i="6"/>
  <c r="W52" i="6"/>
  <c r="X52" i="6" s="1"/>
  <c r="W39" i="6"/>
  <c r="X39" i="6" s="1"/>
  <c r="W66" i="6"/>
  <c r="X66" i="6" s="1"/>
  <c r="W46" i="6"/>
  <c r="X46" i="6" s="1"/>
  <c r="H27" i="6"/>
  <c r="W41" i="6"/>
  <c r="X41" i="6" s="1"/>
  <c r="H62" i="6" l="1"/>
  <c r="H47" i="6"/>
  <c r="AB30" i="6"/>
  <c r="AA30" i="6"/>
  <c r="Z30" i="6"/>
  <c r="H57" i="6"/>
  <c r="H68" i="6"/>
  <c r="AA104" i="6"/>
  <c r="H82" i="6"/>
  <c r="H71" i="6"/>
  <c r="W42" i="6"/>
  <c r="X42" i="6" s="1"/>
  <c r="W27" i="6"/>
  <c r="X27" i="6" s="1"/>
  <c r="Y23" i="6"/>
  <c r="H80" i="6"/>
  <c r="K27" i="3"/>
  <c r="AA111" i="6" l="1"/>
  <c r="H70" i="6"/>
  <c r="H59" i="6"/>
  <c r="W57" i="6"/>
  <c r="X57" i="6" s="1"/>
  <c r="H54" i="6"/>
  <c r="W62" i="6"/>
  <c r="X62" i="6" s="1"/>
  <c r="W80" i="6"/>
  <c r="X80" i="6" s="1"/>
  <c r="H78" i="6"/>
  <c r="W47" i="6"/>
  <c r="X47" i="6" s="1"/>
  <c r="W71" i="6"/>
  <c r="X71" i="6" s="1"/>
  <c r="AB23" i="6"/>
  <c r="Z23" i="6"/>
  <c r="AA23" i="6"/>
  <c r="W82" i="6"/>
  <c r="X82" i="6" s="1"/>
  <c r="K31" i="6"/>
  <c r="M31" i="6" s="1"/>
  <c r="K33" i="6"/>
  <c r="M33" i="6" s="1"/>
  <c r="K32" i="6"/>
  <c r="M32" i="6" s="1"/>
  <c r="Y36" i="6"/>
  <c r="H76" i="6"/>
  <c r="W68" i="6"/>
  <c r="X68" i="6" s="1"/>
  <c r="H64" i="6"/>
  <c r="K33" i="3"/>
  <c r="H65" i="6" l="1"/>
  <c r="H60" i="6"/>
  <c r="W59" i="6"/>
  <c r="X59" i="6" s="1"/>
  <c r="W76" i="6"/>
  <c r="X76" i="6" s="1"/>
  <c r="H77" i="6"/>
  <c r="AA107" i="6"/>
  <c r="H55" i="6"/>
  <c r="W70" i="6"/>
  <c r="X70" i="6" s="1"/>
  <c r="K26" i="6"/>
  <c r="M26" i="6" s="1"/>
  <c r="K24" i="6"/>
  <c r="M24" i="6" s="1"/>
  <c r="K27" i="6"/>
  <c r="M27" i="6" s="1"/>
  <c r="K25" i="6"/>
  <c r="M25" i="6" s="1"/>
  <c r="W54" i="6"/>
  <c r="X54" i="6" s="1"/>
  <c r="W64" i="6"/>
  <c r="X64" i="6" s="1"/>
  <c r="AB36" i="6"/>
  <c r="AA36" i="6"/>
  <c r="Z36" i="6"/>
  <c r="W78" i="6"/>
  <c r="X78" i="6" s="1"/>
  <c r="K30" i="3"/>
  <c r="W55" i="6" l="1"/>
  <c r="X55" i="6" s="1"/>
  <c r="K45" i="6"/>
  <c r="M45" i="6" s="1"/>
  <c r="K38" i="6"/>
  <c r="M38" i="6" s="1"/>
  <c r="K47" i="6"/>
  <c r="M47" i="6" s="1"/>
  <c r="K37" i="6"/>
  <c r="M37" i="6" s="1"/>
  <c r="K46" i="6"/>
  <c r="M46" i="6" s="1"/>
  <c r="K44" i="6"/>
  <c r="M44" i="6" s="1"/>
  <c r="K39" i="6"/>
  <c r="M39" i="6" s="1"/>
  <c r="K43" i="6"/>
  <c r="M43" i="6" s="1"/>
  <c r="K40" i="6"/>
  <c r="M40" i="6" s="1"/>
  <c r="K42" i="6"/>
  <c r="M42" i="6" s="1"/>
  <c r="K41" i="6"/>
  <c r="M41" i="6" s="1"/>
  <c r="H56" i="6"/>
  <c r="Y50" i="6" s="1"/>
  <c r="W60" i="6"/>
  <c r="X60" i="6" s="1"/>
  <c r="W77" i="6"/>
  <c r="X77" i="6" s="1"/>
  <c r="H61" i="6"/>
  <c r="H79" i="6"/>
  <c r="Y74" i="6"/>
  <c r="W65" i="6"/>
  <c r="X65" i="6" s="1"/>
  <c r="H67" i="6"/>
  <c r="Z104" i="6" l="1"/>
  <c r="Z105" i="6"/>
  <c r="AA74" i="6"/>
  <c r="Z74" i="6"/>
  <c r="AB74" i="6"/>
  <c r="AA50" i="6"/>
  <c r="Z50" i="6"/>
  <c r="AB50" i="6"/>
  <c r="W79" i="6"/>
  <c r="X79" i="6" s="1"/>
  <c r="W61" i="6"/>
  <c r="X61" i="6" s="1"/>
  <c r="W56" i="6"/>
  <c r="X56" i="6" s="1"/>
  <c r="W67" i="6"/>
  <c r="X67" i="6" s="1"/>
  <c r="J27" i="3"/>
  <c r="J28" i="3"/>
  <c r="K71" i="6" l="1"/>
  <c r="M71" i="6" s="1"/>
  <c r="K52" i="6"/>
  <c r="M52" i="6" s="1"/>
  <c r="Z112" i="6" s="1"/>
  <c r="K66" i="6"/>
  <c r="M66" i="6" s="1"/>
  <c r="K61" i="6"/>
  <c r="M61" i="6" s="1"/>
  <c r="K56" i="6"/>
  <c r="M56" i="6" s="1"/>
  <c r="K51" i="6"/>
  <c r="M51" i="6" s="1"/>
  <c r="K68" i="6"/>
  <c r="M68" i="6" s="1"/>
  <c r="K70" i="6"/>
  <c r="M70" i="6" s="1"/>
  <c r="K67" i="6"/>
  <c r="M67" i="6" s="1"/>
  <c r="K65" i="6"/>
  <c r="M65" i="6" s="1"/>
  <c r="K62" i="6"/>
  <c r="M62" i="6" s="1"/>
  <c r="K55" i="6"/>
  <c r="M55" i="6" s="1"/>
  <c r="K60" i="6"/>
  <c r="M60" i="6" s="1"/>
  <c r="K57" i="6"/>
  <c r="M57" i="6" s="1"/>
  <c r="AA88" i="6"/>
  <c r="AB88" i="6"/>
  <c r="Z88" i="6"/>
  <c r="K78" i="6"/>
  <c r="M78" i="6" s="1"/>
  <c r="K80" i="6"/>
  <c r="M80" i="6" s="1"/>
  <c r="K75" i="6"/>
  <c r="M75" i="6" s="1"/>
  <c r="K82" i="6"/>
  <c r="M82" i="6" s="1"/>
  <c r="K77" i="6"/>
  <c r="M77" i="6" s="1"/>
  <c r="K79" i="6"/>
  <c r="M79" i="6" s="1"/>
  <c r="J34" i="3"/>
  <c r="K59" i="6" l="1"/>
  <c r="K64" i="6"/>
  <c r="Z111" i="6"/>
  <c r="K76" i="6"/>
  <c r="Z106" i="6"/>
  <c r="M88" i="6"/>
  <c r="M90" i="6" s="1"/>
  <c r="Z107" i="6"/>
  <c r="K54" i="6"/>
  <c r="J33" i="3"/>
  <c r="J29" i="3"/>
  <c r="J30" i="3"/>
  <c r="J43" i="3" l="1"/>
  <c r="Z122" i="6"/>
  <c r="H25" i="5" l="1"/>
  <c r="H31" i="5"/>
  <c r="W31" i="5" l="1"/>
  <c r="X31" i="5" s="1"/>
  <c r="W25" i="5"/>
  <c r="X25" i="5" s="1"/>
  <c r="H33" i="5" l="1"/>
  <c r="H49" i="5"/>
  <c r="H43" i="5"/>
  <c r="H38" i="5"/>
  <c r="H32" i="5"/>
  <c r="H39" i="5"/>
  <c r="AA68" i="5" l="1"/>
  <c r="H37" i="5"/>
  <c r="W39" i="5"/>
  <c r="X39" i="5" s="1"/>
  <c r="W33" i="5"/>
  <c r="X33" i="5" s="1"/>
  <c r="AA67" i="5"/>
  <c r="H24" i="5"/>
  <c r="W32" i="5"/>
  <c r="X32" i="5" s="1"/>
  <c r="H47" i="5"/>
  <c r="AA79" i="5"/>
  <c r="H51" i="5"/>
  <c r="H23" i="5"/>
  <c r="H30" i="5"/>
  <c r="AA69" i="5"/>
  <c r="W49" i="5"/>
  <c r="X49" i="5" s="1"/>
  <c r="H29" i="5"/>
  <c r="AA66" i="5"/>
  <c r="W38" i="5"/>
  <c r="X38" i="5" s="1"/>
  <c r="W43" i="5"/>
  <c r="X43" i="5" s="1"/>
  <c r="H22" i="5"/>
  <c r="H23" i="3"/>
  <c r="H22" i="3"/>
  <c r="H33" i="3"/>
  <c r="H24" i="3"/>
  <c r="H21" i="3"/>
  <c r="Y21" i="5" l="1"/>
  <c r="W22" i="5"/>
  <c r="X22" i="5" s="1"/>
  <c r="W23" i="5"/>
  <c r="X23" i="5" s="1"/>
  <c r="H46" i="5"/>
  <c r="W47" i="5"/>
  <c r="X47" i="5" s="1"/>
  <c r="W29" i="5"/>
  <c r="X29" i="5" s="1"/>
  <c r="Y28" i="5"/>
  <c r="W30" i="5"/>
  <c r="X30" i="5" s="1"/>
  <c r="W51" i="5"/>
  <c r="X51" i="5" s="1"/>
  <c r="W24" i="5"/>
  <c r="X24" i="5" s="1"/>
  <c r="Y36" i="5"/>
  <c r="W37" i="5"/>
  <c r="X37" i="5" s="1"/>
  <c r="AB36" i="5" l="1"/>
  <c r="AA36" i="5"/>
  <c r="Z36" i="5"/>
  <c r="W46" i="5"/>
  <c r="X46" i="5" s="1"/>
  <c r="AB21" i="5"/>
  <c r="AA21" i="5"/>
  <c r="Z21" i="5"/>
  <c r="H48" i="5"/>
  <c r="Y42" i="5" s="1"/>
  <c r="AB28" i="5"/>
  <c r="AA28" i="5"/>
  <c r="Z28" i="5"/>
  <c r="H27" i="4"/>
  <c r="H32" i="4"/>
  <c r="AB42" i="5" l="1"/>
  <c r="AB56" i="5" s="1"/>
  <c r="AA42" i="5"/>
  <c r="AA56" i="5" s="1"/>
  <c r="Z42" i="5"/>
  <c r="Z56" i="5" s="1"/>
  <c r="K29" i="5"/>
  <c r="M29" i="5" s="1"/>
  <c r="K32" i="5"/>
  <c r="M32" i="5" s="1"/>
  <c r="K30" i="5"/>
  <c r="M30" i="5" s="1"/>
  <c r="K31" i="5"/>
  <c r="M31" i="5" s="1"/>
  <c r="K33" i="5"/>
  <c r="M33" i="5" s="1"/>
  <c r="W48" i="5"/>
  <c r="X48" i="5" s="1"/>
  <c r="K38" i="5"/>
  <c r="M38" i="5" s="1"/>
  <c r="K37" i="5"/>
  <c r="M37" i="5" s="1"/>
  <c r="K39" i="5"/>
  <c r="M39" i="5" s="1"/>
  <c r="K24" i="5"/>
  <c r="M24" i="5" s="1"/>
  <c r="Z67" i="5" s="1"/>
  <c r="K25" i="5"/>
  <c r="M25" i="5" s="1"/>
  <c r="K22" i="5"/>
  <c r="M22" i="5" s="1"/>
  <c r="K23" i="5"/>
  <c r="M23" i="5" s="1"/>
  <c r="W27" i="4"/>
  <c r="X27" i="4" s="1"/>
  <c r="W32" i="4"/>
  <c r="X32" i="4" s="1"/>
  <c r="G22" i="3"/>
  <c r="Z68" i="5" l="1"/>
  <c r="Z70" i="5"/>
  <c r="K43" i="5"/>
  <c r="M43" i="5" s="1"/>
  <c r="K49" i="5"/>
  <c r="M49" i="5" s="1"/>
  <c r="K48" i="5"/>
  <c r="M48" i="5" s="1"/>
  <c r="K47" i="5"/>
  <c r="M47" i="5" s="1"/>
  <c r="K46" i="5"/>
  <c r="M46" i="5" s="1"/>
  <c r="K51" i="5"/>
  <c r="M51" i="5" s="1"/>
  <c r="Z79" i="5" s="1"/>
  <c r="Z66" i="5"/>
  <c r="AA48" i="4"/>
  <c r="H33" i="4"/>
  <c r="AA46" i="4"/>
  <c r="H25" i="4"/>
  <c r="H26" i="4"/>
  <c r="AA45" i="4"/>
  <c r="AA47" i="4"/>
  <c r="H28" i="4"/>
  <c r="G23" i="3"/>
  <c r="G25" i="3"/>
  <c r="G33" i="3"/>
  <c r="G21" i="3"/>
  <c r="E18" i="3"/>
  <c r="E17" i="3"/>
  <c r="E16" i="3"/>
  <c r="E15" i="3"/>
  <c r="Z69" i="5" l="1"/>
  <c r="Z90" i="5" s="1"/>
  <c r="M56" i="5"/>
  <c r="M58" i="5" s="1"/>
  <c r="W28" i="4"/>
  <c r="X28" i="4" s="1"/>
  <c r="W26" i="4"/>
  <c r="X26" i="4" s="1"/>
  <c r="Y24" i="4"/>
  <c r="W25" i="4"/>
  <c r="X25" i="4" s="1"/>
  <c r="W33" i="4"/>
  <c r="X33" i="4" s="1"/>
  <c r="Y31" i="4"/>
  <c r="G24" i="3"/>
  <c r="G43" i="3" l="1"/>
  <c r="AB24" i="4"/>
  <c r="AA24" i="4"/>
  <c r="Z24" i="4"/>
  <c r="AA31" i="4"/>
  <c r="Z31" i="4"/>
  <c r="AB31" i="4"/>
  <c r="Z40" i="4" l="1"/>
  <c r="K33" i="4"/>
  <c r="M33" i="4" s="1"/>
  <c r="Z48" i="4" s="1"/>
  <c r="K32" i="4"/>
  <c r="M32" i="4" s="1"/>
  <c r="Z49" i="4" s="1"/>
  <c r="K28" i="4"/>
  <c r="M28" i="4" s="1"/>
  <c r="Z47" i="4" s="1"/>
  <c r="K25" i="4"/>
  <c r="M25" i="4" s="1"/>
  <c r="K27" i="4"/>
  <c r="M27" i="4" s="1"/>
  <c r="K26" i="4"/>
  <c r="M26" i="4" s="1"/>
  <c r="AA40" i="4"/>
  <c r="AB40" i="4"/>
  <c r="D18" i="3"/>
  <c r="D19" i="3"/>
  <c r="D17" i="3"/>
  <c r="Z45" i="4" l="1"/>
  <c r="Z46" i="4"/>
  <c r="M40" i="4"/>
  <c r="M42" i="4" s="1"/>
  <c r="D15" i="3"/>
  <c r="D16" i="3"/>
  <c r="D43" i="3" l="1"/>
  <c r="Z75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LOURDEL</author>
  </authors>
  <commentList>
    <comment ref="G4" authorId="0" shapeId="0" xr:uid="{915EC696-F497-4CB6-A467-952455C49078}">
      <text>
        <r>
          <rPr>
            <sz val="9"/>
            <color indexed="81"/>
            <rFont val="Tahoma"/>
            <family val="2"/>
          </rPr>
          <t>Commentaire :
m3, à couler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LOURDEL</author>
    <author>LAROCHE-JOUBERT Damien</author>
  </authors>
  <commentList>
    <comment ref="G4" authorId="0" shapeId="0" xr:uid="{DDBFF5C6-D03D-4A55-9FB8-FEB808E2B7A8}">
      <text>
        <r>
          <rPr>
            <sz val="9"/>
            <color indexed="81"/>
            <rFont val="Tahoma"/>
            <family val="2"/>
          </rPr>
          <t>Commentaire :
m3, à couler</t>
        </r>
      </text>
    </comment>
    <comment ref="A46" authorId="1" shapeId="0" xr:uid="{CB2D0B1D-6E6B-48C1-B9DD-B212AD43D3EA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47" authorId="1" shapeId="0" xr:uid="{25856F09-F0D8-46F4-BC33-627C14E9F4C3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48" authorId="1" shapeId="0" xr:uid="{EBB8BC62-E259-454F-85B1-98785C88F444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49" authorId="1" shapeId="0" xr:uid="{44E25CF9-A2B0-467F-A1A8-31245317E814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50" authorId="1" shapeId="0" xr:uid="{230C3789-5F2A-4713-B283-5942D0253731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Sébastien LOURDEL</author>
    <author>LAROCHE-JOUBERT Damien</author>
  </authors>
  <commentList>
    <comment ref="G4" authorId="0" shapeId="0" xr:uid="{08613AFF-CDDD-4364-B7B6-CB512AB3AA5E}">
      <text>
        <r>
          <rPr>
            <sz val="9"/>
            <color indexed="81"/>
            <rFont val="Tahoma"/>
            <family val="2"/>
          </rPr>
          <t>Commentaire :
m3, à couler</t>
        </r>
      </text>
    </comment>
    <comment ref="A55" authorId="1" shapeId="0" xr:uid="{FB1CA698-DA92-457C-92DF-4F14C74B634A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56" authorId="1" shapeId="0" xr:uid="{8B86FEB5-F250-4560-B0BC-B44BBB7495EF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57" authorId="1" shapeId="0" xr:uid="{FDF6D63B-A0F7-4A53-BCEA-F34559FE3458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60" authorId="1" shapeId="0" xr:uid="{1B6948DA-4DF2-4583-9E6B-EDFB37D2D1F7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61" authorId="1" shapeId="0" xr:uid="{3843AC88-BCEB-4F4E-8450-A19851C54E51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62" authorId="1" shapeId="0" xr:uid="{4611757A-76C3-4CF0-B9CC-44C42A0A2F1A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65" authorId="1" shapeId="0" xr:uid="{C651B056-E72A-4B4A-ABDF-04E458D3433E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66" authorId="1" shapeId="0" xr:uid="{CA4A7605-7B6D-4C5B-A501-F7DF3DAE4E7F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67" authorId="1" shapeId="0" xr:uid="{DC59FDAE-4533-4668-B539-F7FA658A6F9C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68" authorId="1" shapeId="0" xr:uid="{5BFC4322-07B4-4846-8C57-F7CDC31518C1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77" authorId="1" shapeId="0" xr:uid="{4CCF4202-F8A1-49E6-9734-D4E572A11D57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78" authorId="1" shapeId="0" xr:uid="{68B8E9B2-1881-4273-A13F-6E503FCDFDF8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79" authorId="1" shapeId="0" xr:uid="{34418771-A391-464F-80EF-810C7B7ABE77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  <comment ref="A80" authorId="1" shapeId="0" xr:uid="{E1B808CF-E64A-4348-B462-73EC61D41191}">
      <text>
        <r>
          <rPr>
            <b/>
            <sz val="9"/>
            <color indexed="81"/>
            <rFont val="Tahoma"/>
            <family val="2"/>
          </rPr>
          <t>Ligne ajoutée manuellement.</t>
        </r>
      </text>
    </comment>
  </commentList>
</comments>
</file>

<file path=xl/sharedStrings.xml><?xml version="1.0" encoding="utf-8"?>
<sst xmlns="http://schemas.openxmlformats.org/spreadsheetml/2006/main" count="1031" uniqueCount="160">
  <si>
    <t>Conversion RAL</t>
  </si>
  <si>
    <t>NIVEAU</t>
  </si>
  <si>
    <t>PHR_01</t>
  </si>
  <si>
    <t>PHRDC</t>
  </si>
  <si>
    <t>APPLICATION DES RAL</t>
  </si>
  <si>
    <t>OUI</t>
  </si>
  <si>
    <t>NON</t>
  </si>
  <si>
    <t>Fondations superficielles</t>
  </si>
  <si>
    <t>Fondations isolées</t>
  </si>
  <si>
    <t>Longrine</t>
  </si>
  <si>
    <t>Dallage</t>
  </si>
  <si>
    <t>Divers fondation</t>
  </si>
  <si>
    <t>Voile infra</t>
  </si>
  <si>
    <t>Poteaux Infra</t>
  </si>
  <si>
    <t>Poutres Infra</t>
  </si>
  <si>
    <t>Planchers Infra</t>
  </si>
  <si>
    <t>Divers Infra</t>
  </si>
  <si>
    <t>Voile + Acrotère Super</t>
  </si>
  <si>
    <t>Poteaux Super</t>
  </si>
  <si>
    <t>Poutres Super</t>
  </si>
  <si>
    <t>Planchers Super</t>
  </si>
  <si>
    <t>Divers Super</t>
  </si>
  <si>
    <t>Escalier</t>
  </si>
  <si>
    <t>Divers préfa</t>
  </si>
  <si>
    <t>Relevé</t>
  </si>
  <si>
    <t>Grutier</t>
  </si>
  <si>
    <t>Ouvrages divers</t>
  </si>
  <si>
    <t>Voile +Acrotère Super</t>
  </si>
  <si>
    <t xml:space="preserve"> Trous scellement calfeutrement</t>
  </si>
  <si>
    <t>Ovrages divers</t>
  </si>
  <si>
    <t>Entreprise :</t>
  </si>
  <si>
    <t>Grue:</t>
  </si>
  <si>
    <t>Etude :</t>
  </si>
  <si>
    <t>COMPARATIF DES HEURES METHODES / ETUDE DE PRIX</t>
  </si>
  <si>
    <t>PHFONDATION</t>
  </si>
  <si>
    <t>Heures</t>
  </si>
  <si>
    <t>ml</t>
  </si>
  <si>
    <t>u</t>
  </si>
  <si>
    <t>m²</t>
  </si>
  <si>
    <t>Installation/Replie sous grue</t>
  </si>
  <si>
    <t>Gros béton</t>
  </si>
  <si>
    <t>Conducteur manitou</t>
  </si>
  <si>
    <t>ENTREPRISE :</t>
  </si>
  <si>
    <t>Quantité</t>
  </si>
  <si>
    <t>CHANTIER :</t>
  </si>
  <si>
    <t>Désignation</t>
  </si>
  <si>
    <t>Type d'ouvrage</t>
  </si>
  <si>
    <t>Métré</t>
  </si>
  <si>
    <t>Qté</t>
  </si>
  <si>
    <t>TU th</t>
  </si>
  <si>
    <t>Temps Unitaire</t>
  </si>
  <si>
    <t xml:space="preserve">Budget 55 </t>
  </si>
  <si>
    <t>Détail quantité</t>
  </si>
  <si>
    <t>Durée</t>
  </si>
  <si>
    <t>Cadence</t>
  </si>
  <si>
    <t>Nb
Opér.</t>
  </si>
  <si>
    <t>Budget regroupé (h)</t>
  </si>
  <si>
    <t>m3</t>
  </si>
  <si>
    <t>Montage de matériel</t>
  </si>
  <si>
    <r>
      <t xml:space="preserve">Dallage -&gt; </t>
    </r>
    <r>
      <rPr>
        <sz val="11"/>
        <color theme="1"/>
        <rFont val="Calibri"/>
        <family val="2"/>
        <scheme val="minor"/>
      </rPr>
      <t>Coulage ST</t>
    </r>
  </si>
  <si>
    <t>EQUIPE 1</t>
  </si>
  <si>
    <t/>
  </si>
  <si>
    <t>Fondations</t>
  </si>
  <si>
    <t>Semelle isolée</t>
  </si>
  <si>
    <t>Semelle filante</t>
  </si>
  <si>
    <t>Longrines préfa</t>
  </si>
  <si>
    <t>Dalle portée (ferraille+prépa)</t>
  </si>
  <si>
    <t>Radier ep 30 / 40</t>
  </si>
  <si>
    <t>Dalle portée (cis fond de forme)</t>
  </si>
  <si>
    <t>Finition</t>
  </si>
  <si>
    <t>Total :</t>
  </si>
  <si>
    <t>Ligne vérifications</t>
  </si>
  <si>
    <t>Prefa facade</t>
  </si>
  <si>
    <t>Homme traffic</t>
  </si>
  <si>
    <t>Installation de chantier</t>
  </si>
  <si>
    <t>Semelles isolées pleines fouilles</t>
  </si>
  <si>
    <t>Semelles filantes zone 1</t>
  </si>
  <si>
    <t>Pose -&gt; Longrines préfa usine</t>
  </si>
  <si>
    <t>Radier ascenseurs</t>
  </si>
  <si>
    <t>Dalles portées</t>
  </si>
  <si>
    <t>Verticaux</t>
  </si>
  <si>
    <t>Voiles Ext 2.80 &lt; H ≤3.8</t>
  </si>
  <si>
    <t>Poteaux ht std</t>
  </si>
  <si>
    <t>Poutre CSP ht std</t>
  </si>
  <si>
    <t>Voile par passe</t>
  </si>
  <si>
    <t>Voile préfa  ≤ 4m</t>
  </si>
  <si>
    <t>Poutres</t>
  </si>
  <si>
    <t>Poutre préfa ht std</t>
  </si>
  <si>
    <t>Planchers</t>
  </si>
  <si>
    <t>Etaiement</t>
  </si>
  <si>
    <t>Etaiement (Prédalle)</t>
  </si>
  <si>
    <t>Pose prédalle</t>
  </si>
  <si>
    <t>Ferraillage</t>
  </si>
  <si>
    <t>Ferraillage (Prédalle)</t>
  </si>
  <si>
    <t>Coulage</t>
  </si>
  <si>
    <t>Coulage (Prédalle)</t>
  </si>
  <si>
    <t>Volée d'escalier</t>
  </si>
  <si>
    <t>Voiles façade  2,80 &lt; H &lt; 3,80</t>
  </si>
  <si>
    <t>Voiles intérieur  2,80 &lt; H &lt; 3,80</t>
  </si>
  <si>
    <t>Poteaux 2,0 &lt; H &lt; 3,30</t>
  </si>
  <si>
    <t>Poutre CEP (manuportable)</t>
  </si>
  <si>
    <t>Plots barrettes (stabilisation)</t>
  </si>
  <si>
    <t>Barrette  zone 1</t>
  </si>
  <si>
    <t>Pose -&gt; Voile par passe 2,80 &lt; H &lt; 3,80</t>
  </si>
  <si>
    <t>Préfabrication -&gt; Voile par passe 2,80 &lt; H &lt; 3,80</t>
  </si>
  <si>
    <t>Voile préfa archi 3,30 &lt; H &lt; 3,80</t>
  </si>
  <si>
    <t>Pose -&gt; Poutre préfa</t>
  </si>
  <si>
    <t>Pose -&gt; Poutre préfa ARCHI</t>
  </si>
  <si>
    <t xml:space="preserve">Poutre CEP </t>
  </si>
  <si>
    <t>Manivelle CEP</t>
  </si>
  <si>
    <t>Prédalles</t>
  </si>
  <si>
    <t>Volée d'escalier + palier</t>
  </si>
  <si>
    <t>Montage des étaiement GH -&gt; ST</t>
  </si>
  <si>
    <t>- Montage Platelage Voile Bandeau</t>
  </si>
  <si>
    <t>Verticaux Z1</t>
  </si>
  <si>
    <t>Voiles Int 2.80 &lt; H ≤3.8</t>
  </si>
  <si>
    <t>Prémur ≤ 4m</t>
  </si>
  <si>
    <t>Verticaux GH Z2</t>
  </si>
  <si>
    <t>Voiles 8.90 &lt; H &lt; 11.2</t>
  </si>
  <si>
    <t>Mise à niveau côté Sud pour voile GH</t>
  </si>
  <si>
    <t>Montage platelage</t>
  </si>
  <si>
    <t>Poteaux gde ht</t>
  </si>
  <si>
    <t>Verticaux Z2</t>
  </si>
  <si>
    <t>Voiles Ext 4.3 &lt; H ≤4.8</t>
  </si>
  <si>
    <t>Voiles Ext 6.10 &lt; H ≤7.6</t>
  </si>
  <si>
    <t>Libages</t>
  </si>
  <si>
    <t>Planchers Z2</t>
  </si>
  <si>
    <t>Plancher tradi</t>
  </si>
  <si>
    <t>Etaiement (CEP)</t>
  </si>
  <si>
    <t>Ferraillage (CEP)</t>
  </si>
  <si>
    <t>Coulage (CEP)</t>
  </si>
  <si>
    <t>Prédalles ext</t>
  </si>
  <si>
    <t>Planchers Z1</t>
  </si>
  <si>
    <t>Z1-Voile façade 3,30 &lt; H &lt; 3,80m</t>
  </si>
  <si>
    <t xml:space="preserve">Z1-Voile intérieur 3,30 &lt; H &lt; 3,80 </t>
  </si>
  <si>
    <t xml:space="preserve">Z1-Voile Archi 3,30 &lt; H &lt; 3,80 </t>
  </si>
  <si>
    <t>Z1-Prémurs 2,80 &lt; H &lt; 3,80</t>
  </si>
  <si>
    <t>Z2-Voile GH 8,90 &lt; H &lt; 11,20</t>
  </si>
  <si>
    <t>Z2-Poteau 10,40 &lt; H &lt; 11,20</t>
  </si>
  <si>
    <t>Z2-Voile façade/intérieur 2,80 &lt; H &lt; 3,80</t>
  </si>
  <si>
    <t>Z2-Voile façade/intérieur 4,30 &lt; H &lt; 4,80</t>
  </si>
  <si>
    <t>Z2-Voile intérieur Archi 3,30 &lt; H &lt; 4,80m</t>
  </si>
  <si>
    <t>Z2-Voile intérieur Archi 6,10 &lt; H &lt; 7,60m</t>
  </si>
  <si>
    <t>Z2-Voile Bandeau 3,30 &lt; H &lt; 3,80m</t>
  </si>
  <si>
    <t>Z2-Prémurs 2,80 &lt; H &lt; 3,80</t>
  </si>
  <si>
    <t>Z2-Poteau 1,0 &lt; H &lt; 3,80</t>
  </si>
  <si>
    <t>Z2-Poteau 6,10 &lt; H &lt; 7,60</t>
  </si>
  <si>
    <t>Z2-Poteau rond Archi 2,80 &lt; H &lt; 3,30</t>
  </si>
  <si>
    <t>Z2-Poteau rond Archi 6,10 &lt; H &lt; 7,10</t>
  </si>
  <si>
    <t>Relevés CEP Façade ht 1,0m</t>
  </si>
  <si>
    <t>Z2-Pose Poutre crémaillère</t>
  </si>
  <si>
    <t>Z3-Pose Grandin préfa dans hall</t>
  </si>
  <si>
    <t>Z2-Plancher CEP</t>
  </si>
  <si>
    <t>Z2-Plancher CEP Archi</t>
  </si>
  <si>
    <t>Z2-Plancher prédalle</t>
  </si>
  <si>
    <t>Volée d'escalier monumentale cis palier</t>
  </si>
  <si>
    <t>Escalier préfa zone gradin</t>
  </si>
  <si>
    <t>Z1-Pose Poutre préfa</t>
  </si>
  <si>
    <t>Z1-Prédalle</t>
  </si>
  <si>
    <t>Volée d'escalier cis palier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</si>
</sst>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"/>
    <numFmt numFmtId="165" formatCode="#,##0&quot; h&quot;"/>
    <numFmt numFmtId="166" formatCode="0&quot; op&quot;"/>
    <numFmt numFmtId="167" formatCode="0.0"/>
    <numFmt numFmtId="168" formatCode="0&quot; j&quot;"/>
    <numFmt numFmtId="169" formatCode="0&quot; h&quot;"/>
  </numFmts>
  <fonts count="22" x14ac:knownFonts="1">
    <font>
      <sz val="11"/>
      <color theme="1"/>
      <name val="Vinci Sans"/>
      <family val="2"/>
    </font>
    <font>
      <b/>
      <sz val="11"/>
      <color theme="1"/>
      <name val="Vinci Sans"/>
    </font>
    <font>
      <b/>
      <sz val="10"/>
      <color theme="1"/>
      <name val="Vinci Sans"/>
    </font>
    <font>
      <sz val="11"/>
      <color theme="1"/>
      <name val="Vinci Sans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</font>
    <font>
      <b/>
      <sz val="10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24"/>
      <color theme="3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CC00FF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theme="1"/>
      <name val="Vinci Sans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BFB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59999389629810485"/>
        <bgColor indexed="64"/>
      </patternFill>
    </fill>
  </fills>
  <borders count="8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402">
    <xf numFmtId="0" fontId="0" fillId="0" borderId="0" xfId="0"/>
    <xf numFmtId="164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12" xfId="0" applyBorder="1" applyAlignment="1">
      <alignment horizontal="center"/>
    </xf>
    <xf numFmtId="0" fontId="3" fillId="0" borderId="0" xfId="0" applyFont="1"/>
    <xf numFmtId="0" fontId="0" fillId="0" borderId="5" xfId="0" applyBorder="1" applyAlignment="1">
      <alignment horizontal="center"/>
    </xf>
    <xf numFmtId="0" fontId="0" fillId="0" borderId="8" xfId="0" applyBorder="1"/>
    <xf numFmtId="3" fontId="4" fillId="0" borderId="7" xfId="1" applyNumberFormat="1" applyBorder="1" applyAlignment="1" applyProtection="1">
      <alignment horizontal="right"/>
      <protection locked="0"/>
    </xf>
    <xf numFmtId="3" fontId="4" fillId="0" borderId="0" xfId="1" applyNumberFormat="1" applyAlignment="1" applyProtection="1">
      <alignment horizontal="right"/>
      <protection locked="0"/>
    </xf>
    <xf numFmtId="3" fontId="4" fillId="0" borderId="8" xfId="1" applyNumberFormat="1" applyBorder="1" applyAlignment="1" applyProtection="1">
      <alignment horizontal="right"/>
      <protection locked="0"/>
    </xf>
    <xf numFmtId="166" fontId="4" fillId="0" borderId="0" xfId="1" applyNumberFormat="1" applyProtection="1">
      <protection locked="0"/>
    </xf>
    <xf numFmtId="3" fontId="5" fillId="0" borderId="14" xfId="1" applyNumberFormat="1" applyFont="1" applyBorder="1" applyAlignment="1" applyProtection="1">
      <alignment horizontal="right"/>
      <protection locked="0"/>
    </xf>
    <xf numFmtId="0" fontId="7" fillId="0" borderId="16" xfId="2" applyFont="1" applyBorder="1" applyAlignment="1">
      <alignment horizontal="left" vertical="top" wrapText="1"/>
    </xf>
    <xf numFmtId="0" fontId="8" fillId="0" borderId="15" xfId="2" applyFont="1" applyBorder="1" applyAlignment="1">
      <alignment horizontal="left"/>
    </xf>
    <xf numFmtId="0" fontId="9" fillId="5" borderId="16" xfId="2" applyFont="1" applyFill="1" applyBorder="1"/>
    <xf numFmtId="0" fontId="8" fillId="0" borderId="18" xfId="2" applyFont="1" applyBorder="1" applyAlignment="1">
      <alignment horizontal="left"/>
    </xf>
    <xf numFmtId="0" fontId="0" fillId="0" borderId="20" xfId="0" applyBorder="1" applyAlignment="1">
      <alignment vertical="center"/>
    </xf>
    <xf numFmtId="0" fontId="8" fillId="0" borderId="19" xfId="2" applyFont="1" applyBorder="1" applyAlignment="1">
      <alignment horizontal="left"/>
    </xf>
    <xf numFmtId="0" fontId="9" fillId="5" borderId="20" xfId="2" applyFont="1" applyFill="1" applyBorder="1"/>
    <xf numFmtId="165" fontId="1" fillId="0" borderId="1" xfId="0" applyNumberFormat="1" applyFont="1" applyBorder="1"/>
    <xf numFmtId="165" fontId="4" fillId="0" borderId="10" xfId="1" applyNumberFormat="1" applyBorder="1" applyProtection="1">
      <protection locked="0"/>
    </xf>
    <xf numFmtId="0" fontId="0" fillId="0" borderId="25" xfId="0" applyBorder="1" applyAlignment="1">
      <alignment horizontal="center"/>
    </xf>
    <xf numFmtId="0" fontId="0" fillId="0" borderId="16" xfId="0" applyBorder="1" applyAlignment="1">
      <alignment vertical="center"/>
    </xf>
    <xf numFmtId="0" fontId="7" fillId="0" borderId="0" xfId="2" applyFont="1" applyAlignment="1">
      <alignment horizontal="left" vertical="top"/>
    </xf>
    <xf numFmtId="0" fontId="9" fillId="5" borderId="16" xfId="2" applyFont="1" applyFill="1" applyBorder="1" applyAlignment="1">
      <alignment horizontal="center"/>
    </xf>
    <xf numFmtId="0" fontId="9" fillId="5" borderId="0" xfId="2" applyFont="1" applyFill="1"/>
    <xf numFmtId="0" fontId="9" fillId="5" borderId="0" xfId="2" applyFont="1" applyFill="1" applyAlignment="1">
      <alignment horizontal="center"/>
    </xf>
    <xf numFmtId="0" fontId="9" fillId="5" borderId="20" xfId="2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0" fillId="0" borderId="1" xfId="0" applyNumberFormat="1" applyBorder="1"/>
    <xf numFmtId="0" fontId="0" fillId="0" borderId="26" xfId="0" applyBorder="1"/>
    <xf numFmtId="165" fontId="1" fillId="0" borderId="27" xfId="0" applyNumberFormat="1" applyFont="1" applyBorder="1"/>
    <xf numFmtId="1" fontId="1" fillId="0" borderId="1" xfId="0" applyNumberFormat="1" applyFont="1" applyBorder="1"/>
    <xf numFmtId="165" fontId="1" fillId="0" borderId="1" xfId="0" applyNumberFormat="1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165" fontId="0" fillId="0" borderId="21" xfId="0" applyNumberFormat="1" applyBorder="1" applyAlignment="1">
      <alignment vertical="center"/>
    </xf>
    <xf numFmtId="1" fontId="0" fillId="0" borderId="7" xfId="0" applyNumberFormat="1" applyBorder="1" applyAlignment="1">
      <alignment vertical="center"/>
    </xf>
    <xf numFmtId="165" fontId="0" fillId="0" borderId="23" xfId="0" applyNumberFormat="1" applyBorder="1" applyAlignment="1">
      <alignment horizontal="center" vertical="center"/>
    </xf>
    <xf numFmtId="165" fontId="0" fillId="0" borderId="22" xfId="0" applyNumberFormat="1" applyBorder="1" applyAlignment="1">
      <alignment vertical="center"/>
    </xf>
    <xf numFmtId="165" fontId="0" fillId="0" borderId="29" xfId="0" applyNumberForma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vertical="center"/>
    </xf>
    <xf numFmtId="165" fontId="0" fillId="0" borderId="25" xfId="0" applyNumberFormat="1" applyBorder="1" applyAlignment="1">
      <alignment vertical="center"/>
    </xf>
    <xf numFmtId="1" fontId="0" fillId="0" borderId="24" xfId="0" applyNumberFormat="1" applyBorder="1" applyAlignment="1">
      <alignment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4" xfId="0" applyNumberFormat="1" applyBorder="1" applyAlignment="1">
      <alignment vertical="center"/>
    </xf>
    <xf numFmtId="165" fontId="0" fillId="0" borderId="30" xfId="0" applyNumberFormat="1" applyBorder="1" applyAlignment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vertical="center"/>
    </xf>
    <xf numFmtId="165" fontId="0" fillId="0" borderId="33" xfId="0" applyNumberFormat="1" applyBorder="1" applyAlignment="1">
      <alignment vertical="center"/>
    </xf>
    <xf numFmtId="165" fontId="0" fillId="0" borderId="32" xfId="0" applyNumberFormat="1" applyBorder="1" applyAlignment="1">
      <alignment horizontal="center" vertical="center"/>
    </xf>
    <xf numFmtId="165" fontId="0" fillId="0" borderId="34" xfId="0" applyNumberFormat="1" applyBorder="1" applyAlignment="1">
      <alignment vertical="center"/>
    </xf>
    <xf numFmtId="1" fontId="4" fillId="0" borderId="7" xfId="1" applyNumberFormat="1" applyBorder="1" applyAlignment="1" applyProtection="1">
      <alignment horizontal="center"/>
      <protection locked="0"/>
    </xf>
    <xf numFmtId="0" fontId="4" fillId="0" borderId="9" xfId="1" applyBorder="1" applyAlignment="1" applyProtection="1">
      <alignment horizontal="center"/>
      <protection locked="0"/>
    </xf>
    <xf numFmtId="1" fontId="4" fillId="0" borderId="0" xfId="1" applyNumberFormat="1" applyAlignment="1" applyProtection="1">
      <alignment horizontal="center"/>
      <protection locked="0"/>
    </xf>
    <xf numFmtId="0" fontId="4" fillId="0" borderId="10" xfId="1" applyBorder="1" applyAlignment="1" applyProtection="1">
      <alignment horizontal="center"/>
      <protection locked="0"/>
    </xf>
    <xf numFmtId="0" fontId="4" fillId="0" borderId="28" xfId="1" applyBorder="1" applyAlignment="1" applyProtection="1">
      <alignment horizontal="center"/>
      <protection locked="0"/>
    </xf>
    <xf numFmtId="1" fontId="4" fillId="0" borderId="5" xfId="1" applyNumberFormat="1" applyBorder="1" applyAlignment="1" applyProtection="1">
      <alignment horizontal="center"/>
      <protection locked="0"/>
    </xf>
    <xf numFmtId="0" fontId="7" fillId="0" borderId="15" xfId="2" applyFont="1" applyBorder="1" applyAlignment="1">
      <alignment horizontal="left" vertical="top" wrapText="1"/>
    </xf>
    <xf numFmtId="0" fontId="7" fillId="0" borderId="18" xfId="2" applyFont="1" applyBorder="1" applyAlignment="1">
      <alignment horizontal="left" vertical="top" wrapText="1"/>
    </xf>
    <xf numFmtId="0" fontId="10" fillId="0" borderId="15" xfId="2" applyFont="1" applyBorder="1" applyAlignment="1">
      <alignment horizontal="center" vertical="center" wrapText="1"/>
    </xf>
    <xf numFmtId="0" fontId="10" fillId="0" borderId="16" xfId="2" applyFont="1" applyBorder="1" applyAlignment="1">
      <alignment horizontal="center" vertical="center" wrapText="1"/>
    </xf>
    <xf numFmtId="0" fontId="10" fillId="0" borderId="19" xfId="2" applyFont="1" applyBorder="1" applyAlignment="1">
      <alignment horizontal="center" vertical="center" wrapText="1"/>
    </xf>
    <xf numFmtId="0" fontId="10" fillId="0" borderId="20" xfId="2" applyFont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 wrapText="1"/>
    </xf>
    <xf numFmtId="0" fontId="4" fillId="7" borderId="35" xfId="1" applyFill="1" applyBorder="1" applyAlignment="1">
      <alignment horizontal="center" vertical="center" wrapText="1"/>
    </xf>
    <xf numFmtId="0" fontId="4" fillId="8" borderId="16" xfId="1" applyFill="1" applyBorder="1" applyAlignment="1">
      <alignment horizontal="center" vertical="center" wrapText="1"/>
    </xf>
    <xf numFmtId="0" fontId="4" fillId="8" borderId="36" xfId="1" applyFill="1" applyBorder="1" applyAlignment="1">
      <alignment horizontal="center" vertical="center" wrapText="1"/>
    </xf>
    <xf numFmtId="0" fontId="4" fillId="0" borderId="35" xfId="1" applyBorder="1" applyAlignment="1">
      <alignment horizontal="left"/>
    </xf>
    <xf numFmtId="0" fontId="4" fillId="0" borderId="16" xfId="1" applyBorder="1" applyAlignment="1">
      <alignment horizontal="left"/>
    </xf>
    <xf numFmtId="0" fontId="4" fillId="0" borderId="16" xfId="1" applyBorder="1"/>
    <xf numFmtId="166" fontId="4" fillId="0" borderId="16" xfId="1" applyNumberFormat="1" applyBorder="1"/>
    <xf numFmtId="3" fontId="4" fillId="0" borderId="16" xfId="1" applyNumberFormat="1" applyBorder="1" applyAlignment="1">
      <alignment horizontal="right"/>
    </xf>
    <xf numFmtId="0" fontId="5" fillId="0" borderId="3" xfId="1" applyFont="1" applyBorder="1" applyAlignment="1">
      <alignment horizontal="center" vertical="center"/>
    </xf>
    <xf numFmtId="0" fontId="4" fillId="0" borderId="0" xfId="1"/>
    <xf numFmtId="0" fontId="11" fillId="0" borderId="37" xfId="1" applyFont="1" applyBorder="1" applyAlignment="1">
      <alignment horizontal="center" vertical="center"/>
    </xf>
    <xf numFmtId="0" fontId="11" fillId="0" borderId="38" xfId="1" applyFont="1" applyBorder="1" applyAlignment="1">
      <alignment horizontal="center" vertical="center" wrapText="1"/>
    </xf>
    <xf numFmtId="0" fontId="4" fillId="7" borderId="39" xfId="1" applyFill="1" applyBorder="1" applyAlignment="1">
      <alignment horizontal="center" vertical="center" wrapText="1"/>
    </xf>
    <xf numFmtId="0" fontId="4" fillId="8" borderId="38" xfId="1" applyFill="1" applyBorder="1" applyAlignment="1">
      <alignment horizontal="center" vertical="center" wrapText="1"/>
    </xf>
    <xf numFmtId="0" fontId="4" fillId="8" borderId="40" xfId="1" applyFill="1" applyBorder="1" applyAlignment="1">
      <alignment horizontal="center" vertical="center" wrapText="1"/>
    </xf>
    <xf numFmtId="0" fontId="4" fillId="0" borderId="39" xfId="1" applyBorder="1" applyAlignment="1">
      <alignment horizontal="left"/>
    </xf>
    <xf numFmtId="0" fontId="4" fillId="0" borderId="38" xfId="1" applyBorder="1" applyAlignment="1">
      <alignment horizontal="left"/>
    </xf>
    <xf numFmtId="0" fontId="4" fillId="0" borderId="38" xfId="1" applyBorder="1"/>
    <xf numFmtId="166" fontId="4" fillId="0" borderId="38" xfId="1" applyNumberFormat="1" applyBorder="1"/>
    <xf numFmtId="3" fontId="4" fillId="0" borderId="38" xfId="1" applyNumberFormat="1" applyBorder="1" applyAlignment="1">
      <alignment horizontal="right"/>
    </xf>
    <xf numFmtId="0" fontId="4" fillId="0" borderId="41" xfId="1" applyBorder="1" applyAlignment="1">
      <alignment horizontal="center" vertical="center"/>
    </xf>
    <xf numFmtId="0" fontId="0" fillId="6" borderId="42" xfId="1" applyFont="1" applyFill="1" applyBorder="1" applyAlignment="1">
      <alignment horizontal="center" vertical="center" wrapText="1"/>
    </xf>
    <xf numFmtId="0" fontId="4" fillId="0" borderId="43" xfId="1" applyBorder="1" applyAlignment="1">
      <alignment horizontal="center" vertical="center" wrapText="1"/>
    </xf>
    <xf numFmtId="0" fontId="4" fillId="0" borderId="43" xfId="1" applyBorder="1" applyAlignment="1">
      <alignment horizontal="center" vertical="center"/>
    </xf>
    <xf numFmtId="0" fontId="4" fillId="0" borderId="44" xfId="1" applyBorder="1" applyAlignment="1">
      <alignment horizontal="center" vertical="center"/>
    </xf>
    <xf numFmtId="0" fontId="4" fillId="0" borderId="45" xfId="1" applyBorder="1" applyAlignment="1">
      <alignment horizontal="center" vertical="center" wrapText="1"/>
    </xf>
    <xf numFmtId="0" fontId="4" fillId="0" borderId="44" xfId="1" applyBorder="1" applyAlignment="1">
      <alignment horizontal="center" vertical="center" wrapText="1"/>
    </xf>
    <xf numFmtId="0" fontId="12" fillId="6" borderId="44" xfId="1" applyFont="1" applyFill="1" applyBorder="1" applyAlignment="1">
      <alignment horizontal="center" vertical="center" wrapText="1"/>
    </xf>
    <xf numFmtId="0" fontId="0" fillId="0" borderId="45" xfId="1" applyFont="1" applyBorder="1" applyAlignment="1">
      <alignment horizontal="center" vertical="center" wrapText="1"/>
    </xf>
    <xf numFmtId="0" fontId="4" fillId="0" borderId="43" xfId="1" applyBorder="1" applyAlignment="1">
      <alignment horizontal="center" vertical="center" wrapText="1"/>
    </xf>
    <xf numFmtId="3" fontId="4" fillId="0" borderId="42" xfId="1" applyNumberFormat="1" applyBorder="1" applyAlignment="1">
      <alignment horizontal="center" vertical="center" wrapText="1"/>
    </xf>
    <xf numFmtId="3" fontId="4" fillId="0" borderId="45" xfId="1" applyNumberFormat="1" applyBorder="1" applyAlignment="1">
      <alignment horizontal="center" vertical="center"/>
    </xf>
    <xf numFmtId="3" fontId="4" fillId="0" borderId="43" xfId="1" applyNumberFormat="1" applyBorder="1" applyAlignment="1">
      <alignment horizontal="center" vertical="center"/>
    </xf>
    <xf numFmtId="3" fontId="4" fillId="0" borderId="44" xfId="1" applyNumberFormat="1" applyBorder="1" applyAlignment="1">
      <alignment horizontal="center" vertical="center"/>
    </xf>
    <xf numFmtId="168" fontId="4" fillId="0" borderId="4" xfId="1" applyNumberFormat="1" applyBorder="1" applyAlignment="1">
      <alignment horizontal="center" vertical="center"/>
    </xf>
    <xf numFmtId="0" fontId="4" fillId="0" borderId="4" xfId="1" applyBorder="1" applyAlignment="1">
      <alignment horizontal="center" vertical="center"/>
    </xf>
    <xf numFmtId="166" fontId="4" fillId="0" borderId="4" xfId="1" applyNumberFormat="1" applyBorder="1" applyAlignment="1">
      <alignment horizontal="center" vertical="center" wrapText="1"/>
    </xf>
    <xf numFmtId="3" fontId="4" fillId="0" borderId="4" xfId="1" applyNumberFormat="1" applyBorder="1" applyAlignment="1">
      <alignment horizontal="center" vertical="center"/>
    </xf>
    <xf numFmtId="3" fontId="4" fillId="0" borderId="46" xfId="1" applyNumberFormat="1" applyBorder="1" applyAlignment="1">
      <alignment horizontal="center" vertical="center"/>
    </xf>
    <xf numFmtId="0" fontId="4" fillId="0" borderId="0" xfId="1" applyAlignment="1">
      <alignment horizontal="center"/>
    </xf>
    <xf numFmtId="0" fontId="4" fillId="0" borderId="47" xfId="1" applyBorder="1" applyAlignment="1">
      <alignment horizontal="center" vertical="center"/>
    </xf>
    <xf numFmtId="0" fontId="4" fillId="6" borderId="4" xfId="1" applyFill="1" applyBorder="1" applyAlignment="1">
      <alignment horizontal="center" vertical="center"/>
    </xf>
    <xf numFmtId="0" fontId="4" fillId="0" borderId="8" xfId="1" applyBorder="1" applyAlignment="1">
      <alignment horizontal="center" vertical="center"/>
    </xf>
    <xf numFmtId="0" fontId="13" fillId="0" borderId="8" xfId="1" applyFon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0" fontId="4" fillId="0" borderId="28" xfId="1" applyBorder="1" applyAlignment="1">
      <alignment horizontal="center" vertical="center" wrapText="1"/>
    </xf>
    <xf numFmtId="0" fontId="12" fillId="6" borderId="28" xfId="1" applyFont="1" applyFill="1" applyBorder="1" applyAlignment="1">
      <alignment horizontal="center" vertical="center" wrapText="1"/>
    </xf>
    <xf numFmtId="0" fontId="4" fillId="0" borderId="8" xfId="1" applyBorder="1" applyAlignment="1">
      <alignment horizontal="center" vertical="center" wrapText="1"/>
    </xf>
    <xf numFmtId="3" fontId="4" fillId="0" borderId="4" xfId="1" applyNumberFormat="1" applyBorder="1" applyAlignment="1">
      <alignment horizontal="center" vertical="center" wrapText="1"/>
    </xf>
    <xf numFmtId="3" fontId="4" fillId="0" borderId="5" xfId="1" applyNumberFormat="1" applyBorder="1" applyAlignment="1">
      <alignment horizontal="center" vertical="center"/>
    </xf>
    <xf numFmtId="3" fontId="4" fillId="0" borderId="8" xfId="1" applyNumberFormat="1" applyBorder="1" applyAlignment="1">
      <alignment horizontal="center" vertical="center"/>
    </xf>
    <xf numFmtId="3" fontId="4" fillId="0" borderId="28" xfId="1" applyNumberFormat="1" applyBorder="1" applyAlignment="1">
      <alignment horizontal="center" vertical="center"/>
    </xf>
    <xf numFmtId="168" fontId="4" fillId="0" borderId="3" xfId="1" applyNumberFormat="1" applyBorder="1" applyAlignment="1">
      <alignment horizontal="center" vertical="center"/>
    </xf>
    <xf numFmtId="0" fontId="4" fillId="0" borderId="3" xfId="1" applyBorder="1" applyAlignment="1">
      <alignment horizontal="center" vertical="center"/>
    </xf>
    <xf numFmtId="166" fontId="4" fillId="0" borderId="3" xfId="1" applyNumberFormat="1" applyBorder="1" applyAlignment="1">
      <alignment horizontal="center" vertical="center"/>
    </xf>
    <xf numFmtId="3" fontId="4" fillId="0" borderId="3" xfId="1" applyNumberFormat="1" applyBorder="1" applyAlignment="1">
      <alignment horizontal="center" vertical="center"/>
    </xf>
    <xf numFmtId="3" fontId="5" fillId="0" borderId="3" xfId="1" applyNumberFormat="1" applyFont="1" applyBorder="1" applyAlignment="1">
      <alignment horizontal="center" vertical="center"/>
    </xf>
    <xf numFmtId="3" fontId="4" fillId="0" borderId="48" xfId="1" applyNumberFormat="1" applyBorder="1" applyAlignment="1">
      <alignment horizontal="center" vertical="center"/>
    </xf>
    <xf numFmtId="0" fontId="4" fillId="0" borderId="49" xfId="1" applyBorder="1" applyAlignment="1">
      <alignment horizontal="left"/>
    </xf>
    <xf numFmtId="0" fontId="4" fillId="6" borderId="11" xfId="1" applyFill="1" applyBorder="1" applyAlignment="1">
      <alignment horizontal="center" vertical="center"/>
    </xf>
    <xf numFmtId="0" fontId="4" fillId="0" borderId="7" xfId="1" applyBorder="1" applyAlignment="1">
      <alignment horizontal="center" vertical="center"/>
    </xf>
    <xf numFmtId="0" fontId="4" fillId="0" borderId="7" xfId="1" applyBorder="1" applyAlignment="1">
      <alignment horizontal="left"/>
    </xf>
    <xf numFmtId="0" fontId="14" fillId="0" borderId="6" xfId="1" applyFont="1" applyBorder="1"/>
    <xf numFmtId="0" fontId="14" fillId="0" borderId="9" xfId="1" applyFont="1" applyBorder="1"/>
    <xf numFmtId="0" fontId="12" fillId="6" borderId="7" xfId="1" applyFont="1" applyFill="1" applyBorder="1"/>
    <xf numFmtId="0" fontId="4" fillId="0" borderId="6" xfId="1" applyBorder="1"/>
    <xf numFmtId="0" fontId="4" fillId="0" borderId="9" xfId="1" applyBorder="1"/>
    <xf numFmtId="169" fontId="4" fillId="0" borderId="9" xfId="1" applyNumberFormat="1" applyBorder="1" applyAlignment="1">
      <alignment horizontal="right"/>
    </xf>
    <xf numFmtId="3" fontId="4" fillId="0" borderId="7" xfId="1" applyNumberFormat="1" applyBorder="1"/>
    <xf numFmtId="3" fontId="4" fillId="0" borderId="9" xfId="1" applyNumberFormat="1" applyBorder="1"/>
    <xf numFmtId="168" fontId="14" fillId="0" borderId="7" xfId="1" applyNumberFormat="1" applyFont="1" applyBorder="1" applyAlignment="1">
      <alignment horizontal="center"/>
    </xf>
    <xf numFmtId="166" fontId="14" fillId="0" borderId="6" xfId="1" applyNumberFormat="1" applyFont="1" applyBorder="1"/>
    <xf numFmtId="169" fontId="4" fillId="0" borderId="11" xfId="1" applyNumberFormat="1" applyBorder="1" applyAlignment="1">
      <alignment horizontal="right" vertical="center"/>
    </xf>
    <xf numFmtId="169" fontId="5" fillId="0" borderId="11" xfId="1" applyNumberFormat="1" applyFont="1" applyBorder="1" applyAlignment="1">
      <alignment horizontal="right" vertical="center"/>
    </xf>
    <xf numFmtId="169" fontId="4" fillId="0" borderId="50" xfId="1" applyNumberFormat="1" applyBorder="1" applyAlignment="1">
      <alignment horizontal="right"/>
    </xf>
    <xf numFmtId="0" fontId="5" fillId="9" borderId="51" xfId="1" applyFont="1" applyFill="1" applyBorder="1" applyAlignment="1" applyProtection="1">
      <alignment horizontal="left"/>
      <protection locked="0"/>
    </xf>
    <xf numFmtId="0" fontId="4" fillId="9" borderId="52" xfId="1" applyFill="1" applyBorder="1" applyAlignment="1">
      <alignment horizontal="center" vertical="center"/>
    </xf>
    <xf numFmtId="0" fontId="4" fillId="9" borderId="53" xfId="1" applyFill="1" applyBorder="1" applyAlignment="1">
      <alignment horizontal="center" vertical="center"/>
    </xf>
    <xf numFmtId="0" fontId="4" fillId="9" borderId="53" xfId="1" applyFill="1" applyBorder="1" applyAlignment="1">
      <alignment horizontal="center"/>
    </xf>
    <xf numFmtId="0" fontId="14" fillId="9" borderId="54" xfId="1" applyFont="1" applyFill="1" applyBorder="1" applyAlignment="1">
      <alignment horizontal="center"/>
    </xf>
    <xf numFmtId="0" fontId="14" fillId="9" borderId="55" xfId="1" applyFont="1" applyFill="1" applyBorder="1" applyAlignment="1">
      <alignment horizontal="center"/>
    </xf>
    <xf numFmtId="0" fontId="12" fillId="9" borderId="53" xfId="1" applyFont="1" applyFill="1" applyBorder="1" applyAlignment="1">
      <alignment horizontal="center"/>
    </xf>
    <xf numFmtId="167" fontId="4" fillId="9" borderId="54" xfId="1" applyNumberFormat="1" applyFill="1" applyBorder="1" applyAlignment="1">
      <alignment horizontal="center"/>
    </xf>
    <xf numFmtId="2" fontId="4" fillId="9" borderId="55" xfId="1" applyNumberFormat="1" applyFill="1" applyBorder="1" applyAlignment="1">
      <alignment horizontal="center"/>
    </xf>
    <xf numFmtId="169" fontId="4" fillId="9" borderId="55" xfId="1" applyNumberFormat="1" applyFill="1" applyBorder="1" applyAlignment="1">
      <alignment horizontal="center"/>
    </xf>
    <xf numFmtId="3" fontId="4" fillId="9" borderId="54" xfId="1" applyNumberFormat="1" applyFill="1" applyBorder="1" applyAlignment="1">
      <alignment horizontal="left"/>
    </xf>
    <xf numFmtId="3" fontId="4" fillId="9" borderId="53" xfId="1" applyNumberFormat="1" applyFill="1" applyBorder="1" applyAlignment="1">
      <alignment horizontal="left"/>
    </xf>
    <xf numFmtId="3" fontId="4" fillId="9" borderId="55" xfId="1" applyNumberFormat="1" applyFill="1" applyBorder="1" applyAlignment="1">
      <alignment horizontal="left"/>
    </xf>
    <xf numFmtId="168" fontId="14" fillId="9" borderId="53" xfId="1" applyNumberFormat="1" applyFont="1" applyFill="1" applyBorder="1" applyAlignment="1">
      <alignment horizontal="center"/>
    </xf>
    <xf numFmtId="0" fontId="4" fillId="9" borderId="54" xfId="1" applyFill="1" applyBorder="1"/>
    <xf numFmtId="0" fontId="4" fillId="9" borderId="55" xfId="1" applyFill="1" applyBorder="1"/>
    <xf numFmtId="166" fontId="14" fillId="9" borderId="54" xfId="1" applyNumberFormat="1" applyFont="1" applyFill="1" applyBorder="1" applyAlignment="1">
      <alignment horizontal="center"/>
    </xf>
    <xf numFmtId="169" fontId="4" fillId="9" borderId="52" xfId="1" applyNumberFormat="1" applyFill="1" applyBorder="1" applyAlignment="1">
      <alignment horizontal="center" vertical="center"/>
    </xf>
    <xf numFmtId="169" fontId="5" fillId="9" borderId="52" xfId="1" applyNumberFormat="1" applyFont="1" applyFill="1" applyBorder="1" applyAlignment="1">
      <alignment horizontal="center" vertical="center"/>
    </xf>
    <xf numFmtId="169" fontId="4" fillId="9" borderId="56" xfId="1" applyNumberFormat="1" applyFill="1" applyBorder="1" applyAlignment="1">
      <alignment horizontal="center"/>
    </xf>
    <xf numFmtId="0" fontId="4" fillId="0" borderId="51" xfId="1" applyBorder="1" applyAlignment="1" applyProtection="1">
      <alignment horizontal="left"/>
      <protection locked="0"/>
    </xf>
    <xf numFmtId="0" fontId="4" fillId="6" borderId="52" xfId="1" applyFill="1" applyBorder="1" applyAlignment="1" applyProtection="1">
      <alignment horizontal="center" vertical="center"/>
      <protection locked="0"/>
    </xf>
    <xf numFmtId="0" fontId="4" fillId="0" borderId="53" xfId="1" applyBorder="1" applyAlignment="1" applyProtection="1">
      <alignment horizontal="center" vertical="center"/>
      <protection locked="0"/>
    </xf>
    <xf numFmtId="0" fontId="4" fillId="0" borderId="53" xfId="1" applyBorder="1" applyAlignment="1" applyProtection="1">
      <alignment horizontal="center"/>
      <protection locked="0"/>
    </xf>
    <xf numFmtId="0" fontId="14" fillId="0" borderId="54" xfId="1" applyFont="1" applyBorder="1" applyAlignment="1" applyProtection="1">
      <alignment horizontal="center"/>
      <protection locked="0"/>
    </xf>
    <xf numFmtId="0" fontId="14" fillId="0" borderId="55" xfId="1" applyFont="1" applyBorder="1" applyAlignment="1" applyProtection="1">
      <alignment horizontal="center"/>
      <protection locked="0"/>
    </xf>
    <xf numFmtId="2" fontId="12" fillId="6" borderId="53" xfId="1" applyNumberFormat="1" applyFont="1" applyFill="1" applyBorder="1" applyAlignment="1" applyProtection="1">
      <alignment horizontal="center"/>
      <protection locked="0"/>
    </xf>
    <xf numFmtId="2" fontId="13" fillId="0" borderId="54" xfId="1" applyNumberFormat="1" applyFont="1" applyBorder="1" applyAlignment="1" applyProtection="1">
      <alignment horizontal="center"/>
      <protection locked="0"/>
    </xf>
    <xf numFmtId="2" fontId="13" fillId="0" borderId="55" xfId="1" applyNumberFormat="1" applyFont="1" applyBorder="1" applyAlignment="1" applyProtection="1">
      <alignment horizontal="center"/>
      <protection locked="0"/>
    </xf>
    <xf numFmtId="169" fontId="4" fillId="0" borderId="55" xfId="1" applyNumberFormat="1" applyBorder="1" applyAlignment="1" applyProtection="1">
      <alignment horizontal="center"/>
      <protection locked="0"/>
    </xf>
    <xf numFmtId="3" fontId="4" fillId="0" borderId="53" xfId="1" applyNumberFormat="1" applyBorder="1" applyProtection="1">
      <protection locked="0"/>
    </xf>
    <xf numFmtId="3" fontId="4" fillId="0" borderId="55" xfId="1" applyNumberFormat="1" applyBorder="1" applyProtection="1">
      <protection locked="0"/>
    </xf>
    <xf numFmtId="168" fontId="14" fillId="0" borderId="53" xfId="1" applyNumberFormat="1" applyFont="1" applyBorder="1" applyAlignment="1" applyProtection="1">
      <alignment horizontal="center"/>
      <protection locked="0"/>
    </xf>
    <xf numFmtId="0" fontId="4" fillId="0" borderId="54" xfId="1" applyBorder="1" applyProtection="1">
      <protection locked="0"/>
    </xf>
    <xf numFmtId="0" fontId="4" fillId="0" borderId="55" xfId="1" applyBorder="1" applyProtection="1">
      <protection locked="0"/>
    </xf>
    <xf numFmtId="166" fontId="14" fillId="0" borderId="54" xfId="1" applyNumberFormat="1" applyFont="1" applyBorder="1" applyAlignment="1" applyProtection="1">
      <alignment horizontal="center"/>
      <protection locked="0"/>
    </xf>
    <xf numFmtId="169" fontId="4" fillId="0" borderId="52" xfId="1" applyNumberFormat="1" applyBorder="1" applyAlignment="1" applyProtection="1">
      <alignment horizontal="center" vertical="center"/>
      <protection locked="0"/>
    </xf>
    <xf numFmtId="169" fontId="5" fillId="0" borderId="52" xfId="1" applyNumberFormat="1" applyFont="1" applyBorder="1" applyAlignment="1" applyProtection="1">
      <alignment horizontal="center" vertical="center"/>
      <protection locked="0"/>
    </xf>
    <xf numFmtId="169" fontId="4" fillId="0" borderId="56" xfId="1" applyNumberFormat="1" applyBorder="1" applyAlignment="1" applyProtection="1">
      <alignment horizontal="center"/>
      <protection locked="0"/>
    </xf>
    <xf numFmtId="0" fontId="5" fillId="0" borderId="51" xfId="1" applyFont="1" applyBorder="1" applyAlignment="1" applyProtection="1">
      <alignment horizontal="left"/>
      <protection locked="0"/>
    </xf>
    <xf numFmtId="0" fontId="0" fillId="0" borderId="51" xfId="1" applyFont="1" applyBorder="1" applyAlignment="1" applyProtection="1">
      <alignment horizontal="left"/>
      <protection locked="0"/>
    </xf>
    <xf numFmtId="0" fontId="4" fillId="0" borderId="57" xfId="1" applyBorder="1" applyAlignment="1" applyProtection="1">
      <alignment horizontal="left"/>
      <protection locked="0"/>
    </xf>
    <xf numFmtId="0" fontId="4" fillId="6" borderId="13" xfId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4" fillId="0" borderId="58" xfId="1" applyBorder="1" applyAlignment="1" applyProtection="1">
      <alignment horizontal="center"/>
      <protection locked="0"/>
    </xf>
    <xf numFmtId="0" fontId="15" fillId="9" borderId="59" xfId="1" applyFont="1" applyFill="1" applyBorder="1" applyAlignment="1">
      <alignment horizontal="left" vertical="center"/>
    </xf>
    <xf numFmtId="0" fontId="16" fillId="9" borderId="60" xfId="1" applyFont="1" applyFill="1" applyBorder="1" applyAlignment="1">
      <alignment vertical="center"/>
    </xf>
    <xf numFmtId="0" fontId="16" fillId="9" borderId="16" xfId="1" applyFont="1" applyFill="1" applyBorder="1" applyAlignment="1" applyProtection="1">
      <alignment vertical="center"/>
      <protection locked="0"/>
    </xf>
    <xf numFmtId="0" fontId="16" fillId="9" borderId="61" xfId="1" applyFont="1" applyFill="1" applyBorder="1" applyAlignment="1" applyProtection="1">
      <alignment horizontal="center" vertical="center"/>
      <protection locked="0"/>
    </xf>
    <xf numFmtId="0" fontId="16" fillId="9" borderId="62" xfId="1" applyFont="1" applyFill="1" applyBorder="1" applyAlignment="1" applyProtection="1">
      <alignment horizontal="center" vertical="center"/>
      <protection locked="0"/>
    </xf>
    <xf numFmtId="0" fontId="16" fillId="9" borderId="63" xfId="1" applyFont="1" applyFill="1" applyBorder="1" applyAlignment="1" applyProtection="1">
      <alignment horizontal="center" vertical="center"/>
      <protection locked="0"/>
    </xf>
    <xf numFmtId="2" fontId="12" fillId="9" borderId="61" xfId="1" applyNumberFormat="1" applyFont="1" applyFill="1" applyBorder="1" applyAlignment="1" applyProtection="1">
      <alignment horizontal="center" vertical="center"/>
      <protection locked="0"/>
    </xf>
    <xf numFmtId="2" fontId="16" fillId="9" borderId="62" xfId="1" applyNumberFormat="1" applyFont="1" applyFill="1" applyBorder="1" applyAlignment="1" applyProtection="1">
      <alignment horizontal="center" vertical="center"/>
      <protection locked="0"/>
    </xf>
    <xf numFmtId="2" fontId="16" fillId="9" borderId="63" xfId="1" applyNumberFormat="1" applyFont="1" applyFill="1" applyBorder="1" applyAlignment="1" applyProtection="1">
      <alignment horizontal="center" vertical="center"/>
      <protection locked="0"/>
    </xf>
    <xf numFmtId="169" fontId="16" fillId="9" borderId="63" xfId="1" applyNumberFormat="1" applyFont="1" applyFill="1" applyBorder="1" applyAlignment="1" applyProtection="1">
      <alignment horizontal="center" vertical="center"/>
      <protection locked="0"/>
    </xf>
    <xf numFmtId="3" fontId="16" fillId="9" borderId="62" xfId="1" applyNumberFormat="1" applyFont="1" applyFill="1" applyBorder="1" applyAlignment="1" applyProtection="1">
      <alignment horizontal="left" vertical="center"/>
      <protection locked="0"/>
    </xf>
    <xf numFmtId="3" fontId="16" fillId="9" borderId="61" xfId="1" applyNumberFormat="1" applyFont="1" applyFill="1" applyBorder="1" applyAlignment="1" applyProtection="1">
      <alignment horizontal="left" vertical="center"/>
      <protection locked="0"/>
    </xf>
    <xf numFmtId="3" fontId="16" fillId="9" borderId="63" xfId="1" applyNumberFormat="1" applyFont="1" applyFill="1" applyBorder="1" applyAlignment="1" applyProtection="1">
      <alignment horizontal="left" vertical="center"/>
      <protection locked="0"/>
    </xf>
    <xf numFmtId="168" fontId="16" fillId="9" borderId="61" xfId="1" applyNumberFormat="1" applyFont="1" applyFill="1" applyBorder="1" applyAlignment="1" applyProtection="1">
      <alignment horizontal="center" vertical="center"/>
      <protection locked="0"/>
    </xf>
    <xf numFmtId="0" fontId="16" fillId="9" borderId="62" xfId="1" applyFont="1" applyFill="1" applyBorder="1" applyAlignment="1" applyProtection="1">
      <alignment vertical="center"/>
      <protection locked="0"/>
    </xf>
    <xf numFmtId="0" fontId="16" fillId="9" borderId="63" xfId="1" applyFont="1" applyFill="1" applyBorder="1" applyAlignment="1" applyProtection="1">
      <alignment vertical="center"/>
      <protection locked="0"/>
    </xf>
    <xf numFmtId="166" fontId="16" fillId="9" borderId="62" xfId="1" applyNumberFormat="1" applyFont="1" applyFill="1" applyBorder="1" applyAlignment="1" applyProtection="1">
      <alignment horizontal="center" vertical="center"/>
      <protection locked="0"/>
    </xf>
    <xf numFmtId="169" fontId="16" fillId="9" borderId="64" xfId="1" applyNumberFormat="1" applyFont="1" applyFill="1" applyBorder="1" applyAlignment="1" applyProtection="1">
      <alignment horizontal="center" vertical="center"/>
      <protection locked="0"/>
    </xf>
    <xf numFmtId="169" fontId="15" fillId="9" borderId="64" xfId="1" applyNumberFormat="1" applyFont="1" applyFill="1" applyBorder="1" applyAlignment="1" applyProtection="1">
      <alignment horizontal="center" vertical="center"/>
      <protection locked="0"/>
    </xf>
    <xf numFmtId="169" fontId="16" fillId="9" borderId="65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Alignment="1" applyProtection="1">
      <alignment vertical="center"/>
      <protection locked="0"/>
    </xf>
    <xf numFmtId="0" fontId="0" fillId="0" borderId="51" xfId="1" applyFont="1" applyBorder="1" applyAlignment="1">
      <alignment horizontal="left"/>
    </xf>
    <xf numFmtId="0" fontId="13" fillId="6" borderId="52" xfId="1" applyFont="1" applyFill="1" applyBorder="1" applyAlignment="1" applyProtection="1">
      <alignment horizontal="center" vertical="center"/>
      <protection locked="0"/>
    </xf>
    <xf numFmtId="0" fontId="13" fillId="0" borderId="53" xfId="1" applyFont="1" applyBorder="1" applyAlignment="1" applyProtection="1">
      <alignment horizontal="center" vertical="center"/>
      <protection locked="0"/>
    </xf>
    <xf numFmtId="1" fontId="13" fillId="0" borderId="53" xfId="1" applyNumberFormat="1" applyFont="1" applyBorder="1" applyAlignment="1" applyProtection="1">
      <alignment horizontal="center"/>
      <protection locked="0"/>
    </xf>
    <xf numFmtId="167" fontId="13" fillId="0" borderId="53" xfId="1" applyNumberFormat="1" applyFont="1" applyBorder="1" applyAlignment="1" applyProtection="1">
      <alignment horizontal="center"/>
      <protection locked="0"/>
    </xf>
    <xf numFmtId="169" fontId="13" fillId="0" borderId="55" xfId="1" applyNumberFormat="1" applyFont="1" applyBorder="1" applyAlignment="1" applyProtection="1">
      <alignment horizontal="center"/>
      <protection locked="0"/>
    </xf>
    <xf numFmtId="0" fontId="13" fillId="0" borderId="53" xfId="1" applyFont="1" applyBorder="1" applyProtection="1">
      <protection locked="0"/>
    </xf>
    <xf numFmtId="3" fontId="13" fillId="0" borderId="53" xfId="1" applyNumberFormat="1" applyFont="1" applyBorder="1" applyProtection="1">
      <protection locked="0"/>
    </xf>
    <xf numFmtId="4" fontId="13" fillId="0" borderId="53" xfId="1" applyNumberFormat="1" applyFont="1" applyBorder="1" applyProtection="1">
      <protection locked="0"/>
    </xf>
    <xf numFmtId="3" fontId="16" fillId="0" borderId="53" xfId="1" applyNumberFormat="1" applyFont="1" applyBorder="1" applyProtection="1">
      <protection locked="0"/>
    </xf>
    <xf numFmtId="3" fontId="16" fillId="0" borderId="55" xfId="1" applyNumberFormat="1" applyFont="1" applyBorder="1"/>
    <xf numFmtId="168" fontId="4" fillId="0" borderId="53" xfId="1" applyNumberFormat="1" applyBorder="1" applyAlignment="1" applyProtection="1">
      <alignment horizontal="center"/>
      <protection locked="0"/>
    </xf>
    <xf numFmtId="166" fontId="14" fillId="0" borderId="54" xfId="1" applyNumberFormat="1" applyFont="1" applyBorder="1" applyAlignment="1">
      <alignment horizontal="center"/>
    </xf>
    <xf numFmtId="169" fontId="4" fillId="0" borderId="52" xfId="1" applyNumberFormat="1" applyBorder="1" applyAlignment="1">
      <alignment horizontal="center" vertical="center"/>
    </xf>
    <xf numFmtId="169" fontId="5" fillId="0" borderId="52" xfId="1" applyNumberFormat="1" applyFont="1" applyBorder="1" applyAlignment="1">
      <alignment horizontal="center" vertical="center"/>
    </xf>
    <xf numFmtId="169" fontId="4" fillId="0" borderId="56" xfId="1" applyNumberFormat="1" applyBorder="1" applyAlignment="1">
      <alignment horizontal="center"/>
    </xf>
    <xf numFmtId="0" fontId="4" fillId="0" borderId="0" xfId="1" applyAlignment="1" applyProtection="1">
      <alignment horizontal="center"/>
      <protection locked="0"/>
    </xf>
    <xf numFmtId="0" fontId="4" fillId="0" borderId="0" xfId="1" applyProtection="1">
      <protection locked="0"/>
    </xf>
    <xf numFmtId="1" fontId="4" fillId="0" borderId="53" xfId="1" applyNumberFormat="1" applyBorder="1" applyAlignment="1" applyProtection="1">
      <alignment horizontal="center"/>
      <protection locked="0"/>
    </xf>
    <xf numFmtId="167" fontId="4" fillId="0" borderId="53" xfId="1" applyNumberFormat="1" applyBorder="1" applyAlignment="1" applyProtection="1">
      <alignment horizontal="center"/>
      <protection locked="0"/>
    </xf>
    <xf numFmtId="2" fontId="4" fillId="0" borderId="55" xfId="1" applyNumberFormat="1" applyBorder="1" applyAlignment="1" applyProtection="1">
      <alignment horizontal="center"/>
      <protection locked="0"/>
    </xf>
    <xf numFmtId="3" fontId="4" fillId="0" borderId="55" xfId="1" applyNumberFormat="1" applyBorder="1"/>
    <xf numFmtId="0" fontId="0" fillId="10" borderId="51" xfId="1" quotePrefix="1" applyFont="1" applyFill="1" applyBorder="1" applyAlignment="1">
      <alignment horizontal="left"/>
    </xf>
    <xf numFmtId="0" fontId="13" fillId="10" borderId="52" xfId="1" quotePrefix="1" applyFont="1" applyFill="1" applyBorder="1" applyAlignment="1">
      <alignment horizontal="center" vertical="center"/>
    </xf>
    <xf numFmtId="0" fontId="0" fillId="10" borderId="53" xfId="1" quotePrefix="1" applyFont="1" applyFill="1" applyBorder="1" applyAlignment="1">
      <alignment horizontal="center" vertical="center"/>
    </xf>
    <xf numFmtId="0" fontId="0" fillId="10" borderId="53" xfId="1" quotePrefix="1" applyFont="1" applyFill="1" applyBorder="1" applyAlignment="1">
      <alignment horizontal="center"/>
    </xf>
    <xf numFmtId="0" fontId="14" fillId="10" borderId="54" xfId="1" quotePrefix="1" applyFont="1" applyFill="1" applyBorder="1" applyAlignment="1">
      <alignment horizontal="center"/>
    </xf>
    <xf numFmtId="0" fontId="14" fillId="10" borderId="55" xfId="1" quotePrefix="1" applyFont="1" applyFill="1" applyBorder="1" applyAlignment="1">
      <alignment horizontal="center"/>
    </xf>
    <xf numFmtId="2" fontId="12" fillId="10" borderId="53" xfId="1" quotePrefix="1" applyNumberFormat="1" applyFont="1" applyFill="1" applyBorder="1" applyAlignment="1">
      <alignment horizontal="center"/>
    </xf>
    <xf numFmtId="167" fontId="13" fillId="10" borderId="54" xfId="1" quotePrefix="1" applyNumberFormat="1" applyFont="1" applyFill="1" applyBorder="1" applyAlignment="1">
      <alignment horizontal="center"/>
    </xf>
    <xf numFmtId="2" fontId="0" fillId="10" borderId="55" xfId="1" quotePrefix="1" applyNumberFormat="1" applyFont="1" applyFill="1" applyBorder="1" applyAlignment="1">
      <alignment horizontal="center"/>
    </xf>
    <xf numFmtId="169" fontId="0" fillId="10" borderId="55" xfId="1" quotePrefix="1" applyNumberFormat="1" applyFont="1" applyFill="1" applyBorder="1" applyAlignment="1">
      <alignment horizontal="center"/>
    </xf>
    <xf numFmtId="0" fontId="13" fillId="10" borderId="53" xfId="1" quotePrefix="1" applyFont="1" applyFill="1" applyBorder="1"/>
    <xf numFmtId="3" fontId="13" fillId="10" borderId="53" xfId="1" quotePrefix="1" applyNumberFormat="1" applyFont="1" applyFill="1" applyBorder="1"/>
    <xf numFmtId="4" fontId="13" fillId="10" borderId="53" xfId="1" quotePrefix="1" applyNumberFormat="1" applyFont="1" applyFill="1" applyBorder="1"/>
    <xf numFmtId="3" fontId="0" fillId="10" borderId="53" xfId="1" quotePrefix="1" applyNumberFormat="1" applyFont="1" applyFill="1" applyBorder="1"/>
    <xf numFmtId="3" fontId="0" fillId="10" borderId="55" xfId="1" quotePrefix="1" applyNumberFormat="1" applyFont="1" applyFill="1" applyBorder="1"/>
    <xf numFmtId="168" fontId="0" fillId="10" borderId="53" xfId="1" quotePrefix="1" applyNumberFormat="1" applyFont="1" applyFill="1" applyBorder="1" applyAlignment="1">
      <alignment horizontal="center"/>
    </xf>
    <xf numFmtId="0" fontId="0" fillId="10" borderId="54" xfId="1" quotePrefix="1" applyFont="1" applyFill="1" applyBorder="1"/>
    <xf numFmtId="0" fontId="0" fillId="10" borderId="55" xfId="1" quotePrefix="1" applyFont="1" applyFill="1" applyBorder="1"/>
    <xf numFmtId="166" fontId="14" fillId="10" borderId="54" xfId="1" quotePrefix="1" applyNumberFormat="1" applyFont="1" applyFill="1" applyBorder="1" applyAlignment="1">
      <alignment horizontal="center"/>
    </xf>
    <xf numFmtId="169" fontId="0" fillId="10" borderId="52" xfId="1" quotePrefix="1" applyNumberFormat="1" applyFont="1" applyFill="1" applyBorder="1" applyAlignment="1">
      <alignment horizontal="center" vertical="center"/>
    </xf>
    <xf numFmtId="169" fontId="5" fillId="10" borderId="52" xfId="1" quotePrefix="1" applyNumberFormat="1" applyFont="1" applyFill="1" applyBorder="1" applyAlignment="1">
      <alignment horizontal="center" vertical="center"/>
    </xf>
    <xf numFmtId="169" fontId="0" fillId="10" borderId="56" xfId="1" quotePrefix="1" applyNumberFormat="1" applyFont="1" applyFill="1" applyBorder="1" applyAlignment="1">
      <alignment horizontal="center"/>
    </xf>
    <xf numFmtId="0" fontId="0" fillId="10" borderId="66" xfId="1" quotePrefix="1" applyFont="1" applyFill="1" applyBorder="1" applyAlignment="1">
      <alignment horizontal="left"/>
    </xf>
    <xf numFmtId="0" fontId="13" fillId="10" borderId="67" xfId="1" quotePrefix="1" applyFont="1" applyFill="1" applyBorder="1" applyAlignment="1">
      <alignment horizontal="center" vertical="center"/>
    </xf>
    <xf numFmtId="0" fontId="0" fillId="10" borderId="68" xfId="1" quotePrefix="1" applyFont="1" applyFill="1" applyBorder="1" applyAlignment="1">
      <alignment horizontal="left"/>
    </xf>
    <xf numFmtId="0" fontId="0" fillId="10" borderId="68" xfId="1" quotePrefix="1" applyFont="1" applyFill="1" applyBorder="1" applyAlignment="1">
      <alignment horizontal="center"/>
    </xf>
    <xf numFmtId="0" fontId="14" fillId="10" borderId="69" xfId="1" quotePrefix="1" applyFont="1" applyFill="1" applyBorder="1" applyAlignment="1">
      <alignment horizontal="center"/>
    </xf>
    <xf numFmtId="0" fontId="14" fillId="10" borderId="70" xfId="1" quotePrefix="1" applyFont="1" applyFill="1" applyBorder="1" applyAlignment="1">
      <alignment horizontal="center"/>
    </xf>
    <xf numFmtId="2" fontId="12" fillId="10" borderId="68" xfId="1" quotePrefix="1" applyNumberFormat="1" applyFont="1" applyFill="1" applyBorder="1" applyAlignment="1">
      <alignment horizontal="center"/>
    </xf>
    <xf numFmtId="167" fontId="0" fillId="10" borderId="69" xfId="1" quotePrefix="1" applyNumberFormat="1" applyFont="1" applyFill="1" applyBorder="1" applyAlignment="1">
      <alignment horizontal="center"/>
    </xf>
    <xf numFmtId="2" fontId="0" fillId="10" borderId="70" xfId="1" quotePrefix="1" applyNumberFormat="1" applyFont="1" applyFill="1" applyBorder="1" applyAlignment="1">
      <alignment horizontal="center"/>
    </xf>
    <xf numFmtId="169" fontId="0" fillId="10" borderId="70" xfId="1" quotePrefix="1" applyNumberFormat="1" applyFont="1" applyFill="1" applyBorder="1" applyAlignment="1">
      <alignment horizontal="center"/>
    </xf>
    <xf numFmtId="3" fontId="0" fillId="10" borderId="68" xfId="1" quotePrefix="1" applyNumberFormat="1" applyFont="1" applyFill="1" applyBorder="1"/>
    <xf numFmtId="3" fontId="0" fillId="10" borderId="70" xfId="1" quotePrefix="1" applyNumberFormat="1" applyFont="1" applyFill="1" applyBorder="1"/>
    <xf numFmtId="168" fontId="0" fillId="10" borderId="68" xfId="1" quotePrefix="1" applyNumberFormat="1" applyFont="1" applyFill="1" applyBorder="1" applyAlignment="1">
      <alignment horizontal="center"/>
    </xf>
    <xf numFmtId="0" fontId="0" fillId="10" borderId="69" xfId="1" quotePrefix="1" applyFont="1" applyFill="1" applyBorder="1"/>
    <xf numFmtId="0" fontId="0" fillId="10" borderId="70" xfId="1" quotePrefix="1" applyFont="1" applyFill="1" applyBorder="1"/>
    <xf numFmtId="166" fontId="14" fillId="10" borderId="69" xfId="1" quotePrefix="1" applyNumberFormat="1" applyFont="1" applyFill="1" applyBorder="1" applyAlignment="1">
      <alignment horizontal="center"/>
    </xf>
    <xf numFmtId="169" fontId="0" fillId="10" borderId="67" xfId="1" quotePrefix="1" applyNumberFormat="1" applyFont="1" applyFill="1" applyBorder="1" applyAlignment="1">
      <alignment horizontal="center" vertical="center"/>
    </xf>
    <xf numFmtId="169" fontId="5" fillId="10" borderId="67" xfId="1" quotePrefix="1" applyNumberFormat="1" applyFont="1" applyFill="1" applyBorder="1" applyAlignment="1">
      <alignment horizontal="center" vertical="center"/>
    </xf>
    <xf numFmtId="169" fontId="0" fillId="10" borderId="71" xfId="1" quotePrefix="1" applyNumberFormat="1" applyFont="1" applyFill="1" applyBorder="1" applyAlignment="1">
      <alignment horizontal="center"/>
    </xf>
    <xf numFmtId="3" fontId="16" fillId="9" borderId="62" xfId="1" applyNumberFormat="1" applyFont="1" applyFill="1" applyBorder="1" applyAlignment="1" applyProtection="1">
      <alignment horizontal="left" vertical="center" wrapText="1"/>
      <protection locked="0"/>
    </xf>
    <xf numFmtId="0" fontId="0" fillId="0" borderId="61" xfId="0" applyBorder="1" applyAlignment="1">
      <alignment horizontal="left" vertical="center" wrapText="1"/>
    </xf>
    <xf numFmtId="0" fontId="0" fillId="0" borderId="63" xfId="0" applyBorder="1" applyAlignment="1">
      <alignment horizontal="left" vertical="center" wrapText="1"/>
    </xf>
    <xf numFmtId="0" fontId="4" fillId="0" borderId="72" xfId="1" applyBorder="1" applyAlignment="1">
      <alignment horizontal="left"/>
    </xf>
    <xf numFmtId="0" fontId="13" fillId="6" borderId="73" xfId="1" applyFont="1" applyFill="1" applyBorder="1" applyAlignment="1">
      <alignment horizontal="center" vertical="center"/>
    </xf>
    <xf numFmtId="0" fontId="4" fillId="10" borderId="0" xfId="1" applyFill="1" applyAlignment="1">
      <alignment horizontal="left"/>
    </xf>
    <xf numFmtId="0" fontId="4" fillId="0" borderId="74" xfId="1" applyBorder="1" applyAlignment="1">
      <alignment horizontal="center"/>
    </xf>
    <xf numFmtId="0" fontId="4" fillId="0" borderId="51" xfId="1" applyBorder="1" applyAlignment="1">
      <alignment horizontal="left"/>
    </xf>
    <xf numFmtId="0" fontId="13" fillId="6" borderId="52" xfId="1" applyFont="1" applyFill="1" applyBorder="1" applyAlignment="1">
      <alignment horizontal="center" vertical="center"/>
    </xf>
    <xf numFmtId="0" fontId="4" fillId="0" borderId="53" xfId="1" applyBorder="1" applyAlignment="1">
      <alignment horizontal="center" vertical="center"/>
    </xf>
    <xf numFmtId="0" fontId="4" fillId="0" borderId="53" xfId="1" applyBorder="1" applyAlignment="1">
      <alignment horizontal="center"/>
    </xf>
    <xf numFmtId="0" fontId="4" fillId="0" borderId="18" xfId="1" applyBorder="1" applyAlignment="1">
      <alignment horizontal="left"/>
    </xf>
    <xf numFmtId="0" fontId="4" fillId="0" borderId="0" xfId="1" applyAlignment="1">
      <alignment horizontal="left"/>
    </xf>
    <xf numFmtId="0" fontId="14" fillId="0" borderId="54" xfId="1" applyFont="1" applyBorder="1" applyAlignment="1">
      <alignment horizontal="center"/>
    </xf>
    <xf numFmtId="0" fontId="14" fillId="0" borderId="10" xfId="1" applyFont="1" applyBorder="1" applyAlignment="1">
      <alignment horizontal="center"/>
    </xf>
    <xf numFmtId="0" fontId="16" fillId="0" borderId="0" xfId="1" applyFont="1" applyAlignment="1">
      <alignment horizontal="center"/>
    </xf>
    <xf numFmtId="2" fontId="4" fillId="0" borderId="75" xfId="1" applyNumberFormat="1" applyBorder="1" applyAlignment="1">
      <alignment horizontal="center"/>
    </xf>
    <xf numFmtId="2" fontId="4" fillId="0" borderId="76" xfId="1" applyNumberFormat="1" applyBorder="1" applyAlignment="1">
      <alignment horizontal="center"/>
    </xf>
    <xf numFmtId="169" fontId="4" fillId="0" borderId="77" xfId="1" applyNumberFormat="1" applyBorder="1" applyAlignment="1">
      <alignment horizontal="center"/>
    </xf>
    <xf numFmtId="3" fontId="4" fillId="0" borderId="12" xfId="1" applyNumberFormat="1" applyBorder="1" applyAlignment="1">
      <alignment horizontal="center"/>
    </xf>
    <xf numFmtId="3" fontId="4" fillId="0" borderId="0" xfId="1" applyNumberFormat="1" applyAlignment="1">
      <alignment horizontal="center"/>
    </xf>
    <xf numFmtId="3" fontId="4" fillId="0" borderId="10" xfId="1" applyNumberFormat="1" applyBorder="1" applyAlignment="1">
      <alignment horizontal="center"/>
    </xf>
    <xf numFmtId="0" fontId="14" fillId="0" borderId="13" xfId="1" applyFont="1" applyBorder="1" applyAlignment="1">
      <alignment horizontal="center"/>
    </xf>
    <xf numFmtId="0" fontId="4" fillId="0" borderId="75" xfId="1" applyBorder="1"/>
    <xf numFmtId="0" fontId="4" fillId="0" borderId="76" xfId="1" applyBorder="1"/>
    <xf numFmtId="166" fontId="14" fillId="0" borderId="12" xfId="1" applyNumberFormat="1" applyFont="1" applyBorder="1" applyAlignment="1">
      <alignment horizontal="center"/>
    </xf>
    <xf numFmtId="0" fontId="4" fillId="0" borderId="78" xfId="1" applyBorder="1" applyAlignment="1">
      <alignment horizontal="left"/>
    </xf>
    <xf numFmtId="0" fontId="4" fillId="0" borderId="79" xfId="1" applyBorder="1" applyAlignment="1">
      <alignment horizontal="left"/>
    </xf>
    <xf numFmtId="0" fontId="4" fillId="0" borderId="80" xfId="1" applyBorder="1"/>
    <xf numFmtId="0" fontId="4" fillId="0" borderId="81" xfId="1" applyBorder="1"/>
    <xf numFmtId="0" fontId="16" fillId="0" borderId="79" xfId="1" applyFont="1" applyBorder="1"/>
    <xf numFmtId="169" fontId="4" fillId="0" borderId="82" xfId="1" applyNumberFormat="1" applyBorder="1" applyAlignment="1">
      <alignment horizontal="center"/>
    </xf>
    <xf numFmtId="3" fontId="4" fillId="0" borderId="80" xfId="1" applyNumberFormat="1" applyBorder="1"/>
    <xf numFmtId="3" fontId="4" fillId="0" borderId="79" xfId="1" applyNumberFormat="1" applyBorder="1"/>
    <xf numFmtId="3" fontId="4" fillId="0" borderId="81" xfId="1" applyNumberFormat="1" applyBorder="1"/>
    <xf numFmtId="0" fontId="4" fillId="0" borderId="82" xfId="1" applyBorder="1"/>
    <xf numFmtId="0" fontId="4" fillId="0" borderId="79" xfId="1" applyBorder="1"/>
    <xf numFmtId="166" fontId="4" fillId="0" borderId="80" xfId="1" applyNumberFormat="1" applyBorder="1" applyAlignment="1">
      <alignment horizontal="center"/>
    </xf>
    <xf numFmtId="169" fontId="4" fillId="0" borderId="82" xfId="1" applyNumberFormat="1" applyBorder="1" applyAlignment="1">
      <alignment horizontal="center" vertical="center"/>
    </xf>
    <xf numFmtId="169" fontId="5" fillId="0" borderId="82" xfId="1" applyNumberFormat="1" applyFont="1" applyBorder="1" applyAlignment="1">
      <alignment horizontal="center" vertical="center"/>
    </xf>
    <xf numFmtId="169" fontId="4" fillId="0" borderId="83" xfId="1" applyNumberFormat="1" applyBorder="1" applyAlignment="1">
      <alignment horizontal="center"/>
    </xf>
    <xf numFmtId="0" fontId="0" fillId="11" borderId="0" xfId="1" applyFont="1" applyFill="1" applyAlignment="1" applyProtection="1">
      <alignment horizontal="center"/>
      <protection locked="0"/>
    </xf>
    <xf numFmtId="0" fontId="4" fillId="11" borderId="0" xfId="1" applyFill="1" applyAlignment="1" applyProtection="1">
      <alignment horizontal="center"/>
      <protection locked="0"/>
    </xf>
    <xf numFmtId="0" fontId="16" fillId="11" borderId="0" xfId="1" applyFont="1" applyFill="1" applyAlignment="1" applyProtection="1">
      <alignment horizontal="center"/>
      <protection locked="0"/>
    </xf>
    <xf numFmtId="3" fontId="4" fillId="11" borderId="0" xfId="1" applyNumberFormat="1" applyFill="1" applyAlignment="1" applyProtection="1">
      <alignment horizontal="center"/>
      <protection locked="0"/>
    </xf>
    <xf numFmtId="168" fontId="4" fillId="11" borderId="0" xfId="1" applyNumberFormat="1" applyFill="1" applyAlignment="1" applyProtection="1">
      <alignment horizontal="center"/>
      <protection locked="0"/>
    </xf>
    <xf numFmtId="166" fontId="4" fillId="11" borderId="0" xfId="1" applyNumberFormat="1" applyFill="1" applyAlignment="1" applyProtection="1">
      <alignment horizontal="center"/>
      <protection locked="0"/>
    </xf>
    <xf numFmtId="0" fontId="4" fillId="0" borderId="0" xfId="1" applyAlignment="1" applyProtection="1">
      <alignment vertical="center" wrapText="1"/>
      <protection locked="0"/>
    </xf>
    <xf numFmtId="0" fontId="17" fillId="0" borderId="0" xfId="1" applyFont="1" applyAlignment="1" applyProtection="1">
      <alignment vertical="center" wrapText="1"/>
      <protection locked="0"/>
    </xf>
    <xf numFmtId="0" fontId="18" fillId="0" borderId="0" xfId="1" applyFont="1" applyAlignment="1" applyProtection="1">
      <alignment vertical="center" wrapText="1"/>
      <protection locked="0"/>
    </xf>
    <xf numFmtId="3" fontId="4" fillId="0" borderId="0" xfId="1" applyNumberFormat="1" applyAlignment="1" applyProtection="1">
      <alignment vertical="center" wrapText="1"/>
      <protection locked="0"/>
    </xf>
    <xf numFmtId="168" fontId="4" fillId="0" borderId="0" xfId="1" applyNumberFormat="1" applyAlignment="1" applyProtection="1">
      <alignment vertical="center"/>
      <protection locked="0"/>
    </xf>
    <xf numFmtId="3" fontId="4" fillId="0" borderId="0" xfId="1" applyNumberFormat="1" applyAlignment="1" applyProtection="1">
      <alignment vertical="center"/>
      <protection locked="0"/>
    </xf>
    <xf numFmtId="0" fontId="0" fillId="0" borderId="0" xfId="1" applyFont="1" applyProtection="1">
      <protection locked="0"/>
    </xf>
    <xf numFmtId="165" fontId="4" fillId="0" borderId="7" xfId="1" applyNumberFormat="1" applyBorder="1" applyAlignment="1" applyProtection="1">
      <alignment horizontal="center"/>
      <protection locked="0"/>
    </xf>
    <xf numFmtId="0" fontId="14" fillId="0" borderId="0" xfId="1" applyFont="1" applyProtection="1">
      <protection locked="0"/>
    </xf>
    <xf numFmtId="0" fontId="16" fillId="0" borderId="0" xfId="1" applyFont="1" applyProtection="1">
      <protection locked="0"/>
    </xf>
    <xf numFmtId="3" fontId="4" fillId="0" borderId="0" xfId="1" applyNumberFormat="1" applyProtection="1">
      <protection locked="0"/>
    </xf>
    <xf numFmtId="168" fontId="14" fillId="0" borderId="0" xfId="1" applyNumberFormat="1" applyFont="1" applyAlignment="1" applyProtection="1">
      <alignment horizontal="center"/>
      <protection locked="0"/>
    </xf>
    <xf numFmtId="165" fontId="4" fillId="0" borderId="0" xfId="1" applyNumberForma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2" fontId="16" fillId="0" borderId="0" xfId="1" applyNumberFormat="1" applyFont="1" applyAlignment="1" applyProtection="1">
      <alignment horizontal="center"/>
      <protection locked="0"/>
    </xf>
    <xf numFmtId="2" fontId="4" fillId="0" borderId="0" xfId="1" applyNumberFormat="1" applyAlignment="1" applyProtection="1">
      <alignment horizontal="center"/>
      <protection locked="0"/>
    </xf>
    <xf numFmtId="168" fontId="4" fillId="0" borderId="0" xfId="1" applyNumberFormat="1" applyProtection="1">
      <protection locked="0"/>
    </xf>
    <xf numFmtId="165" fontId="4" fillId="0" borderId="8" xfId="1" applyNumberFormat="1" applyBorder="1" applyAlignment="1" applyProtection="1">
      <alignment horizontal="center"/>
      <protection locked="0"/>
    </xf>
    <xf numFmtId="1" fontId="4" fillId="0" borderId="8" xfId="1" applyNumberFormat="1" applyBorder="1" applyAlignment="1" applyProtection="1">
      <alignment horizontal="center"/>
      <protection locked="0"/>
    </xf>
    <xf numFmtId="3" fontId="5" fillId="0" borderId="84" xfId="1" applyNumberFormat="1" applyFont="1" applyBorder="1" applyAlignment="1" applyProtection="1">
      <alignment horizontal="right"/>
      <protection locked="0"/>
    </xf>
    <xf numFmtId="0" fontId="4" fillId="0" borderId="35" xfId="1" applyBorder="1" applyAlignment="1">
      <alignment horizontal="center"/>
    </xf>
    <xf numFmtId="0" fontId="4" fillId="0" borderId="16" xfId="1" applyBorder="1" applyAlignment="1">
      <alignment horizontal="center"/>
    </xf>
    <xf numFmtId="3" fontId="4" fillId="0" borderId="17" xfId="1" applyNumberFormat="1" applyBorder="1" applyAlignment="1">
      <alignment horizontal="right"/>
    </xf>
    <xf numFmtId="0" fontId="4" fillId="0" borderId="39" xfId="1" applyBorder="1" applyAlignment="1">
      <alignment horizontal="center"/>
    </xf>
    <xf numFmtId="0" fontId="4" fillId="0" borderId="38" xfId="1" applyBorder="1" applyAlignment="1">
      <alignment horizontal="center"/>
    </xf>
    <xf numFmtId="3" fontId="4" fillId="0" borderId="85" xfId="1" applyNumberFormat="1" applyBorder="1" applyAlignment="1">
      <alignment horizontal="right"/>
    </xf>
    <xf numFmtId="0" fontId="0" fillId="2" borderId="51" xfId="1" applyFont="1" applyFill="1" applyBorder="1" applyAlignment="1" applyProtection="1">
      <alignment horizontal="right"/>
      <protection locked="0"/>
    </xf>
    <xf numFmtId="0" fontId="0" fillId="0" borderId="51" xfId="1" quotePrefix="1" applyFont="1" applyBorder="1" applyAlignment="1" applyProtection="1">
      <alignment horizontal="left"/>
      <protection locked="0"/>
    </xf>
    <xf numFmtId="0" fontId="15" fillId="12" borderId="59" xfId="1" applyFont="1" applyFill="1" applyBorder="1" applyAlignment="1">
      <alignment horizontal="left" vertical="center"/>
    </xf>
    <xf numFmtId="0" fontId="16" fillId="12" borderId="60" xfId="1" applyFont="1" applyFill="1" applyBorder="1" applyAlignment="1">
      <alignment vertical="center"/>
    </xf>
    <xf numFmtId="0" fontId="16" fillId="12" borderId="16" xfId="1" applyFont="1" applyFill="1" applyBorder="1" applyAlignment="1" applyProtection="1">
      <alignment vertical="center"/>
      <protection locked="0"/>
    </xf>
    <xf numFmtId="0" fontId="16" fillId="12" borderId="61" xfId="1" applyFont="1" applyFill="1" applyBorder="1" applyAlignment="1" applyProtection="1">
      <alignment horizontal="center" vertical="center"/>
      <protection locked="0"/>
    </xf>
    <xf numFmtId="0" fontId="16" fillId="12" borderId="62" xfId="1" applyFont="1" applyFill="1" applyBorder="1" applyAlignment="1" applyProtection="1">
      <alignment horizontal="center" vertical="center"/>
      <protection locked="0"/>
    </xf>
    <xf numFmtId="0" fontId="16" fillId="12" borderId="63" xfId="1" applyFont="1" applyFill="1" applyBorder="1" applyAlignment="1" applyProtection="1">
      <alignment horizontal="center" vertical="center"/>
      <protection locked="0"/>
    </xf>
    <xf numFmtId="2" fontId="12" fillId="12" borderId="61" xfId="1" applyNumberFormat="1" applyFont="1" applyFill="1" applyBorder="1" applyAlignment="1" applyProtection="1">
      <alignment horizontal="center" vertical="center"/>
      <protection locked="0"/>
    </xf>
    <xf numFmtId="2" fontId="16" fillId="12" borderId="62" xfId="1" applyNumberFormat="1" applyFont="1" applyFill="1" applyBorder="1" applyAlignment="1" applyProtection="1">
      <alignment horizontal="center" vertical="center"/>
      <protection locked="0"/>
    </xf>
    <xf numFmtId="2" fontId="16" fillId="12" borderId="63" xfId="1" applyNumberFormat="1" applyFont="1" applyFill="1" applyBorder="1" applyAlignment="1" applyProtection="1">
      <alignment horizontal="center" vertical="center"/>
      <protection locked="0"/>
    </xf>
    <xf numFmtId="169" fontId="16" fillId="12" borderId="63" xfId="1" applyNumberFormat="1" applyFont="1" applyFill="1" applyBorder="1" applyAlignment="1" applyProtection="1">
      <alignment horizontal="center" vertical="center"/>
      <protection locked="0"/>
    </xf>
    <xf numFmtId="3" fontId="16" fillId="12" borderId="62" xfId="1" applyNumberFormat="1" applyFont="1" applyFill="1" applyBorder="1" applyAlignment="1" applyProtection="1">
      <alignment horizontal="left" vertical="center" wrapText="1"/>
      <protection locked="0"/>
    </xf>
    <xf numFmtId="168" fontId="16" fillId="12" borderId="61" xfId="1" applyNumberFormat="1" applyFont="1" applyFill="1" applyBorder="1" applyAlignment="1" applyProtection="1">
      <alignment horizontal="center" vertical="center"/>
      <protection locked="0"/>
    </xf>
    <xf numFmtId="0" fontId="16" fillId="12" borderId="62" xfId="1" applyFont="1" applyFill="1" applyBorder="1" applyAlignment="1" applyProtection="1">
      <alignment vertical="center"/>
      <protection locked="0"/>
    </xf>
    <xf numFmtId="0" fontId="16" fillId="12" borderId="63" xfId="1" applyFont="1" applyFill="1" applyBorder="1" applyAlignment="1" applyProtection="1">
      <alignment vertical="center"/>
      <protection locked="0"/>
    </xf>
    <xf numFmtId="166" fontId="16" fillId="12" borderId="62" xfId="1" applyNumberFormat="1" applyFont="1" applyFill="1" applyBorder="1" applyAlignment="1" applyProtection="1">
      <alignment horizontal="center" vertical="center"/>
      <protection locked="0"/>
    </xf>
    <xf numFmtId="169" fontId="16" fillId="12" borderId="64" xfId="1" applyNumberFormat="1" applyFont="1" applyFill="1" applyBorder="1" applyAlignment="1" applyProtection="1">
      <alignment horizontal="center" vertical="center"/>
      <protection locked="0"/>
    </xf>
    <xf numFmtId="169" fontId="15" fillId="12" borderId="64" xfId="1" applyNumberFormat="1" applyFont="1" applyFill="1" applyBorder="1" applyAlignment="1" applyProtection="1">
      <alignment horizontal="center" vertical="center"/>
      <protection locked="0"/>
    </xf>
    <xf numFmtId="169" fontId="16" fillId="12" borderId="65" xfId="1" applyNumberFormat="1" applyFont="1" applyFill="1" applyBorder="1" applyAlignment="1" applyProtection="1">
      <alignment horizontal="center" vertical="center"/>
      <protection locked="0"/>
    </xf>
    <xf numFmtId="168" fontId="4" fillId="2" borderId="53" xfId="1" applyNumberFormat="1" applyFill="1" applyBorder="1" applyAlignment="1" applyProtection="1">
      <alignment horizontal="center"/>
      <protection locked="0"/>
    </xf>
    <xf numFmtId="2" fontId="15" fillId="0" borderId="54" xfId="1" applyNumberFormat="1" applyFont="1" applyBorder="1" applyAlignment="1" applyProtection="1">
      <alignment horizontal="center"/>
      <protection locked="0"/>
    </xf>
    <xf numFmtId="2" fontId="15" fillId="0" borderId="55" xfId="1" applyNumberFormat="1" applyFont="1" applyBorder="1" applyAlignment="1" applyProtection="1">
      <alignment horizontal="center"/>
      <protection locked="0"/>
    </xf>
    <xf numFmtId="0" fontId="21" fillId="2" borderId="51" xfId="1" applyFont="1" applyFill="1" applyBorder="1" applyAlignment="1" applyProtection="1">
      <alignment horizontal="right"/>
      <protection locked="0"/>
    </xf>
    <xf numFmtId="0" fontId="21" fillId="0" borderId="51" xfId="1" applyFont="1" applyBorder="1" applyAlignment="1" applyProtection="1">
      <alignment horizontal="right"/>
      <protection locked="0"/>
    </xf>
    <xf numFmtId="0" fontId="15" fillId="4" borderId="59" xfId="1" applyFont="1" applyFill="1" applyBorder="1" applyAlignment="1">
      <alignment horizontal="left" vertical="center"/>
    </xf>
    <xf numFmtId="0" fontId="16" fillId="4" borderId="60" xfId="1" applyFont="1" applyFill="1" applyBorder="1" applyAlignment="1">
      <alignment vertical="center"/>
    </xf>
    <xf numFmtId="0" fontId="16" fillId="4" borderId="16" xfId="1" applyFont="1" applyFill="1" applyBorder="1" applyAlignment="1" applyProtection="1">
      <alignment vertical="center"/>
      <protection locked="0"/>
    </xf>
    <xf numFmtId="0" fontId="16" fillId="4" borderId="61" xfId="1" applyFont="1" applyFill="1" applyBorder="1" applyAlignment="1" applyProtection="1">
      <alignment horizontal="center" vertical="center"/>
      <protection locked="0"/>
    </xf>
    <xf numFmtId="0" fontId="16" fillId="4" borderId="62" xfId="1" applyFont="1" applyFill="1" applyBorder="1" applyAlignment="1" applyProtection="1">
      <alignment horizontal="center" vertical="center"/>
      <protection locked="0"/>
    </xf>
    <xf numFmtId="0" fontId="16" fillId="4" borderId="63" xfId="1" applyFont="1" applyFill="1" applyBorder="1" applyAlignment="1" applyProtection="1">
      <alignment horizontal="center" vertical="center"/>
      <protection locked="0"/>
    </xf>
    <xf numFmtId="2" fontId="12" fillId="4" borderId="61" xfId="1" applyNumberFormat="1" applyFont="1" applyFill="1" applyBorder="1" applyAlignment="1" applyProtection="1">
      <alignment horizontal="center" vertical="center"/>
      <protection locked="0"/>
    </xf>
    <xf numFmtId="2" fontId="16" fillId="4" borderId="62" xfId="1" applyNumberFormat="1" applyFont="1" applyFill="1" applyBorder="1" applyAlignment="1" applyProtection="1">
      <alignment horizontal="center" vertical="center"/>
      <protection locked="0"/>
    </xf>
    <xf numFmtId="2" fontId="16" fillId="4" borderId="63" xfId="1" applyNumberFormat="1" applyFont="1" applyFill="1" applyBorder="1" applyAlignment="1" applyProtection="1">
      <alignment horizontal="center" vertical="center"/>
      <protection locked="0"/>
    </xf>
    <xf numFmtId="169" fontId="16" fillId="4" borderId="63" xfId="1" applyNumberFormat="1" applyFont="1" applyFill="1" applyBorder="1" applyAlignment="1" applyProtection="1">
      <alignment horizontal="center" vertical="center"/>
      <protection locked="0"/>
    </xf>
    <xf numFmtId="3" fontId="16" fillId="4" borderId="62" xfId="1" applyNumberFormat="1" applyFont="1" applyFill="1" applyBorder="1" applyAlignment="1" applyProtection="1">
      <alignment horizontal="left" vertical="center" wrapText="1"/>
      <protection locked="0"/>
    </xf>
    <xf numFmtId="168" fontId="16" fillId="4" borderId="61" xfId="1" applyNumberFormat="1" applyFont="1" applyFill="1" applyBorder="1" applyAlignment="1" applyProtection="1">
      <alignment horizontal="center" vertical="center"/>
      <protection locked="0"/>
    </xf>
    <xf numFmtId="0" fontId="16" fillId="4" borderId="62" xfId="1" applyFont="1" applyFill="1" applyBorder="1" applyAlignment="1" applyProtection="1">
      <alignment vertical="center"/>
      <protection locked="0"/>
    </xf>
    <xf numFmtId="0" fontId="16" fillId="4" borderId="63" xfId="1" applyFont="1" applyFill="1" applyBorder="1" applyAlignment="1" applyProtection="1">
      <alignment vertical="center"/>
      <protection locked="0"/>
    </xf>
    <xf numFmtId="166" fontId="16" fillId="4" borderId="62" xfId="1" applyNumberFormat="1" applyFont="1" applyFill="1" applyBorder="1" applyAlignment="1" applyProtection="1">
      <alignment horizontal="center" vertical="center"/>
      <protection locked="0"/>
    </xf>
    <xf numFmtId="169" fontId="16" fillId="4" borderId="64" xfId="1" applyNumberFormat="1" applyFont="1" applyFill="1" applyBorder="1" applyAlignment="1" applyProtection="1">
      <alignment horizontal="center" vertical="center"/>
      <protection locked="0"/>
    </xf>
    <xf numFmtId="169" fontId="15" fillId="4" borderId="64" xfId="1" applyNumberFormat="1" applyFont="1" applyFill="1" applyBorder="1" applyAlignment="1" applyProtection="1">
      <alignment horizontal="center" vertical="center"/>
      <protection locked="0"/>
    </xf>
    <xf numFmtId="169" fontId="16" fillId="4" borderId="65" xfId="1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 xr:uid="{4F3184E8-D3F1-4583-B7B2-4DB3094795A1}"/>
    <cellStyle name="Normal 4" xfId="2" xr:uid="{167B0C32-3AFE-4439-9B74-BE7311E8A113}"/>
  </cellStyles>
  <dxfs count="68">
    <dxf>
      <font>
        <b/>
        <i val="0"/>
        <color rgb="FFFF0000"/>
      </font>
    </dxf>
    <dxf>
      <font>
        <b/>
        <i val="0"/>
        <color rgb="FFFF0000"/>
      </font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theme="8" tint="-0.499984740745262"/>
      </font>
      <fill>
        <patternFill>
          <bgColor theme="8" tint="0.79998168889431442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BC8F00"/>
      </font>
      <fill>
        <patternFill>
          <bgColor rgb="FFFFF2C9"/>
        </patternFill>
      </fill>
    </dxf>
    <dxf>
      <font>
        <color rgb="FFFF0000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BC8F00"/>
      </font>
      <fill>
        <patternFill>
          <bgColor rgb="FFFFF2C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152401</xdr:rowOff>
    </xdr:from>
    <xdr:to>
      <xdr:col>2</xdr:col>
      <xdr:colOff>1312769</xdr:colOff>
      <xdr:row>2</xdr:row>
      <xdr:rowOff>190502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A325D770-48A5-4490-B170-AB8A21418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61951"/>
          <a:ext cx="1646144" cy="409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0</xdr:colOff>
      <xdr:row>1</xdr:row>
      <xdr:rowOff>66675</xdr:rowOff>
    </xdr:from>
    <xdr:to>
      <xdr:col>13</xdr:col>
      <xdr:colOff>628649</xdr:colOff>
      <xdr:row>2</xdr:row>
      <xdr:rowOff>319370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8B9DC56-D997-42E1-B0B7-853C5920692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0001" t="10716"/>
        <a:stretch/>
      </xdr:blipFill>
      <xdr:spPr>
        <a:xfrm>
          <a:off x="7458075" y="276225"/>
          <a:ext cx="628649" cy="6241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M-Tentative%20comparatif%20heure%20ETUDE%20V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JM-Tentative%20comparatif%20heure%20ETUDE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ré_Revit"/>
      <sheetName val="Sommaire"/>
      <sheetName val="Categories_CDG"/>
      <sheetName val="BMO"/>
      <sheetName val="Entreprises"/>
      <sheetName val="Cartouche BMO Toutes Zones"/>
      <sheetName val="Cartouche Suivi Toutes Zones"/>
      <sheetName val="Cartouche Métré - G1"/>
      <sheetName val="Cartouche CDG - G1"/>
      <sheetName val="Cartouche Note  - G1"/>
      <sheetName val="M-G1-00"/>
      <sheetName val="H-G1-00"/>
      <sheetName val="C-G1-00"/>
      <sheetName val="N-G1-00"/>
      <sheetName val="B-G1-00"/>
      <sheetName val="M-G1-01"/>
      <sheetName val="H-G1-01"/>
      <sheetName val="C-G1-01"/>
      <sheetName val="N-G1-01"/>
      <sheetName val="B-G1-01"/>
      <sheetName val="M-G1-02"/>
      <sheetName val="H-G1-02"/>
      <sheetName val="C-G1-02"/>
      <sheetName val="N-G1-02"/>
      <sheetName val="B-G1-02"/>
      <sheetName val="M-G1-03"/>
      <sheetName val="H-G1-03"/>
      <sheetName val="C-G1-03"/>
      <sheetName val="N-G1-03"/>
      <sheetName val="B-G1-03"/>
      <sheetName val="M-G1-04"/>
      <sheetName val="H-G1-04"/>
      <sheetName val="C-G1-04"/>
      <sheetName val="N-G1-04"/>
      <sheetName val="B-G1-04"/>
      <sheetName val="M-G1-05"/>
      <sheetName val="H-G1-05"/>
      <sheetName val="C-G1-05"/>
      <sheetName val="N-G1-05"/>
      <sheetName val="B-G1-05"/>
      <sheetName val="M-G1-06"/>
      <sheetName val="H-G1-06"/>
      <sheetName val="C-G1-06"/>
      <sheetName val="N-G1-06"/>
      <sheetName val="B-G1-06"/>
      <sheetName val="Prefa G1"/>
      <sheetName val="RAL G1"/>
      <sheetName val="OD G1"/>
      <sheetName val="FC G1"/>
      <sheetName val="Installation-Repli G1"/>
      <sheetName val="HEURE EDP"/>
      <sheetName val="COMPAR EDP"/>
      <sheetName val="RECAP G1"/>
      <sheetName val="Ouvrages Divers"/>
      <sheetName val="Frais-Chantier Commun"/>
      <sheetName val="Installation-Repli Commun"/>
      <sheetName val="RECAP"/>
    </sheetNames>
    <sheetDataSet>
      <sheetData sheetId="0"/>
      <sheetData sheetId="1">
        <row r="2">
          <cell r="B2">
            <v>44173.842228067129</v>
          </cell>
        </row>
        <row r="3">
          <cell r="B3" t="str">
            <v>HOCHE NIMES</v>
          </cell>
        </row>
        <row r="4">
          <cell r="B4" t="str">
            <v>SOGEA SUD BATIMENT</v>
          </cell>
        </row>
        <row r="5">
          <cell r="B5">
            <v>1</v>
          </cell>
        </row>
        <row r="6">
          <cell r="B6">
            <v>0</v>
          </cell>
        </row>
        <row r="8">
          <cell r="B8" t="str">
            <v>Hypothèses : activité 60</v>
          </cell>
        </row>
        <row r="9">
          <cell r="B9" t="str">
            <v xml:space="preserve"> 37Hr semaine = 7.40H/J</v>
          </cell>
        </row>
        <row r="12">
          <cell r="B12" t="str">
            <v>G1</v>
          </cell>
        </row>
        <row r="20">
          <cell r="C20" t="str">
            <v>Fondations</v>
          </cell>
        </row>
        <row r="21">
          <cell r="C21" t="str">
            <v>PH R-1</v>
          </cell>
        </row>
        <row r="22">
          <cell r="C22" t="str">
            <v>PH RDC</v>
          </cell>
        </row>
        <row r="23">
          <cell r="C23" t="str">
            <v>PH R+1</v>
          </cell>
        </row>
        <row r="24">
          <cell r="C24" t="str">
            <v>PH R+2</v>
          </cell>
        </row>
        <row r="25">
          <cell r="C25" t="str">
            <v>PH R+3</v>
          </cell>
        </row>
        <row r="26">
          <cell r="C26" t="str">
            <v>PH OUVRAGES EXT</v>
          </cell>
        </row>
      </sheetData>
      <sheetData sheetId="2">
        <row r="3">
          <cell r="B3" t="str">
            <v>Têtes de pieux</v>
          </cell>
          <cell r="E3" t="str">
            <v>Têtes de pieux</v>
          </cell>
        </row>
        <row r="4">
          <cell r="B4" t="str">
            <v>Semelles isolées</v>
          </cell>
          <cell r="E4" t="str">
            <v>Semelles isolées</v>
          </cell>
        </row>
        <row r="5">
          <cell r="B5" t="str">
            <v>Semelles filantes</v>
          </cell>
          <cell r="E5" t="str">
            <v>Semelles filantes</v>
          </cell>
        </row>
        <row r="6">
          <cell r="B6" t="str">
            <v>Gros béton SI</v>
          </cell>
          <cell r="E6" t="str">
            <v>Longrines</v>
          </cell>
        </row>
        <row r="7">
          <cell r="B7" t="str">
            <v>Gros béton SF</v>
          </cell>
          <cell r="E7" t="str">
            <v>Amorces voiles</v>
          </cell>
        </row>
        <row r="8">
          <cell r="B8" t="str">
            <v>Longrines Préfa</v>
          </cell>
          <cell r="E8" t="str">
            <v>Amorces poteaux</v>
          </cell>
        </row>
        <row r="9">
          <cell r="B9" t="str">
            <v>Longrines CSP</v>
          </cell>
          <cell r="E9" t="str">
            <v>Fosses ascenseurs</v>
          </cell>
        </row>
        <row r="10">
          <cell r="B10" t="str">
            <v>Radier fosses</v>
          </cell>
          <cell r="E10" t="str">
            <v>Bèches</v>
          </cell>
        </row>
        <row r="11">
          <cell r="B11" t="str">
            <v>Voiles fosses</v>
          </cell>
          <cell r="E11" t="str">
            <v>Dalles basses</v>
          </cell>
        </row>
        <row r="12">
          <cell r="B12" t="str">
            <v>Bèches</v>
          </cell>
          <cell r="E12" t="str">
            <v>Isolant</v>
          </cell>
        </row>
        <row r="13">
          <cell r="B13" t="str">
            <v>Dalle basse</v>
          </cell>
          <cell r="E13" t="str">
            <v>Réseaux</v>
          </cell>
        </row>
        <row r="14">
          <cell r="B14" t="str">
            <v>Isolant sous dallage</v>
          </cell>
          <cell r="E14" t="str">
            <v>Platines</v>
          </cell>
        </row>
        <row r="15">
          <cell r="B15" t="str">
            <v>Amorces voiles</v>
          </cell>
          <cell r="E15" t="str">
            <v>Divers</v>
          </cell>
        </row>
        <row r="16">
          <cell r="B16" t="str">
            <v>Amorces poteaux</v>
          </cell>
          <cell r="E16" t="str">
            <v>Voiles</v>
          </cell>
        </row>
        <row r="17">
          <cell r="B17" t="str">
            <v>Platines</v>
          </cell>
          <cell r="E17" t="str">
            <v>Prémurs</v>
          </cell>
        </row>
        <row r="18">
          <cell r="B18" t="str">
            <v>Voiles Ht banches ≤ 3,80m Droits Intérieurs</v>
          </cell>
          <cell r="E18" t="str">
            <v>Poteaux</v>
          </cell>
        </row>
        <row r="19">
          <cell r="B19" t="str">
            <v>Voiles Ht banches ≤ 3,80m Droits Extérieurs</v>
          </cell>
          <cell r="E19" t="str">
            <v>Poutres</v>
          </cell>
        </row>
        <row r="20">
          <cell r="B20" t="str">
            <v>Voiles Ht banches ≤ 3,80m Courbes Intérieurs</v>
          </cell>
          <cell r="E20" t="str">
            <v>Relevés / Acrotères / GC</v>
          </cell>
        </row>
        <row r="21">
          <cell r="B21" t="str">
            <v>Voiles Ht banches ≤ 3,80m Courbes Extérieurs</v>
          </cell>
          <cell r="E21" t="str">
            <v>Planchers</v>
          </cell>
        </row>
        <row r="22">
          <cell r="B22" t="str">
            <v>Voiles 6,60m ≥ Ht banches &gt; 3,80m Droits Intérieurs</v>
          </cell>
          <cell r="E22" t="str">
            <v>Balcons</v>
          </cell>
        </row>
        <row r="23">
          <cell r="B23" t="str">
            <v>Voiles 6,60m ≥ Ht banches &gt; 3,80m Droits Extérieurs</v>
          </cell>
          <cell r="E23" t="str">
            <v>Escaliers</v>
          </cell>
        </row>
        <row r="24">
          <cell r="B24" t="str">
            <v>Voiles 6,60m ≥ Ht banches &gt; 3,80m Courbes Intérieurs</v>
          </cell>
          <cell r="E24" t="str">
            <v>Maçonneries</v>
          </cell>
        </row>
        <row r="25">
          <cell r="B25" t="str">
            <v>Voiles 6,60m ≥ Ht banches &gt; 3,80m Courbes Extérieurs</v>
          </cell>
          <cell r="E25" t="str">
            <v>Divers</v>
          </cell>
        </row>
        <row r="26">
          <cell r="B26" t="str">
            <v>Voiles Ht banches &gt; 6,60m Droits ou Courbes Intérieurs</v>
          </cell>
          <cell r="E26" t="str">
            <v>Préfabrication Voiles</v>
          </cell>
        </row>
        <row r="27">
          <cell r="B27" t="str">
            <v>Voiles Ht banches &gt; 6,60m Droits ou Courbes Extérieurs</v>
          </cell>
          <cell r="E27" t="str">
            <v>Préfabrication Poteaux</v>
          </cell>
        </row>
        <row r="28">
          <cell r="E28" t="str">
            <v>Préfabrication Poutres/longrines</v>
          </cell>
        </row>
        <row r="29">
          <cell r="E29" t="str">
            <v>Préfabrication Prédalles</v>
          </cell>
        </row>
        <row r="30">
          <cell r="B30" t="str">
            <v>Voiles préfas</v>
          </cell>
          <cell r="E30" t="str">
            <v>Préfabrication Balcons</v>
          </cell>
        </row>
        <row r="31">
          <cell r="B31" t="str">
            <v>Prémurs</v>
          </cell>
        </row>
        <row r="32">
          <cell r="B32" t="str">
            <v>Poteaux banchés/outil de façade</v>
          </cell>
        </row>
        <row r="33">
          <cell r="B33" t="str">
            <v>Poteaux cartons/aile de moulin</v>
          </cell>
        </row>
        <row r="34">
          <cell r="B34" t="str">
            <v>Poteaux préfas</v>
          </cell>
        </row>
        <row r="35">
          <cell r="B35" t="str">
            <v>Poutres préfas</v>
          </cell>
        </row>
        <row r="36">
          <cell r="B36" t="str">
            <v>Poutres CSP</v>
          </cell>
        </row>
        <row r="37">
          <cell r="B37" t="str">
            <v>Plancher CSP tradi</v>
          </cell>
        </row>
        <row r="38">
          <cell r="B38" t="str">
            <v>Plancher CSP panneaux coffrants</v>
          </cell>
        </row>
        <row r="39">
          <cell r="B39" t="str">
            <v>Plancher tables</v>
          </cell>
        </row>
        <row r="40">
          <cell r="B40" t="str">
            <v>Plancher prédalles</v>
          </cell>
        </row>
        <row r="41">
          <cell r="B41" t="str">
            <v>Plancher alvéolaire</v>
          </cell>
        </row>
        <row r="42">
          <cell r="B42" t="str">
            <v>Volée d'escalier</v>
          </cell>
        </row>
        <row r="43">
          <cell r="B43" t="str">
            <v>Balcon préfa</v>
          </cell>
        </row>
        <row r="44">
          <cell r="B44" t="str">
            <v>Balcon CSP</v>
          </cell>
        </row>
        <row r="45">
          <cell r="B45" t="str">
            <v>Prémurs</v>
          </cell>
        </row>
        <row r="46">
          <cell r="B46" t="str">
            <v>GC/poutre de rive</v>
          </cell>
        </row>
        <row r="47">
          <cell r="B47" t="str">
            <v>Maçonnerie</v>
          </cell>
        </row>
        <row r="48">
          <cell r="B48" t="str">
            <v>Préfabrication Voiles ≤ 3,80m</v>
          </cell>
        </row>
        <row r="49">
          <cell r="B49" t="str">
            <v>Préfabrication Voiles &gt;3,80m</v>
          </cell>
        </row>
        <row r="50">
          <cell r="B50" t="str">
            <v>Préfabrication Poteaux</v>
          </cell>
        </row>
        <row r="51">
          <cell r="B51" t="str">
            <v>Préfabrication Poutres/longrines</v>
          </cell>
        </row>
        <row r="52">
          <cell r="B52" t="str">
            <v>Préfabrication Prédalles</v>
          </cell>
        </row>
        <row r="53">
          <cell r="B53" t="str">
            <v>Préfabrication Balcons</v>
          </cell>
        </row>
      </sheetData>
      <sheetData sheetId="3">
        <row r="5">
          <cell r="A5" t="str">
            <v>Unité</v>
          </cell>
          <cell r="B5" t="str">
            <v>Ouvrage</v>
          </cell>
          <cell r="O5" t="str">
            <v>Unité</v>
          </cell>
          <cell r="P5" t="str">
            <v>Ouvrage</v>
          </cell>
        </row>
        <row r="6">
          <cell r="B6" t="str">
            <v>&lt;&lt;&lt;OUVRAGES FONDATIONS&gt;&gt;&gt;</v>
          </cell>
          <cell r="I6" t="str">
            <v>Poutres</v>
          </cell>
          <cell r="O6" t="str">
            <v>ml</v>
          </cell>
          <cell r="P6" t="str">
            <v>Seuils appuis CSP</v>
          </cell>
          <cell r="W6" t="str">
            <v>&lt;&lt;&lt;OUVRAGES INSTALLATION&gt;&gt;&gt;</v>
          </cell>
        </row>
        <row r="7">
          <cell r="A7" t="str">
            <v>u</v>
          </cell>
          <cell r="B7" t="str">
            <v>Recépage pieux</v>
          </cell>
          <cell r="O7" t="str">
            <v>ml</v>
          </cell>
          <cell r="P7" t="str">
            <v>Seuils appuis préfas</v>
          </cell>
        </row>
        <row r="8">
          <cell r="A8" t="str">
            <v>m²</v>
          </cell>
          <cell r="B8" t="str">
            <v>Béton de propreté</v>
          </cell>
          <cell r="O8" t="str">
            <v>ml</v>
          </cell>
          <cell r="P8" t="str">
            <v>Relevé</v>
          </cell>
        </row>
        <row r="9">
          <cell r="A9" t="str">
            <v>m3</v>
          </cell>
          <cell r="B9" t="str">
            <v>Gros béton</v>
          </cell>
          <cell r="O9" t="str">
            <v>u</v>
          </cell>
          <cell r="P9" t="str">
            <v>Plot béton</v>
          </cell>
        </row>
        <row r="10">
          <cell r="A10" t="str">
            <v>u</v>
          </cell>
          <cell r="B10" t="str">
            <v>Tête de pieux simple</v>
          </cell>
          <cell r="O10" t="str">
            <v>u</v>
          </cell>
          <cell r="P10" t="str">
            <v>Socles</v>
          </cell>
        </row>
        <row r="11">
          <cell r="A11" t="str">
            <v>u</v>
          </cell>
          <cell r="B11" t="str">
            <v>Tête de pieux double</v>
          </cell>
          <cell r="O11" t="str">
            <v>ml</v>
          </cell>
          <cell r="P11" t="str">
            <v>Cunette</v>
          </cell>
        </row>
        <row r="12">
          <cell r="A12" t="str">
            <v>u</v>
          </cell>
          <cell r="B12" t="str">
            <v>Semelle isolée</v>
          </cell>
          <cell r="O12" t="str">
            <v>ml</v>
          </cell>
          <cell r="P12" t="str">
            <v>Caniveau CSP</v>
          </cell>
        </row>
        <row r="13">
          <cell r="A13" t="str">
            <v>m3</v>
          </cell>
          <cell r="B13" t="str">
            <v>Semelle isolée gde dimension</v>
          </cell>
          <cell r="O13" t="str">
            <v>u</v>
          </cell>
          <cell r="P13" t="str">
            <v>Siphon de sol</v>
          </cell>
        </row>
        <row r="14">
          <cell r="A14" t="str">
            <v>u</v>
          </cell>
          <cell r="B14" t="str">
            <v>Longrines préfa</v>
          </cell>
          <cell r="O14" t="str">
            <v>ml</v>
          </cell>
          <cell r="P14" t="str">
            <v>JD</v>
          </cell>
        </row>
        <row r="15">
          <cell r="A15" t="str">
            <v>ml</v>
          </cell>
          <cell r="B15" t="str">
            <v>Longrine CSP</v>
          </cell>
          <cell r="O15" t="str">
            <v>u</v>
          </cell>
          <cell r="P15" t="str">
            <v>Goujons</v>
          </cell>
        </row>
        <row r="16">
          <cell r="A16" t="str">
            <v>ml</v>
          </cell>
          <cell r="B16" t="str">
            <v>Semelle filante</v>
          </cell>
          <cell r="O16" t="str">
            <v>ml</v>
          </cell>
          <cell r="P16" t="str">
            <v>Talon départ maçonnerie</v>
          </cell>
        </row>
        <row r="17">
          <cell r="A17" t="str">
            <v>ml</v>
          </cell>
          <cell r="B17" t="str">
            <v>Semelle filante gde dimension</v>
          </cell>
          <cell r="O17" t="str">
            <v>ml</v>
          </cell>
          <cell r="P17" t="str">
            <v>Chasse-roue</v>
          </cell>
        </row>
        <row r="18">
          <cell r="A18" t="str">
            <v>u</v>
          </cell>
          <cell r="B18" t="str">
            <v>Fosse ascenseur simple</v>
          </cell>
          <cell r="O18" t="str">
            <v>m²</v>
          </cell>
          <cell r="P18" t="str">
            <v>Recharge béton</v>
          </cell>
        </row>
        <row r="19">
          <cell r="A19" t="str">
            <v>u</v>
          </cell>
          <cell r="B19" t="str">
            <v>Fosse ascenseur double</v>
          </cell>
          <cell r="O19" t="str">
            <v>ml</v>
          </cell>
          <cell r="P19" t="str">
            <v>Cornière</v>
          </cell>
        </row>
        <row r="20">
          <cell r="A20" t="str">
            <v>ml</v>
          </cell>
          <cell r="B20" t="str">
            <v>Voiles fosse ascenseur</v>
          </cell>
          <cell r="O20" t="str">
            <v>u</v>
          </cell>
          <cell r="P20" t="str">
            <v>Platines</v>
          </cell>
        </row>
        <row r="21">
          <cell r="A21" t="str">
            <v>u</v>
          </cell>
          <cell r="B21" t="str">
            <v>Amorce poteaux</v>
          </cell>
          <cell r="O21" t="str">
            <v>m²</v>
          </cell>
          <cell r="P21" t="str">
            <v>Maçonnerie</v>
          </cell>
        </row>
        <row r="22">
          <cell r="A22" t="str">
            <v>ml</v>
          </cell>
          <cell r="B22" t="str">
            <v>Libages</v>
          </cell>
          <cell r="O22" t="str">
            <v>m²</v>
          </cell>
          <cell r="P22" t="str">
            <v>Brique de parement</v>
          </cell>
        </row>
        <row r="23">
          <cell r="A23" t="str">
            <v>m²</v>
          </cell>
          <cell r="B23" t="str">
            <v>Forme sous dalle</v>
          </cell>
          <cell r="O23" t="str">
            <v>m²</v>
          </cell>
          <cell r="P23" t="str">
            <v>Finition</v>
          </cell>
        </row>
        <row r="24">
          <cell r="A24" t="str">
            <v>m²</v>
          </cell>
          <cell r="B24" t="str">
            <v>Herisson</v>
          </cell>
          <cell r="O24" t="str">
            <v>m²</v>
          </cell>
          <cell r="P24" t="str">
            <v>Trou/calfeutrement scellement</v>
          </cell>
        </row>
        <row r="25">
          <cell r="A25" t="str">
            <v>m²</v>
          </cell>
          <cell r="B25" t="str">
            <v>Dallage (cis fond de forme)</v>
          </cell>
        </row>
        <row r="26">
          <cell r="A26" t="str">
            <v>m²</v>
          </cell>
          <cell r="B26" t="str">
            <v>Dalle portée (cis fond de forme)</v>
          </cell>
        </row>
        <row r="27">
          <cell r="A27" t="str">
            <v>m²</v>
          </cell>
          <cell r="B27" t="str">
            <v>Radier ep 30 / 40</v>
          </cell>
        </row>
        <row r="28">
          <cell r="A28" t="str">
            <v>m²</v>
          </cell>
          <cell r="B28" t="str">
            <v>Radier ep 70</v>
          </cell>
          <cell r="P28" t="str">
            <v>…</v>
          </cell>
        </row>
        <row r="29">
          <cell r="A29" t="str">
            <v>m²</v>
          </cell>
          <cell r="B29" t="str">
            <v>Rampe sur terre plein</v>
          </cell>
        </row>
        <row r="30">
          <cell r="A30" t="str">
            <v>m²</v>
          </cell>
          <cell r="B30" t="str">
            <v>Radier petit ouvrage</v>
          </cell>
        </row>
        <row r="31">
          <cell r="A31" t="str">
            <v>ml</v>
          </cell>
          <cell r="B31" t="str">
            <v>Coffrage de rive</v>
          </cell>
        </row>
        <row r="32">
          <cell r="A32" t="str">
            <v>u</v>
          </cell>
          <cell r="B32" t="str">
            <v>Platines scellées</v>
          </cell>
        </row>
        <row r="33">
          <cell r="A33" t="str">
            <v>m²</v>
          </cell>
          <cell r="B33" t="str">
            <v>Noir fondations</v>
          </cell>
        </row>
        <row r="34">
          <cell r="A34" t="str">
            <v>m²</v>
          </cell>
          <cell r="B34" t="str">
            <v>Delta MS</v>
          </cell>
        </row>
        <row r="35">
          <cell r="A35" t="str">
            <v>ml</v>
          </cell>
          <cell r="B35" t="str">
            <v>Bèche</v>
          </cell>
        </row>
        <row r="36">
          <cell r="A36" t="str">
            <v>m²</v>
          </cell>
          <cell r="B36" t="str">
            <v>Isolant périphérique</v>
          </cell>
        </row>
        <row r="37">
          <cell r="A37" t="str">
            <v>m²</v>
          </cell>
          <cell r="B37" t="str">
            <v>Isolation sous dallage</v>
          </cell>
        </row>
        <row r="38">
          <cell r="A38" t="str">
            <v>ml</v>
          </cell>
          <cell r="B38" t="str">
            <v>Poutre de couronnement</v>
          </cell>
        </row>
        <row r="42">
          <cell r="B42" t="str">
            <v>…</v>
          </cell>
        </row>
        <row r="43">
          <cell r="A43" t="str">
            <v>Superstructure</v>
          </cell>
        </row>
        <row r="44">
          <cell r="A44" t="str">
            <v>Unités</v>
          </cell>
          <cell r="B44" t="str">
            <v>&lt;&lt;&lt;OUVRAGES SUPERSTRUCTURE&gt;&gt;&gt;</v>
          </cell>
        </row>
        <row r="45">
          <cell r="A45" t="str">
            <v>m²</v>
          </cell>
          <cell r="B45" t="str">
            <v>Voiles Int 2.80 &lt; H ≤3.8</v>
          </cell>
        </row>
        <row r="46">
          <cell r="A46" t="str">
            <v>m²</v>
          </cell>
          <cell r="B46" t="str">
            <v>Voiles Ext 2.80 &lt; H ≤3.8</v>
          </cell>
        </row>
        <row r="47">
          <cell r="A47" t="str">
            <v>m²</v>
          </cell>
          <cell r="B47" t="str">
            <v>Voiles int 4.3 &lt; H ≤4.8</v>
          </cell>
        </row>
        <row r="48">
          <cell r="A48" t="str">
            <v>m²</v>
          </cell>
          <cell r="B48" t="str">
            <v>Voiles Ext 4.3 &lt; H ≤4.8</v>
          </cell>
        </row>
        <row r="49">
          <cell r="A49" t="str">
            <v>m²</v>
          </cell>
          <cell r="B49" t="str">
            <v>Voiles int 6.10 &lt; H ≤7.6</v>
          </cell>
        </row>
        <row r="50">
          <cell r="A50" t="str">
            <v>m²</v>
          </cell>
          <cell r="B50" t="str">
            <v>Voiles Ext 6.10 &lt; H ≤7.6</v>
          </cell>
        </row>
        <row r="51">
          <cell r="A51" t="str">
            <v>m²</v>
          </cell>
          <cell r="B51" t="str">
            <v>Voiles 8.90 &lt; H &lt; 11.2</v>
          </cell>
        </row>
        <row r="52">
          <cell r="A52" t="str">
            <v>m²</v>
          </cell>
          <cell r="B52" t="str">
            <v>Voiles courbes ≤3.8</v>
          </cell>
        </row>
        <row r="53">
          <cell r="A53" t="str">
            <v>m²</v>
          </cell>
          <cell r="B53" t="str">
            <v>Voiles courbes 3.8&lt;    ≤6.1</v>
          </cell>
        </row>
        <row r="54">
          <cell r="A54" t="str">
            <v>m²</v>
          </cell>
          <cell r="B54" t="str">
            <v>Voiles courbes &gt; 6.1</v>
          </cell>
        </row>
        <row r="55">
          <cell r="A55" t="str">
            <v>u</v>
          </cell>
          <cell r="B55" t="str">
            <v>Voile préfa  ≤ 4m</v>
          </cell>
        </row>
        <row r="56">
          <cell r="A56" t="str">
            <v>u</v>
          </cell>
          <cell r="B56" t="str">
            <v>Voile préfa &gt;4m</v>
          </cell>
        </row>
        <row r="57">
          <cell r="A57" t="str">
            <v>m²</v>
          </cell>
          <cell r="B57" t="str">
            <v>Prémur ≤ 4m</v>
          </cell>
        </row>
        <row r="58">
          <cell r="A58" t="str">
            <v>m²</v>
          </cell>
          <cell r="B58" t="str">
            <v>Prémurs &gt; 4m</v>
          </cell>
        </row>
        <row r="59">
          <cell r="A59" t="str">
            <v>u</v>
          </cell>
          <cell r="B59" t="str">
            <v>Poteaux ht std</v>
          </cell>
        </row>
        <row r="60">
          <cell r="A60" t="str">
            <v>u</v>
          </cell>
          <cell r="B60" t="str">
            <v>Poteaux préfa ht std</v>
          </cell>
        </row>
        <row r="61">
          <cell r="A61" t="str">
            <v>u</v>
          </cell>
          <cell r="B61" t="str">
            <v>Poteaux gde ht</v>
          </cell>
        </row>
        <row r="62">
          <cell r="A62" t="str">
            <v>u</v>
          </cell>
          <cell r="B62" t="str">
            <v>Poteaux préfa gde ht</v>
          </cell>
        </row>
        <row r="63">
          <cell r="A63" t="str">
            <v>u</v>
          </cell>
          <cell r="B63" t="str">
            <v>Poutre préfa ht std</v>
          </cell>
        </row>
        <row r="64">
          <cell r="A64" t="str">
            <v>ml</v>
          </cell>
          <cell r="B64" t="str">
            <v>Poutre CSP ht std</v>
          </cell>
        </row>
        <row r="65">
          <cell r="A65" t="str">
            <v>u</v>
          </cell>
          <cell r="B65" t="str">
            <v>Poutre préfa gde ht</v>
          </cell>
        </row>
        <row r="66">
          <cell r="A66" t="str">
            <v>ml</v>
          </cell>
          <cell r="B66" t="str">
            <v>Poutre CSP gde ht</v>
          </cell>
        </row>
        <row r="67">
          <cell r="A67" t="str">
            <v>m²</v>
          </cell>
          <cell r="B67" t="str">
            <v>Plancher tradi</v>
          </cell>
        </row>
        <row r="68">
          <cell r="A68" t="str">
            <v>m²</v>
          </cell>
          <cell r="B68" t="str">
            <v>Etaiement (CEP)</v>
          </cell>
        </row>
        <row r="69">
          <cell r="A69" t="str">
            <v>m²</v>
          </cell>
          <cell r="B69" t="str">
            <v>Ferraillage (CEP)</v>
          </cell>
        </row>
        <row r="70">
          <cell r="A70" t="str">
            <v>m3</v>
          </cell>
          <cell r="B70" t="str">
            <v>Coulage (CEP)</v>
          </cell>
        </row>
        <row r="71">
          <cell r="A71" t="str">
            <v>m²</v>
          </cell>
          <cell r="B71" t="str">
            <v>Plancher gridflex</v>
          </cell>
        </row>
        <row r="72">
          <cell r="A72" t="str">
            <v>m²</v>
          </cell>
          <cell r="B72" t="str">
            <v>Plancher panneaux coffrants</v>
          </cell>
        </row>
        <row r="73">
          <cell r="A73" t="str">
            <v>m²</v>
          </cell>
          <cell r="B73" t="str">
            <v>Plancher tables</v>
          </cell>
        </row>
        <row r="74">
          <cell r="A74" t="str">
            <v>m²</v>
          </cell>
          <cell r="B74" t="str">
            <v>Prédalles ext</v>
          </cell>
        </row>
        <row r="75">
          <cell r="A75" t="str">
            <v>m²</v>
          </cell>
          <cell r="B75" t="str">
            <v>Etaiement (Prédalle)</v>
          </cell>
        </row>
        <row r="76">
          <cell r="A76" t="str">
            <v>u</v>
          </cell>
          <cell r="B76" t="str">
            <v>Pose prédalle</v>
          </cell>
        </row>
        <row r="77">
          <cell r="A77" t="str">
            <v>m²</v>
          </cell>
          <cell r="B77" t="str">
            <v>Ferraillage (Prédalle)</v>
          </cell>
        </row>
        <row r="78">
          <cell r="A78" t="str">
            <v>m3</v>
          </cell>
          <cell r="B78" t="str">
            <v>Coulage (Prédalle)</v>
          </cell>
        </row>
        <row r="79">
          <cell r="A79" t="str">
            <v>m²</v>
          </cell>
          <cell r="B79" t="str">
            <v>Prédalles foraines</v>
          </cell>
        </row>
        <row r="80">
          <cell r="A80" t="str">
            <v>m²</v>
          </cell>
          <cell r="B80" t="str">
            <v>Rampe</v>
          </cell>
        </row>
        <row r="81">
          <cell r="A81" t="str">
            <v>m²</v>
          </cell>
          <cell r="B81" t="str">
            <v>DAP</v>
          </cell>
        </row>
        <row r="82">
          <cell r="A82" t="str">
            <v>u</v>
          </cell>
          <cell r="B82" t="str">
            <v>Volée d'escalier</v>
          </cell>
        </row>
        <row r="83">
          <cell r="A83" t="str">
            <v>u</v>
          </cell>
          <cell r="B83" t="str">
            <v>Volée d'escalier + palier</v>
          </cell>
        </row>
        <row r="84">
          <cell r="A84" t="str">
            <v>ml</v>
          </cell>
          <cell r="B84" t="str">
            <v>Corbeaux</v>
          </cell>
        </row>
        <row r="85">
          <cell r="A85" t="str">
            <v>u</v>
          </cell>
          <cell r="B85" t="str">
            <v>Corbeau ponctuel</v>
          </cell>
        </row>
        <row r="86">
          <cell r="A86" t="str">
            <v>u</v>
          </cell>
          <cell r="B86" t="str">
            <v>Balcon préfa foraine</v>
          </cell>
        </row>
        <row r="87">
          <cell r="A87" t="str">
            <v>u</v>
          </cell>
          <cell r="B87" t="str">
            <v>Balcon préfa ext</v>
          </cell>
        </row>
        <row r="88">
          <cell r="A88" t="str">
            <v>m²</v>
          </cell>
          <cell r="B88" t="str">
            <v>Balcon CSP</v>
          </cell>
        </row>
        <row r="89">
          <cell r="A89" t="str">
            <v>u</v>
          </cell>
          <cell r="B89" t="str">
            <v>GC/poutre de rive</v>
          </cell>
        </row>
        <row r="90">
          <cell r="A90" t="str">
            <v>m²</v>
          </cell>
          <cell r="B90" t="str">
            <v>Maçonnerie</v>
          </cell>
        </row>
        <row r="91">
          <cell r="A91" t="str">
            <v>u</v>
          </cell>
          <cell r="B91" t="str">
            <v>Allège préfa</v>
          </cell>
        </row>
        <row r="92">
          <cell r="A92" t="str">
            <v>ml</v>
          </cell>
          <cell r="B92" t="str">
            <v>Allège CSP</v>
          </cell>
        </row>
        <row r="93">
          <cell r="A93" t="str">
            <v>u</v>
          </cell>
          <cell r="B93" t="str">
            <v>Acrotère préfa</v>
          </cell>
        </row>
        <row r="94">
          <cell r="A94" t="str">
            <v>ml</v>
          </cell>
          <cell r="B94" t="str">
            <v>AcrotèreCSP</v>
          </cell>
        </row>
        <row r="96">
          <cell r="A96" t="str">
            <v>m²</v>
          </cell>
          <cell r="B96" t="str">
            <v>Montage banches</v>
          </cell>
        </row>
        <row r="97">
          <cell r="A97" t="str">
            <v>m²</v>
          </cell>
          <cell r="B97" t="str">
            <v>Montage platelage</v>
          </cell>
        </row>
        <row r="98">
          <cell r="A98" t="str">
            <v>ml</v>
          </cell>
          <cell r="B98" t="str">
            <v>Montage sous-hausses</v>
          </cell>
        </row>
        <row r="99">
          <cell r="A99" t="str">
            <v>ml</v>
          </cell>
          <cell r="B99" t="str">
            <v>Montage rehausses</v>
          </cell>
        </row>
        <row r="100">
          <cell r="A100" t="str">
            <v>ml</v>
          </cell>
          <cell r="B100" t="str">
            <v>Superposition banches</v>
          </cell>
        </row>
        <row r="101">
          <cell r="A101" t="str">
            <v>u</v>
          </cell>
          <cell r="B101" t="str">
            <v>Cintrage banches courbes</v>
          </cell>
        </row>
        <row r="102">
          <cell r="A102" t="str">
            <v>u</v>
          </cell>
          <cell r="B102" t="str">
            <v>Montage consoles</v>
          </cell>
        </row>
        <row r="103">
          <cell r="A103" t="str">
            <v>u</v>
          </cell>
          <cell r="B103" t="str">
            <v>Montage escalib</v>
          </cell>
        </row>
        <row r="104">
          <cell r="A104" t="str">
            <v>m²</v>
          </cell>
          <cell r="B104" t="str">
            <v>Montage tours 2N (m² plancher)</v>
          </cell>
        </row>
        <row r="105">
          <cell r="A105" t="str">
            <v>u</v>
          </cell>
          <cell r="B105" t="str">
            <v>Montage tours 2N (u)</v>
          </cell>
        </row>
        <row r="106">
          <cell r="A106" t="str">
            <v>m²</v>
          </cell>
          <cell r="B106" t="str">
            <v>Montage tables</v>
          </cell>
        </row>
        <row r="107">
          <cell r="A107" t="str">
            <v>ml</v>
          </cell>
          <cell r="B107" t="str">
            <v>Montage Macprotec (1er niveau)</v>
          </cell>
        </row>
        <row r="108">
          <cell r="A108" t="str">
            <v>ml</v>
          </cell>
          <cell r="B108" t="str">
            <v>Montage Macprotec (niveau courant)</v>
          </cell>
        </row>
        <row r="109">
          <cell r="A109" t="str">
            <v>ml</v>
          </cell>
          <cell r="B109" t="str">
            <v>Mise en place sécurité périphérique</v>
          </cell>
        </row>
        <row r="110">
          <cell r="A110" t="str">
            <v>u</v>
          </cell>
          <cell r="B110" t="str">
            <v>Montage plateaux escaliers</v>
          </cell>
        </row>
        <row r="111">
          <cell r="A111" t="str">
            <v>u</v>
          </cell>
          <cell r="B111" t="str">
            <v>Montage plateaux ascenseurs</v>
          </cell>
        </row>
        <row r="112">
          <cell r="B112" t="str">
            <v xml:space="preserve"> …</v>
          </cell>
        </row>
      </sheetData>
      <sheetData sheetId="4">
        <row r="1">
          <cell r="A1" t="str">
            <v>Bourdarios</v>
          </cell>
        </row>
        <row r="2">
          <cell r="A2" t="str">
            <v>CM SO</v>
          </cell>
        </row>
        <row r="3">
          <cell r="A3" t="str">
            <v>Cofex littoral</v>
          </cell>
        </row>
        <row r="4">
          <cell r="A4" t="str">
            <v>Faure Silva</v>
          </cell>
        </row>
        <row r="5">
          <cell r="A5" t="str">
            <v>Gauthier</v>
          </cell>
        </row>
        <row r="6">
          <cell r="A6" t="str">
            <v>GTM BATIMENT AQUITAINE</v>
          </cell>
        </row>
        <row r="7">
          <cell r="A7" t="str">
            <v>GTM SO TPGC</v>
          </cell>
        </row>
        <row r="8">
          <cell r="A8" t="str">
            <v>Jugla</v>
          </cell>
        </row>
        <row r="9">
          <cell r="A9" t="str">
            <v>RENE LAPORTE</v>
          </cell>
        </row>
        <row r="10">
          <cell r="A10" t="str">
            <v>SOGEA SO Hydraulique</v>
          </cell>
        </row>
        <row r="11">
          <cell r="A11" t="str">
            <v>SOGEA SUD</v>
          </cell>
        </row>
        <row r="12">
          <cell r="A12" t="str">
            <v>SOGEA SUD BATIMENT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étré_Revit"/>
      <sheetName val="Sommaire"/>
      <sheetName val="Categories_CDG"/>
      <sheetName val="BMO"/>
      <sheetName val="Entreprises"/>
      <sheetName val="Cartouche BMO Toutes Zones"/>
      <sheetName val="Cartouche Suivi Toutes Zones"/>
      <sheetName val="Cartouche Métré - G1"/>
      <sheetName val="Cartouche CDG - G1"/>
      <sheetName val="Cartouche Note  - G1"/>
      <sheetName val="M-G1-00"/>
      <sheetName val="H-G1-00"/>
      <sheetName val="C-G1-00"/>
      <sheetName val="N-G1-00"/>
      <sheetName val="B-G1-00"/>
      <sheetName val="M-G1-01"/>
      <sheetName val="H-G1-01"/>
      <sheetName val="C-G1-01"/>
      <sheetName val="N-G1-01"/>
      <sheetName val="B-G1-01"/>
      <sheetName val="M-G1-02"/>
      <sheetName val="H-G1-02"/>
      <sheetName val="C-G1-02"/>
      <sheetName val="N-G1-02"/>
      <sheetName val="B-G1-02"/>
      <sheetName val="M-G1-03"/>
      <sheetName val="H-G1-03"/>
      <sheetName val="C-G1-03"/>
      <sheetName val="N-G1-03"/>
      <sheetName val="B-G1-03"/>
      <sheetName val="M-G1-04"/>
      <sheetName val="H-G1-04"/>
      <sheetName val="C-G1-04"/>
      <sheetName val="N-G1-04"/>
      <sheetName val="B-G1-04"/>
      <sheetName val="M-G1-05"/>
      <sheetName val="H-G1-05"/>
      <sheetName val="C-G1-05"/>
      <sheetName val="N-G1-05"/>
      <sheetName val="B-G1-05"/>
      <sheetName val="M-G1-06"/>
      <sheetName val="H-G1-06"/>
      <sheetName val="C-G1-06"/>
      <sheetName val="N-G1-06"/>
      <sheetName val="B-G1-06"/>
      <sheetName val="Prefa G1"/>
      <sheetName val="RAL G1"/>
      <sheetName val="OD G1"/>
      <sheetName val="FC G1"/>
      <sheetName val="Installation-Repli G1"/>
      <sheetName val="HEURE EDP"/>
      <sheetName val="COMPAR EDP"/>
      <sheetName val="RECAP G1"/>
      <sheetName val="Ouvrages Divers"/>
      <sheetName val="Frais-Chantier Commun"/>
      <sheetName val="Installation-Repli Commun"/>
      <sheetName val="RECAP"/>
    </sheetNames>
    <sheetDataSet>
      <sheetData sheetId="0" refreshError="1"/>
      <sheetData sheetId="1">
        <row r="2">
          <cell r="B2">
            <v>44173.842228067129</v>
          </cell>
        </row>
        <row r="3">
          <cell r="B3" t="str">
            <v>HOCHE NIMES</v>
          </cell>
        </row>
        <row r="4">
          <cell r="B4" t="str">
            <v>SOGEA SUD BATIMENT</v>
          </cell>
        </row>
        <row r="5">
          <cell r="B5">
            <v>1</v>
          </cell>
        </row>
        <row r="6">
          <cell r="B6">
            <v>0</v>
          </cell>
        </row>
        <row r="8">
          <cell r="B8" t="str">
            <v>Hypothèses : activité 60</v>
          </cell>
        </row>
        <row r="9">
          <cell r="B9" t="str">
            <v xml:space="preserve"> 37Hr semaine = 7.40H/J</v>
          </cell>
        </row>
        <row r="12">
          <cell r="B12" t="str">
            <v>G1</v>
          </cell>
        </row>
        <row r="20">
          <cell r="C20" t="str">
            <v>Fondations</v>
          </cell>
        </row>
        <row r="21">
          <cell r="C21" t="str">
            <v>PH R-1</v>
          </cell>
        </row>
        <row r="22">
          <cell r="C22" t="str">
            <v>PH RDC</v>
          </cell>
        </row>
        <row r="23">
          <cell r="C23" t="str">
            <v>PH R+1</v>
          </cell>
        </row>
        <row r="24">
          <cell r="C24" t="str">
            <v>PH R+2</v>
          </cell>
        </row>
        <row r="25">
          <cell r="C25" t="str">
            <v>PH R+3</v>
          </cell>
        </row>
        <row r="26">
          <cell r="C26" t="str">
            <v>PH OUVRAGES EXT</v>
          </cell>
        </row>
      </sheetData>
      <sheetData sheetId="2">
        <row r="3">
          <cell r="B3" t="str">
            <v>Têtes de pieux</v>
          </cell>
          <cell r="E3" t="str">
            <v>Têtes de pieux</v>
          </cell>
        </row>
        <row r="4">
          <cell r="B4" t="str">
            <v>Semelles isolées</v>
          </cell>
          <cell r="E4" t="str">
            <v>Semelles isolées</v>
          </cell>
        </row>
        <row r="5">
          <cell r="B5" t="str">
            <v>Semelles filantes</v>
          </cell>
          <cell r="E5" t="str">
            <v>Semelles filantes</v>
          </cell>
        </row>
        <row r="6">
          <cell r="B6" t="str">
            <v>Gros béton SI</v>
          </cell>
          <cell r="E6" t="str">
            <v>Longrines</v>
          </cell>
        </row>
        <row r="7">
          <cell r="B7" t="str">
            <v>Gros béton SF</v>
          </cell>
          <cell r="E7" t="str">
            <v>Amorces voiles</v>
          </cell>
        </row>
        <row r="8">
          <cell r="B8" t="str">
            <v>Longrines Préfa</v>
          </cell>
          <cell r="E8" t="str">
            <v>Amorces poteaux</v>
          </cell>
        </row>
        <row r="9">
          <cell r="B9" t="str">
            <v>Longrines CSP</v>
          </cell>
          <cell r="E9" t="str">
            <v>Fosses ascenseurs</v>
          </cell>
        </row>
        <row r="10">
          <cell r="B10" t="str">
            <v>Radier fosses</v>
          </cell>
          <cell r="E10" t="str">
            <v>Bèches</v>
          </cell>
        </row>
        <row r="11">
          <cell r="B11" t="str">
            <v>Voiles fosses</v>
          </cell>
          <cell r="E11" t="str">
            <v>Dalles basses</v>
          </cell>
        </row>
        <row r="12">
          <cell r="B12" t="str">
            <v>Bèches</v>
          </cell>
          <cell r="E12" t="str">
            <v>Isolant</v>
          </cell>
        </row>
        <row r="13">
          <cell r="B13" t="str">
            <v>Dalle basse</v>
          </cell>
          <cell r="E13" t="str">
            <v>Réseaux</v>
          </cell>
        </row>
        <row r="14">
          <cell r="B14" t="str">
            <v>Isolant sous dallage</v>
          </cell>
          <cell r="E14" t="str">
            <v>Platines</v>
          </cell>
        </row>
        <row r="15">
          <cell r="B15" t="str">
            <v>Amorces voiles</v>
          </cell>
          <cell r="E15" t="str">
            <v>Divers</v>
          </cell>
        </row>
        <row r="16">
          <cell r="B16" t="str">
            <v>Amorces poteaux</v>
          </cell>
          <cell r="E16" t="str">
            <v>Voiles</v>
          </cell>
        </row>
        <row r="17">
          <cell r="B17" t="str">
            <v>Platines</v>
          </cell>
          <cell r="E17" t="str">
            <v>Prémurs</v>
          </cell>
        </row>
        <row r="18">
          <cell r="B18" t="str">
            <v>Voiles Ht banches ≤ 3,80m Droits Intérieurs</v>
          </cell>
          <cell r="E18" t="str">
            <v>Poteaux</v>
          </cell>
        </row>
        <row r="19">
          <cell r="B19" t="str">
            <v>Voiles Ht banches ≤ 3,80m Droits Extérieurs</v>
          </cell>
          <cell r="E19" t="str">
            <v>Poutres</v>
          </cell>
        </row>
        <row r="20">
          <cell r="B20" t="str">
            <v>Voiles Ht banches ≤ 3,80m Courbes Intérieurs</v>
          </cell>
          <cell r="E20" t="str">
            <v>Relevés / Acrotères / GC</v>
          </cell>
        </row>
        <row r="21">
          <cell r="B21" t="str">
            <v>Voiles Ht banches ≤ 3,80m Courbes Extérieurs</v>
          </cell>
          <cell r="E21" t="str">
            <v>Planchers</v>
          </cell>
        </row>
        <row r="22">
          <cell r="B22" t="str">
            <v>Voiles 6,60m ≥ Ht banches &gt; 3,80m Droits Intérieurs</v>
          </cell>
          <cell r="E22" t="str">
            <v>Balcons</v>
          </cell>
        </row>
        <row r="23">
          <cell r="B23" t="str">
            <v>Voiles 6,60m ≥ Ht banches &gt; 3,80m Droits Extérieurs</v>
          </cell>
          <cell r="E23" t="str">
            <v>Escaliers</v>
          </cell>
        </row>
        <row r="24">
          <cell r="B24" t="str">
            <v>Voiles 6,60m ≥ Ht banches &gt; 3,80m Courbes Intérieurs</v>
          </cell>
          <cell r="E24" t="str">
            <v>Maçonneries</v>
          </cell>
        </row>
        <row r="25">
          <cell r="B25" t="str">
            <v>Voiles 6,60m ≥ Ht banches &gt; 3,80m Courbes Extérieurs</v>
          </cell>
          <cell r="E25" t="str">
            <v>Divers</v>
          </cell>
        </row>
        <row r="26">
          <cell r="B26" t="str">
            <v>Voiles Ht banches &gt; 6,60m Droits ou Courbes Intérieurs</v>
          </cell>
          <cell r="E26" t="str">
            <v>Préfabrication Voiles</v>
          </cell>
        </row>
        <row r="27">
          <cell r="B27" t="str">
            <v>Voiles Ht banches &gt; 6,60m Droits ou Courbes Extérieurs</v>
          </cell>
          <cell r="E27" t="str">
            <v>Préfabrication Poteaux</v>
          </cell>
        </row>
        <row r="28">
          <cell r="E28" t="str">
            <v>Préfabrication Poutres/longrines</v>
          </cell>
        </row>
        <row r="29">
          <cell r="E29" t="str">
            <v>Préfabrication Prédalles</v>
          </cell>
        </row>
        <row r="30">
          <cell r="B30" t="str">
            <v>Voiles préfas</v>
          </cell>
          <cell r="E30" t="str">
            <v>Préfabrication Balcons</v>
          </cell>
        </row>
        <row r="31">
          <cell r="B31" t="str">
            <v>Prémurs</v>
          </cell>
        </row>
        <row r="32">
          <cell r="B32" t="str">
            <v>Poteaux banchés/outil de façade</v>
          </cell>
        </row>
        <row r="33">
          <cell r="B33" t="str">
            <v>Poteaux cartons/aile de moulin</v>
          </cell>
        </row>
        <row r="34">
          <cell r="B34" t="str">
            <v>Poteaux préfas</v>
          </cell>
        </row>
        <row r="35">
          <cell r="B35" t="str">
            <v>Poutres préfas</v>
          </cell>
        </row>
        <row r="36">
          <cell r="B36" t="str">
            <v>Poutres CSP</v>
          </cell>
        </row>
        <row r="37">
          <cell r="B37" t="str">
            <v>Plancher CSP tradi</v>
          </cell>
        </row>
        <row r="38">
          <cell r="B38" t="str">
            <v>Plancher CSP panneaux coffrants</v>
          </cell>
        </row>
        <row r="39">
          <cell r="B39" t="str">
            <v>Plancher tables</v>
          </cell>
        </row>
        <row r="40">
          <cell r="B40" t="str">
            <v>Plancher prédalles</v>
          </cell>
        </row>
        <row r="41">
          <cell r="B41" t="str">
            <v>Plancher alvéolaire</v>
          </cell>
        </row>
        <row r="42">
          <cell r="B42" t="str">
            <v>Volée d'escalier</v>
          </cell>
        </row>
        <row r="43">
          <cell r="B43" t="str">
            <v>Balcon préfa</v>
          </cell>
        </row>
        <row r="44">
          <cell r="B44" t="str">
            <v>Balcon CSP</v>
          </cell>
        </row>
        <row r="45">
          <cell r="B45" t="str">
            <v>Prémurs</v>
          </cell>
        </row>
        <row r="46">
          <cell r="B46" t="str">
            <v>GC/poutre de rive</v>
          </cell>
        </row>
        <row r="47">
          <cell r="B47" t="str">
            <v>Maçonnerie</v>
          </cell>
        </row>
        <row r="48">
          <cell r="B48" t="str">
            <v>Préfabrication Voiles ≤ 3,80m</v>
          </cell>
        </row>
        <row r="49">
          <cell r="B49" t="str">
            <v>Préfabrication Voiles &gt;3,80m</v>
          </cell>
        </row>
        <row r="50">
          <cell r="B50" t="str">
            <v>Préfabrication Poteaux</v>
          </cell>
        </row>
        <row r="51">
          <cell r="B51" t="str">
            <v>Préfabrication Poutres/longrines</v>
          </cell>
        </row>
        <row r="52">
          <cell r="B52" t="str">
            <v>Préfabrication Prédalles</v>
          </cell>
        </row>
        <row r="53">
          <cell r="B53" t="str">
            <v>Préfabrication Balcons</v>
          </cell>
        </row>
      </sheetData>
      <sheetData sheetId="3">
        <row r="6">
          <cell r="B6" t="str">
            <v>&lt;&lt;&lt;OUVRAGES FONDATIONS&gt;&gt;&gt;</v>
          </cell>
          <cell r="I6" t="str">
            <v>Poutres</v>
          </cell>
          <cell r="P6" t="str">
            <v>Seuils appuis CSP</v>
          </cell>
          <cell r="W6" t="str">
            <v>&lt;&lt;&lt;OUVRAGES INSTALLATION&gt;&gt;&gt;</v>
          </cell>
        </row>
      </sheetData>
      <sheetData sheetId="4">
        <row r="1">
          <cell r="A1" t="str">
            <v>Bourdarios</v>
          </cell>
        </row>
        <row r="2">
          <cell r="A2" t="str">
            <v>CM SO</v>
          </cell>
        </row>
        <row r="3">
          <cell r="A3" t="str">
            <v>Cofex littoral</v>
          </cell>
        </row>
        <row r="4">
          <cell r="A4" t="str">
            <v>Faure Silva</v>
          </cell>
        </row>
        <row r="5">
          <cell r="A5" t="str">
            <v>Gauthier</v>
          </cell>
        </row>
        <row r="6">
          <cell r="A6" t="str">
            <v>GTM BATIMENT AQUITAINE</v>
          </cell>
        </row>
        <row r="7">
          <cell r="A7" t="str">
            <v>GTM SO TPGC</v>
          </cell>
        </row>
        <row r="8">
          <cell r="A8" t="str">
            <v>Jugla</v>
          </cell>
        </row>
        <row r="9">
          <cell r="A9" t="str">
            <v>RENE LAPORTE</v>
          </cell>
        </row>
        <row r="10">
          <cell r="A10" t="str">
            <v>SOGEA SO Hydraulique</v>
          </cell>
        </row>
        <row r="11">
          <cell r="A11" t="str">
            <v>SOGEA SUD</v>
          </cell>
        </row>
        <row r="12">
          <cell r="A12" t="str">
            <v>SOGEA SUD BATIMENT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D5C2D-3E52-4270-BC7C-623775F73102}">
  <sheetPr codeName="Feuil15">
    <tabColor rgb="FFFF0000"/>
    <pageSetUpPr fitToPage="1"/>
  </sheetPr>
  <dimension ref="A1:AD79"/>
  <sheetViews>
    <sheetView showZeros="0" topLeftCell="A30" zoomScale="70" zoomScaleNormal="70" zoomScalePageLayoutView="85" workbookViewId="0">
      <selection activeCell="K45" sqref="K45"/>
    </sheetView>
  </sheetViews>
  <sheetFormatPr baseColWidth="10" defaultColWidth="10" defaultRowHeight="15" x14ac:dyDescent="0.25"/>
  <cols>
    <col min="1" max="1" width="29.625" style="240" customWidth="1"/>
    <col min="2" max="2" width="27.375" style="240" customWidth="1"/>
    <col min="3" max="3" width="0.75" style="240" customWidth="1"/>
    <col min="4" max="7" width="8.625" style="240" customWidth="1"/>
    <col min="8" max="9" width="5.375" style="240" customWidth="1"/>
    <col min="10" max="10" width="5.375" style="342" customWidth="1"/>
    <col min="11" max="12" width="5.375" style="240" customWidth="1"/>
    <col min="13" max="13" width="9.5" style="13" customWidth="1"/>
    <col min="14" max="14" width="5" style="343" customWidth="1"/>
    <col min="15" max="15" width="6.125" style="343" customWidth="1"/>
    <col min="16" max="16" width="5" style="343" customWidth="1"/>
    <col min="17" max="17" width="6.125" style="343" customWidth="1"/>
    <col min="18" max="18" width="5" style="343" customWidth="1"/>
    <col min="19" max="20" width="4.375" style="343" customWidth="1"/>
    <col min="21" max="21" width="3.5" style="343" customWidth="1"/>
    <col min="22" max="22" width="8" style="349" customWidth="1"/>
    <col min="23" max="23" width="5.125" style="240" customWidth="1"/>
    <col min="24" max="24" width="10.25" style="240" bestFit="1" customWidth="1"/>
    <col min="25" max="25" width="5.25" style="15" customWidth="1"/>
    <col min="26" max="26" width="8.625" style="13" customWidth="1"/>
    <col min="27" max="27" width="12.125" style="13" customWidth="1"/>
    <col min="28" max="28" width="9" style="13" customWidth="1"/>
    <col min="29" max="30" width="10" style="239"/>
    <col min="31" max="16384" width="10" style="240"/>
  </cols>
  <sheetData>
    <row r="1" spans="1:30" s="91" customFormat="1" ht="18.75" customHeight="1" x14ac:dyDescent="0.25">
      <c r="A1" s="80" t="str">
        <f>VCF.SOMMAIRE.NIVEAUX.63366237336634372D623230622D346366342D613132662D643661386338316337363564.65653364353933342D663566652D346664302D626536352D363265393836356538316230.32366234663732352D333732362D346135622D626662632D366131643466386630326165</f>
        <v>Fondations</v>
      </c>
      <c r="B1" s="81"/>
      <c r="C1" s="81"/>
      <c r="D1" s="81"/>
      <c r="E1" s="81"/>
      <c r="F1" s="81"/>
      <c r="G1" s="81"/>
      <c r="H1" s="82" t="str">
        <f>VCF.SOMMAIRE.HYP1</f>
        <v>Hypothèses : activité 60</v>
      </c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4"/>
      <c r="V1" s="85" t="s">
        <v>42</v>
      </c>
      <c r="W1" s="86"/>
      <c r="X1" s="87" t="str">
        <f>VCF.SOMMAIRE.ENTREPRISE</f>
        <v>SOGEA SUD BATIMENT</v>
      </c>
      <c r="Y1" s="88"/>
      <c r="Z1" s="89"/>
      <c r="AA1" s="89"/>
      <c r="AB1" s="89"/>
      <c r="AC1" s="90" t="s">
        <v>35</v>
      </c>
      <c r="AD1" s="90" t="s">
        <v>43</v>
      </c>
    </row>
    <row r="2" spans="1:30" s="91" customFormat="1" ht="19.5" thickBot="1" x14ac:dyDescent="0.3">
      <c r="A2" s="92"/>
      <c r="B2" s="93"/>
      <c r="C2" s="93"/>
      <c r="D2" s="93"/>
      <c r="E2" s="93"/>
      <c r="F2" s="93"/>
      <c r="G2" s="93"/>
      <c r="H2" s="94" t="str">
        <f>VCF.SOMMAIRE.HYP2</f>
        <v xml:space="preserve"> 37Hr semaine = 7.40H/J</v>
      </c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6"/>
      <c r="V2" s="97" t="s">
        <v>44</v>
      </c>
      <c r="W2" s="98"/>
      <c r="X2" s="99" t="str">
        <f>VCF.SOMMAIRE.CHANTIER</f>
        <v>HOCHE NIMES</v>
      </c>
      <c r="Y2" s="100"/>
      <c r="Z2" s="101"/>
      <c r="AA2" s="101"/>
      <c r="AB2" s="101"/>
      <c r="AC2" s="90"/>
      <c r="AD2" s="90"/>
    </row>
    <row r="3" spans="1:30" s="91" customFormat="1" ht="15.75" customHeight="1" thickTop="1" x14ac:dyDescent="0.25">
      <c r="A3" s="102" t="s">
        <v>45</v>
      </c>
      <c r="B3" s="103" t="s">
        <v>46</v>
      </c>
      <c r="C3" s="104"/>
      <c r="D3" s="105" t="s">
        <v>47</v>
      </c>
      <c r="E3" s="105"/>
      <c r="F3" s="105"/>
      <c r="G3" s="106"/>
      <c r="H3" s="107" t="s">
        <v>48</v>
      </c>
      <c r="I3" s="108"/>
      <c r="J3" s="109" t="s">
        <v>49</v>
      </c>
      <c r="K3" s="110" t="s">
        <v>50</v>
      </c>
      <c r="L3" s="111"/>
      <c r="M3" s="112" t="s">
        <v>51</v>
      </c>
      <c r="N3" s="113" t="s">
        <v>52</v>
      </c>
      <c r="O3" s="114"/>
      <c r="P3" s="114"/>
      <c r="Q3" s="114"/>
      <c r="R3" s="114"/>
      <c r="S3" s="114"/>
      <c r="T3" s="114"/>
      <c r="U3" s="115"/>
      <c r="V3" s="116" t="s">
        <v>53</v>
      </c>
      <c r="W3" s="117" t="s">
        <v>54</v>
      </c>
      <c r="X3" s="117"/>
      <c r="Y3" s="118" t="s">
        <v>55</v>
      </c>
      <c r="Z3" s="119" t="s">
        <v>56</v>
      </c>
      <c r="AA3" s="119"/>
      <c r="AB3" s="120"/>
      <c r="AC3" s="121"/>
      <c r="AD3" s="121"/>
    </row>
    <row r="4" spans="1:30" s="91" customFormat="1" x14ac:dyDescent="0.25">
      <c r="A4" s="122"/>
      <c r="B4" s="123"/>
      <c r="C4" s="124"/>
      <c r="D4" s="124" t="s">
        <v>37</v>
      </c>
      <c r="E4" s="124" t="s">
        <v>36</v>
      </c>
      <c r="F4" s="124" t="s">
        <v>38</v>
      </c>
      <c r="G4" s="125" t="s">
        <v>57</v>
      </c>
      <c r="H4" s="126"/>
      <c r="I4" s="127"/>
      <c r="J4" s="128"/>
      <c r="K4" s="126"/>
      <c r="L4" s="129"/>
      <c r="M4" s="130"/>
      <c r="N4" s="131"/>
      <c r="O4" s="132"/>
      <c r="P4" s="132"/>
      <c r="Q4" s="132"/>
      <c r="R4" s="132"/>
      <c r="S4" s="132"/>
      <c r="T4" s="132"/>
      <c r="U4" s="133"/>
      <c r="V4" s="134"/>
      <c r="W4" s="135"/>
      <c r="X4" s="135"/>
      <c r="Y4" s="136"/>
      <c r="Z4" s="137">
        <v>60</v>
      </c>
      <c r="AA4" s="138">
        <v>55</v>
      </c>
      <c r="AB4" s="139">
        <v>52</v>
      </c>
      <c r="AC4" s="121"/>
      <c r="AD4" s="121"/>
    </row>
    <row r="5" spans="1:30" s="91" customFormat="1" x14ac:dyDescent="0.25">
      <c r="A5" s="140"/>
      <c r="B5" s="141"/>
      <c r="C5" s="142"/>
      <c r="D5" s="143"/>
      <c r="E5" s="143"/>
      <c r="F5" s="143"/>
      <c r="G5" s="143"/>
      <c r="H5" s="144"/>
      <c r="I5" s="145"/>
      <c r="J5" s="146"/>
      <c r="K5" s="147"/>
      <c r="L5" s="148"/>
      <c r="M5" s="149"/>
      <c r="N5" s="150"/>
      <c r="O5" s="150"/>
      <c r="P5" s="150"/>
      <c r="Q5" s="150"/>
      <c r="R5" s="150"/>
      <c r="S5" s="150"/>
      <c r="T5" s="150"/>
      <c r="U5" s="151"/>
      <c r="V5" s="152"/>
      <c r="W5" s="147"/>
      <c r="X5" s="148"/>
      <c r="Y5" s="153"/>
      <c r="Z5" s="154"/>
      <c r="AA5" s="155"/>
      <c r="AB5" s="156"/>
      <c r="AC5" s="121"/>
      <c r="AD5" s="121"/>
    </row>
    <row r="6" spans="1:30" s="91" customFormat="1" x14ac:dyDescent="0.25">
      <c r="A6" s="157" t="s">
        <v>58</v>
      </c>
      <c r="B6" s="158"/>
      <c r="C6" s="159"/>
      <c r="D6" s="160"/>
      <c r="E6" s="160"/>
      <c r="F6" s="160"/>
      <c r="G6" s="160"/>
      <c r="H6" s="161"/>
      <c r="I6" s="162"/>
      <c r="J6" s="163"/>
      <c r="K6" s="164"/>
      <c r="L6" s="165"/>
      <c r="M6" s="166"/>
      <c r="N6" s="167"/>
      <c r="O6" s="168"/>
      <c r="P6" s="168"/>
      <c r="Q6" s="168"/>
      <c r="R6" s="168"/>
      <c r="S6" s="168"/>
      <c r="T6" s="168"/>
      <c r="U6" s="169"/>
      <c r="V6" s="170"/>
      <c r="W6" s="171"/>
      <c r="X6" s="172"/>
      <c r="Y6" s="173"/>
      <c r="Z6" s="174"/>
      <c r="AA6" s="175"/>
      <c r="AB6" s="176"/>
      <c r="AC6" s="121"/>
      <c r="AD6" s="121"/>
    </row>
    <row r="7" spans="1:30" s="91" customFormat="1" x14ac:dyDescent="0.25">
      <c r="A7" s="177"/>
      <c r="B7" s="178"/>
      <c r="C7" s="179"/>
      <c r="D7" s="180"/>
      <c r="E7" s="180"/>
      <c r="F7" s="180"/>
      <c r="G7" s="180"/>
      <c r="H7" s="181" t="str">
        <f>IF(I7="","",IF(I7="u",ROUND(D7, 0),IF(I7="ml",ROUND(E7,1),IF(I7="m²",ROUND(F7,1),ROUND(G7,1)))))</f>
        <v/>
      </c>
      <c r="I7" s="182" t="str">
        <f>IF(B7="","",IF(A7="","",INDEX([1]BMO!$A$5:$B$292,MATCH(B7,[1]BMO!$B$5:$B$292,0),1)))</f>
        <v/>
      </c>
      <c r="J7" s="183" t="s">
        <v>61</v>
      </c>
      <c r="K7" s="184" t="str">
        <f>IF(H7="","",AA7/H7)</f>
        <v/>
      </c>
      <c r="L7" s="185" t="str">
        <f>IF(H7="","",CONCATENATE("h/",I7))</f>
        <v/>
      </c>
      <c r="M7" s="186" t="str">
        <f>IF(H7="","",H7*K7)</f>
        <v/>
      </c>
      <c r="N7" s="187"/>
      <c r="O7" s="187"/>
      <c r="P7" s="187"/>
      <c r="Q7" s="187"/>
      <c r="R7" s="187"/>
      <c r="S7" s="187"/>
      <c r="T7" s="187"/>
      <c r="U7" s="188"/>
      <c r="V7" s="189" t="s">
        <v>61</v>
      </c>
      <c r="W7" s="190" t="str">
        <f>IF(H7="","",ROUND(H7/V7,1))</f>
        <v/>
      </c>
      <c r="X7" s="191" t="str">
        <f>IF(H7="","",CONCATENATE(I7,"/j"))</f>
        <v/>
      </c>
      <c r="Y7" s="192" t="str">
        <f>IF(H7="","",ROUND((H7*J7)/(V7*7.4),0))</f>
        <v/>
      </c>
      <c r="Z7" s="193" t="str">
        <f>IF(Y7="","",ROUND(Y7*V7*7.4,2))</f>
        <v/>
      </c>
      <c r="AA7" s="194" t="str">
        <f>Z7</f>
        <v/>
      </c>
      <c r="AB7" s="195" t="str">
        <f>AA7</f>
        <v/>
      </c>
      <c r="AC7" s="121"/>
      <c r="AD7" s="121"/>
    </row>
    <row r="8" spans="1:30" s="91" customFormat="1" x14ac:dyDescent="0.25">
      <c r="A8" s="196" t="s">
        <v>59</v>
      </c>
      <c r="B8" s="178"/>
      <c r="C8" s="179"/>
      <c r="D8" s="180"/>
      <c r="E8" s="180"/>
      <c r="F8" s="180"/>
      <c r="G8" s="180"/>
      <c r="H8" s="181" t="str">
        <f t="shared" ref="H8:H11" si="0">IF(I8="","",IF(I8="u",ROUND(D8, 0),IF(I8="ml",ROUND(E8,1),IF(I8="m²",ROUND(F8,1),ROUND(G8,1)))))</f>
        <v/>
      </c>
      <c r="I8" s="182" t="str">
        <f>IF(B8="","",IF(A8="","",INDEX([1]BMO!$A$5:$B$292,MATCH(B8,[1]BMO!$B$5:$B$292,0),1)))</f>
        <v/>
      </c>
      <c r="J8" s="183" t="s">
        <v>61</v>
      </c>
      <c r="K8" s="184" t="str">
        <f t="shared" ref="K8:K11" si="1">IF(H8="","",AA8/H8)</f>
        <v/>
      </c>
      <c r="L8" s="185" t="str">
        <f t="shared" ref="L8:L11" si="2">IF(H8="","",CONCATENATE("h/",I8))</f>
        <v/>
      </c>
      <c r="M8" s="186" t="str">
        <f t="shared" ref="M8:M11" si="3">IF(H8="","",H8*K8)</f>
        <v/>
      </c>
      <c r="N8" s="187"/>
      <c r="O8" s="187"/>
      <c r="P8" s="187"/>
      <c r="Q8" s="187"/>
      <c r="R8" s="187"/>
      <c r="S8" s="187"/>
      <c r="T8" s="187"/>
      <c r="U8" s="188"/>
      <c r="V8" s="189">
        <v>1</v>
      </c>
      <c r="W8" s="190" t="str">
        <f t="shared" ref="W8:W11" si="4">IF(H8="","",ROUND(H8/V8,1))</f>
        <v/>
      </c>
      <c r="X8" s="191" t="str">
        <f t="shared" ref="X8:X11" si="5">IF(H8="","",CONCATENATE(I8,"/j"))</f>
        <v/>
      </c>
      <c r="Y8" s="192" t="str">
        <f t="shared" ref="Y8:Y11" si="6">IF(H8="","",ROUND((H8*J8)/(V8*7.4),0))</f>
        <v/>
      </c>
      <c r="Z8" s="193" t="str">
        <f t="shared" ref="Z8:Z11" si="7">IF(Y8="","",ROUND(Y8*V8*7.4,2))</f>
        <v/>
      </c>
      <c r="AA8" s="194" t="str">
        <f t="shared" ref="AA8:AB11" si="8">Z8</f>
        <v/>
      </c>
      <c r="AB8" s="195" t="str">
        <f t="shared" si="8"/>
        <v/>
      </c>
      <c r="AC8" s="121"/>
      <c r="AD8" s="121"/>
    </row>
    <row r="9" spans="1:30" s="91" customFormat="1" ht="15.75" x14ac:dyDescent="0.3">
      <c r="A9" s="197"/>
      <c r="B9" s="178"/>
      <c r="C9" s="179"/>
      <c r="D9" s="180"/>
      <c r="E9" s="180"/>
      <c r="F9" s="180"/>
      <c r="G9" s="180"/>
      <c r="H9" s="181" t="str">
        <f t="shared" si="0"/>
        <v/>
      </c>
      <c r="I9" s="182" t="str">
        <f>IF(B9="","",IF(A9="","",INDEX([1]BMO!$A$5:$B$292,MATCH(B9,[1]BMO!$B$5:$B$292,0),1)))</f>
        <v/>
      </c>
      <c r="J9" s="183" t="s">
        <v>61</v>
      </c>
      <c r="K9" s="184" t="str">
        <f t="shared" si="1"/>
        <v/>
      </c>
      <c r="L9" s="185" t="str">
        <f t="shared" si="2"/>
        <v/>
      </c>
      <c r="M9" s="186" t="str">
        <f t="shared" si="3"/>
        <v/>
      </c>
      <c r="N9" s="187"/>
      <c r="O9" s="187"/>
      <c r="P9" s="187"/>
      <c r="Q9" s="187"/>
      <c r="R9" s="187"/>
      <c r="S9" s="187"/>
      <c r="T9" s="187"/>
      <c r="U9" s="188"/>
      <c r="V9" s="189" t="s">
        <v>61</v>
      </c>
      <c r="W9" s="190" t="str">
        <f t="shared" si="4"/>
        <v/>
      </c>
      <c r="X9" s="191" t="str">
        <f t="shared" si="5"/>
        <v/>
      </c>
      <c r="Y9" s="192" t="str">
        <f t="shared" si="6"/>
        <v/>
      </c>
      <c r="Z9" s="193" t="str">
        <f t="shared" si="7"/>
        <v/>
      </c>
      <c r="AA9" s="194" t="str">
        <f t="shared" si="8"/>
        <v/>
      </c>
      <c r="AB9" s="195" t="str">
        <f t="shared" si="8"/>
        <v/>
      </c>
      <c r="AC9" s="121"/>
      <c r="AD9" s="121"/>
    </row>
    <row r="10" spans="1:30" s="91" customFormat="1" x14ac:dyDescent="0.25">
      <c r="A10" s="177"/>
      <c r="B10" s="178"/>
      <c r="C10" s="179"/>
      <c r="D10" s="180"/>
      <c r="E10" s="180"/>
      <c r="F10" s="180"/>
      <c r="G10" s="180"/>
      <c r="H10" s="181" t="str">
        <f t="shared" si="0"/>
        <v/>
      </c>
      <c r="I10" s="182" t="str">
        <f>IF(B10="","",IF(A10="","",INDEX([1]BMO!$A$5:$B$292,MATCH(B10,[1]BMO!$B$5:$B$292,0),1)))</f>
        <v/>
      </c>
      <c r="J10" s="183" t="s">
        <v>61</v>
      </c>
      <c r="K10" s="184" t="str">
        <f t="shared" si="1"/>
        <v/>
      </c>
      <c r="L10" s="185" t="str">
        <f t="shared" si="2"/>
        <v/>
      </c>
      <c r="M10" s="186" t="str">
        <f t="shared" si="3"/>
        <v/>
      </c>
      <c r="N10" s="187"/>
      <c r="O10" s="187"/>
      <c r="P10" s="187"/>
      <c r="Q10" s="187"/>
      <c r="R10" s="187"/>
      <c r="S10" s="187"/>
      <c r="T10" s="187"/>
      <c r="U10" s="188"/>
      <c r="V10" s="189" t="s">
        <v>61</v>
      </c>
      <c r="W10" s="190" t="str">
        <f t="shared" si="4"/>
        <v/>
      </c>
      <c r="X10" s="191" t="str">
        <f t="shared" si="5"/>
        <v/>
      </c>
      <c r="Y10" s="192" t="str">
        <f t="shared" si="6"/>
        <v/>
      </c>
      <c r="Z10" s="193" t="str">
        <f t="shared" si="7"/>
        <v/>
      </c>
      <c r="AA10" s="194" t="str">
        <f t="shared" si="8"/>
        <v/>
      </c>
      <c r="AB10" s="195" t="str">
        <f t="shared" si="8"/>
        <v/>
      </c>
      <c r="AC10" s="121"/>
      <c r="AD10" s="121"/>
    </row>
    <row r="11" spans="1:30" s="91" customFormat="1" ht="15.75" thickBot="1" x14ac:dyDescent="0.3">
      <c r="A11" s="198"/>
      <c r="B11" s="199"/>
      <c r="C11" s="200"/>
      <c r="D11" s="201"/>
      <c r="E11" s="201"/>
      <c r="F11" s="201"/>
      <c r="G11" s="201"/>
      <c r="H11" s="181" t="str">
        <f t="shared" si="0"/>
        <v/>
      </c>
      <c r="I11" s="182" t="str">
        <f>IF(B11="","",IF(A11="","",INDEX([1]BMO!$A$5:$B$292,MATCH(B11,[1]BMO!$B$5:$B$292,0),1)))</f>
        <v/>
      </c>
      <c r="J11" s="183" t="s">
        <v>61</v>
      </c>
      <c r="K11" s="184" t="str">
        <f t="shared" si="1"/>
        <v/>
      </c>
      <c r="L11" s="185" t="str">
        <f t="shared" si="2"/>
        <v/>
      </c>
      <c r="M11" s="186" t="str">
        <f t="shared" si="3"/>
        <v/>
      </c>
      <c r="N11" s="187"/>
      <c r="O11" s="187"/>
      <c r="P11" s="187"/>
      <c r="Q11" s="187"/>
      <c r="R11" s="187"/>
      <c r="S11" s="187"/>
      <c r="T11" s="187"/>
      <c r="U11" s="188"/>
      <c r="V11" s="189" t="s">
        <v>61</v>
      </c>
      <c r="W11" s="190" t="str">
        <f t="shared" si="4"/>
        <v/>
      </c>
      <c r="X11" s="191" t="str">
        <f t="shared" si="5"/>
        <v/>
      </c>
      <c r="Y11" s="192" t="str">
        <f t="shared" si="6"/>
        <v/>
      </c>
      <c r="Z11" s="193" t="str">
        <f t="shared" si="7"/>
        <v/>
      </c>
      <c r="AA11" s="194" t="str">
        <f t="shared" si="8"/>
        <v/>
      </c>
      <c r="AB11" s="195" t="str">
        <f t="shared" si="8"/>
        <v/>
      </c>
      <c r="AC11" s="121"/>
      <c r="AD11" s="121"/>
    </row>
    <row r="12" spans="1:30" s="222" customFormat="1" ht="15.75" hidden="1" thickBot="1" x14ac:dyDescent="0.35">
      <c r="A12" s="202" t="s">
        <v>60</v>
      </c>
      <c r="B12" s="203"/>
      <c r="C12" s="204"/>
      <c r="D12" s="205"/>
      <c r="E12" s="205"/>
      <c r="F12" s="205"/>
      <c r="G12" s="205"/>
      <c r="H12" s="206"/>
      <c r="I12" s="207"/>
      <c r="J12" s="208"/>
      <c r="K12" s="209"/>
      <c r="L12" s="210"/>
      <c r="M12" s="211"/>
      <c r="N12" s="212"/>
      <c r="O12" s="213"/>
      <c r="P12" s="213"/>
      <c r="Q12" s="213"/>
      <c r="R12" s="213"/>
      <c r="S12" s="213"/>
      <c r="T12" s="213"/>
      <c r="U12" s="214"/>
      <c r="V12" s="215">
        <v>13</v>
      </c>
      <c r="W12" s="216"/>
      <c r="X12" s="217"/>
      <c r="Y12" s="218">
        <f ca="1">IF(SUM(OFFSET(H12,1,0):H23)=0,0,ROUND(SUMPRODUCT(OFFSET(H12,1,0):H23,OFFSET(J12,1,0):J23)/(V12*8.1),0))</f>
        <v>0</v>
      </c>
      <c r="Z12" s="219" t="str">
        <f ca="1">IF(Y12=0,"",ROUND(Y12*V12*7.4,2))</f>
        <v/>
      </c>
      <c r="AA12" s="220" t="str">
        <f ca="1">IF(Y12=0,"",ROUND(Y12*V12*8.1,2))</f>
        <v/>
      </c>
      <c r="AB12" s="221" t="str">
        <f ca="1">IF(Y12=0,"",ROUND(Y12*V12*7.4*60/52,2))</f>
        <v/>
      </c>
      <c r="AC12" s="200"/>
      <c r="AD12" s="200"/>
    </row>
    <row r="13" spans="1:30" ht="16.5" hidden="1" thickBot="1" x14ac:dyDescent="0.35">
      <c r="A13" s="223"/>
      <c r="B13" s="224"/>
      <c r="C13" s="225"/>
      <c r="D13" s="226"/>
      <c r="E13" s="227"/>
      <c r="F13" s="227"/>
      <c r="G13" s="227"/>
      <c r="H13" s="181" t="str">
        <f t="shared" ref="H13:H21" si="9">IF(I13="","",IF(I13="u",ROUND(D13, 0),IF(I13="ml",ROUND(E13,1),IF(I13="m²",ROUND(F13,1),ROUND(G13,1)))))</f>
        <v/>
      </c>
      <c r="I13" s="182" t="str">
        <f>IF(B13="","",IF(A13="","",INDEX([1]BMO!$A$5:$B$292,MATCH(B13,[1]BMO!$B$5:$B$292,0),1)))</f>
        <v/>
      </c>
      <c r="J13" s="183" t="s">
        <v>61</v>
      </c>
      <c r="K13" s="184" t="str">
        <f>IF(J13="","",J13*AA12/SUMPRODUCT(H12:H23,J12:J23))</f>
        <v/>
      </c>
      <c r="L13" s="185" t="str">
        <f>IF(I13="","",CONCATENATE("h/",I13))</f>
        <v/>
      </c>
      <c r="M13" s="228" t="str">
        <f>IF(H13="","",H13*K13)</f>
        <v/>
      </c>
      <c r="N13" s="229"/>
      <c r="O13" s="230"/>
      <c r="P13" s="229"/>
      <c r="Q13" s="231"/>
      <c r="R13" s="229"/>
      <c r="S13" s="232"/>
      <c r="T13" s="232"/>
      <c r="U13" s="233"/>
      <c r="V13" s="234" t="s">
        <v>61</v>
      </c>
      <c r="W13" s="190" t="str">
        <f t="shared" ref="W13:W21" si="10">IF(H13="","",ROUND(H13/V13,1))</f>
        <v/>
      </c>
      <c r="X13" s="191" t="str">
        <f t="shared" ref="X13:X21" si="11">IF(W13="","",CONCATENATE(I13,"/j"))</f>
        <v/>
      </c>
      <c r="Y13" s="235"/>
      <c r="Z13" s="236" t="str">
        <f t="shared" ref="Z13:Z21" si="12">IF(Y13=0,"",ROUND(Y13*V13*7.4,2))</f>
        <v/>
      </c>
      <c r="AA13" s="237" t="str">
        <f t="shared" ref="AA13:AA21" si="13">IF(Y13=0,"",ROUND(Y13*V13*8.1,2))</f>
        <v/>
      </c>
      <c r="AB13" s="238" t="str">
        <f t="shared" ref="AB13:AB21" si="14">IF(Y13=0,"",ROUND(Y13*V13*7.4*60/52,2))</f>
        <v/>
      </c>
    </row>
    <row r="14" spans="1:30" ht="16.5" hidden="1" thickBot="1" x14ac:dyDescent="0.35">
      <c r="A14" s="223"/>
      <c r="B14" s="224"/>
      <c r="C14" s="179"/>
      <c r="D14" s="241"/>
      <c r="E14" s="242"/>
      <c r="F14" s="227"/>
      <c r="G14" s="227"/>
      <c r="H14" s="181" t="str">
        <f t="shared" si="9"/>
        <v/>
      </c>
      <c r="I14" s="182" t="str">
        <f>IF(B14="","",IF(A14="","",INDEX([1]BMO!$A$5:$B$292,MATCH(B14,[1]BMO!$B$5:$B$292,0),1)))</f>
        <v/>
      </c>
      <c r="J14" s="183" t="s">
        <v>61</v>
      </c>
      <c r="K14" s="184" t="str">
        <f>IF(J14="","",J14*AA12/SUMPRODUCT(H12:H23,J12:J23))</f>
        <v/>
      </c>
      <c r="L14" s="243" t="str">
        <f t="shared" ref="L14:L21" si="15">IF(I14="","",CONCATENATE("h/",I14))</f>
        <v/>
      </c>
      <c r="M14" s="186" t="str">
        <f t="shared" ref="M14:M21" si="16">IF(H14="","",H14*K14)</f>
        <v/>
      </c>
      <c r="N14" s="229"/>
      <c r="O14" s="230"/>
      <c r="P14" s="229"/>
      <c r="Q14" s="231"/>
      <c r="R14" s="229"/>
      <c r="S14" s="187"/>
      <c r="T14" s="187"/>
      <c r="U14" s="244"/>
      <c r="V14" s="234" t="s">
        <v>61</v>
      </c>
      <c r="W14" s="190" t="str">
        <f t="shared" si="10"/>
        <v/>
      </c>
      <c r="X14" s="191" t="str">
        <f t="shared" si="11"/>
        <v/>
      </c>
      <c r="Y14" s="235"/>
      <c r="Z14" s="236" t="str">
        <f t="shared" si="12"/>
        <v/>
      </c>
      <c r="AA14" s="237" t="str">
        <f t="shared" si="13"/>
        <v/>
      </c>
      <c r="AB14" s="238" t="str">
        <f t="shared" si="14"/>
        <v/>
      </c>
    </row>
    <row r="15" spans="1:30" ht="16.5" hidden="1" thickBot="1" x14ac:dyDescent="0.35">
      <c r="A15" s="223"/>
      <c r="B15" s="224"/>
      <c r="C15" s="179"/>
      <c r="D15" s="241"/>
      <c r="E15" s="242"/>
      <c r="F15" s="242"/>
      <c r="G15" s="227"/>
      <c r="H15" s="181" t="str">
        <f t="shared" si="9"/>
        <v/>
      </c>
      <c r="I15" s="182" t="str">
        <f>IF(B15="","",IF(A15="","",INDEX([1]BMO!$A$5:$B$292,MATCH(B15,[1]BMO!$B$5:$B$292,0),1)))</f>
        <v/>
      </c>
      <c r="J15" s="183" t="s">
        <v>61</v>
      </c>
      <c r="K15" s="184" t="str">
        <f>IF(J15="","",J15*AA12/SUMPRODUCT(H12:H23,J12:J23))</f>
        <v/>
      </c>
      <c r="L15" s="243" t="str">
        <f t="shared" si="15"/>
        <v/>
      </c>
      <c r="M15" s="186" t="str">
        <f t="shared" si="16"/>
        <v/>
      </c>
      <c r="N15" s="229"/>
      <c r="O15" s="230"/>
      <c r="P15" s="229"/>
      <c r="Q15" s="231"/>
      <c r="R15" s="229"/>
      <c r="S15" s="187"/>
      <c r="T15" s="187"/>
      <c r="U15" s="244"/>
      <c r="V15" s="234" t="s">
        <v>61</v>
      </c>
      <c r="W15" s="190" t="str">
        <f t="shared" si="10"/>
        <v/>
      </c>
      <c r="X15" s="191" t="str">
        <f t="shared" si="11"/>
        <v/>
      </c>
      <c r="Y15" s="235"/>
      <c r="Z15" s="236" t="str">
        <f t="shared" si="12"/>
        <v/>
      </c>
      <c r="AA15" s="237" t="str">
        <f t="shared" si="13"/>
        <v/>
      </c>
      <c r="AB15" s="238" t="str">
        <f t="shared" si="14"/>
        <v/>
      </c>
    </row>
    <row r="16" spans="1:30" ht="16.5" hidden="1" thickBot="1" x14ac:dyDescent="0.35">
      <c r="A16" s="223"/>
      <c r="B16" s="224"/>
      <c r="C16" s="179"/>
      <c r="D16" s="241"/>
      <c r="E16" s="242"/>
      <c r="F16" s="242"/>
      <c r="G16" s="227"/>
      <c r="H16" s="181" t="str">
        <f t="shared" si="9"/>
        <v/>
      </c>
      <c r="I16" s="182" t="str">
        <f>IF(B16="","",IF(A16="","",INDEX([1]BMO!$A$5:$B$292,MATCH(B16,[1]BMO!$B$5:$B$292,0),1)))</f>
        <v/>
      </c>
      <c r="J16" s="183" t="s">
        <v>61</v>
      </c>
      <c r="K16" s="184" t="str">
        <f>IF(J16="","",J16*AA12/SUMPRODUCT(H12:H23,J12:J23))</f>
        <v/>
      </c>
      <c r="L16" s="243" t="str">
        <f t="shared" si="15"/>
        <v/>
      </c>
      <c r="M16" s="186" t="str">
        <f t="shared" si="16"/>
        <v/>
      </c>
      <c r="N16" s="229"/>
      <c r="O16" s="230"/>
      <c r="P16" s="229"/>
      <c r="Q16" s="231"/>
      <c r="R16" s="229"/>
      <c r="S16" s="187"/>
      <c r="T16" s="187"/>
      <c r="U16" s="244"/>
      <c r="V16" s="234" t="s">
        <v>61</v>
      </c>
      <c r="W16" s="190" t="str">
        <f t="shared" si="10"/>
        <v/>
      </c>
      <c r="X16" s="191" t="str">
        <f t="shared" si="11"/>
        <v/>
      </c>
      <c r="Y16" s="235"/>
      <c r="Z16" s="236" t="str">
        <f t="shared" si="12"/>
        <v/>
      </c>
      <c r="AA16" s="237" t="str">
        <f t="shared" si="13"/>
        <v/>
      </c>
      <c r="AB16" s="238" t="str">
        <f t="shared" si="14"/>
        <v/>
      </c>
    </row>
    <row r="17" spans="1:30" ht="16.5" hidden="1" thickBot="1" x14ac:dyDescent="0.35">
      <c r="A17" s="223"/>
      <c r="B17" s="224"/>
      <c r="C17" s="179"/>
      <c r="D17" s="241"/>
      <c r="E17" s="242"/>
      <c r="F17" s="242"/>
      <c r="G17" s="227"/>
      <c r="H17" s="181" t="str">
        <f t="shared" si="9"/>
        <v/>
      </c>
      <c r="I17" s="182" t="str">
        <f>IF(B17="","",IF(A17="","",INDEX([1]BMO!$A$5:$B$292,MATCH(B17,[1]BMO!$B$5:$B$292,0),1)))</f>
        <v/>
      </c>
      <c r="J17" s="183" t="s">
        <v>61</v>
      </c>
      <c r="K17" s="184" t="str">
        <f>IF(J17="","",J17*AA12/SUMPRODUCT(H12:H23,J12:J23))</f>
        <v/>
      </c>
      <c r="L17" s="243" t="str">
        <f t="shared" si="15"/>
        <v/>
      </c>
      <c r="M17" s="186" t="str">
        <f t="shared" si="16"/>
        <v/>
      </c>
      <c r="N17" s="229"/>
      <c r="O17" s="230"/>
      <c r="P17" s="229"/>
      <c r="Q17" s="231"/>
      <c r="R17" s="229"/>
      <c r="S17" s="187"/>
      <c r="T17" s="187"/>
      <c r="U17" s="244"/>
      <c r="V17" s="234" t="s">
        <v>61</v>
      </c>
      <c r="W17" s="190" t="str">
        <f t="shared" si="10"/>
        <v/>
      </c>
      <c r="X17" s="191" t="str">
        <f t="shared" si="11"/>
        <v/>
      </c>
      <c r="Y17" s="235"/>
      <c r="Z17" s="236" t="str">
        <f t="shared" si="12"/>
        <v/>
      </c>
      <c r="AA17" s="237" t="str">
        <f t="shared" si="13"/>
        <v/>
      </c>
      <c r="AB17" s="238" t="str">
        <f t="shared" si="14"/>
        <v/>
      </c>
    </row>
    <row r="18" spans="1:30" ht="16.5" hidden="1" thickBot="1" x14ac:dyDescent="0.35">
      <c r="A18" s="223"/>
      <c r="B18" s="224"/>
      <c r="C18" s="179"/>
      <c r="D18" s="241"/>
      <c r="E18" s="242"/>
      <c r="F18" s="242"/>
      <c r="G18" s="227"/>
      <c r="H18" s="181" t="str">
        <f t="shared" si="9"/>
        <v/>
      </c>
      <c r="I18" s="182" t="str">
        <f>IF(B18="","",IF(A18="","",INDEX([1]BMO!$A$5:$B$292,MATCH(B18,[1]BMO!$B$5:$B$292,0),1)))</f>
        <v/>
      </c>
      <c r="J18" s="183" t="s">
        <v>61</v>
      </c>
      <c r="K18" s="184" t="str">
        <f>IF(J18="","",J18*AA12/SUMPRODUCT(H12:H23,J12:J23))</f>
        <v/>
      </c>
      <c r="L18" s="243" t="str">
        <f t="shared" si="15"/>
        <v/>
      </c>
      <c r="M18" s="186" t="str">
        <f t="shared" si="16"/>
        <v/>
      </c>
      <c r="N18" s="229"/>
      <c r="O18" s="230"/>
      <c r="P18" s="229"/>
      <c r="Q18" s="231"/>
      <c r="R18" s="229"/>
      <c r="S18" s="187"/>
      <c r="T18" s="187"/>
      <c r="U18" s="244"/>
      <c r="V18" s="234" t="s">
        <v>61</v>
      </c>
      <c r="W18" s="190" t="str">
        <f t="shared" si="10"/>
        <v/>
      </c>
      <c r="X18" s="191" t="str">
        <f t="shared" si="11"/>
        <v/>
      </c>
      <c r="Y18" s="235"/>
      <c r="Z18" s="236" t="str">
        <f t="shared" si="12"/>
        <v/>
      </c>
      <c r="AA18" s="237" t="str">
        <f t="shared" si="13"/>
        <v/>
      </c>
      <c r="AB18" s="238" t="str">
        <f t="shared" si="14"/>
        <v/>
      </c>
    </row>
    <row r="19" spans="1:30" ht="16.5" hidden="1" thickBot="1" x14ac:dyDescent="0.35">
      <c r="A19" s="223"/>
      <c r="B19" s="224"/>
      <c r="C19" s="179"/>
      <c r="D19" s="241"/>
      <c r="E19" s="242"/>
      <c r="F19" s="242"/>
      <c r="G19" s="227"/>
      <c r="H19" s="181" t="str">
        <f t="shared" si="9"/>
        <v/>
      </c>
      <c r="I19" s="182" t="str">
        <f>IF(B19="","",IF(A19="","",INDEX([1]BMO!$A$5:$B$292,MATCH(B19,[1]BMO!$B$5:$B$292,0),1)))</f>
        <v/>
      </c>
      <c r="J19" s="183" t="s">
        <v>61</v>
      </c>
      <c r="K19" s="184" t="str">
        <f>IF(J19="","",J19*AA12/SUMPRODUCT(H12:H23,J12:J23))</f>
        <v/>
      </c>
      <c r="L19" s="243" t="str">
        <f t="shared" si="15"/>
        <v/>
      </c>
      <c r="M19" s="186" t="str">
        <f t="shared" si="16"/>
        <v/>
      </c>
      <c r="N19" s="229"/>
      <c r="O19" s="230"/>
      <c r="P19" s="229"/>
      <c r="Q19" s="231"/>
      <c r="R19" s="229"/>
      <c r="S19" s="187"/>
      <c r="T19" s="187"/>
      <c r="U19" s="244"/>
      <c r="V19" s="234" t="s">
        <v>61</v>
      </c>
      <c r="W19" s="190" t="str">
        <f t="shared" si="10"/>
        <v/>
      </c>
      <c r="X19" s="191" t="str">
        <f t="shared" si="11"/>
        <v/>
      </c>
      <c r="Y19" s="235"/>
      <c r="Z19" s="236" t="str">
        <f t="shared" si="12"/>
        <v/>
      </c>
      <c r="AA19" s="237" t="str">
        <f t="shared" si="13"/>
        <v/>
      </c>
      <c r="AB19" s="238" t="str">
        <f t="shared" si="14"/>
        <v/>
      </c>
    </row>
    <row r="20" spans="1:30" ht="16.5" hidden="1" thickBot="1" x14ac:dyDescent="0.35">
      <c r="A20" s="223"/>
      <c r="B20" s="224"/>
      <c r="C20" s="179"/>
      <c r="D20" s="241"/>
      <c r="E20" s="242"/>
      <c r="F20" s="242"/>
      <c r="G20" s="227"/>
      <c r="H20" s="181" t="str">
        <f t="shared" si="9"/>
        <v/>
      </c>
      <c r="I20" s="182" t="str">
        <f>IF(B20="","",IF(A20="","",INDEX([1]BMO!$A$5:$B$292,MATCH(B20,[1]BMO!$B$5:$B$292,0),1)))</f>
        <v/>
      </c>
      <c r="J20" s="183" t="s">
        <v>61</v>
      </c>
      <c r="K20" s="184" t="str">
        <f>IF(J20="","",J20*AA12/SUMPRODUCT(H12:H23,J12:J23))</f>
        <v/>
      </c>
      <c r="L20" s="243" t="str">
        <f t="shared" si="15"/>
        <v/>
      </c>
      <c r="M20" s="186" t="str">
        <f t="shared" si="16"/>
        <v/>
      </c>
      <c r="N20" s="229"/>
      <c r="O20" s="230"/>
      <c r="P20" s="229"/>
      <c r="Q20" s="231"/>
      <c r="R20" s="229"/>
      <c r="S20" s="187"/>
      <c r="T20" s="187"/>
      <c r="U20" s="244"/>
      <c r="V20" s="234" t="s">
        <v>61</v>
      </c>
      <c r="W20" s="190" t="str">
        <f t="shared" si="10"/>
        <v/>
      </c>
      <c r="X20" s="191" t="str">
        <f t="shared" si="11"/>
        <v/>
      </c>
      <c r="Y20" s="235"/>
      <c r="Z20" s="236" t="str">
        <f t="shared" si="12"/>
        <v/>
      </c>
      <c r="AA20" s="237" t="str">
        <f t="shared" si="13"/>
        <v/>
      </c>
      <c r="AB20" s="238" t="str">
        <f t="shared" si="14"/>
        <v/>
      </c>
    </row>
    <row r="21" spans="1:30" ht="15" hidden="1" customHeight="1" x14ac:dyDescent="0.35">
      <c r="A21" s="223"/>
      <c r="B21" s="224"/>
      <c r="C21" s="179"/>
      <c r="D21" s="241"/>
      <c r="E21" s="242"/>
      <c r="F21" s="242"/>
      <c r="G21" s="242"/>
      <c r="H21" s="181" t="str">
        <f t="shared" si="9"/>
        <v/>
      </c>
      <c r="I21" s="182" t="str">
        <f>IF(B21="","",IF(A21="","",INDEX([1]BMO!$A$5:$B$292,MATCH(B21,[1]BMO!$B$5:$B$292,0),1)))</f>
        <v/>
      </c>
      <c r="J21" s="183" t="s">
        <v>61</v>
      </c>
      <c r="K21" s="184" t="str">
        <f>IF(J21="","",J21*AA12/SUMPRODUCT(H12:H23,J12:J23))</f>
        <v/>
      </c>
      <c r="L21" s="243" t="str">
        <f t="shared" si="15"/>
        <v/>
      </c>
      <c r="M21" s="186" t="str">
        <f t="shared" si="16"/>
        <v/>
      </c>
      <c r="N21" s="229"/>
      <c r="O21" s="230"/>
      <c r="P21" s="229"/>
      <c r="Q21" s="231"/>
      <c r="R21" s="229"/>
      <c r="S21" s="187"/>
      <c r="T21" s="187"/>
      <c r="U21" s="244"/>
      <c r="V21" s="234" t="s">
        <v>61</v>
      </c>
      <c r="W21" s="190" t="str">
        <f t="shared" si="10"/>
        <v/>
      </c>
      <c r="X21" s="191" t="str">
        <f t="shared" si="11"/>
        <v/>
      </c>
      <c r="Y21" s="235"/>
      <c r="Z21" s="236" t="str">
        <f t="shared" si="12"/>
        <v/>
      </c>
      <c r="AA21" s="237" t="str">
        <f t="shared" si="13"/>
        <v/>
      </c>
      <c r="AB21" s="238" t="str">
        <f t="shared" si="14"/>
        <v/>
      </c>
    </row>
    <row r="22" spans="1:30" s="91" customFormat="1" ht="3" hidden="1" customHeight="1" x14ac:dyDescent="0.35">
      <c r="A22" s="245"/>
      <c r="B22" s="246" t="s">
        <v>61</v>
      </c>
      <c r="C22" s="247" t="s">
        <v>61</v>
      </c>
      <c r="D22" s="248" t="s">
        <v>61</v>
      </c>
      <c r="E22" s="248" t="s">
        <v>61</v>
      </c>
      <c r="F22" s="248" t="s">
        <v>61</v>
      </c>
      <c r="G22" s="248" t="s">
        <v>61</v>
      </c>
      <c r="H22" s="249" t="s">
        <v>61</v>
      </c>
      <c r="I22" s="250" t="s">
        <v>61</v>
      </c>
      <c r="J22" s="251" t="s">
        <v>61</v>
      </c>
      <c r="K22" s="252" t="s">
        <v>61</v>
      </c>
      <c r="L22" s="253" t="s">
        <v>61</v>
      </c>
      <c r="M22" s="254" t="s">
        <v>61</v>
      </c>
      <c r="N22" s="255"/>
      <c r="O22" s="256"/>
      <c r="P22" s="255"/>
      <c r="Q22" s="257"/>
      <c r="R22" s="255"/>
      <c r="S22" s="258"/>
      <c r="T22" s="258"/>
      <c r="U22" s="259"/>
      <c r="V22" s="260" t="s">
        <v>61</v>
      </c>
      <c r="W22" s="261" t="s">
        <v>61</v>
      </c>
      <c r="X22" s="262" t="s">
        <v>61</v>
      </c>
      <c r="Y22" s="263" t="s">
        <v>61</v>
      </c>
      <c r="Z22" s="264" t="s">
        <v>61</v>
      </c>
      <c r="AA22" s="265" t="s">
        <v>61</v>
      </c>
      <c r="AB22" s="266" t="s">
        <v>61</v>
      </c>
      <c r="AC22" s="121"/>
      <c r="AD22" s="121"/>
    </row>
    <row r="23" spans="1:30" s="91" customFormat="1" ht="3" hidden="1" customHeight="1" x14ac:dyDescent="0.35">
      <c r="A23" s="267"/>
      <c r="B23" s="268" t="s">
        <v>61</v>
      </c>
      <c r="C23" s="269" t="s">
        <v>61</v>
      </c>
      <c r="D23" s="270" t="s">
        <v>61</v>
      </c>
      <c r="E23" s="270" t="s">
        <v>61</v>
      </c>
      <c r="F23" s="270" t="s">
        <v>61</v>
      </c>
      <c r="G23" s="270" t="s">
        <v>61</v>
      </c>
      <c r="H23" s="271" t="s">
        <v>61</v>
      </c>
      <c r="I23" s="272" t="s">
        <v>61</v>
      </c>
      <c r="J23" s="273" t="s">
        <v>61</v>
      </c>
      <c r="K23" s="274" t="s">
        <v>61</v>
      </c>
      <c r="L23" s="275" t="s">
        <v>61</v>
      </c>
      <c r="M23" s="276" t="s">
        <v>61</v>
      </c>
      <c r="N23" s="277"/>
      <c r="O23" s="277"/>
      <c r="P23" s="277"/>
      <c r="Q23" s="277"/>
      <c r="R23" s="277"/>
      <c r="S23" s="277"/>
      <c r="T23" s="277"/>
      <c r="U23" s="278"/>
      <c r="V23" s="279" t="s">
        <v>61</v>
      </c>
      <c r="W23" s="280" t="s">
        <v>61</v>
      </c>
      <c r="X23" s="281" t="s">
        <v>61</v>
      </c>
      <c r="Y23" s="282" t="s">
        <v>61</v>
      </c>
      <c r="Z23" s="283" t="s">
        <v>61</v>
      </c>
      <c r="AA23" s="284" t="s">
        <v>61</v>
      </c>
      <c r="AB23" s="285" t="s">
        <v>61</v>
      </c>
      <c r="AC23" s="121"/>
      <c r="AD23" s="121"/>
    </row>
    <row r="24" spans="1:30" s="222" customFormat="1" ht="30" customHeight="1" x14ac:dyDescent="0.3">
      <c r="A24" s="202" t="s">
        <v>62</v>
      </c>
      <c r="B24" s="203"/>
      <c r="C24" s="204"/>
      <c r="D24" s="205"/>
      <c r="E24" s="205"/>
      <c r="F24" s="205"/>
      <c r="G24" s="205"/>
      <c r="H24" s="206"/>
      <c r="I24" s="207"/>
      <c r="J24" s="208"/>
      <c r="K24" s="209"/>
      <c r="L24" s="210"/>
      <c r="M24" s="211"/>
      <c r="N24" s="286"/>
      <c r="O24" s="287"/>
      <c r="P24" s="287"/>
      <c r="Q24" s="287"/>
      <c r="R24" s="287"/>
      <c r="S24" s="287"/>
      <c r="T24" s="287"/>
      <c r="U24" s="288"/>
      <c r="V24" s="215">
        <v>12</v>
      </c>
      <c r="W24" s="216"/>
      <c r="X24" s="217"/>
      <c r="Y24" s="218">
        <f ca="1">IF(SUM(OFFSET(H24,1,0):H30)=0,0,ROUND(SUMPRODUCT(OFFSET(H24,1,0):H30,OFFSET(J24,1,0):J30)/(V24*8.1),0))*0+3</f>
        <v>3</v>
      </c>
      <c r="Z24" s="219">
        <f ca="1">IF(Y24=0,"",ROUND(Y24*V24*7.4,2))</f>
        <v>266.39999999999998</v>
      </c>
      <c r="AA24" s="220">
        <f ca="1">IF(Y24=0,"",ROUND(Y24*V24*8.1,2))</f>
        <v>291.60000000000002</v>
      </c>
      <c r="AB24" s="221">
        <f ca="1">IF(Y24=0,"",ROUND(Y24*V24*7.4*60/52,2))</f>
        <v>307.38</v>
      </c>
      <c r="AC24" s="200"/>
      <c r="AD24" s="200"/>
    </row>
    <row r="25" spans="1:30" ht="15.75" x14ac:dyDescent="0.3">
      <c r="A25" s="223" t="s">
        <v>75</v>
      </c>
      <c r="B25" s="224" t="s">
        <v>63</v>
      </c>
      <c r="C25" s="225"/>
      <c r="D25" s="226">
        <v>43</v>
      </c>
      <c r="E25" s="227">
        <v>0</v>
      </c>
      <c r="F25" s="227">
        <v>0</v>
      </c>
      <c r="G25" s="227">
        <v>40.049999999999997</v>
      </c>
      <c r="H25" s="181">
        <f t="shared" ref="H25:H28" si="17">IF(I25="","",IF(I25="u",ROUND(D25, 0),IF(I25="ml",ROUND(E25,1),IF(I25="m²",ROUND(F25,1),ROUND(G25,1)))))</f>
        <v>43</v>
      </c>
      <c r="I25" s="182" t="str">
        <f>IF(B25="","",IF(A25="","",INDEX([1]BMO!$A$5:$B$292,MATCH(B25,[1]BMO!$B$5:$B$292,0),1)))</f>
        <v>u</v>
      </c>
      <c r="J25" s="183">
        <v>2.5</v>
      </c>
      <c r="K25" s="184">
        <f ca="1">IF(J25="","",J25*AA24/SUMPRODUCT(H24:H29,J24:J29))</f>
        <v>3.1375080697224016</v>
      </c>
      <c r="L25" s="185" t="str">
        <f>IF(I25="","",CONCATENATE("h/",I25))</f>
        <v>h/u</v>
      </c>
      <c r="M25" s="228">
        <f ca="1">IF(H25="","",H25*K25)</f>
        <v>134.91284699806326</v>
      </c>
      <c r="N25" s="229"/>
      <c r="O25" s="230"/>
      <c r="P25" s="229"/>
      <c r="Q25" s="231"/>
      <c r="R25" s="229"/>
      <c r="S25" s="232"/>
      <c r="T25" s="232"/>
      <c r="U25" s="233"/>
      <c r="V25" s="234">
        <v>12</v>
      </c>
      <c r="W25" s="190">
        <f t="shared" ref="W25:W28" si="18">IF(H25="","",ROUND(H25/V25,1))</f>
        <v>3.6</v>
      </c>
      <c r="X25" s="191" t="str">
        <f t="shared" ref="X25:X28" si="19">IF(W25="","",CONCATENATE(I25,"/j"))</f>
        <v>u/j</v>
      </c>
      <c r="Y25" s="235"/>
      <c r="Z25" s="236" t="str">
        <f t="shared" ref="Z25:Z28" si="20">IF(Y25=0,"",ROUND(Y25*V25*7.4,2))</f>
        <v/>
      </c>
      <c r="AA25" s="237" t="str">
        <f t="shared" ref="AA25:AA28" si="21">IF(Y25=0,"",ROUND(Y25*V25*8.1,2))</f>
        <v/>
      </c>
      <c r="AB25" s="238" t="str">
        <f t="shared" ref="AB25:AB28" si="22">IF(Y25=0,"",ROUND(Y25*V25*7.4*60/52,2))</f>
        <v/>
      </c>
      <c r="AC25" s="239">
        <v>12</v>
      </c>
      <c r="AD25" s="239">
        <v>12</v>
      </c>
    </row>
    <row r="26" spans="1:30" ht="15.75" x14ac:dyDescent="0.3">
      <c r="A26" s="223" t="s">
        <v>76</v>
      </c>
      <c r="B26" s="224" t="s">
        <v>64</v>
      </c>
      <c r="C26" s="225"/>
      <c r="D26" s="226">
        <v>0</v>
      </c>
      <c r="E26" s="227">
        <v>191.17</v>
      </c>
      <c r="F26" s="227">
        <v>0</v>
      </c>
      <c r="G26" s="227">
        <v>55.11</v>
      </c>
      <c r="H26" s="181">
        <f t="shared" si="17"/>
        <v>191.2</v>
      </c>
      <c r="I26" s="182" t="str">
        <f>IF(B26="","",IF(A26="","",INDEX([1]BMO!$A$5:$B$292,MATCH(B26,[1]BMO!$B$5:$B$292,0),1)))</f>
        <v>ml</v>
      </c>
      <c r="J26" s="183">
        <v>0.5</v>
      </c>
      <c r="K26" s="184">
        <f ca="1">IF(J26="","",J26*AA24/SUMPRODUCT(H24:H29,J24:J29))</f>
        <v>0.62750161394448034</v>
      </c>
      <c r="L26" s="185" t="str">
        <f>IF(I26="","",CONCATENATE("h/",I26))</f>
        <v>h/ml</v>
      </c>
      <c r="M26" s="228">
        <f ca="1">IF(H26="","",H26*K26)</f>
        <v>119.97830858618464</v>
      </c>
      <c r="N26" s="229"/>
      <c r="O26" s="230"/>
      <c r="P26" s="229"/>
      <c r="Q26" s="231"/>
      <c r="R26" s="229"/>
      <c r="S26" s="232"/>
      <c r="T26" s="232"/>
      <c r="U26" s="233"/>
      <c r="V26" s="234">
        <v>12</v>
      </c>
      <c r="W26" s="190">
        <f t="shared" si="18"/>
        <v>15.9</v>
      </c>
      <c r="X26" s="191" t="str">
        <f t="shared" si="19"/>
        <v>ml/j</v>
      </c>
      <c r="Y26" s="235"/>
      <c r="Z26" s="236" t="str">
        <f t="shared" si="20"/>
        <v/>
      </c>
      <c r="AA26" s="237" t="str">
        <f t="shared" si="21"/>
        <v/>
      </c>
      <c r="AB26" s="238" t="str">
        <f t="shared" si="22"/>
        <v/>
      </c>
      <c r="AC26" s="239">
        <v>11</v>
      </c>
      <c r="AD26" s="239">
        <v>11</v>
      </c>
    </row>
    <row r="27" spans="1:30" ht="15.75" x14ac:dyDescent="0.3">
      <c r="A27" s="223" t="s">
        <v>40</v>
      </c>
      <c r="B27" s="224" t="s">
        <v>40</v>
      </c>
      <c r="C27" s="225"/>
      <c r="D27" s="226">
        <v>0</v>
      </c>
      <c r="E27" s="227">
        <v>0</v>
      </c>
      <c r="F27" s="227">
        <v>0</v>
      </c>
      <c r="G27" s="227">
        <v>48.5</v>
      </c>
      <c r="H27" s="181">
        <f t="shared" si="17"/>
        <v>48.5</v>
      </c>
      <c r="I27" s="182" t="str">
        <f>IF(B27="","",IF(A27="","",INDEX([1]BMO!$A$5:$B$292,MATCH(B27,[1]BMO!$B$5:$B$292,0),1)))</f>
        <v>m3</v>
      </c>
      <c r="J27" s="183">
        <v>0.5</v>
      </c>
      <c r="K27" s="184">
        <f ca="1">IF(J27="","",J27*AA24/SUMPRODUCT(H24:H29,J24:J29))</f>
        <v>0.62750161394448034</v>
      </c>
      <c r="L27" s="185" t="str">
        <f>IF(I27="","",CONCATENATE("h/",I27))</f>
        <v>h/m3</v>
      </c>
      <c r="M27" s="228">
        <f ca="1">IF(H27="","",H27*K27)</f>
        <v>30.433828276307295</v>
      </c>
      <c r="N27" s="229"/>
      <c r="O27" s="230"/>
      <c r="P27" s="229"/>
      <c r="Q27" s="231"/>
      <c r="R27" s="229"/>
      <c r="S27" s="232"/>
      <c r="T27" s="232"/>
      <c r="U27" s="233"/>
      <c r="V27" s="234">
        <v>12</v>
      </c>
      <c r="W27" s="190">
        <f t="shared" si="18"/>
        <v>4</v>
      </c>
      <c r="X27" s="191" t="str">
        <f t="shared" si="19"/>
        <v>m3/j</v>
      </c>
      <c r="Y27" s="235"/>
      <c r="Z27" s="236" t="str">
        <f t="shared" si="20"/>
        <v/>
      </c>
      <c r="AA27" s="237" t="str">
        <f t="shared" si="21"/>
        <v/>
      </c>
      <c r="AB27" s="238" t="str">
        <f t="shared" si="22"/>
        <v/>
      </c>
      <c r="AC27" s="239">
        <v>11</v>
      </c>
      <c r="AD27" s="239">
        <v>11</v>
      </c>
    </row>
    <row r="28" spans="1:30" ht="15.75" x14ac:dyDescent="0.3">
      <c r="A28" s="223" t="s">
        <v>77</v>
      </c>
      <c r="B28" s="224" t="s">
        <v>65</v>
      </c>
      <c r="C28" s="225"/>
      <c r="D28" s="226">
        <v>2</v>
      </c>
      <c r="E28" s="227">
        <v>6.1</v>
      </c>
      <c r="F28" s="227">
        <v>0</v>
      </c>
      <c r="G28" s="227">
        <v>0.82</v>
      </c>
      <c r="H28" s="181">
        <f t="shared" si="17"/>
        <v>2</v>
      </c>
      <c r="I28" s="182" t="str">
        <f>IF(B28="","",IF(A28="","",INDEX([1]BMO!$A$5:$B$292,MATCH(B28,[1]BMO!$B$5:$B$292,0),1)))</f>
        <v>u</v>
      </c>
      <c r="J28" s="183">
        <v>2.5</v>
      </c>
      <c r="K28" s="184">
        <f ca="1">IF(J28="","",J28*AA24/SUMPRODUCT(H24:H29,J24:J29))</f>
        <v>3.1375080697224016</v>
      </c>
      <c r="L28" s="185" t="str">
        <f>IF(I28="","",CONCATENATE("h/",I28))</f>
        <v>h/u</v>
      </c>
      <c r="M28" s="228">
        <f ca="1">IF(H28="","",H28*K28)</f>
        <v>6.2750161394448032</v>
      </c>
      <c r="N28" s="229"/>
      <c r="O28" s="230"/>
      <c r="P28" s="229"/>
      <c r="Q28" s="231"/>
      <c r="R28" s="229"/>
      <c r="S28" s="232"/>
      <c r="T28" s="232"/>
      <c r="U28" s="233"/>
      <c r="V28" s="234">
        <v>12</v>
      </c>
      <c r="W28" s="190">
        <f t="shared" si="18"/>
        <v>0.2</v>
      </c>
      <c r="X28" s="191" t="str">
        <f t="shared" si="19"/>
        <v>u/j</v>
      </c>
      <c r="Y28" s="235"/>
      <c r="Z28" s="236" t="str">
        <f t="shared" si="20"/>
        <v/>
      </c>
      <c r="AA28" s="237" t="str">
        <f t="shared" si="21"/>
        <v/>
      </c>
      <c r="AB28" s="238" t="str">
        <f t="shared" si="22"/>
        <v/>
      </c>
      <c r="AC28" s="239">
        <v>13</v>
      </c>
      <c r="AD28" s="239">
        <v>13</v>
      </c>
    </row>
    <row r="29" spans="1:30" s="91" customFormat="1" ht="3" customHeight="1" x14ac:dyDescent="0.3">
      <c r="A29" s="245"/>
      <c r="B29" s="246" t="s">
        <v>61</v>
      </c>
      <c r="C29" s="247" t="s">
        <v>61</v>
      </c>
      <c r="D29" s="248" t="s">
        <v>61</v>
      </c>
      <c r="E29" s="248" t="s">
        <v>61</v>
      </c>
      <c r="F29" s="248" t="s">
        <v>61</v>
      </c>
      <c r="G29" s="248" t="s">
        <v>61</v>
      </c>
      <c r="H29" s="249" t="s">
        <v>61</v>
      </c>
      <c r="I29" s="250" t="s">
        <v>61</v>
      </c>
      <c r="J29" s="251" t="s">
        <v>61</v>
      </c>
      <c r="K29" s="252" t="s">
        <v>61</v>
      </c>
      <c r="L29" s="253" t="s">
        <v>61</v>
      </c>
      <c r="M29" s="254" t="s">
        <v>61</v>
      </c>
      <c r="N29" s="255"/>
      <c r="O29" s="256"/>
      <c r="P29" s="255"/>
      <c r="Q29" s="257"/>
      <c r="R29" s="255"/>
      <c r="S29" s="258"/>
      <c r="T29" s="258"/>
      <c r="U29" s="259"/>
      <c r="V29" s="260" t="s">
        <v>61</v>
      </c>
      <c r="W29" s="261" t="s">
        <v>61</v>
      </c>
      <c r="X29" s="262" t="s">
        <v>61</v>
      </c>
      <c r="Y29" s="263" t="s">
        <v>61</v>
      </c>
      <c r="Z29" s="264" t="s">
        <v>61</v>
      </c>
      <c r="AA29" s="265" t="s">
        <v>61</v>
      </c>
      <c r="AB29" s="266" t="s">
        <v>61</v>
      </c>
      <c r="AC29" s="121"/>
      <c r="AD29" s="121"/>
    </row>
    <row r="30" spans="1:30" s="91" customFormat="1" ht="3" customHeight="1" thickBot="1" x14ac:dyDescent="0.35">
      <c r="A30" s="267"/>
      <c r="B30" s="268" t="s">
        <v>61</v>
      </c>
      <c r="C30" s="269" t="s">
        <v>61</v>
      </c>
      <c r="D30" s="270" t="s">
        <v>61</v>
      </c>
      <c r="E30" s="270" t="s">
        <v>61</v>
      </c>
      <c r="F30" s="270" t="s">
        <v>61</v>
      </c>
      <c r="G30" s="270" t="s">
        <v>61</v>
      </c>
      <c r="H30" s="271" t="s">
        <v>61</v>
      </c>
      <c r="I30" s="272" t="s">
        <v>61</v>
      </c>
      <c r="J30" s="273" t="s">
        <v>61</v>
      </c>
      <c r="K30" s="274" t="s">
        <v>61</v>
      </c>
      <c r="L30" s="275" t="s">
        <v>61</v>
      </c>
      <c r="M30" s="276" t="s">
        <v>61</v>
      </c>
      <c r="N30" s="277"/>
      <c r="O30" s="277"/>
      <c r="P30" s="277"/>
      <c r="Q30" s="277"/>
      <c r="R30" s="277"/>
      <c r="S30" s="277"/>
      <c r="T30" s="277"/>
      <c r="U30" s="278"/>
      <c r="V30" s="279" t="s">
        <v>61</v>
      </c>
      <c r="W30" s="280" t="s">
        <v>61</v>
      </c>
      <c r="X30" s="281" t="s">
        <v>61</v>
      </c>
      <c r="Y30" s="282" t="s">
        <v>61</v>
      </c>
      <c r="Z30" s="283" t="s">
        <v>61</v>
      </c>
      <c r="AA30" s="284" t="s">
        <v>61</v>
      </c>
      <c r="AB30" s="285" t="s">
        <v>61</v>
      </c>
      <c r="AC30" s="121"/>
      <c r="AD30" s="121"/>
    </row>
    <row r="31" spans="1:30" s="222" customFormat="1" ht="30" customHeight="1" x14ac:dyDescent="0.3">
      <c r="A31" s="202" t="s">
        <v>66</v>
      </c>
      <c r="B31" s="203"/>
      <c r="C31" s="204"/>
      <c r="D31" s="205"/>
      <c r="E31" s="205"/>
      <c r="F31" s="205"/>
      <c r="G31" s="205"/>
      <c r="H31" s="206"/>
      <c r="I31" s="207"/>
      <c r="J31" s="208"/>
      <c r="K31" s="209"/>
      <c r="L31" s="210"/>
      <c r="M31" s="211"/>
      <c r="N31" s="286"/>
      <c r="O31" s="287"/>
      <c r="P31" s="287"/>
      <c r="Q31" s="287"/>
      <c r="R31" s="287"/>
      <c r="S31" s="287"/>
      <c r="T31" s="287"/>
      <c r="U31" s="288"/>
      <c r="V31" s="215">
        <v>21</v>
      </c>
      <c r="W31" s="216"/>
      <c r="X31" s="217"/>
      <c r="Y31" s="218">
        <f ca="1">IF(SUM(OFFSET(H31,1,0):H35)=0,0,ROUND(SUMPRODUCT(OFFSET(H31,1,0):H35,OFFSET(J31,1,0):J35)/(V31*8.1),0))</f>
        <v>3</v>
      </c>
      <c r="Z31" s="219">
        <f ca="1">IF(Y31=0,"",ROUND(Y31*V31*7.4,2))</f>
        <v>466.2</v>
      </c>
      <c r="AA31" s="220">
        <f ca="1">IF(Y31=0,"",ROUND(Y31*V31*8.1,2))</f>
        <v>510.3</v>
      </c>
      <c r="AB31" s="221">
        <f ca="1">IF(Y31=0,"",ROUND(Y31*V31*7.4*60/52,2))</f>
        <v>537.91999999999996</v>
      </c>
      <c r="AC31" s="200"/>
      <c r="AD31" s="200"/>
    </row>
    <row r="32" spans="1:30" ht="15.75" x14ac:dyDescent="0.3">
      <c r="A32" s="223" t="s">
        <v>78</v>
      </c>
      <c r="B32" s="224" t="s">
        <v>67</v>
      </c>
      <c r="C32" s="225"/>
      <c r="D32" s="226">
        <v>1</v>
      </c>
      <c r="E32" s="227">
        <v>0</v>
      </c>
      <c r="F32" s="227">
        <v>6.75</v>
      </c>
      <c r="G32" s="227">
        <v>2.02</v>
      </c>
      <c r="H32" s="181">
        <f t="shared" ref="H32:H33" si="23">IF(I32="","",IF(I32="u",ROUND(D32, 0),IF(I32="ml",ROUND(E32,1),IF(I32="m²",ROUND(F32,1),ROUND(G32,1)))))</f>
        <v>6.8</v>
      </c>
      <c r="I32" s="182" t="str">
        <f>IF(B32="","",IF(A32="","",INDEX([1]BMO!$A$5:$B$292,MATCH(B32,[1]BMO!$B$5:$B$292,0),1)))</f>
        <v>m²</v>
      </c>
      <c r="J32" s="183">
        <v>0.4</v>
      </c>
      <c r="K32" s="184">
        <f ca="1">IF(J32="","",J32*AA31/SUMPRODUCT(H31:H34,J31:J34))</f>
        <v>0.36109538635720345</v>
      </c>
      <c r="L32" s="185" t="str">
        <f>IF(I32="","",CONCATENATE("h/",I32))</f>
        <v>h/m²</v>
      </c>
      <c r="M32" s="228">
        <f ca="1">IF(H32="","",H32*K32)</f>
        <v>2.4554486272289835</v>
      </c>
      <c r="N32" s="229"/>
      <c r="O32" s="230"/>
      <c r="P32" s="229"/>
      <c r="Q32" s="231"/>
      <c r="R32" s="229"/>
      <c r="S32" s="232"/>
      <c r="T32" s="232"/>
      <c r="U32" s="233"/>
      <c r="V32" s="234">
        <v>3</v>
      </c>
      <c r="W32" s="190">
        <f t="shared" ref="W32:W33" si="24">IF(H32="","",ROUND(H32/V32,1))</f>
        <v>2.2999999999999998</v>
      </c>
      <c r="X32" s="191" t="str">
        <f t="shared" ref="X32:X33" si="25">IF(W32="","",CONCATENATE(I32,"/j"))</f>
        <v>m²/j</v>
      </c>
      <c r="Y32" s="235"/>
      <c r="Z32" s="236" t="str">
        <f t="shared" ref="Z32:Z33" si="26">IF(Y32=0,"",ROUND(Y32*V32*7.4,2))</f>
        <v/>
      </c>
      <c r="AA32" s="237" t="str">
        <f t="shared" ref="AA32:AA33" si="27">IF(Y32=0,"",ROUND(Y32*V32*8.1,2))</f>
        <v/>
      </c>
      <c r="AB32" s="238" t="str">
        <f t="shared" ref="AB32:AB33" si="28">IF(Y32=0,"",ROUND(Y32*V32*7.4*60/52,2))</f>
        <v/>
      </c>
      <c r="AC32" s="239">
        <v>15</v>
      </c>
      <c r="AD32" s="239">
        <v>15</v>
      </c>
    </row>
    <row r="33" spans="1:30" ht="15.75" x14ac:dyDescent="0.3">
      <c r="A33" s="223" t="s">
        <v>79</v>
      </c>
      <c r="B33" s="224" t="s">
        <v>68</v>
      </c>
      <c r="C33" s="225"/>
      <c r="D33" s="226">
        <v>0</v>
      </c>
      <c r="E33" s="227">
        <v>0</v>
      </c>
      <c r="F33" s="227">
        <v>1406.39</v>
      </c>
      <c r="G33" s="227">
        <v>404.84</v>
      </c>
      <c r="H33" s="181">
        <f t="shared" si="23"/>
        <v>1406.4</v>
      </c>
      <c r="I33" s="182" t="str">
        <f>IF(B33="","",IF(A33="","",INDEX([1]BMO!$A$5:$B$292,MATCH(B33,[1]BMO!$B$5:$B$292,0),1)))</f>
        <v>m²</v>
      </c>
      <c r="J33" s="183">
        <v>0.4</v>
      </c>
      <c r="K33" s="184">
        <f ca="1">IF(J33="","",J33*AA31/SUMPRODUCT(H31:H34,J31:J34))</f>
        <v>0.36109538635720345</v>
      </c>
      <c r="L33" s="185" t="str">
        <f>IF(I33="","",CONCATENATE("h/",I33))</f>
        <v>h/m²</v>
      </c>
      <c r="M33" s="228">
        <f ca="1">IF(H33="","",H33*K33)</f>
        <v>507.84455137277098</v>
      </c>
      <c r="N33" s="229"/>
      <c r="O33" s="230"/>
      <c r="P33" s="229"/>
      <c r="Q33" s="231"/>
      <c r="R33" s="229"/>
      <c r="S33" s="232"/>
      <c r="T33" s="232"/>
      <c r="U33" s="233"/>
      <c r="V33" s="234">
        <v>21</v>
      </c>
      <c r="W33" s="190">
        <f t="shared" si="24"/>
        <v>67</v>
      </c>
      <c r="X33" s="191" t="str">
        <f t="shared" si="25"/>
        <v>m²/j</v>
      </c>
      <c r="Y33" s="235"/>
      <c r="Z33" s="236" t="str">
        <f t="shared" si="26"/>
        <v/>
      </c>
      <c r="AA33" s="237" t="str">
        <f t="shared" si="27"/>
        <v/>
      </c>
      <c r="AB33" s="238" t="str">
        <f t="shared" si="28"/>
        <v/>
      </c>
      <c r="AC33" s="239">
        <v>14</v>
      </c>
      <c r="AD33" s="239">
        <v>14</v>
      </c>
    </row>
    <row r="34" spans="1:30" s="91" customFormat="1" ht="3" customHeight="1" x14ac:dyDescent="0.3">
      <c r="A34" s="245"/>
      <c r="B34" s="246" t="s">
        <v>61</v>
      </c>
      <c r="C34" s="247" t="s">
        <v>61</v>
      </c>
      <c r="D34" s="248" t="s">
        <v>61</v>
      </c>
      <c r="E34" s="248" t="s">
        <v>61</v>
      </c>
      <c r="F34" s="248" t="s">
        <v>61</v>
      </c>
      <c r="G34" s="248" t="s">
        <v>61</v>
      </c>
      <c r="H34" s="249" t="s">
        <v>61</v>
      </c>
      <c r="I34" s="250" t="s">
        <v>61</v>
      </c>
      <c r="J34" s="251" t="s">
        <v>61</v>
      </c>
      <c r="K34" s="252" t="s">
        <v>61</v>
      </c>
      <c r="L34" s="253" t="s">
        <v>61</v>
      </c>
      <c r="M34" s="254" t="s">
        <v>61</v>
      </c>
      <c r="N34" s="255"/>
      <c r="O34" s="256"/>
      <c r="P34" s="255"/>
      <c r="Q34" s="257"/>
      <c r="R34" s="255"/>
      <c r="S34" s="258"/>
      <c r="T34" s="258"/>
      <c r="U34" s="259"/>
      <c r="V34" s="260" t="s">
        <v>61</v>
      </c>
      <c r="W34" s="261" t="s">
        <v>61</v>
      </c>
      <c r="X34" s="262" t="s">
        <v>61</v>
      </c>
      <c r="Y34" s="263" t="s">
        <v>61</v>
      </c>
      <c r="Z34" s="264" t="s">
        <v>61</v>
      </c>
      <c r="AA34" s="265" t="s">
        <v>61</v>
      </c>
      <c r="AB34" s="266" t="s">
        <v>61</v>
      </c>
      <c r="AC34" s="121"/>
      <c r="AD34" s="121"/>
    </row>
    <row r="35" spans="1:30" s="91" customFormat="1" ht="3" customHeight="1" thickBot="1" x14ac:dyDescent="0.35">
      <c r="A35" s="267"/>
      <c r="B35" s="268" t="s">
        <v>61</v>
      </c>
      <c r="C35" s="269" t="s">
        <v>61</v>
      </c>
      <c r="D35" s="270" t="s">
        <v>61</v>
      </c>
      <c r="E35" s="270" t="s">
        <v>61</v>
      </c>
      <c r="F35" s="270" t="s">
        <v>61</v>
      </c>
      <c r="G35" s="270" t="s">
        <v>61</v>
      </c>
      <c r="H35" s="271" t="s">
        <v>61</v>
      </c>
      <c r="I35" s="272" t="s">
        <v>61</v>
      </c>
      <c r="J35" s="273" t="s">
        <v>61</v>
      </c>
      <c r="K35" s="274" t="s">
        <v>61</v>
      </c>
      <c r="L35" s="275" t="s">
        <v>61</v>
      </c>
      <c r="M35" s="276" t="s">
        <v>61</v>
      </c>
      <c r="N35" s="277"/>
      <c r="O35" s="277"/>
      <c r="P35" s="277"/>
      <c r="Q35" s="277"/>
      <c r="R35" s="277"/>
      <c r="S35" s="277"/>
      <c r="T35" s="277"/>
      <c r="U35" s="278"/>
      <c r="V35" s="279" t="s">
        <v>61</v>
      </c>
      <c r="W35" s="280" t="s">
        <v>61</v>
      </c>
      <c r="X35" s="281" t="s">
        <v>61</v>
      </c>
      <c r="Y35" s="282" t="s">
        <v>61</v>
      </c>
      <c r="Z35" s="283" t="s">
        <v>61</v>
      </c>
      <c r="AA35" s="284" t="s">
        <v>61</v>
      </c>
      <c r="AB35" s="285" t="s">
        <v>61</v>
      </c>
      <c r="AC35" s="121"/>
      <c r="AD35" s="121"/>
    </row>
    <row r="36" spans="1:30" s="91" customFormat="1" ht="15" customHeight="1" x14ac:dyDescent="0.25">
      <c r="A36" s="289"/>
      <c r="B36" s="290"/>
      <c r="C36" s="291"/>
      <c r="D36" s="292"/>
      <c r="E36" s="292"/>
      <c r="F36" s="292"/>
      <c r="G36" s="292"/>
      <c r="H36" s="181" t="str">
        <f>IF(I36="","",IF(I36="u",ROUND(D36, 0),IF(I36="ml",ROUND(E36,1),IF(I36="m²",ROUND(F36,1),ROUND(G36,1)))))</f>
        <v/>
      </c>
      <c r="I36" s="182" t="str">
        <f>IF(B36="","",IF(A36="","",INDEX([1]BMO!$O$5:$P$296,MATCH(B36,[1]BMO!$P$5:$P$296,0),1)))</f>
        <v/>
      </c>
      <c r="J36" s="183" t="s">
        <v>61</v>
      </c>
      <c r="K36" s="184" t="str">
        <f>IF(H36="","",IF(H36=0,"",AA36/H36))</f>
        <v/>
      </c>
      <c r="L36" s="185" t="str">
        <f>IF(H36="","",IF(H36=0,"",CONCATENATE("h/",I36)))</f>
        <v/>
      </c>
      <c r="M36" s="228" t="str">
        <f>IF(H36="","",IF(H36=0,"",H36*K36))</f>
        <v/>
      </c>
      <c r="N36" s="187"/>
      <c r="O36" s="187"/>
      <c r="P36" s="187"/>
      <c r="Q36" s="187"/>
      <c r="R36" s="187"/>
      <c r="S36" s="187"/>
      <c r="T36" s="187"/>
      <c r="U36" s="188"/>
      <c r="V36" s="189" t="s">
        <v>61</v>
      </c>
      <c r="W36" s="190"/>
      <c r="X36" s="191"/>
      <c r="Y36" s="192" t="str">
        <f>IF(H36="","",IF(V36="","",ROUND((H36*J36)/(V36*7.4),0)))</f>
        <v/>
      </c>
      <c r="Z36" s="193" t="str">
        <f>IF(Y36="","",ROUND(Y36*V36*7.4,2))</f>
        <v/>
      </c>
      <c r="AA36" s="194" t="str">
        <f t="shared" ref="AA36:AB38" si="29">Z36</f>
        <v/>
      </c>
      <c r="AB36" s="195" t="str">
        <f t="shared" si="29"/>
        <v/>
      </c>
      <c r="AC36" s="121"/>
      <c r="AD36" s="121"/>
    </row>
    <row r="37" spans="1:30" ht="15" hidden="1" customHeight="1" x14ac:dyDescent="0.25">
      <c r="A37" s="177" t="s">
        <v>69</v>
      </c>
      <c r="B37" s="224" t="s">
        <v>69</v>
      </c>
      <c r="C37" s="179"/>
      <c r="D37" s="180"/>
      <c r="E37" s="180"/>
      <c r="F37" s="180"/>
      <c r="G37" s="180"/>
      <c r="H37" s="181">
        <f>IF(I37="","",IF(I37="u",ROUND(D37, 0),IF(I37="ml",ROUND(E37,1),IF(I37="m²",ROUND(F37,1),ROUND(G37,1)))))</f>
        <v>0</v>
      </c>
      <c r="I37" s="182" t="str">
        <f>IF(B37="","",IF(A37="","",INDEX([1]BMO!$O$5:$P$296,MATCH(B37,[1]BMO!$P$5:$P$296,0),1)))</f>
        <v>m²</v>
      </c>
      <c r="J37" s="183">
        <v>0.08</v>
      </c>
      <c r="K37" s="184" t="str">
        <f>IF(H37="","",IF(H37=0,"",AA37/H37))</f>
        <v/>
      </c>
      <c r="L37" s="185" t="str">
        <f>IF(H37="","",IF(H37=0,"",CONCATENATE("h/",I37)))</f>
        <v/>
      </c>
      <c r="M37" s="228" t="str">
        <f>IF(H37="","",IF(H37=0,"",H37*K37))</f>
        <v/>
      </c>
      <c r="N37" s="187"/>
      <c r="O37" s="187"/>
      <c r="P37" s="187"/>
      <c r="Q37" s="187"/>
      <c r="R37" s="187"/>
      <c r="S37" s="187"/>
      <c r="T37" s="187"/>
      <c r="U37" s="188"/>
      <c r="V37" s="189" t="s">
        <v>61</v>
      </c>
      <c r="W37" s="190"/>
      <c r="X37" s="191"/>
      <c r="Y37" s="192" t="str">
        <f>IF(H37="","",IF(V37="","",ROUND((H37*J37)/(V37*7.4),0)))</f>
        <v/>
      </c>
      <c r="Z37" s="193" t="str">
        <f>IF(Y37="","",ROUND(Y37*V37*7.4,2))</f>
        <v/>
      </c>
      <c r="AA37" s="194" t="str">
        <f t="shared" si="29"/>
        <v/>
      </c>
      <c r="AB37" s="195" t="str">
        <f t="shared" si="29"/>
        <v/>
      </c>
    </row>
    <row r="38" spans="1:30" s="91" customFormat="1" x14ac:dyDescent="0.25">
      <c r="A38" s="293"/>
      <c r="B38" s="294"/>
      <c r="C38" s="295"/>
      <c r="D38" s="296"/>
      <c r="E38" s="296"/>
      <c r="F38" s="296"/>
      <c r="G38" s="296"/>
      <c r="H38" s="181" t="str">
        <f>IF(I38="","",IF(I38="u",ROUND(D38, 0),IF(I38="ml",ROUND(E38,1),IF(I38="m²",ROUND(F38,1),ROUND(G38,1)))))</f>
        <v/>
      </c>
      <c r="I38" s="182" t="str">
        <f>IF(B38="","",IF(A38="","",INDEX([1]BMO!$O$5:$P$296,MATCH(B38,[1]BMO!$P$5:$P$296,0),1)))</f>
        <v/>
      </c>
      <c r="J38" s="183" t="s">
        <v>61</v>
      </c>
      <c r="K38" s="184" t="str">
        <f>IF(H38="","",IF(H38=0,"",AA38/H38))</f>
        <v/>
      </c>
      <c r="L38" s="185" t="str">
        <f>IF(H38="","",IF(H38=0,"",CONCATENATE("h/",I38)))</f>
        <v/>
      </c>
      <c r="M38" s="228" t="str">
        <f>IF(H38="","",IF(H38=0,"",H38*K38))</f>
        <v/>
      </c>
      <c r="N38" s="187"/>
      <c r="O38" s="187"/>
      <c r="P38" s="187"/>
      <c r="Q38" s="187"/>
      <c r="R38" s="187"/>
      <c r="S38" s="187"/>
      <c r="T38" s="187"/>
      <c r="U38" s="188"/>
      <c r="V38" s="189" t="s">
        <v>61</v>
      </c>
      <c r="W38" s="190"/>
      <c r="X38" s="191"/>
      <c r="Y38" s="192" t="str">
        <f>IF(H38="","",IF(V38="","",ROUND((H38*J38)/(V38*7.4),0)))</f>
        <v/>
      </c>
      <c r="Z38" s="193" t="str">
        <f>IF(Y38="","",ROUND(Y38*V38*7.4,2))</f>
        <v/>
      </c>
      <c r="AA38" s="194" t="str">
        <f t="shared" si="29"/>
        <v/>
      </c>
      <c r="AB38" s="195" t="str">
        <f t="shared" si="29"/>
        <v/>
      </c>
      <c r="AC38" s="121"/>
      <c r="AD38" s="121"/>
    </row>
    <row r="39" spans="1:30" s="91" customFormat="1" ht="5.0999999999999996" customHeight="1" thickBot="1" x14ac:dyDescent="0.3">
      <c r="A39" s="297"/>
      <c r="B39" s="294"/>
      <c r="C39" s="298"/>
      <c r="D39" s="298"/>
      <c r="E39" s="298"/>
      <c r="F39" s="298"/>
      <c r="G39" s="298"/>
      <c r="H39" s="299" t="str">
        <f t="shared" ref="H39" si="30">IF(I39="","",IF(I39="u",D39,IF(I39="ml",E39,IF(I39="m²",F39,G39))))</f>
        <v/>
      </c>
      <c r="I39" s="300"/>
      <c r="J39" s="301"/>
      <c r="K39" s="302" t="str">
        <f>IF(H39="","",AA39/H39)</f>
        <v/>
      </c>
      <c r="L39" s="303" t="str">
        <f>IF(I39="","",CONCATENATE("h/",I39))</f>
        <v/>
      </c>
      <c r="M39" s="304" t="str">
        <f>IF(H39="","",H39*K39)</f>
        <v/>
      </c>
      <c r="N39" s="305"/>
      <c r="O39" s="306"/>
      <c r="P39" s="306"/>
      <c r="Q39" s="306"/>
      <c r="R39" s="306"/>
      <c r="S39" s="306"/>
      <c r="T39" s="306"/>
      <c r="U39" s="307"/>
      <c r="V39" s="308"/>
      <c r="W39" s="309" t="e">
        <f>IF(H39=0,"",ROUND(H39/V39,1))</f>
        <v>#VALUE!</v>
      </c>
      <c r="X39" s="310" t="e">
        <f>IF(W39="","",CONCATENATE(I39,"/j"))</f>
        <v>#VALUE!</v>
      </c>
      <c r="Y39" s="311"/>
      <c r="Z39" s="236" t="str">
        <f>IF(Y39=0,"",ROUND(Y39*V39*7.4,2))</f>
        <v/>
      </c>
      <c r="AA39" s="237" t="str">
        <f>IF(Y39=0,"",ROUND(Y39*V39*8.1,2))</f>
        <v/>
      </c>
      <c r="AB39" s="238" t="str">
        <f>IF(Y39="","",ROUND(Y39*V39*7.4*60/52,2))</f>
        <v/>
      </c>
      <c r="AC39" s="121"/>
      <c r="AD39" s="121"/>
    </row>
    <row r="40" spans="1:30" s="91" customFormat="1" ht="16.5" thickTop="1" thickBot="1" x14ac:dyDescent="0.3">
      <c r="A40" s="312"/>
      <c r="B40" s="313"/>
      <c r="C40" s="313"/>
      <c r="D40" s="313"/>
      <c r="E40" s="313"/>
      <c r="F40" s="313"/>
      <c r="G40" s="313"/>
      <c r="H40" s="314"/>
      <c r="I40" s="315"/>
      <c r="J40" s="316"/>
      <c r="K40" s="314"/>
      <c r="L40" s="315" t="s">
        <v>70</v>
      </c>
      <c r="M40" s="317">
        <f ca="1">SUM(M5:M38)</f>
        <v>801.89999999999986</v>
      </c>
      <c r="N40" s="318"/>
      <c r="O40" s="319"/>
      <c r="P40" s="319"/>
      <c r="Q40" s="319"/>
      <c r="R40" s="319"/>
      <c r="S40" s="319"/>
      <c r="T40" s="319"/>
      <c r="U40" s="320"/>
      <c r="V40" s="321"/>
      <c r="W40" s="314"/>
      <c r="X40" s="322"/>
      <c r="Y40" s="323" t="s">
        <v>70</v>
      </c>
      <c r="Z40" s="324">
        <f ca="1">SUM(Z5:Z39)</f>
        <v>732.59999999999991</v>
      </c>
      <c r="AA40" s="325">
        <f ca="1">SUM(AA5:AA39)</f>
        <v>801.90000000000009</v>
      </c>
      <c r="AB40" s="326">
        <f ca="1">SUM(AB5:AB39)</f>
        <v>845.3</v>
      </c>
      <c r="AC40" s="121"/>
      <c r="AD40" s="121"/>
    </row>
    <row r="42" spans="1:30" s="239" customFormat="1" ht="15.75" x14ac:dyDescent="0.3">
      <c r="A42" s="327" t="s">
        <v>71</v>
      </c>
      <c r="B42" s="328"/>
      <c r="C42" s="328"/>
      <c r="D42" s="328"/>
      <c r="E42" s="328"/>
      <c r="F42" s="328"/>
      <c r="G42" s="328"/>
      <c r="H42" s="328"/>
      <c r="I42" s="328"/>
      <c r="J42" s="329"/>
      <c r="K42" s="328"/>
      <c r="L42" s="328"/>
      <c r="M42" s="330" t="str">
        <f ca="1">IF(M40=AA40,"OK","ERREUR")</f>
        <v>OK</v>
      </c>
      <c r="N42" s="330"/>
      <c r="O42" s="330"/>
      <c r="P42" s="330"/>
      <c r="Q42" s="330"/>
      <c r="R42" s="330"/>
      <c r="S42" s="330"/>
      <c r="T42" s="330"/>
      <c r="U42" s="330"/>
      <c r="V42" s="331"/>
      <c r="W42" s="328"/>
      <c r="X42" s="328"/>
      <c r="Y42" s="332"/>
      <c r="Z42" s="330"/>
      <c r="AA42" s="330"/>
      <c r="AB42" s="330"/>
    </row>
    <row r="44" spans="1:30" x14ac:dyDescent="0.25">
      <c r="H44" s="333"/>
      <c r="I44" s="333"/>
      <c r="J44" s="334"/>
      <c r="K44" s="335"/>
      <c r="L44" s="336"/>
      <c r="M44" s="222"/>
      <c r="N44" s="222"/>
      <c r="O44" s="222"/>
      <c r="P44" s="222"/>
      <c r="Q44" s="222"/>
      <c r="R44" s="222"/>
      <c r="S44" s="222"/>
      <c r="T44" s="222"/>
      <c r="U44" s="337"/>
      <c r="V44" s="222"/>
      <c r="W44" s="222"/>
      <c r="X44" s="200"/>
      <c r="Y44" s="338"/>
      <c r="Z44" s="338"/>
      <c r="AA44" s="338"/>
    </row>
    <row r="45" spans="1:30" ht="15.75" x14ac:dyDescent="0.3">
      <c r="B45" s="339"/>
      <c r="H45" s="333"/>
      <c r="I45" s="333"/>
      <c r="J45" s="334"/>
      <c r="K45" s="335"/>
      <c r="L45" s="336"/>
      <c r="M45" s="222"/>
      <c r="N45" s="222"/>
      <c r="O45" s="222"/>
      <c r="P45" s="222"/>
      <c r="Q45" s="222"/>
      <c r="R45" s="222"/>
      <c r="S45" s="222"/>
      <c r="T45" s="222"/>
      <c r="U45" s="337"/>
      <c r="V45" s="222"/>
      <c r="W45" s="6">
        <v>11</v>
      </c>
      <c r="X45" s="7" t="s">
        <v>7</v>
      </c>
      <c r="Y45" s="12"/>
      <c r="Z45" s="340">
        <f t="shared" ref="Z45:Z74" ca="1" si="31">SUMIF($AC:$AC,W45,$M:$M)</f>
        <v>150.41213686249193</v>
      </c>
      <c r="AA45" s="61">
        <f t="shared" ref="AA45:AA74" si="32">IF(AB45="","",SUMIF($AD:$AD,W45,IF(AB45="u",$D:$D,IF(AB45="ml",$E:$E,IF(AB45="m²",$F:$F,IF(AB45=0,"",""))))))</f>
        <v>191.17</v>
      </c>
      <c r="AB45" s="62" t="s">
        <v>36</v>
      </c>
    </row>
    <row r="46" spans="1:30" ht="15.75" x14ac:dyDescent="0.3">
      <c r="H46" s="341"/>
      <c r="I46" s="341"/>
      <c r="L46" s="13"/>
      <c r="M46" s="343"/>
      <c r="T46" s="240"/>
      <c r="U46" s="344"/>
      <c r="V46" s="240"/>
      <c r="W46" s="8">
        <v>12</v>
      </c>
      <c r="X46" t="s">
        <v>8</v>
      </c>
      <c r="Y46" s="13"/>
      <c r="Z46" s="345">
        <f t="shared" ca="1" si="31"/>
        <v>134.91284699806326</v>
      </c>
      <c r="AA46" s="63">
        <f t="shared" si="32"/>
        <v>43</v>
      </c>
      <c r="AB46" s="64" t="s">
        <v>37</v>
      </c>
    </row>
    <row r="47" spans="1:30" ht="15.75" x14ac:dyDescent="0.3">
      <c r="E47" s="339"/>
      <c r="H47" s="346"/>
      <c r="I47" s="346"/>
      <c r="J47" s="347"/>
      <c r="K47" s="348"/>
      <c r="L47" s="13"/>
      <c r="M47" s="343"/>
      <c r="T47" s="240"/>
      <c r="U47" s="344"/>
      <c r="V47" s="240"/>
      <c r="W47" s="8">
        <v>13</v>
      </c>
      <c r="X47" t="s">
        <v>9</v>
      </c>
      <c r="Y47" s="13"/>
      <c r="Z47" s="345">
        <f t="shared" ca="1" si="31"/>
        <v>6.2750161394448032</v>
      </c>
      <c r="AA47" s="63">
        <f t="shared" si="32"/>
        <v>2</v>
      </c>
      <c r="AB47" s="64" t="s">
        <v>37</v>
      </c>
    </row>
    <row r="48" spans="1:30" ht="15.75" x14ac:dyDescent="0.3">
      <c r="W48" s="8">
        <v>14</v>
      </c>
      <c r="X48" t="s">
        <v>10</v>
      </c>
      <c r="Y48" s="13"/>
      <c r="Z48" s="345">
        <f t="shared" ca="1" si="31"/>
        <v>507.84455137277098</v>
      </c>
      <c r="AA48" s="63">
        <f t="shared" si="32"/>
        <v>1406.39</v>
      </c>
      <c r="AB48" s="64" t="s">
        <v>38</v>
      </c>
    </row>
    <row r="49" spans="4:28" ht="15.75" x14ac:dyDescent="0.3">
      <c r="W49" s="8">
        <v>15</v>
      </c>
      <c r="X49" t="s">
        <v>11</v>
      </c>
      <c r="Y49" s="13"/>
      <c r="Z49" s="345">
        <f t="shared" ca="1" si="31"/>
        <v>2.4554486272289835</v>
      </c>
      <c r="AA49" s="63" t="str">
        <f t="shared" si="32"/>
        <v/>
      </c>
      <c r="AB49" s="64"/>
    </row>
    <row r="50" spans="4:28" ht="15.75" x14ac:dyDescent="0.3">
      <c r="W50" s="8"/>
      <c r="X50"/>
      <c r="Y50" s="13"/>
      <c r="Z50" s="345">
        <f t="shared" si="31"/>
        <v>0</v>
      </c>
      <c r="AA50" s="63" t="str">
        <f t="shared" si="32"/>
        <v/>
      </c>
      <c r="AB50" s="64"/>
    </row>
    <row r="51" spans="4:28" ht="15.75" x14ac:dyDescent="0.3">
      <c r="W51" s="8">
        <v>21</v>
      </c>
      <c r="X51" t="s">
        <v>12</v>
      </c>
      <c r="Y51" s="13"/>
      <c r="Z51" s="345">
        <f t="shared" si="31"/>
        <v>0</v>
      </c>
      <c r="AA51" s="63">
        <f t="shared" si="32"/>
        <v>0</v>
      </c>
      <c r="AB51" s="64" t="s">
        <v>36</v>
      </c>
    </row>
    <row r="52" spans="4:28" ht="15.75" x14ac:dyDescent="0.3">
      <c r="W52" s="8">
        <v>22</v>
      </c>
      <c r="X52" t="s">
        <v>13</v>
      </c>
      <c r="Y52" s="13"/>
      <c r="Z52" s="345">
        <f t="shared" si="31"/>
        <v>0</v>
      </c>
      <c r="AA52" s="63">
        <f t="shared" si="32"/>
        <v>0</v>
      </c>
      <c r="AB52" s="64" t="s">
        <v>37</v>
      </c>
    </row>
    <row r="53" spans="4:28" ht="15.75" x14ac:dyDescent="0.3">
      <c r="W53" s="8">
        <v>23</v>
      </c>
      <c r="X53" t="s">
        <v>14</v>
      </c>
      <c r="Y53" s="13"/>
      <c r="Z53" s="345">
        <f t="shared" si="31"/>
        <v>0</v>
      </c>
      <c r="AA53" s="63">
        <f t="shared" si="32"/>
        <v>0</v>
      </c>
      <c r="AB53" s="64" t="s">
        <v>37</v>
      </c>
    </row>
    <row r="54" spans="4:28" ht="15.75" x14ac:dyDescent="0.3">
      <c r="D54" s="339"/>
      <c r="W54" s="8">
        <v>24</v>
      </c>
      <c r="X54" t="s">
        <v>15</v>
      </c>
      <c r="Y54" s="13"/>
      <c r="Z54" s="345">
        <f t="shared" si="31"/>
        <v>0</v>
      </c>
      <c r="AA54" s="63">
        <f t="shared" si="32"/>
        <v>0</v>
      </c>
      <c r="AB54" s="64" t="s">
        <v>38</v>
      </c>
    </row>
    <row r="55" spans="4:28" ht="15.75" x14ac:dyDescent="0.3">
      <c r="W55" s="8">
        <v>25</v>
      </c>
      <c r="X55" t="s">
        <v>16</v>
      </c>
      <c r="Y55" s="13"/>
      <c r="Z55" s="345">
        <f t="shared" si="31"/>
        <v>0</v>
      </c>
      <c r="AA55" s="63" t="str">
        <f t="shared" si="32"/>
        <v/>
      </c>
      <c r="AB55" s="64"/>
    </row>
    <row r="56" spans="4:28" ht="15.75" x14ac:dyDescent="0.3">
      <c r="W56" s="8"/>
      <c r="X56"/>
      <c r="Y56" s="13"/>
      <c r="Z56" s="345">
        <f t="shared" si="31"/>
        <v>0</v>
      </c>
      <c r="AA56" s="63" t="str">
        <f t="shared" si="32"/>
        <v/>
      </c>
      <c r="AB56" s="64"/>
    </row>
    <row r="57" spans="4:28" ht="15.75" x14ac:dyDescent="0.3">
      <c r="W57" s="8">
        <v>31</v>
      </c>
      <c r="X57" s="9" t="s">
        <v>27</v>
      </c>
      <c r="Y57" s="13"/>
      <c r="Z57" s="345">
        <f t="shared" si="31"/>
        <v>0</v>
      </c>
      <c r="AA57" s="63">
        <f t="shared" si="32"/>
        <v>0</v>
      </c>
      <c r="AB57" s="64" t="s">
        <v>36</v>
      </c>
    </row>
    <row r="58" spans="4:28" ht="15.75" x14ac:dyDescent="0.3">
      <c r="W58" s="8">
        <v>32</v>
      </c>
      <c r="X58" s="9" t="s">
        <v>18</v>
      </c>
      <c r="Y58" s="13"/>
      <c r="Z58" s="345">
        <f t="shared" si="31"/>
        <v>0</v>
      </c>
      <c r="AA58" s="63">
        <f t="shared" si="32"/>
        <v>0</v>
      </c>
      <c r="AB58" s="64" t="s">
        <v>37</v>
      </c>
    </row>
    <row r="59" spans="4:28" ht="15.75" x14ac:dyDescent="0.3">
      <c r="W59" s="8">
        <v>33</v>
      </c>
      <c r="X59" s="9" t="s">
        <v>19</v>
      </c>
      <c r="Y59" s="13"/>
      <c r="Z59" s="345">
        <f t="shared" si="31"/>
        <v>0</v>
      </c>
      <c r="AA59" s="63">
        <f t="shared" si="32"/>
        <v>0</v>
      </c>
      <c r="AB59" s="64" t="s">
        <v>37</v>
      </c>
    </row>
    <row r="60" spans="4:28" ht="15.75" x14ac:dyDescent="0.3">
      <c r="W60" s="8">
        <v>34</v>
      </c>
      <c r="X60" s="9" t="s">
        <v>20</v>
      </c>
      <c r="Y60" s="13"/>
      <c r="Z60" s="345">
        <f t="shared" si="31"/>
        <v>0</v>
      </c>
      <c r="AA60" s="63">
        <f t="shared" si="32"/>
        <v>0</v>
      </c>
      <c r="AB60" s="64" t="s">
        <v>38</v>
      </c>
    </row>
    <row r="61" spans="4:28" ht="15.75" x14ac:dyDescent="0.3">
      <c r="W61" s="8">
        <v>35</v>
      </c>
      <c r="X61" s="9" t="s">
        <v>21</v>
      </c>
      <c r="Y61" s="13"/>
      <c r="Z61" s="345">
        <f t="shared" si="31"/>
        <v>0</v>
      </c>
      <c r="AA61" s="63" t="str">
        <f t="shared" si="32"/>
        <v/>
      </c>
      <c r="AB61" s="64"/>
    </row>
    <row r="62" spans="4:28" ht="15.75" x14ac:dyDescent="0.3">
      <c r="W62" s="8"/>
      <c r="X62"/>
      <c r="Y62" s="13"/>
      <c r="Z62" s="345">
        <f t="shared" si="31"/>
        <v>0</v>
      </c>
      <c r="AA62" s="63" t="str">
        <f t="shared" si="32"/>
        <v/>
      </c>
      <c r="AB62" s="64"/>
    </row>
    <row r="63" spans="4:28" ht="15.75" x14ac:dyDescent="0.3">
      <c r="W63" s="8"/>
      <c r="X63"/>
      <c r="Y63" s="13"/>
      <c r="Z63" s="345">
        <f t="shared" si="31"/>
        <v>0</v>
      </c>
      <c r="AA63" s="63" t="str">
        <f t="shared" si="32"/>
        <v/>
      </c>
      <c r="AB63" s="64"/>
    </row>
    <row r="64" spans="4:28" ht="15.75" x14ac:dyDescent="0.3">
      <c r="W64" s="8">
        <v>41</v>
      </c>
      <c r="X64" t="s">
        <v>22</v>
      </c>
      <c r="Y64" s="13"/>
      <c r="Z64" s="345">
        <f t="shared" si="31"/>
        <v>0</v>
      </c>
      <c r="AA64" s="63">
        <f t="shared" si="32"/>
        <v>0</v>
      </c>
      <c r="AB64" s="64" t="s">
        <v>37</v>
      </c>
    </row>
    <row r="65" spans="23:30" ht="15.75" x14ac:dyDescent="0.3">
      <c r="W65" s="8">
        <v>42</v>
      </c>
      <c r="X65" t="s">
        <v>23</v>
      </c>
      <c r="Y65" s="13"/>
      <c r="Z65" s="345">
        <f t="shared" si="31"/>
        <v>0</v>
      </c>
      <c r="AA65" s="63" t="str">
        <f t="shared" si="32"/>
        <v/>
      </c>
      <c r="AB65" s="64"/>
    </row>
    <row r="66" spans="23:30" ht="15.75" x14ac:dyDescent="0.3">
      <c r="W66" s="8">
        <v>422</v>
      </c>
      <c r="X66" t="s">
        <v>72</v>
      </c>
      <c r="Y66" s="13"/>
      <c r="Z66" s="345">
        <f t="shared" si="31"/>
        <v>0</v>
      </c>
      <c r="AA66" s="63" t="str">
        <f t="shared" si="32"/>
        <v/>
      </c>
      <c r="AB66" s="64"/>
    </row>
    <row r="67" spans="23:30" ht="15" customHeight="1" x14ac:dyDescent="0.3">
      <c r="W67" s="8">
        <v>43</v>
      </c>
      <c r="X67" t="s">
        <v>24</v>
      </c>
      <c r="Y67" s="13"/>
      <c r="Z67" s="345">
        <f t="shared" si="31"/>
        <v>0</v>
      </c>
      <c r="AA67" s="63">
        <f t="shared" si="32"/>
        <v>0</v>
      </c>
      <c r="AB67" s="64" t="s">
        <v>36</v>
      </c>
      <c r="AC67" s="240"/>
      <c r="AD67" s="240"/>
    </row>
    <row r="68" spans="23:30" ht="15" customHeight="1" x14ac:dyDescent="0.3">
      <c r="W68" s="8">
        <v>44</v>
      </c>
      <c r="X68" t="s">
        <v>28</v>
      </c>
      <c r="Y68" s="13"/>
      <c r="Z68" s="345">
        <f t="shared" si="31"/>
        <v>0</v>
      </c>
      <c r="AA68" s="63" t="str">
        <f t="shared" si="32"/>
        <v/>
      </c>
      <c r="AB68" s="64"/>
      <c r="AC68" s="240"/>
      <c r="AD68" s="240"/>
    </row>
    <row r="69" spans="23:30" ht="15" customHeight="1" x14ac:dyDescent="0.3">
      <c r="W69" s="8"/>
      <c r="X69"/>
      <c r="Y69" s="13"/>
      <c r="Z69" s="345">
        <f t="shared" si="31"/>
        <v>0</v>
      </c>
      <c r="AA69" s="63" t="str">
        <f t="shared" si="32"/>
        <v/>
      </c>
      <c r="AB69" s="64"/>
      <c r="AC69" s="240"/>
      <c r="AD69" s="240"/>
    </row>
    <row r="70" spans="23:30" ht="15" customHeight="1" x14ac:dyDescent="0.3">
      <c r="W70" s="8">
        <v>51</v>
      </c>
      <c r="X70" t="s">
        <v>25</v>
      </c>
      <c r="Y70" s="13"/>
      <c r="Z70" s="345">
        <f t="shared" si="31"/>
        <v>0</v>
      </c>
      <c r="AA70" s="63" t="str">
        <f t="shared" si="32"/>
        <v/>
      </c>
      <c r="AB70" s="64"/>
      <c r="AC70" s="240"/>
      <c r="AD70" s="240"/>
    </row>
    <row r="71" spans="23:30" ht="15" customHeight="1" x14ac:dyDescent="0.3">
      <c r="W71" s="8">
        <v>52</v>
      </c>
      <c r="X71" t="s">
        <v>73</v>
      </c>
      <c r="Y71" s="13"/>
      <c r="Z71" s="345">
        <f t="shared" si="31"/>
        <v>0</v>
      </c>
      <c r="AA71" s="63" t="str">
        <f t="shared" si="32"/>
        <v/>
      </c>
      <c r="AB71" s="64"/>
      <c r="AC71" s="240"/>
      <c r="AD71" s="240"/>
    </row>
    <row r="72" spans="23:30" ht="15" customHeight="1" x14ac:dyDescent="0.3">
      <c r="W72" s="8">
        <v>53</v>
      </c>
      <c r="X72" t="s">
        <v>74</v>
      </c>
      <c r="Y72" s="13"/>
      <c r="Z72" s="345">
        <f t="shared" si="31"/>
        <v>0</v>
      </c>
      <c r="AA72" s="63" t="str">
        <f t="shared" si="32"/>
        <v/>
      </c>
      <c r="AB72" s="64"/>
      <c r="AC72" s="240"/>
      <c r="AD72" s="240"/>
    </row>
    <row r="73" spans="23:30" ht="15" customHeight="1" x14ac:dyDescent="0.3">
      <c r="W73" s="8"/>
      <c r="X73"/>
      <c r="Y73" s="13"/>
      <c r="Z73" s="345">
        <f t="shared" si="31"/>
        <v>0</v>
      </c>
      <c r="AA73" s="63" t="str">
        <f t="shared" si="32"/>
        <v/>
      </c>
      <c r="AB73" s="64"/>
      <c r="AC73" s="240"/>
      <c r="AD73" s="240"/>
    </row>
    <row r="74" spans="23:30" ht="15" customHeight="1" x14ac:dyDescent="0.3">
      <c r="W74" s="10">
        <v>91</v>
      </c>
      <c r="X74" s="11" t="s">
        <v>29</v>
      </c>
      <c r="Y74" s="14"/>
      <c r="Z74" s="350">
        <f t="shared" si="31"/>
        <v>0</v>
      </c>
      <c r="AA74" s="351" t="str">
        <f t="shared" si="32"/>
        <v/>
      </c>
      <c r="AB74" s="65"/>
      <c r="AC74" s="240"/>
      <c r="AD74" s="240"/>
    </row>
    <row r="75" spans="23:30" ht="15" customHeight="1" thickBot="1" x14ac:dyDescent="0.3">
      <c r="W75" s="15"/>
      <c r="X75" s="13"/>
      <c r="Y75" s="13"/>
      <c r="Z75" s="352">
        <f ca="1">SUM(Z45:Z74)</f>
        <v>801.9</v>
      </c>
      <c r="AA75" s="239"/>
      <c r="AB75" s="239"/>
      <c r="AC75" s="240"/>
      <c r="AD75" s="240"/>
    </row>
    <row r="76" spans="23:30" ht="15" customHeight="1" x14ac:dyDescent="0.25"/>
    <row r="77" spans="23:30" ht="15" customHeight="1" x14ac:dyDescent="0.25"/>
    <row r="78" spans="23:30" ht="15" customHeight="1" x14ac:dyDescent="0.25"/>
    <row r="79" spans="23:30" ht="15" customHeight="1" x14ac:dyDescent="0.25"/>
  </sheetData>
  <sheetProtection formatColumns="0"/>
  <mergeCells count="23">
    <mergeCell ref="N6:U6"/>
    <mergeCell ref="N12:U12"/>
    <mergeCell ref="N24:U24"/>
    <mergeCell ref="N31:U31"/>
    <mergeCell ref="M3:M4"/>
    <mergeCell ref="N3:U4"/>
    <mergeCell ref="V3:V4"/>
    <mergeCell ref="W3:X4"/>
    <mergeCell ref="Y3:Y4"/>
    <mergeCell ref="Z3:AB3"/>
    <mergeCell ref="A3:A4"/>
    <mergeCell ref="B3:B4"/>
    <mergeCell ref="D3:G3"/>
    <mergeCell ref="H3:I4"/>
    <mergeCell ref="J3:J4"/>
    <mergeCell ref="K3:L4"/>
    <mergeCell ref="A1:A2"/>
    <mergeCell ref="H1:U1"/>
    <mergeCell ref="V1:W1"/>
    <mergeCell ref="AC1:AC2"/>
    <mergeCell ref="AD1:AD2"/>
    <mergeCell ref="H2:U2"/>
    <mergeCell ref="V2:W2"/>
  </mergeCells>
  <dataValidations count="3">
    <dataValidation type="list" allowBlank="1" showInputMessage="1" showErrorMessage="1" sqref="B25:B28 B32:B33" xr:uid="{ECC603B8-2F59-4974-B50A-A5506BCB6A33}">
      <formula1>VCF.BMO.ALL</formula1>
    </dataValidation>
    <dataValidation type="list" allowBlank="1" showInputMessage="1" showErrorMessage="1" sqref="B42" xr:uid="{C0348276-8670-4A3C-931C-155857A88B50}">
      <formula1>ListeCDG</formula1>
    </dataValidation>
    <dataValidation type="list" errorStyle="warning" allowBlank="1" showInputMessage="1" showErrorMessage="1" sqref="B7:B11" xr:uid="{1016CE5F-9682-43AA-9788-E6342B325483}">
      <formula1>VCF.BMO.ALL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94" orientation="landscape" r:id="rId1"/>
  <headerFooter>
    <oddFooter>&amp;L&amp;K04-019Service Méthodes d'Organisation&amp;CPage &amp;P/&amp;N&amp;R&amp;A
&amp;F</oddFooter>
    <firstFooter>&amp;L&amp;K04-014Service Méthodes d'Organisation Sud-Ouest</first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39D40-08B2-4143-809A-16681E48C14D}">
  <sheetPr codeName="Feuil20">
    <tabColor rgb="FF1400FF"/>
    <pageSetUpPr fitToPage="1"/>
  </sheetPr>
  <dimension ref="A1:AD95"/>
  <sheetViews>
    <sheetView showZeros="0" zoomScale="70" zoomScaleNormal="70" zoomScalePageLayoutView="85" workbookViewId="0">
      <selection activeCell="A60" sqref="A60:XFD60"/>
    </sheetView>
  </sheetViews>
  <sheetFormatPr baseColWidth="10" defaultColWidth="10" defaultRowHeight="15" x14ac:dyDescent="0.25"/>
  <cols>
    <col min="1" max="1" width="41.5" style="240" bestFit="1" customWidth="1"/>
    <col min="2" max="2" width="27.375" style="240" customWidth="1"/>
    <col min="3" max="3" width="0.75" style="240" customWidth="1"/>
    <col min="4" max="7" width="8.625" style="240" customWidth="1"/>
    <col min="8" max="9" width="5.375" style="240" customWidth="1"/>
    <col min="10" max="10" width="5.375" style="342" customWidth="1"/>
    <col min="11" max="12" width="5.375" style="240" customWidth="1"/>
    <col min="13" max="13" width="9.5" style="13" customWidth="1"/>
    <col min="14" max="14" width="5" style="343" customWidth="1"/>
    <col min="15" max="15" width="6.125" style="343" customWidth="1"/>
    <col min="16" max="16" width="5" style="343" customWidth="1"/>
    <col min="17" max="17" width="6.125" style="343" customWidth="1"/>
    <col min="18" max="18" width="5" style="343" customWidth="1"/>
    <col min="19" max="20" width="4.375" style="343" customWidth="1"/>
    <col min="21" max="21" width="3.5" style="343" customWidth="1"/>
    <col min="22" max="22" width="8" style="349" customWidth="1"/>
    <col min="23" max="23" width="3.875" style="240" customWidth="1"/>
    <col min="24" max="24" width="10.25" style="240" bestFit="1" customWidth="1"/>
    <col min="25" max="25" width="5.25" style="15" customWidth="1"/>
    <col min="26" max="28" width="8.625" style="13" customWidth="1"/>
    <col min="29" max="29" width="10" style="239"/>
    <col min="30" max="16384" width="10" style="240"/>
  </cols>
  <sheetData>
    <row r="1" spans="1:30" s="91" customFormat="1" ht="18.75" customHeight="1" x14ac:dyDescent="0.25">
      <c r="A1" s="80" t="str">
        <f>VCF.SOMMAIRE.NIVEAUX.63366237336634372D623230622D346366342D613132662D643661386338316337363564.65653364353933342D663566652D346664302D626536352D363265393836356538316230.34313563623836342D333836312D343830392D386632612D383735343239623038346562</f>
        <v>PH R-1</v>
      </c>
      <c r="B1" s="81"/>
      <c r="C1" s="81"/>
      <c r="D1" s="81"/>
      <c r="E1" s="81"/>
      <c r="F1" s="81"/>
      <c r="G1" s="81"/>
      <c r="H1" s="82" t="str">
        <f>VCF.SOMMAIRE.HYP1</f>
        <v>Hypothèses : activité 60</v>
      </c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4"/>
      <c r="V1" s="353" t="s">
        <v>42</v>
      </c>
      <c r="W1" s="354"/>
      <c r="X1" s="87" t="str">
        <f>VCF.SOMMAIRE.ENTREPRISE</f>
        <v>SOGEA SUD BATIMENT</v>
      </c>
      <c r="Y1" s="88"/>
      <c r="Z1" s="89"/>
      <c r="AA1" s="89"/>
      <c r="AB1" s="355"/>
      <c r="AC1" s="90" t="s">
        <v>35</v>
      </c>
      <c r="AD1" s="90" t="s">
        <v>43</v>
      </c>
    </row>
    <row r="2" spans="1:30" s="91" customFormat="1" ht="19.5" thickBot="1" x14ac:dyDescent="0.3">
      <c r="A2" s="92"/>
      <c r="B2" s="93"/>
      <c r="C2" s="93"/>
      <c r="D2" s="93"/>
      <c r="E2" s="93"/>
      <c r="F2" s="93"/>
      <c r="G2" s="93"/>
      <c r="H2" s="94" t="str">
        <f>VCF.SOMMAIRE.HYP2</f>
        <v xml:space="preserve"> 37Hr semaine = 7.40H/J</v>
      </c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6"/>
      <c r="V2" s="356" t="s">
        <v>44</v>
      </c>
      <c r="W2" s="357"/>
      <c r="X2" s="99" t="str">
        <f>VCF.SOMMAIRE.CHANTIER</f>
        <v>HOCHE NIMES</v>
      </c>
      <c r="Y2" s="100"/>
      <c r="Z2" s="101"/>
      <c r="AA2" s="101"/>
      <c r="AB2" s="358"/>
      <c r="AC2" s="90"/>
      <c r="AD2" s="90"/>
    </row>
    <row r="3" spans="1:30" s="91" customFormat="1" ht="15.75" customHeight="1" thickTop="1" x14ac:dyDescent="0.25">
      <c r="A3" s="102" t="s">
        <v>45</v>
      </c>
      <c r="B3" s="103" t="s">
        <v>46</v>
      </c>
      <c r="C3" s="104"/>
      <c r="D3" s="105" t="s">
        <v>47</v>
      </c>
      <c r="E3" s="105"/>
      <c r="F3" s="105"/>
      <c r="G3" s="106"/>
      <c r="H3" s="107" t="s">
        <v>48</v>
      </c>
      <c r="I3" s="108"/>
      <c r="J3" s="109" t="s">
        <v>49</v>
      </c>
      <c r="K3" s="110" t="s">
        <v>50</v>
      </c>
      <c r="L3" s="111"/>
      <c r="M3" s="112" t="s">
        <v>51</v>
      </c>
      <c r="N3" s="113" t="s">
        <v>52</v>
      </c>
      <c r="O3" s="114"/>
      <c r="P3" s="114"/>
      <c r="Q3" s="114"/>
      <c r="R3" s="114"/>
      <c r="S3" s="114"/>
      <c r="T3" s="114"/>
      <c r="U3" s="115"/>
      <c r="V3" s="116" t="s">
        <v>53</v>
      </c>
      <c r="W3" s="117" t="s">
        <v>54</v>
      </c>
      <c r="X3" s="117"/>
      <c r="Y3" s="118" t="s">
        <v>55</v>
      </c>
      <c r="Z3" s="119" t="s">
        <v>56</v>
      </c>
      <c r="AA3" s="119"/>
      <c r="AB3" s="120"/>
      <c r="AC3" s="121"/>
    </row>
    <row r="4" spans="1:30" s="91" customFormat="1" x14ac:dyDescent="0.25">
      <c r="A4" s="122"/>
      <c r="B4" s="123"/>
      <c r="C4" s="124"/>
      <c r="D4" s="124" t="s">
        <v>37</v>
      </c>
      <c r="E4" s="124" t="s">
        <v>36</v>
      </c>
      <c r="F4" s="124" t="s">
        <v>38</v>
      </c>
      <c r="G4" s="125" t="s">
        <v>57</v>
      </c>
      <c r="H4" s="126"/>
      <c r="I4" s="127"/>
      <c r="J4" s="128"/>
      <c r="K4" s="126"/>
      <c r="L4" s="129"/>
      <c r="M4" s="130"/>
      <c r="N4" s="131"/>
      <c r="O4" s="132"/>
      <c r="P4" s="132"/>
      <c r="Q4" s="132"/>
      <c r="R4" s="132"/>
      <c r="S4" s="132"/>
      <c r="T4" s="132"/>
      <c r="U4" s="133"/>
      <c r="V4" s="134"/>
      <c r="W4" s="135"/>
      <c r="X4" s="135"/>
      <c r="Y4" s="136"/>
      <c r="Z4" s="137">
        <v>60</v>
      </c>
      <c r="AA4" s="138">
        <v>55</v>
      </c>
      <c r="AB4" s="139">
        <v>52</v>
      </c>
      <c r="AC4" s="121"/>
    </row>
    <row r="5" spans="1:30" s="91" customFormat="1" x14ac:dyDescent="0.25">
      <c r="A5" s="140"/>
      <c r="B5" s="141"/>
      <c r="C5" s="142"/>
      <c r="D5" s="143"/>
      <c r="E5" s="143"/>
      <c r="F5" s="143"/>
      <c r="G5" s="143"/>
      <c r="H5" s="144"/>
      <c r="I5" s="145"/>
      <c r="J5" s="146"/>
      <c r="K5" s="147"/>
      <c r="L5" s="148"/>
      <c r="M5" s="149"/>
      <c r="N5" s="150"/>
      <c r="O5" s="150"/>
      <c r="P5" s="150"/>
      <c r="Q5" s="150"/>
      <c r="R5" s="150"/>
      <c r="S5" s="150"/>
      <c r="T5" s="150"/>
      <c r="U5" s="151"/>
      <c r="V5" s="152"/>
      <c r="W5" s="147"/>
      <c r="X5" s="148"/>
      <c r="Y5" s="153"/>
      <c r="Z5" s="154"/>
      <c r="AA5" s="155"/>
      <c r="AB5" s="156"/>
      <c r="AC5" s="121"/>
    </row>
    <row r="6" spans="1:30" s="91" customFormat="1" x14ac:dyDescent="0.25">
      <c r="A6" s="157" t="s">
        <v>58</v>
      </c>
      <c r="B6" s="158"/>
      <c r="C6" s="159"/>
      <c r="D6" s="160"/>
      <c r="E6" s="160"/>
      <c r="F6" s="160"/>
      <c r="G6" s="160"/>
      <c r="H6" s="161"/>
      <c r="I6" s="162"/>
      <c r="J6" s="163"/>
      <c r="K6" s="164"/>
      <c r="L6" s="165"/>
      <c r="M6" s="166"/>
      <c r="N6" s="167"/>
      <c r="O6" s="168"/>
      <c r="P6" s="168"/>
      <c r="Q6" s="168"/>
      <c r="R6" s="168"/>
      <c r="S6" s="168"/>
      <c r="T6" s="168"/>
      <c r="U6" s="169"/>
      <c r="V6" s="170"/>
      <c r="W6" s="171"/>
      <c r="X6" s="172"/>
      <c r="Y6" s="173"/>
      <c r="Z6" s="174"/>
      <c r="AA6" s="175"/>
      <c r="AB6" s="176"/>
      <c r="AC6" s="121"/>
    </row>
    <row r="7" spans="1:30" s="91" customFormat="1" x14ac:dyDescent="0.25">
      <c r="A7" s="177"/>
      <c r="B7" s="178"/>
      <c r="C7" s="179"/>
      <c r="D7" s="180"/>
      <c r="E7" s="180"/>
      <c r="F7" s="180"/>
      <c r="G7" s="180"/>
      <c r="H7" s="181" t="str">
        <f>IF(I7="","",IF(I7="u",ROUND(D7, 0),IF(I7="ml",ROUND(E7,1),IF(I7="m²",ROUND(F7,1),ROUND(G7,1)))))</f>
        <v/>
      </c>
      <c r="I7" s="182" t="str">
        <f>IF(B7="","",IF(A7="","",INDEX([1]BMO!$A$5:$B$284,MATCH(B7,[1]BMO!$B$5:$B$284,0),1)))</f>
        <v/>
      </c>
      <c r="J7" s="183" t="s">
        <v>61</v>
      </c>
      <c r="K7" s="184" t="str">
        <f>IF(H7="","",AA7/H7)</f>
        <v/>
      </c>
      <c r="L7" s="185" t="str">
        <f>IF(H7="","",CONCATENATE("h/",I7))</f>
        <v/>
      </c>
      <c r="M7" s="186" t="str">
        <f>IF(H7="","",H7*K7)</f>
        <v/>
      </c>
      <c r="N7" s="187"/>
      <c r="O7" s="187"/>
      <c r="P7" s="187"/>
      <c r="Q7" s="187"/>
      <c r="R7" s="187"/>
      <c r="S7" s="187"/>
      <c r="T7" s="187"/>
      <c r="U7" s="188"/>
      <c r="V7" s="189" t="s">
        <v>61</v>
      </c>
      <c r="W7" s="190" t="str">
        <f>IF(H7="","",ROUND(H7/V7,1))</f>
        <v/>
      </c>
      <c r="X7" s="191" t="str">
        <f>IF(H7="","",CONCATENATE(I7,"/j"))</f>
        <v/>
      </c>
      <c r="Y7" s="192" t="str">
        <f>IF(H7="","",ROUND((H7*J7)/(V7*7.4),0))</f>
        <v/>
      </c>
      <c r="Z7" s="193" t="str">
        <f>IF(Y7="","",ROUND(Y7*V7*7.4,2))</f>
        <v/>
      </c>
      <c r="AA7" s="194" t="str">
        <f>Z7</f>
        <v/>
      </c>
      <c r="AB7" s="195" t="str">
        <f>AA7</f>
        <v/>
      </c>
      <c r="AC7" s="121"/>
    </row>
    <row r="8" spans="1:30" s="91" customFormat="1" ht="15.75" thickBot="1" x14ac:dyDescent="0.3">
      <c r="A8" s="198"/>
      <c r="B8" s="199"/>
      <c r="C8" s="200"/>
      <c r="D8" s="201"/>
      <c r="E8" s="201"/>
      <c r="F8" s="201"/>
      <c r="G8" s="201"/>
      <c r="H8" s="181" t="str">
        <f t="shared" ref="H8" si="0">IF(I8="","",IF(I8="u",ROUND(D8, 0),IF(I8="ml",ROUND(E8,1),IF(I8="m²",ROUND(F8,1),ROUND(G8,1)))))</f>
        <v/>
      </c>
      <c r="I8" s="182" t="str">
        <f>IF(B8="","",IF(A8="","",INDEX([1]BMO!$A$5:$B$284,MATCH(B8,[1]BMO!$B$5:$B$284,0),1)))</f>
        <v/>
      </c>
      <c r="J8" s="183" t="s">
        <v>61</v>
      </c>
      <c r="K8" s="184" t="str">
        <f t="shared" ref="K8" si="1">IF(H8="","",AA8/H8)</f>
        <v/>
      </c>
      <c r="L8" s="185" t="str">
        <f t="shared" ref="L8" si="2">IF(H8="","",CONCATENATE("h/",I8))</f>
        <v/>
      </c>
      <c r="M8" s="186" t="str">
        <f t="shared" ref="M8" si="3">IF(H8="","",H8*K8)</f>
        <v/>
      </c>
      <c r="N8" s="187"/>
      <c r="O8" s="187"/>
      <c r="P8" s="187"/>
      <c r="Q8" s="187"/>
      <c r="R8" s="187"/>
      <c r="S8" s="187"/>
      <c r="T8" s="187"/>
      <c r="U8" s="188"/>
      <c r="V8" s="189" t="s">
        <v>61</v>
      </c>
      <c r="W8" s="190" t="str">
        <f t="shared" ref="W8" si="4">IF(H8="","",ROUND(H8/V8,1))</f>
        <v/>
      </c>
      <c r="X8" s="191" t="str">
        <f t="shared" ref="X8" si="5">IF(H8="","",CONCATENATE(I8,"/j"))</f>
        <v/>
      </c>
      <c r="Y8" s="192" t="str">
        <f t="shared" ref="Y8" si="6">IF(H8="","",ROUND((H8*J8)/(V8*7.4),0))</f>
        <v/>
      </c>
      <c r="Z8" s="193" t="str">
        <f t="shared" ref="Z8" si="7">IF(Y8="","",ROUND(Y8*V8*7.4,2))</f>
        <v/>
      </c>
      <c r="AA8" s="194" t="str">
        <f t="shared" ref="AA8:AB8" si="8">Z8</f>
        <v/>
      </c>
      <c r="AB8" s="195" t="str">
        <f t="shared" si="8"/>
        <v/>
      </c>
      <c r="AC8" s="121"/>
    </row>
    <row r="9" spans="1:30" s="222" customFormat="1" ht="15.75" hidden="1" thickBot="1" x14ac:dyDescent="0.35">
      <c r="A9" s="202" t="s">
        <v>60</v>
      </c>
      <c r="B9" s="203"/>
      <c r="C9" s="204"/>
      <c r="D9" s="205"/>
      <c r="E9" s="205"/>
      <c r="F9" s="205"/>
      <c r="G9" s="205"/>
      <c r="H9" s="206"/>
      <c r="I9" s="207"/>
      <c r="J9" s="208"/>
      <c r="K9" s="209"/>
      <c r="L9" s="210"/>
      <c r="M9" s="211"/>
      <c r="N9" s="212"/>
      <c r="O9" s="213"/>
      <c r="P9" s="213"/>
      <c r="Q9" s="213"/>
      <c r="R9" s="213"/>
      <c r="S9" s="213"/>
      <c r="T9" s="213"/>
      <c r="U9" s="214"/>
      <c r="V9" s="215">
        <v>28</v>
      </c>
      <c r="W9" s="216"/>
      <c r="X9" s="217"/>
      <c r="Y9" s="218">
        <f ca="1">IF(SUM(OFFSET(H9,1,0):H20)=0,0,ROUND(SUMPRODUCT(OFFSET(H9,1,0):H20,OFFSET(J9,1,0):J20)/(V9*8.1),0))</f>
        <v>0</v>
      </c>
      <c r="Z9" s="219" t="str">
        <f ca="1">IF(Y9=0,"",ROUND(Y9*V9*7.4,2))</f>
        <v/>
      </c>
      <c r="AA9" s="220" t="str">
        <f ca="1">IF(Y9=0,"",ROUND(Y9*V9*8.1,2))</f>
        <v/>
      </c>
      <c r="AB9" s="221" t="str">
        <f ca="1">IF(Y9=0,"",ROUND(Y9*V9*7.4*60/52,2))</f>
        <v/>
      </c>
      <c r="AC9" s="200"/>
    </row>
    <row r="10" spans="1:30" ht="16.5" hidden="1" thickBot="1" x14ac:dyDescent="0.35">
      <c r="A10" s="223"/>
      <c r="B10" s="224"/>
      <c r="C10" s="225"/>
      <c r="D10" s="226"/>
      <c r="E10" s="227"/>
      <c r="F10" s="227"/>
      <c r="G10" s="227"/>
      <c r="H10" s="181" t="str">
        <f t="shared" ref="H10:H18" si="9">IF(I10="","",IF(I10="u",ROUND(D10, 0),IF(I10="ml",ROUND(E10,1),IF(I10="m²",ROUND(F10,1),ROUND(G10,1)))))</f>
        <v/>
      </c>
      <c r="I10" s="182" t="str">
        <f>IF(B10="","",IF(A10="","",INDEX([1]BMO!$A$5:$B$284,MATCH(B10,[1]BMO!$B$5:$B$284,0),1)))</f>
        <v/>
      </c>
      <c r="J10" s="183" t="s">
        <v>61</v>
      </c>
      <c r="K10" s="184" t="str">
        <f>IF(J10="","",J10*AA9/SUMPRODUCT(H9:H20,J9:J20))</f>
        <v/>
      </c>
      <c r="L10" s="185" t="str">
        <f>IF(I10="","",CONCATENATE("h/",I10))</f>
        <v/>
      </c>
      <c r="M10" s="228" t="str">
        <f>IF(H10="","",H10*K10)</f>
        <v/>
      </c>
      <c r="N10" s="229"/>
      <c r="O10" s="230"/>
      <c r="P10" s="229"/>
      <c r="Q10" s="231"/>
      <c r="R10" s="229"/>
      <c r="S10" s="232"/>
      <c r="T10" s="232"/>
      <c r="U10" s="233"/>
      <c r="V10" s="234" t="s">
        <v>61</v>
      </c>
      <c r="W10" s="190" t="str">
        <f t="shared" ref="W10:W18" si="10">IF(H10="","",ROUND(H10/V10,1))</f>
        <v/>
      </c>
      <c r="X10" s="191" t="str">
        <f t="shared" ref="X10:X18" si="11">IF(W10="","",CONCATENATE(I10,"/j"))</f>
        <v/>
      </c>
      <c r="Y10" s="235"/>
      <c r="Z10" s="236" t="str">
        <f t="shared" ref="Z10:Z18" si="12">IF(Y10=0,"",ROUND(Y10*V10*7.4,2))</f>
        <v/>
      </c>
      <c r="AA10" s="237" t="str">
        <f t="shared" ref="AA10:AA18" si="13">IF(Y10=0,"",ROUND(Y10*V10*8.1,2))</f>
        <v/>
      </c>
      <c r="AB10" s="238" t="str">
        <f t="shared" ref="AB10:AB18" si="14">IF(Y10=0,"",ROUND(Y10*V10*7.4*60/52,2))</f>
        <v/>
      </c>
    </row>
    <row r="11" spans="1:30" ht="16.5" hidden="1" thickBot="1" x14ac:dyDescent="0.35">
      <c r="A11" s="223"/>
      <c r="B11" s="224"/>
      <c r="C11" s="179"/>
      <c r="D11" s="241"/>
      <c r="E11" s="242"/>
      <c r="F11" s="227"/>
      <c r="G11" s="227"/>
      <c r="H11" s="181" t="str">
        <f t="shared" si="9"/>
        <v/>
      </c>
      <c r="I11" s="182" t="str">
        <f>IF(B11="","",IF(A11="","",INDEX([1]BMO!$A$5:$B$284,MATCH(B11,[1]BMO!$B$5:$B$284,0),1)))</f>
        <v/>
      </c>
      <c r="J11" s="183" t="s">
        <v>61</v>
      </c>
      <c r="K11" s="184" t="str">
        <f>IF(J11="","",J11*AA9/SUMPRODUCT(H9:H20,J9:J20))</f>
        <v/>
      </c>
      <c r="L11" s="243" t="str">
        <f t="shared" ref="L11:L18" si="15">IF(I11="","",CONCATENATE("h/",I11))</f>
        <v/>
      </c>
      <c r="M11" s="186" t="str">
        <f t="shared" ref="M11:M18" si="16">IF(H11="","",H11*K11)</f>
        <v/>
      </c>
      <c r="N11" s="229"/>
      <c r="O11" s="230"/>
      <c r="P11" s="229"/>
      <c r="Q11" s="231"/>
      <c r="R11" s="229"/>
      <c r="S11" s="187"/>
      <c r="T11" s="187"/>
      <c r="U11" s="244"/>
      <c r="V11" s="234" t="s">
        <v>61</v>
      </c>
      <c r="W11" s="190" t="str">
        <f t="shared" si="10"/>
        <v/>
      </c>
      <c r="X11" s="191" t="str">
        <f t="shared" si="11"/>
        <v/>
      </c>
      <c r="Y11" s="235"/>
      <c r="Z11" s="236" t="str">
        <f t="shared" si="12"/>
        <v/>
      </c>
      <c r="AA11" s="237" t="str">
        <f t="shared" si="13"/>
        <v/>
      </c>
      <c r="AB11" s="238" t="str">
        <f t="shared" si="14"/>
        <v/>
      </c>
    </row>
    <row r="12" spans="1:30" ht="16.5" hidden="1" thickBot="1" x14ac:dyDescent="0.35">
      <c r="A12" s="223"/>
      <c r="B12" s="224"/>
      <c r="C12" s="179"/>
      <c r="D12" s="241"/>
      <c r="E12" s="242"/>
      <c r="F12" s="242"/>
      <c r="G12" s="227"/>
      <c r="H12" s="181" t="str">
        <f t="shared" si="9"/>
        <v/>
      </c>
      <c r="I12" s="182" t="str">
        <f>IF(B12="","",IF(A12="","",INDEX([1]BMO!$A$5:$B$284,MATCH(B12,[1]BMO!$B$5:$B$284,0),1)))</f>
        <v/>
      </c>
      <c r="J12" s="183" t="s">
        <v>61</v>
      </c>
      <c r="K12" s="184" t="str">
        <f>IF(J12="","",J12*AA9/SUMPRODUCT(H9:H20,J9:J20))</f>
        <v/>
      </c>
      <c r="L12" s="243" t="str">
        <f t="shared" si="15"/>
        <v/>
      </c>
      <c r="M12" s="186" t="str">
        <f t="shared" si="16"/>
        <v/>
      </c>
      <c r="N12" s="229"/>
      <c r="O12" s="230"/>
      <c r="P12" s="229"/>
      <c r="Q12" s="231"/>
      <c r="R12" s="229"/>
      <c r="S12" s="187"/>
      <c r="T12" s="187"/>
      <c r="U12" s="244"/>
      <c r="V12" s="234" t="s">
        <v>61</v>
      </c>
      <c r="W12" s="190" t="str">
        <f t="shared" si="10"/>
        <v/>
      </c>
      <c r="X12" s="191" t="str">
        <f t="shared" si="11"/>
        <v/>
      </c>
      <c r="Y12" s="235"/>
      <c r="Z12" s="236" t="str">
        <f t="shared" si="12"/>
        <v/>
      </c>
      <c r="AA12" s="237" t="str">
        <f t="shared" si="13"/>
        <v/>
      </c>
      <c r="AB12" s="238" t="str">
        <f t="shared" si="14"/>
        <v/>
      </c>
    </row>
    <row r="13" spans="1:30" ht="16.5" hidden="1" thickBot="1" x14ac:dyDescent="0.35">
      <c r="A13" s="223"/>
      <c r="B13" s="224"/>
      <c r="C13" s="179"/>
      <c r="D13" s="241"/>
      <c r="E13" s="242"/>
      <c r="F13" s="242"/>
      <c r="G13" s="227"/>
      <c r="H13" s="181" t="str">
        <f t="shared" si="9"/>
        <v/>
      </c>
      <c r="I13" s="182" t="str">
        <f>IF(B13="","",IF(A13="","",INDEX([1]BMO!$A$5:$B$284,MATCH(B13,[1]BMO!$B$5:$B$284,0),1)))</f>
        <v/>
      </c>
      <c r="J13" s="183" t="s">
        <v>61</v>
      </c>
      <c r="K13" s="184" t="str">
        <f>IF(J13="","",J13*AA9/SUMPRODUCT(H9:H20,J9:J20))</f>
        <v/>
      </c>
      <c r="L13" s="243" t="str">
        <f t="shared" si="15"/>
        <v/>
      </c>
      <c r="M13" s="186" t="str">
        <f t="shared" si="16"/>
        <v/>
      </c>
      <c r="N13" s="229"/>
      <c r="O13" s="230"/>
      <c r="P13" s="229"/>
      <c r="Q13" s="231"/>
      <c r="R13" s="229"/>
      <c r="S13" s="187"/>
      <c r="T13" s="187"/>
      <c r="U13" s="244"/>
      <c r="V13" s="234" t="s">
        <v>61</v>
      </c>
      <c r="W13" s="190" t="str">
        <f t="shared" si="10"/>
        <v/>
      </c>
      <c r="X13" s="191" t="str">
        <f t="shared" si="11"/>
        <v/>
      </c>
      <c r="Y13" s="235"/>
      <c r="Z13" s="236" t="str">
        <f t="shared" si="12"/>
        <v/>
      </c>
      <c r="AA13" s="237" t="str">
        <f t="shared" si="13"/>
        <v/>
      </c>
      <c r="AB13" s="238" t="str">
        <f t="shared" si="14"/>
        <v/>
      </c>
    </row>
    <row r="14" spans="1:30" ht="16.5" hidden="1" thickBot="1" x14ac:dyDescent="0.35">
      <c r="A14" s="223"/>
      <c r="B14" s="224"/>
      <c r="C14" s="179"/>
      <c r="D14" s="241"/>
      <c r="E14" s="242"/>
      <c r="F14" s="242"/>
      <c r="G14" s="227"/>
      <c r="H14" s="181" t="str">
        <f t="shared" si="9"/>
        <v/>
      </c>
      <c r="I14" s="182" t="str">
        <f>IF(B14="","",IF(A14="","",INDEX([1]BMO!$A$5:$B$284,MATCH(B14,[1]BMO!$B$5:$B$284,0),1)))</f>
        <v/>
      </c>
      <c r="J14" s="183" t="s">
        <v>61</v>
      </c>
      <c r="K14" s="184" t="str">
        <f>IF(J14="","",J14*AA9/SUMPRODUCT(H9:H20,J9:J20))</f>
        <v/>
      </c>
      <c r="L14" s="243" t="str">
        <f t="shared" si="15"/>
        <v/>
      </c>
      <c r="M14" s="186" t="str">
        <f t="shared" si="16"/>
        <v/>
      </c>
      <c r="N14" s="229"/>
      <c r="O14" s="230"/>
      <c r="P14" s="229"/>
      <c r="Q14" s="231"/>
      <c r="R14" s="229"/>
      <c r="S14" s="187"/>
      <c r="T14" s="187"/>
      <c r="U14" s="244"/>
      <c r="V14" s="234" t="s">
        <v>61</v>
      </c>
      <c r="W14" s="190" t="str">
        <f t="shared" si="10"/>
        <v/>
      </c>
      <c r="X14" s="191" t="str">
        <f t="shared" si="11"/>
        <v/>
      </c>
      <c r="Y14" s="235"/>
      <c r="Z14" s="236" t="str">
        <f t="shared" si="12"/>
        <v/>
      </c>
      <c r="AA14" s="237" t="str">
        <f t="shared" si="13"/>
        <v/>
      </c>
      <c r="AB14" s="238" t="str">
        <f t="shared" si="14"/>
        <v/>
      </c>
    </row>
    <row r="15" spans="1:30" ht="16.5" hidden="1" thickBot="1" x14ac:dyDescent="0.35">
      <c r="A15" s="223"/>
      <c r="B15" s="224"/>
      <c r="C15" s="179"/>
      <c r="D15" s="241"/>
      <c r="E15" s="242"/>
      <c r="F15" s="242"/>
      <c r="G15" s="227"/>
      <c r="H15" s="181" t="str">
        <f t="shared" si="9"/>
        <v/>
      </c>
      <c r="I15" s="182" t="str">
        <f>IF(B15="","",IF(A15="","",INDEX([1]BMO!$A$5:$B$284,MATCH(B15,[1]BMO!$B$5:$B$284,0),1)))</f>
        <v/>
      </c>
      <c r="J15" s="183" t="s">
        <v>61</v>
      </c>
      <c r="K15" s="184" t="str">
        <f>IF(J15="","",J15*AA9/SUMPRODUCT(H9:H20,J9:J20))</f>
        <v/>
      </c>
      <c r="L15" s="243" t="str">
        <f t="shared" si="15"/>
        <v/>
      </c>
      <c r="M15" s="186" t="str">
        <f t="shared" si="16"/>
        <v/>
      </c>
      <c r="N15" s="229"/>
      <c r="O15" s="230"/>
      <c r="P15" s="229"/>
      <c r="Q15" s="231"/>
      <c r="R15" s="229"/>
      <c r="S15" s="187"/>
      <c r="T15" s="187"/>
      <c r="U15" s="244"/>
      <c r="V15" s="234" t="s">
        <v>61</v>
      </c>
      <c r="W15" s="190" t="str">
        <f t="shared" si="10"/>
        <v/>
      </c>
      <c r="X15" s="191" t="str">
        <f t="shared" si="11"/>
        <v/>
      </c>
      <c r="Y15" s="235"/>
      <c r="Z15" s="236" t="str">
        <f t="shared" si="12"/>
        <v/>
      </c>
      <c r="AA15" s="237" t="str">
        <f t="shared" si="13"/>
        <v/>
      </c>
      <c r="AB15" s="238" t="str">
        <f t="shared" si="14"/>
        <v/>
      </c>
    </row>
    <row r="16" spans="1:30" ht="16.5" hidden="1" thickBot="1" x14ac:dyDescent="0.35">
      <c r="A16" s="223"/>
      <c r="B16" s="224"/>
      <c r="C16" s="179"/>
      <c r="D16" s="241"/>
      <c r="E16" s="242"/>
      <c r="F16" s="242"/>
      <c r="G16" s="227"/>
      <c r="H16" s="181" t="str">
        <f t="shared" si="9"/>
        <v/>
      </c>
      <c r="I16" s="182" t="str">
        <f>IF(B16="","",IF(A16="","",INDEX([1]BMO!$A$5:$B$284,MATCH(B16,[1]BMO!$B$5:$B$284,0),1)))</f>
        <v/>
      </c>
      <c r="J16" s="183" t="s">
        <v>61</v>
      </c>
      <c r="K16" s="184" t="str">
        <f>IF(J16="","",J16*AA9/SUMPRODUCT(H9:H20,J9:J20))</f>
        <v/>
      </c>
      <c r="L16" s="243" t="str">
        <f t="shared" si="15"/>
        <v/>
      </c>
      <c r="M16" s="186" t="str">
        <f t="shared" si="16"/>
        <v/>
      </c>
      <c r="N16" s="229"/>
      <c r="O16" s="230"/>
      <c r="P16" s="229"/>
      <c r="Q16" s="231"/>
      <c r="R16" s="229"/>
      <c r="S16" s="187"/>
      <c r="T16" s="187"/>
      <c r="U16" s="244"/>
      <c r="V16" s="234" t="s">
        <v>61</v>
      </c>
      <c r="W16" s="190" t="str">
        <f t="shared" si="10"/>
        <v/>
      </c>
      <c r="X16" s="191" t="str">
        <f t="shared" si="11"/>
        <v/>
      </c>
      <c r="Y16" s="235"/>
      <c r="Z16" s="236" t="str">
        <f t="shared" si="12"/>
        <v/>
      </c>
      <c r="AA16" s="237" t="str">
        <f t="shared" si="13"/>
        <v/>
      </c>
      <c r="AB16" s="238" t="str">
        <f t="shared" si="14"/>
        <v/>
      </c>
    </row>
    <row r="17" spans="1:30" ht="16.5" hidden="1" thickBot="1" x14ac:dyDescent="0.35">
      <c r="A17" s="223"/>
      <c r="B17" s="224"/>
      <c r="C17" s="179"/>
      <c r="D17" s="241"/>
      <c r="E17" s="242"/>
      <c r="F17" s="242"/>
      <c r="G17" s="227"/>
      <c r="H17" s="181" t="str">
        <f t="shared" si="9"/>
        <v/>
      </c>
      <c r="I17" s="182" t="str">
        <f>IF(B17="","",IF(A17="","",INDEX([1]BMO!$A$5:$B$284,MATCH(B17,[1]BMO!$B$5:$B$284,0),1)))</f>
        <v/>
      </c>
      <c r="J17" s="183" t="s">
        <v>61</v>
      </c>
      <c r="K17" s="184" t="str">
        <f>IF(J17="","",J17*AA9/SUMPRODUCT(H9:H20,J9:J20))</f>
        <v/>
      </c>
      <c r="L17" s="243" t="str">
        <f t="shared" si="15"/>
        <v/>
      </c>
      <c r="M17" s="186" t="str">
        <f t="shared" si="16"/>
        <v/>
      </c>
      <c r="N17" s="229"/>
      <c r="O17" s="230"/>
      <c r="P17" s="229"/>
      <c r="Q17" s="231"/>
      <c r="R17" s="229"/>
      <c r="S17" s="187"/>
      <c r="T17" s="187"/>
      <c r="U17" s="244"/>
      <c r="V17" s="234" t="s">
        <v>61</v>
      </c>
      <c r="W17" s="190" t="str">
        <f t="shared" si="10"/>
        <v/>
      </c>
      <c r="X17" s="191" t="str">
        <f t="shared" si="11"/>
        <v/>
      </c>
      <c r="Y17" s="235"/>
      <c r="Z17" s="236" t="str">
        <f t="shared" si="12"/>
        <v/>
      </c>
      <c r="AA17" s="237" t="str">
        <f t="shared" si="13"/>
        <v/>
      </c>
      <c r="AB17" s="238" t="str">
        <f t="shared" si="14"/>
        <v/>
      </c>
    </row>
    <row r="18" spans="1:30" ht="15" hidden="1" customHeight="1" x14ac:dyDescent="0.3">
      <c r="A18" s="223"/>
      <c r="B18" s="224"/>
      <c r="C18" s="179"/>
      <c r="D18" s="241"/>
      <c r="E18" s="242"/>
      <c r="F18" s="242"/>
      <c r="G18" s="242"/>
      <c r="H18" s="181" t="str">
        <f t="shared" si="9"/>
        <v/>
      </c>
      <c r="I18" s="182" t="str">
        <f>IF(B18="","",IF(A18="","",INDEX([1]BMO!$A$5:$B$284,MATCH(B18,[1]BMO!$B$5:$B$284,0),1)))</f>
        <v/>
      </c>
      <c r="J18" s="183" t="s">
        <v>61</v>
      </c>
      <c r="K18" s="184" t="str">
        <f>IF(J18="","",J18*AA9/SUMPRODUCT(H9:H20,J9:J20))</f>
        <v/>
      </c>
      <c r="L18" s="243" t="str">
        <f t="shared" si="15"/>
        <v/>
      </c>
      <c r="M18" s="186" t="str">
        <f t="shared" si="16"/>
        <v/>
      </c>
      <c r="N18" s="229"/>
      <c r="O18" s="230"/>
      <c r="P18" s="229"/>
      <c r="Q18" s="231"/>
      <c r="R18" s="229"/>
      <c r="S18" s="187"/>
      <c r="T18" s="187"/>
      <c r="U18" s="244"/>
      <c r="V18" s="234" t="s">
        <v>61</v>
      </c>
      <c r="W18" s="190" t="str">
        <f t="shared" si="10"/>
        <v/>
      </c>
      <c r="X18" s="191" t="str">
        <f t="shared" si="11"/>
        <v/>
      </c>
      <c r="Y18" s="235"/>
      <c r="Z18" s="236" t="str">
        <f t="shared" si="12"/>
        <v/>
      </c>
      <c r="AA18" s="237" t="str">
        <f t="shared" si="13"/>
        <v/>
      </c>
      <c r="AB18" s="238" t="str">
        <f t="shared" si="14"/>
        <v/>
      </c>
    </row>
    <row r="19" spans="1:30" s="91" customFormat="1" ht="3" hidden="1" customHeight="1" x14ac:dyDescent="0.3">
      <c r="A19" s="245"/>
      <c r="B19" s="246" t="s">
        <v>61</v>
      </c>
      <c r="C19" s="247" t="s">
        <v>61</v>
      </c>
      <c r="D19" s="248" t="s">
        <v>61</v>
      </c>
      <c r="E19" s="248" t="s">
        <v>61</v>
      </c>
      <c r="F19" s="248" t="s">
        <v>61</v>
      </c>
      <c r="G19" s="248" t="s">
        <v>61</v>
      </c>
      <c r="H19" s="249" t="s">
        <v>61</v>
      </c>
      <c r="I19" s="250" t="s">
        <v>61</v>
      </c>
      <c r="J19" s="251" t="s">
        <v>61</v>
      </c>
      <c r="K19" s="252" t="s">
        <v>61</v>
      </c>
      <c r="L19" s="253" t="s">
        <v>61</v>
      </c>
      <c r="M19" s="254" t="s">
        <v>61</v>
      </c>
      <c r="N19" s="255"/>
      <c r="O19" s="256"/>
      <c r="P19" s="255"/>
      <c r="Q19" s="257"/>
      <c r="R19" s="255"/>
      <c r="S19" s="258"/>
      <c r="T19" s="258"/>
      <c r="U19" s="259"/>
      <c r="V19" s="260" t="s">
        <v>61</v>
      </c>
      <c r="W19" s="261" t="s">
        <v>61</v>
      </c>
      <c r="X19" s="262" t="s">
        <v>61</v>
      </c>
      <c r="Y19" s="263" t="s">
        <v>61</v>
      </c>
      <c r="Z19" s="264" t="s">
        <v>61</v>
      </c>
      <c r="AA19" s="265" t="s">
        <v>61</v>
      </c>
      <c r="AB19" s="266" t="s">
        <v>61</v>
      </c>
      <c r="AC19" s="121"/>
    </row>
    <row r="20" spans="1:30" s="91" customFormat="1" ht="3" hidden="1" customHeight="1" x14ac:dyDescent="0.3">
      <c r="A20" s="267"/>
      <c r="B20" s="268" t="s">
        <v>61</v>
      </c>
      <c r="C20" s="269" t="s">
        <v>61</v>
      </c>
      <c r="D20" s="270" t="s">
        <v>61</v>
      </c>
      <c r="E20" s="270" t="s">
        <v>61</v>
      </c>
      <c r="F20" s="270" t="s">
        <v>61</v>
      </c>
      <c r="G20" s="270" t="s">
        <v>61</v>
      </c>
      <c r="H20" s="271" t="s">
        <v>61</v>
      </c>
      <c r="I20" s="272" t="s">
        <v>61</v>
      </c>
      <c r="J20" s="273" t="s">
        <v>61</v>
      </c>
      <c r="K20" s="274" t="s">
        <v>61</v>
      </c>
      <c r="L20" s="275" t="s">
        <v>61</v>
      </c>
      <c r="M20" s="276" t="s">
        <v>61</v>
      </c>
      <c r="N20" s="277"/>
      <c r="O20" s="277"/>
      <c r="P20" s="277"/>
      <c r="Q20" s="277"/>
      <c r="R20" s="277"/>
      <c r="S20" s="277"/>
      <c r="T20" s="277"/>
      <c r="U20" s="278"/>
      <c r="V20" s="279" t="s">
        <v>61</v>
      </c>
      <c r="W20" s="280" t="s">
        <v>61</v>
      </c>
      <c r="X20" s="281" t="s">
        <v>61</v>
      </c>
      <c r="Y20" s="282" t="s">
        <v>61</v>
      </c>
      <c r="Z20" s="283" t="s">
        <v>61</v>
      </c>
      <c r="AA20" s="284" t="s">
        <v>61</v>
      </c>
      <c r="AB20" s="285" t="s">
        <v>61</v>
      </c>
      <c r="AC20" s="121"/>
    </row>
    <row r="21" spans="1:30" s="222" customFormat="1" ht="30" customHeight="1" x14ac:dyDescent="0.3">
      <c r="A21" s="202" t="s">
        <v>80</v>
      </c>
      <c r="B21" s="203"/>
      <c r="C21" s="204"/>
      <c r="D21" s="205"/>
      <c r="E21" s="205"/>
      <c r="F21" s="205"/>
      <c r="G21" s="205"/>
      <c r="H21" s="206"/>
      <c r="I21" s="207"/>
      <c r="J21" s="208"/>
      <c r="K21" s="209"/>
      <c r="L21" s="210"/>
      <c r="M21" s="211"/>
      <c r="N21" s="286"/>
      <c r="O21" s="287"/>
      <c r="P21" s="287"/>
      <c r="Q21" s="287"/>
      <c r="R21" s="287"/>
      <c r="S21" s="287"/>
      <c r="T21" s="287"/>
      <c r="U21" s="288"/>
      <c r="V21" s="215">
        <v>23</v>
      </c>
      <c r="W21" s="216"/>
      <c r="X21" s="217"/>
      <c r="Y21" s="218">
        <f ca="1">IF(SUM(OFFSET(H21,1,0):H27)=0,0,ROUND(SUMPRODUCT(OFFSET(H21,1,0):H27,OFFSET(J21,1,0):J27)/(V21*8.1),0))</f>
        <v>4</v>
      </c>
      <c r="Z21" s="219">
        <f ca="1">IF(Y21=0,"",ROUND(Y21*V21*7.4,2))</f>
        <v>680.8</v>
      </c>
      <c r="AA21" s="220">
        <f ca="1">IF(Y21=0,"",ROUND(Y21*V21*8.1,2))</f>
        <v>745.2</v>
      </c>
      <c r="AB21" s="221">
        <f ca="1">IF(Y21=0,"",ROUND(Y21*V21*7.4*60/52,2))</f>
        <v>785.54</v>
      </c>
      <c r="AC21" s="200"/>
    </row>
    <row r="22" spans="1:30" ht="15.75" x14ac:dyDescent="0.3">
      <c r="A22" s="223" t="s">
        <v>97</v>
      </c>
      <c r="B22" s="224" t="s">
        <v>81</v>
      </c>
      <c r="C22" s="225"/>
      <c r="D22" s="226">
        <v>0</v>
      </c>
      <c r="E22" s="227">
        <v>96.65</v>
      </c>
      <c r="F22" s="227">
        <v>327.9</v>
      </c>
      <c r="G22" s="227">
        <v>91.07</v>
      </c>
      <c r="H22" s="181">
        <f t="shared" ref="H22:H25" si="17">IF(I22="","",IF(I22="u",ROUND(D22, 0),IF(I22="ml",ROUND(E22,1),IF(I22="m²",ROUND(F22,1),ROUND(G22,1)))))</f>
        <v>327.9</v>
      </c>
      <c r="I22" s="182" t="str">
        <f>IF(B22="","",IF(A22="","",INDEX([1]BMO!$A$5:$B$284,MATCH(B22,[1]BMO!$B$5:$B$284,0),1)))</f>
        <v>m²</v>
      </c>
      <c r="J22" s="183">
        <v>0.8</v>
      </c>
      <c r="K22" s="184">
        <f ca="1">IF(J22="","",J22*AA21/SUMPRODUCT(H21:H26,J21:J26))</f>
        <v>0.7956438180653429</v>
      </c>
      <c r="L22" s="185" t="str">
        <f>IF(I22="","",CONCATENATE("h/",I22))</f>
        <v>h/m²</v>
      </c>
      <c r="M22" s="228">
        <f ca="1">IF(H22="","",H22*K22)</f>
        <v>260.8916079436259</v>
      </c>
      <c r="N22" s="229"/>
      <c r="O22" s="230"/>
      <c r="P22" s="229"/>
      <c r="Q22" s="231"/>
      <c r="R22" s="229"/>
      <c r="S22" s="232"/>
      <c r="T22" s="232"/>
      <c r="U22" s="233"/>
      <c r="V22" s="234">
        <v>23</v>
      </c>
      <c r="W22" s="190">
        <f t="shared" ref="W22:W25" si="18">IF(H22="","",ROUND(H22/V22,1))</f>
        <v>14.3</v>
      </c>
      <c r="X22" s="191" t="str">
        <f t="shared" ref="X22:X25" si="19">IF(W22="","",CONCATENATE(I22,"/j"))</f>
        <v>m²/j</v>
      </c>
      <c r="Y22" s="235"/>
      <c r="Z22" s="236" t="str">
        <f t="shared" ref="Z22:Z25" si="20">IF(Y22=0,"",ROUND(Y22*V22*7.4,2))</f>
        <v/>
      </c>
      <c r="AA22" s="237" t="str">
        <f t="shared" ref="AA22:AA25" si="21">IF(Y22=0,"",ROUND(Y22*V22*8.1,2))</f>
        <v/>
      </c>
      <c r="AB22" s="238" t="str">
        <f t="shared" ref="AB22:AB25" si="22">IF(Y22=0,"",ROUND(Y22*V22*7.4*60/52,2))</f>
        <v/>
      </c>
      <c r="AC22" s="239">
        <v>21</v>
      </c>
      <c r="AD22" s="240">
        <v>21</v>
      </c>
    </row>
    <row r="23" spans="1:30" ht="15.75" x14ac:dyDescent="0.3">
      <c r="A23" s="223" t="s">
        <v>98</v>
      </c>
      <c r="B23" s="224" t="s">
        <v>81</v>
      </c>
      <c r="C23" s="225"/>
      <c r="D23" s="226">
        <v>0</v>
      </c>
      <c r="E23" s="227">
        <v>132.13</v>
      </c>
      <c r="F23" s="227">
        <v>430.2</v>
      </c>
      <c r="G23" s="227">
        <v>86.04</v>
      </c>
      <c r="H23" s="181">
        <f t="shared" si="17"/>
        <v>430.2</v>
      </c>
      <c r="I23" s="182" t="str">
        <f>IF(B23="","",IF(A23="","",INDEX([1]BMO!$A$5:$B$284,MATCH(B23,[1]BMO!$B$5:$B$284,0),1)))</f>
        <v>m²</v>
      </c>
      <c r="J23" s="183">
        <v>0.8</v>
      </c>
      <c r="K23" s="184">
        <f ca="1">IF(J23="","",J23*AA21/SUMPRODUCT(H21:H26,J21:J26))</f>
        <v>0.7956438180653429</v>
      </c>
      <c r="L23" s="185" t="str">
        <f>IF(I23="","",CONCATENATE("h/",I23))</f>
        <v>h/m²</v>
      </c>
      <c r="M23" s="228">
        <f ca="1">IF(H23="","",H23*K23)</f>
        <v>342.28597053171052</v>
      </c>
      <c r="N23" s="229"/>
      <c r="O23" s="230"/>
      <c r="P23" s="229"/>
      <c r="Q23" s="231"/>
      <c r="R23" s="229"/>
      <c r="S23" s="232"/>
      <c r="T23" s="232"/>
      <c r="U23" s="233"/>
      <c r="V23" s="234">
        <v>23</v>
      </c>
      <c r="W23" s="190">
        <f t="shared" si="18"/>
        <v>18.7</v>
      </c>
      <c r="X23" s="191" t="str">
        <f t="shared" si="19"/>
        <v>m²/j</v>
      </c>
      <c r="Y23" s="235"/>
      <c r="Z23" s="236" t="str">
        <f t="shared" si="20"/>
        <v/>
      </c>
      <c r="AA23" s="237" t="str">
        <f t="shared" si="21"/>
        <v/>
      </c>
      <c r="AB23" s="238" t="str">
        <f t="shared" si="22"/>
        <v/>
      </c>
      <c r="AC23" s="239">
        <v>21</v>
      </c>
      <c r="AD23" s="240">
        <v>21</v>
      </c>
    </row>
    <row r="24" spans="1:30" ht="15.75" x14ac:dyDescent="0.3">
      <c r="A24" s="223" t="s">
        <v>99</v>
      </c>
      <c r="B24" s="224" t="s">
        <v>82</v>
      </c>
      <c r="C24" s="225"/>
      <c r="D24" s="226">
        <v>31</v>
      </c>
      <c r="E24" s="227">
        <v>0</v>
      </c>
      <c r="F24" s="227">
        <v>0</v>
      </c>
      <c r="G24" s="227">
        <v>17.240000000000002</v>
      </c>
      <c r="H24" s="181">
        <f t="shared" si="17"/>
        <v>31</v>
      </c>
      <c r="I24" s="182" t="str">
        <f>IF(B24="","",IF(A24="","",INDEX([1]BMO!$A$5:$B$284,MATCH(B24,[1]BMO!$B$5:$B$284,0),1)))</f>
        <v>u</v>
      </c>
      <c r="J24" s="183">
        <v>4</v>
      </c>
      <c r="K24" s="184">
        <f ca="1">IF(J24="","",J24*AA21/SUMPRODUCT(H21:H26,J21:J26))</f>
        <v>3.9782190903267138</v>
      </c>
      <c r="L24" s="185" t="str">
        <f>IF(I24="","",CONCATENATE("h/",I24))</f>
        <v>h/u</v>
      </c>
      <c r="M24" s="228">
        <f ca="1">IF(H24="","",H24*K24)</f>
        <v>123.32479180012812</v>
      </c>
      <c r="N24" s="229"/>
      <c r="O24" s="230"/>
      <c r="P24" s="229"/>
      <c r="Q24" s="231"/>
      <c r="R24" s="229"/>
      <c r="S24" s="232"/>
      <c r="T24" s="232"/>
      <c r="U24" s="233"/>
      <c r="V24" s="234">
        <v>23</v>
      </c>
      <c r="W24" s="190">
        <f t="shared" si="18"/>
        <v>1.3</v>
      </c>
      <c r="X24" s="191" t="str">
        <f t="shared" si="19"/>
        <v>u/j</v>
      </c>
      <c r="Y24" s="235"/>
      <c r="Z24" s="236" t="str">
        <f t="shared" si="20"/>
        <v/>
      </c>
      <c r="AA24" s="237" t="str">
        <f t="shared" si="21"/>
        <v/>
      </c>
      <c r="AB24" s="238" t="str">
        <f t="shared" si="22"/>
        <v/>
      </c>
      <c r="AC24" s="239">
        <v>22</v>
      </c>
      <c r="AD24" s="240">
        <v>22</v>
      </c>
    </row>
    <row r="25" spans="1:30" ht="15.75" x14ac:dyDescent="0.3">
      <c r="A25" s="223" t="s">
        <v>100</v>
      </c>
      <c r="B25" s="224" t="s">
        <v>83</v>
      </c>
      <c r="C25" s="225"/>
      <c r="D25" s="226">
        <v>1</v>
      </c>
      <c r="E25" s="227">
        <v>4.67</v>
      </c>
      <c r="F25" s="227">
        <v>0</v>
      </c>
      <c r="G25" s="227">
        <v>0.96</v>
      </c>
      <c r="H25" s="181">
        <f t="shared" si="17"/>
        <v>4.7</v>
      </c>
      <c r="I25" s="182" t="str">
        <f>IF(B25="","",IF(A25="","",INDEX([1]BMO!$A$5:$B$284,MATCH(B25,[1]BMO!$B$5:$B$284,0),1)))</f>
        <v>ml</v>
      </c>
      <c r="J25" s="183">
        <v>4</v>
      </c>
      <c r="K25" s="184">
        <f ca="1">IF(J25="","",J25*AA21/SUMPRODUCT(H21:H26,J21:J26))</f>
        <v>3.9782190903267138</v>
      </c>
      <c r="L25" s="185" t="str">
        <f>IF(I25="","",CONCATENATE("h/",I25))</f>
        <v>h/ml</v>
      </c>
      <c r="M25" s="228">
        <f ca="1">IF(H25="","",H25*K25)</f>
        <v>18.697629724535556</v>
      </c>
      <c r="N25" s="229"/>
      <c r="O25" s="230"/>
      <c r="P25" s="229"/>
      <c r="Q25" s="231"/>
      <c r="R25" s="229"/>
      <c r="S25" s="232"/>
      <c r="T25" s="232"/>
      <c r="U25" s="233"/>
      <c r="V25" s="234">
        <v>1</v>
      </c>
      <c r="W25" s="190">
        <f t="shared" si="18"/>
        <v>4.7</v>
      </c>
      <c r="X25" s="191" t="str">
        <f t="shared" si="19"/>
        <v>ml/j</v>
      </c>
      <c r="Y25" s="235"/>
      <c r="Z25" s="236" t="str">
        <f t="shared" si="20"/>
        <v/>
      </c>
      <c r="AA25" s="237" t="str">
        <f t="shared" si="21"/>
        <v/>
      </c>
      <c r="AB25" s="238" t="str">
        <f t="shared" si="22"/>
        <v/>
      </c>
      <c r="AC25" s="239">
        <v>21</v>
      </c>
    </row>
    <row r="26" spans="1:30" s="91" customFormat="1" ht="3" customHeight="1" x14ac:dyDescent="0.3">
      <c r="A26" s="245"/>
      <c r="B26" s="246" t="s">
        <v>61</v>
      </c>
      <c r="C26" s="247" t="s">
        <v>61</v>
      </c>
      <c r="D26" s="248" t="s">
        <v>61</v>
      </c>
      <c r="E26" s="248" t="s">
        <v>61</v>
      </c>
      <c r="F26" s="248" t="s">
        <v>61</v>
      </c>
      <c r="G26" s="248" t="s">
        <v>61</v>
      </c>
      <c r="H26" s="249" t="s">
        <v>61</v>
      </c>
      <c r="I26" s="250" t="s">
        <v>61</v>
      </c>
      <c r="J26" s="251" t="s">
        <v>61</v>
      </c>
      <c r="K26" s="252" t="s">
        <v>61</v>
      </c>
      <c r="L26" s="253" t="s">
        <v>61</v>
      </c>
      <c r="M26" s="254" t="s">
        <v>61</v>
      </c>
      <c r="N26" s="255"/>
      <c r="O26" s="256"/>
      <c r="P26" s="255"/>
      <c r="Q26" s="257"/>
      <c r="R26" s="255"/>
      <c r="S26" s="258"/>
      <c r="T26" s="258"/>
      <c r="U26" s="259"/>
      <c r="V26" s="260" t="s">
        <v>61</v>
      </c>
      <c r="W26" s="261" t="s">
        <v>61</v>
      </c>
      <c r="X26" s="262" t="s">
        <v>61</v>
      </c>
      <c r="Y26" s="263" t="s">
        <v>61</v>
      </c>
      <c r="Z26" s="264" t="s">
        <v>61</v>
      </c>
      <c r="AA26" s="265" t="s">
        <v>61</v>
      </c>
      <c r="AB26" s="266" t="s">
        <v>61</v>
      </c>
      <c r="AC26" s="121"/>
    </row>
    <row r="27" spans="1:30" s="91" customFormat="1" ht="3" customHeight="1" thickBot="1" x14ac:dyDescent="0.35">
      <c r="A27" s="267"/>
      <c r="B27" s="268" t="s">
        <v>61</v>
      </c>
      <c r="C27" s="269" t="s">
        <v>61</v>
      </c>
      <c r="D27" s="270" t="s">
        <v>61</v>
      </c>
      <c r="E27" s="270" t="s">
        <v>61</v>
      </c>
      <c r="F27" s="270" t="s">
        <v>61</v>
      </c>
      <c r="G27" s="270" t="s">
        <v>61</v>
      </c>
      <c r="H27" s="271" t="s">
        <v>61</v>
      </c>
      <c r="I27" s="272" t="s">
        <v>61</v>
      </c>
      <c r="J27" s="273" t="s">
        <v>61</v>
      </c>
      <c r="K27" s="274" t="s">
        <v>61</v>
      </c>
      <c r="L27" s="275" t="s">
        <v>61</v>
      </c>
      <c r="M27" s="276" t="s">
        <v>61</v>
      </c>
      <c r="N27" s="277"/>
      <c r="O27" s="277"/>
      <c r="P27" s="277"/>
      <c r="Q27" s="277"/>
      <c r="R27" s="277"/>
      <c r="S27" s="277"/>
      <c r="T27" s="277"/>
      <c r="U27" s="278"/>
      <c r="V27" s="279" t="s">
        <v>61</v>
      </c>
      <c r="W27" s="280" t="s">
        <v>61</v>
      </c>
      <c r="X27" s="281" t="s">
        <v>61</v>
      </c>
      <c r="Y27" s="282" t="s">
        <v>61</v>
      </c>
      <c r="Z27" s="283" t="s">
        <v>61</v>
      </c>
      <c r="AA27" s="284" t="s">
        <v>61</v>
      </c>
      <c r="AB27" s="285" t="s">
        <v>61</v>
      </c>
      <c r="AC27" s="121"/>
    </row>
    <row r="28" spans="1:30" s="222" customFormat="1" ht="45" customHeight="1" x14ac:dyDescent="0.3">
      <c r="A28" s="202" t="s">
        <v>84</v>
      </c>
      <c r="B28" s="203"/>
      <c r="C28" s="204"/>
      <c r="D28" s="205"/>
      <c r="E28" s="205"/>
      <c r="F28" s="205"/>
      <c r="G28" s="205"/>
      <c r="H28" s="206"/>
      <c r="I28" s="207"/>
      <c r="J28" s="208"/>
      <c r="K28" s="209"/>
      <c r="L28" s="210"/>
      <c r="M28" s="211"/>
      <c r="N28" s="286"/>
      <c r="O28" s="287"/>
      <c r="P28" s="287"/>
      <c r="Q28" s="287"/>
      <c r="R28" s="287"/>
      <c r="S28" s="287"/>
      <c r="T28" s="287"/>
      <c r="U28" s="288"/>
      <c r="V28" s="215">
        <v>17</v>
      </c>
      <c r="W28" s="216"/>
      <c r="X28" s="217"/>
      <c r="Y28" s="218">
        <f ca="1">IF(SUM(OFFSET(H28,1,0):H35)=0,0,ROUND(SUMPRODUCT(OFFSET(H28,1,0):H35,OFFSET(J28,1,0):J35)/(V28*8.1),0))</f>
        <v>5</v>
      </c>
      <c r="Z28" s="219">
        <f ca="1">IF(Y28=0,"",ROUND(Y28*V28*7.4,2))</f>
        <v>629</v>
      </c>
      <c r="AA28" s="220">
        <f ca="1">IF(Y28=0,"",ROUND(Y28*V28*8.1,2))</f>
        <v>688.5</v>
      </c>
      <c r="AB28" s="221">
        <f ca="1">IF(Y28=0,"",ROUND(Y28*V28*7.4*60/52,2))</f>
        <v>725.77</v>
      </c>
      <c r="AC28" s="200"/>
    </row>
    <row r="29" spans="1:30" ht="15.75" x14ac:dyDescent="0.3">
      <c r="A29" s="223" t="s">
        <v>101</v>
      </c>
      <c r="B29" s="224" t="s">
        <v>63</v>
      </c>
      <c r="C29" s="225"/>
      <c r="D29" s="226">
        <v>49</v>
      </c>
      <c r="E29" s="227">
        <v>0</v>
      </c>
      <c r="F29" s="227">
        <v>0</v>
      </c>
      <c r="G29" s="227">
        <v>7.72</v>
      </c>
      <c r="H29" s="181">
        <f t="shared" ref="H29:H33" si="23">IF(I29="","",IF(I29="u",ROUND(D29, 0),IF(I29="ml",ROUND(E29,1),IF(I29="m²",ROUND(F29,1),ROUND(G29,1)))))</f>
        <v>49</v>
      </c>
      <c r="I29" s="182" t="str">
        <f>IF(B29="","",IF(A29="","",INDEX([1]BMO!$A$5:$B$284,MATCH(B29,[1]BMO!$B$5:$B$284,0),1)))</f>
        <v>u</v>
      </c>
      <c r="J29" s="183">
        <v>2.5</v>
      </c>
      <c r="K29" s="184">
        <f ca="1">IF(J29="","",J29*AA28/SUMPRODUCT(H28:H34,J28:J34))</f>
        <v>2.6874375468398699</v>
      </c>
      <c r="L29" s="185" t="str">
        <f>IF(I29="","",CONCATENATE("h/",I29))</f>
        <v>h/u</v>
      </c>
      <c r="M29" s="228">
        <f ca="1">IF(H29="","",H29*K29)</f>
        <v>131.68443979515362</v>
      </c>
      <c r="N29" s="229"/>
      <c r="O29" s="230"/>
      <c r="P29" s="229"/>
      <c r="Q29" s="231"/>
      <c r="R29" s="229"/>
      <c r="S29" s="232"/>
      <c r="T29" s="232"/>
      <c r="U29" s="233"/>
      <c r="V29" s="234">
        <v>17</v>
      </c>
      <c r="W29" s="190">
        <f t="shared" ref="W29:W33" si="24">IF(H29="","",ROUND(H29/V29,1))</f>
        <v>2.9</v>
      </c>
      <c r="X29" s="191" t="str">
        <f t="shared" ref="X29:X33" si="25">IF(W29="","",CONCATENATE(I29,"/j"))</f>
        <v>u/j</v>
      </c>
      <c r="Y29" s="235"/>
      <c r="Z29" s="236" t="str">
        <f t="shared" ref="Z29:Z33" si="26">IF(Y29=0,"",ROUND(Y29*V29*7.4,2))</f>
        <v/>
      </c>
      <c r="AA29" s="237" t="str">
        <f t="shared" ref="AA29:AA33" si="27">IF(Y29=0,"",ROUND(Y29*V29*8.1,2))</f>
        <v/>
      </c>
      <c r="AB29" s="238" t="str">
        <f t="shared" ref="AB29:AB33" si="28">IF(Y29=0,"",ROUND(Y29*V29*7.4*60/52,2))</f>
        <v/>
      </c>
      <c r="AC29" s="239">
        <v>25</v>
      </c>
    </row>
    <row r="30" spans="1:30" ht="15.75" x14ac:dyDescent="0.3">
      <c r="A30" s="223" t="s">
        <v>102</v>
      </c>
      <c r="B30" s="224" t="s">
        <v>64</v>
      </c>
      <c r="C30" s="225"/>
      <c r="D30" s="226">
        <v>55</v>
      </c>
      <c r="E30" s="227">
        <v>124.79</v>
      </c>
      <c r="F30" s="227">
        <v>0</v>
      </c>
      <c r="G30" s="227">
        <v>28.11</v>
      </c>
      <c r="H30" s="181">
        <f t="shared" si="23"/>
        <v>124.8</v>
      </c>
      <c r="I30" s="182" t="str">
        <f>IF(B30="","",IF(A30="","",INDEX([1]BMO!$A$5:$B$284,MATCH(B30,[1]BMO!$B$5:$B$284,0),1)))</f>
        <v>ml</v>
      </c>
      <c r="J30" s="183">
        <v>0.6</v>
      </c>
      <c r="K30" s="184">
        <f ca="1">IF(J30="","",J30*AA28/SUMPRODUCT(H28:H34,J28:J34))</f>
        <v>0.64498501124156871</v>
      </c>
      <c r="L30" s="185" t="str">
        <f>IF(I30="","",CONCATENATE("h/",I30))</f>
        <v>h/ml</v>
      </c>
      <c r="M30" s="228">
        <f ca="1">IF(H30="","",H30*K30)</f>
        <v>80.494129402947777</v>
      </c>
      <c r="N30" s="229"/>
      <c r="O30" s="230"/>
      <c r="P30" s="229"/>
      <c r="Q30" s="231"/>
      <c r="R30" s="229"/>
      <c r="S30" s="232"/>
      <c r="T30" s="232"/>
      <c r="U30" s="233"/>
      <c r="V30" s="234">
        <v>17</v>
      </c>
      <c r="W30" s="190">
        <f t="shared" si="24"/>
        <v>7.3</v>
      </c>
      <c r="X30" s="191" t="str">
        <f t="shared" si="25"/>
        <v>ml/j</v>
      </c>
      <c r="Y30" s="235"/>
      <c r="Z30" s="236" t="str">
        <f t="shared" si="26"/>
        <v/>
      </c>
      <c r="AA30" s="237" t="str">
        <f t="shared" si="27"/>
        <v/>
      </c>
      <c r="AB30" s="238" t="str">
        <f t="shared" si="28"/>
        <v/>
      </c>
      <c r="AC30" s="239">
        <v>25</v>
      </c>
    </row>
    <row r="31" spans="1:30" ht="15.75" x14ac:dyDescent="0.3">
      <c r="A31" s="223" t="s">
        <v>103</v>
      </c>
      <c r="B31" s="224" t="s">
        <v>85</v>
      </c>
      <c r="C31" s="225"/>
      <c r="D31" s="226">
        <v>50</v>
      </c>
      <c r="E31" s="227">
        <v>103.34</v>
      </c>
      <c r="F31" s="227">
        <v>346.2</v>
      </c>
      <c r="G31" s="227">
        <v>85.67</v>
      </c>
      <c r="H31" s="181">
        <f t="shared" si="23"/>
        <v>50</v>
      </c>
      <c r="I31" s="182" t="str">
        <f>IF(B31="","",IF(A31="","",INDEX([1]BMO!$A$5:$B$284,MATCH(B31,[1]BMO!$B$5:$B$284,0),1)))</f>
        <v>u</v>
      </c>
      <c r="J31" s="183">
        <v>4.5</v>
      </c>
      <c r="K31" s="184">
        <f ca="1">IF(J31="","",J31*AA28/SUMPRODUCT(H28:H34,J28:J34))</f>
        <v>4.8373875843117657</v>
      </c>
      <c r="L31" s="185" t="str">
        <f>IF(I31="","",CONCATENATE("h/",I31))</f>
        <v>h/u</v>
      </c>
      <c r="M31" s="228">
        <f ca="1">IF(H31="","",H31*K31)</f>
        <v>241.86937921558828</v>
      </c>
      <c r="N31" s="229"/>
      <c r="O31" s="230"/>
      <c r="P31" s="229"/>
      <c r="Q31" s="231"/>
      <c r="R31" s="229"/>
      <c r="S31" s="232"/>
      <c r="T31" s="232"/>
      <c r="U31" s="233"/>
      <c r="V31" s="234">
        <v>17</v>
      </c>
      <c r="W31" s="190">
        <f t="shared" si="24"/>
        <v>2.9</v>
      </c>
      <c r="X31" s="191" t="str">
        <f t="shared" si="25"/>
        <v>u/j</v>
      </c>
      <c r="Y31" s="235"/>
      <c r="Z31" s="236" t="str">
        <f t="shared" si="26"/>
        <v/>
      </c>
      <c r="AA31" s="237" t="str">
        <f t="shared" si="27"/>
        <v/>
      </c>
      <c r="AB31" s="238" t="str">
        <f t="shared" si="28"/>
        <v/>
      </c>
      <c r="AC31" s="239">
        <v>25</v>
      </c>
      <c r="AD31" s="240">
        <v>25</v>
      </c>
    </row>
    <row r="32" spans="1:30" ht="15.75" x14ac:dyDescent="0.3">
      <c r="A32" s="223" t="s">
        <v>104</v>
      </c>
      <c r="B32" s="224" t="s">
        <v>81</v>
      </c>
      <c r="C32" s="225"/>
      <c r="D32" s="226">
        <v>50</v>
      </c>
      <c r="E32" s="227">
        <v>103.34</v>
      </c>
      <c r="F32" s="227">
        <v>346.2</v>
      </c>
      <c r="G32" s="227">
        <v>85.67</v>
      </c>
      <c r="H32" s="181">
        <f>IF(I32="","",IF(I32="u",ROUND(D32, 0),IF(I32="ml",ROUND(E32,1),IF(I32="m²",ROUND(F32,1),ROUND(G32,1)))))</f>
        <v>346.2</v>
      </c>
      <c r="I32" s="182" t="str">
        <f>IF(B32="","",IF(A32="","",INDEX([1]BMO!$A$5:$B$284,MATCH(B32,[1]BMO!$B$5:$B$284,0),1)))</f>
        <v>m²</v>
      </c>
      <c r="J32" s="183">
        <v>0.5</v>
      </c>
      <c r="K32" s="184">
        <f ca="1">IF(J32="","",J32*AA28/SUMPRODUCT(H28:H34,J28:J34))</f>
        <v>0.53748750936797396</v>
      </c>
      <c r="L32" s="185" t="str">
        <f>IF(I32="","",CONCATENATE("h/",I32))</f>
        <v>h/m²</v>
      </c>
      <c r="M32" s="228">
        <f ca="1">IF(H32="","",H32*K32)</f>
        <v>186.07817574319259</v>
      </c>
      <c r="N32" s="229"/>
      <c r="O32" s="230"/>
      <c r="P32" s="229"/>
      <c r="Q32" s="231"/>
      <c r="R32" s="229"/>
      <c r="S32" s="232"/>
      <c r="T32" s="232"/>
      <c r="U32" s="233"/>
      <c r="V32" s="234">
        <v>17</v>
      </c>
      <c r="W32" s="190">
        <f>IF(H32="","",ROUND(H32/V32,1))</f>
        <v>20.399999999999999</v>
      </c>
      <c r="X32" s="191" t="str">
        <f>IF(W32="","",CONCATENATE(I32,"/j"))</f>
        <v>m²/j</v>
      </c>
      <c r="Y32" s="235"/>
      <c r="Z32" s="236" t="str">
        <f>IF(Y32=0,"",ROUND(Y32*V32*7.4,2))</f>
        <v/>
      </c>
      <c r="AA32" s="237" t="str">
        <f>IF(Y32=0,"",ROUND(Y32*V32*8.1,2))</f>
        <v/>
      </c>
      <c r="AB32" s="238" t="str">
        <f>IF(Y32=0,"",ROUND(Y32*V32*7.4*60/52,2))</f>
        <v/>
      </c>
      <c r="AC32" s="239">
        <v>25</v>
      </c>
    </row>
    <row r="33" spans="1:30" ht="15.75" x14ac:dyDescent="0.3">
      <c r="A33" s="223" t="s">
        <v>105</v>
      </c>
      <c r="B33" s="224" t="s">
        <v>85</v>
      </c>
      <c r="C33" s="225"/>
      <c r="D33" s="226">
        <v>10</v>
      </c>
      <c r="E33" s="227">
        <v>24.35</v>
      </c>
      <c r="F33" s="227">
        <v>81.099999999999994</v>
      </c>
      <c r="G33" s="227">
        <v>20.29</v>
      </c>
      <c r="H33" s="181">
        <f t="shared" si="23"/>
        <v>10</v>
      </c>
      <c r="I33" s="182" t="str">
        <f>IF(B33="","",IF(A33="","",INDEX([1]BMO!$A$5:$B$284,MATCH(B33,[1]BMO!$B$5:$B$284,0),1)))</f>
        <v>u</v>
      </c>
      <c r="J33" s="183">
        <v>4.5</v>
      </c>
      <c r="K33" s="184">
        <f ca="1">IF(J33="","",J33*AA28/SUMPRODUCT(H28:H34,J28:J34))</f>
        <v>4.8373875843117657</v>
      </c>
      <c r="L33" s="185" t="str">
        <f>IF(I33="","",CONCATENATE("h/",I33))</f>
        <v>h/u</v>
      </c>
      <c r="M33" s="228">
        <f ca="1">IF(H33="","",H33*K33)</f>
        <v>48.373875843117659</v>
      </c>
      <c r="N33" s="229"/>
      <c r="O33" s="230"/>
      <c r="P33" s="229"/>
      <c r="Q33" s="231"/>
      <c r="R33" s="229"/>
      <c r="S33" s="232"/>
      <c r="T33" s="232"/>
      <c r="U33" s="233"/>
      <c r="V33" s="234">
        <v>3</v>
      </c>
      <c r="W33" s="190">
        <f t="shared" si="24"/>
        <v>3.3</v>
      </c>
      <c r="X33" s="191" t="str">
        <f t="shared" si="25"/>
        <v>u/j</v>
      </c>
      <c r="Y33" s="235"/>
      <c r="Z33" s="236" t="str">
        <f t="shared" si="26"/>
        <v/>
      </c>
      <c r="AA33" s="237" t="str">
        <f t="shared" si="27"/>
        <v/>
      </c>
      <c r="AB33" s="238" t="str">
        <f t="shared" si="28"/>
        <v/>
      </c>
      <c r="AC33" s="239">
        <v>25</v>
      </c>
    </row>
    <row r="34" spans="1:30" s="91" customFormat="1" ht="3" customHeight="1" x14ac:dyDescent="0.3">
      <c r="A34" s="245"/>
      <c r="B34" s="246" t="s">
        <v>61</v>
      </c>
      <c r="C34" s="247" t="s">
        <v>61</v>
      </c>
      <c r="D34" s="248" t="s">
        <v>61</v>
      </c>
      <c r="E34" s="248" t="s">
        <v>61</v>
      </c>
      <c r="F34" s="248" t="s">
        <v>61</v>
      </c>
      <c r="G34" s="248" t="s">
        <v>61</v>
      </c>
      <c r="H34" s="249" t="s">
        <v>61</v>
      </c>
      <c r="I34" s="250" t="s">
        <v>61</v>
      </c>
      <c r="J34" s="251" t="s">
        <v>61</v>
      </c>
      <c r="K34" s="252" t="s">
        <v>61</v>
      </c>
      <c r="L34" s="253" t="s">
        <v>61</v>
      </c>
      <c r="M34" s="254" t="s">
        <v>61</v>
      </c>
      <c r="N34" s="255"/>
      <c r="O34" s="256"/>
      <c r="P34" s="255"/>
      <c r="Q34" s="257"/>
      <c r="R34" s="255"/>
      <c r="S34" s="258"/>
      <c r="T34" s="258"/>
      <c r="U34" s="259"/>
      <c r="V34" s="260" t="s">
        <v>61</v>
      </c>
      <c r="W34" s="261" t="s">
        <v>61</v>
      </c>
      <c r="X34" s="262" t="s">
        <v>61</v>
      </c>
      <c r="Y34" s="263" t="s">
        <v>61</v>
      </c>
      <c r="Z34" s="264" t="s">
        <v>61</v>
      </c>
      <c r="AA34" s="265" t="s">
        <v>61</v>
      </c>
      <c r="AB34" s="266" t="s">
        <v>61</v>
      </c>
      <c r="AC34" s="121"/>
    </row>
    <row r="35" spans="1:30" s="91" customFormat="1" ht="3" customHeight="1" thickBot="1" x14ac:dyDescent="0.35">
      <c r="A35" s="267"/>
      <c r="B35" s="268" t="s">
        <v>61</v>
      </c>
      <c r="C35" s="269" t="s">
        <v>61</v>
      </c>
      <c r="D35" s="270" t="s">
        <v>61</v>
      </c>
      <c r="E35" s="270" t="s">
        <v>61</v>
      </c>
      <c r="F35" s="270" t="s">
        <v>61</v>
      </c>
      <c r="G35" s="270" t="s">
        <v>61</v>
      </c>
      <c r="H35" s="271" t="s">
        <v>61</v>
      </c>
      <c r="I35" s="272" t="s">
        <v>61</v>
      </c>
      <c r="J35" s="273" t="s">
        <v>61</v>
      </c>
      <c r="K35" s="274" t="s">
        <v>61</v>
      </c>
      <c r="L35" s="275" t="s">
        <v>61</v>
      </c>
      <c r="M35" s="276" t="s">
        <v>61</v>
      </c>
      <c r="N35" s="277"/>
      <c r="O35" s="277"/>
      <c r="P35" s="277"/>
      <c r="Q35" s="277"/>
      <c r="R35" s="277"/>
      <c r="S35" s="277"/>
      <c r="T35" s="277"/>
      <c r="U35" s="278"/>
      <c r="V35" s="279" t="s">
        <v>61</v>
      </c>
      <c r="W35" s="280" t="s">
        <v>61</v>
      </c>
      <c r="X35" s="281" t="s">
        <v>61</v>
      </c>
      <c r="Y35" s="282" t="s">
        <v>61</v>
      </c>
      <c r="Z35" s="283" t="s">
        <v>61</v>
      </c>
      <c r="AA35" s="284" t="s">
        <v>61</v>
      </c>
      <c r="AB35" s="285" t="s">
        <v>61</v>
      </c>
      <c r="AC35" s="121"/>
    </row>
    <row r="36" spans="1:30" s="222" customFormat="1" ht="30" customHeight="1" x14ac:dyDescent="0.3">
      <c r="A36" s="202" t="s">
        <v>86</v>
      </c>
      <c r="B36" s="203"/>
      <c r="C36" s="204"/>
      <c r="D36" s="205"/>
      <c r="E36" s="205"/>
      <c r="F36" s="205"/>
      <c r="G36" s="205"/>
      <c r="H36" s="206"/>
      <c r="I36" s="207"/>
      <c r="J36" s="208"/>
      <c r="K36" s="209"/>
      <c r="L36" s="210"/>
      <c r="M36" s="211"/>
      <c r="N36" s="286"/>
      <c r="O36" s="287"/>
      <c r="P36" s="287"/>
      <c r="Q36" s="287"/>
      <c r="R36" s="287"/>
      <c r="S36" s="287"/>
      <c r="T36" s="287"/>
      <c r="U36" s="288"/>
      <c r="V36" s="215">
        <v>23</v>
      </c>
      <c r="W36" s="216"/>
      <c r="X36" s="217"/>
      <c r="Y36" s="218">
        <f ca="1">IF(SUM(OFFSET(H36,1,0):H41)=0,0,ROUND(SUMPRODUCT(OFFSET(H36,1,0):H41,OFFSET(J36,1,0):J41)/(V36*8.1),0))</f>
        <v>3</v>
      </c>
      <c r="Z36" s="219">
        <f ca="1">IF(Y36=0,"",ROUND(Y36*V36*7.4,2))</f>
        <v>510.6</v>
      </c>
      <c r="AA36" s="220">
        <f ca="1">IF(Y36=0,"",ROUND(Y36*V36*8.1,2))</f>
        <v>558.9</v>
      </c>
      <c r="AB36" s="221">
        <f ca="1">IF(Y36=0,"",ROUND(Y36*V36*7.4*60/52,2))</f>
        <v>589.15</v>
      </c>
      <c r="AC36" s="200"/>
    </row>
    <row r="37" spans="1:30" ht="15.75" x14ac:dyDescent="0.3">
      <c r="A37" s="223" t="s">
        <v>106</v>
      </c>
      <c r="B37" s="224" t="s">
        <v>87</v>
      </c>
      <c r="C37" s="225"/>
      <c r="D37" s="226">
        <v>45</v>
      </c>
      <c r="E37" s="227">
        <v>227.31</v>
      </c>
      <c r="F37" s="227">
        <v>0</v>
      </c>
      <c r="G37" s="227">
        <v>50.940000000000005</v>
      </c>
      <c r="H37" s="181">
        <f t="shared" ref="H37:H39" si="29">IF(I37="","",IF(I37="u",ROUND(D37, 0),IF(I37="ml",ROUND(E37,1),IF(I37="m²",ROUND(F37,1),ROUND(G37,1)))))</f>
        <v>45</v>
      </c>
      <c r="I37" s="182" t="str">
        <f>IF(B37="","",IF(A37="","",INDEX([1]BMO!$A$5:$B$284,MATCH(B37,[1]BMO!$B$5:$B$284,0),1)))</f>
        <v>u</v>
      </c>
      <c r="J37" s="183">
        <v>4</v>
      </c>
      <c r="K37" s="184">
        <f ca="1">IF(J37="","",J37*AA36/SUMPRODUCT(H36:H40,J36:J40))</f>
        <v>4.4321966693100716</v>
      </c>
      <c r="L37" s="185" t="str">
        <f>IF(I37="","",CONCATENATE("h/",I37))</f>
        <v>h/u</v>
      </c>
      <c r="M37" s="228">
        <f ca="1">IF(H37="","",H37*K37)</f>
        <v>199.44885011895323</v>
      </c>
      <c r="N37" s="229"/>
      <c r="O37" s="230"/>
      <c r="P37" s="229"/>
      <c r="Q37" s="231"/>
      <c r="R37" s="229"/>
      <c r="S37" s="232"/>
      <c r="T37" s="232"/>
      <c r="U37" s="233"/>
      <c r="V37" s="234">
        <v>23</v>
      </c>
      <c r="W37" s="190">
        <f t="shared" ref="W37:W39" si="30">IF(H37="","",ROUND(H37/V37,1))</f>
        <v>2</v>
      </c>
      <c r="X37" s="191" t="str">
        <f t="shared" ref="X37:X39" si="31">IF(W37="","",CONCATENATE(I37,"/j"))</f>
        <v>u/j</v>
      </c>
      <c r="Y37" s="235"/>
      <c r="Z37" s="236" t="str">
        <f t="shared" ref="Z37:Z39" si="32">IF(Y37=0,"",ROUND(Y37*V37*7.4,2))</f>
        <v/>
      </c>
      <c r="AA37" s="237" t="str">
        <f t="shared" ref="AA37:AA39" si="33">IF(Y37=0,"",ROUND(Y37*V37*8.1,2))</f>
        <v/>
      </c>
      <c r="AB37" s="238" t="str">
        <f t="shared" ref="AB37:AB39" si="34">IF(Y37=0,"",ROUND(Y37*V37*7.4*60/52,2))</f>
        <v/>
      </c>
      <c r="AC37" s="239">
        <v>23</v>
      </c>
      <c r="AD37" s="240">
        <v>23</v>
      </c>
    </row>
    <row r="38" spans="1:30" ht="15.75" x14ac:dyDescent="0.3">
      <c r="A38" s="223" t="s">
        <v>107</v>
      </c>
      <c r="B38" s="224" t="s">
        <v>87</v>
      </c>
      <c r="C38" s="225"/>
      <c r="D38" s="226">
        <v>1</v>
      </c>
      <c r="E38" s="227">
        <v>4.95</v>
      </c>
      <c r="F38" s="227">
        <v>0</v>
      </c>
      <c r="G38" s="227">
        <v>1.41</v>
      </c>
      <c r="H38" s="181">
        <f t="shared" si="29"/>
        <v>1</v>
      </c>
      <c r="I38" s="182" t="str">
        <f>IF(B38="","",IF(A38="","",INDEX([1]BMO!$A$5:$B$284,MATCH(B38,[1]BMO!$B$5:$B$284,0),1)))</f>
        <v>u</v>
      </c>
      <c r="J38" s="183">
        <v>4</v>
      </c>
      <c r="K38" s="184">
        <f ca="1">IF(J38="","",J38*AA36/SUMPRODUCT(H36:H40,J36:J40))</f>
        <v>4.4321966693100716</v>
      </c>
      <c r="L38" s="185" t="str">
        <f>IF(I38="","",CONCATENATE("h/",I38))</f>
        <v>h/u</v>
      </c>
      <c r="M38" s="228">
        <f ca="1">IF(H38="","",H38*K38)</f>
        <v>4.4321966693100716</v>
      </c>
      <c r="N38" s="229"/>
      <c r="O38" s="230"/>
      <c r="P38" s="229"/>
      <c r="Q38" s="231"/>
      <c r="R38" s="229"/>
      <c r="S38" s="232"/>
      <c r="T38" s="232"/>
      <c r="U38" s="233"/>
      <c r="V38" s="234">
        <v>23</v>
      </c>
      <c r="W38" s="190">
        <f t="shared" si="30"/>
        <v>0</v>
      </c>
      <c r="X38" s="191" t="str">
        <f t="shared" si="31"/>
        <v>u/j</v>
      </c>
      <c r="Y38" s="235"/>
      <c r="Z38" s="236" t="str">
        <f t="shared" si="32"/>
        <v/>
      </c>
      <c r="AA38" s="237" t="str">
        <f t="shared" si="33"/>
        <v/>
      </c>
      <c r="AB38" s="238" t="str">
        <f t="shared" si="34"/>
        <v/>
      </c>
      <c r="AC38" s="239">
        <v>23</v>
      </c>
      <c r="AD38" s="240">
        <v>23</v>
      </c>
    </row>
    <row r="39" spans="1:30" ht="15.75" x14ac:dyDescent="0.3">
      <c r="A39" s="223" t="s">
        <v>108</v>
      </c>
      <c r="B39" s="224" t="s">
        <v>83</v>
      </c>
      <c r="C39" s="225"/>
      <c r="D39" s="226">
        <v>20</v>
      </c>
      <c r="E39" s="227">
        <v>80.08</v>
      </c>
      <c r="F39" s="227">
        <v>0</v>
      </c>
      <c r="G39" s="227">
        <v>23.72</v>
      </c>
      <c r="H39" s="181">
        <f t="shared" si="29"/>
        <v>80.099999999999994</v>
      </c>
      <c r="I39" s="182" t="str">
        <f>IF(B39="","",IF(A39="","",INDEX([1]BMO!$A$5:$B$284,MATCH(B39,[1]BMO!$B$5:$B$284,0),1)))</f>
        <v>ml</v>
      </c>
      <c r="J39" s="183">
        <v>4</v>
      </c>
      <c r="K39" s="184">
        <f ca="1">IF(J39="","",J39*AA36/SUMPRODUCT(H36:H40,J36:J40))</f>
        <v>4.4321966693100716</v>
      </c>
      <c r="L39" s="185" t="str">
        <f>IF(I39="","",CONCATENATE("h/",I39))</f>
        <v>h/ml</v>
      </c>
      <c r="M39" s="228">
        <f ca="1">IF(H39="","",H39*K39)</f>
        <v>355.01895321173669</v>
      </c>
      <c r="N39" s="229"/>
      <c r="O39" s="230"/>
      <c r="P39" s="229"/>
      <c r="Q39" s="231"/>
      <c r="R39" s="229"/>
      <c r="S39" s="232"/>
      <c r="T39" s="232"/>
      <c r="U39" s="233"/>
      <c r="V39" s="234">
        <v>23</v>
      </c>
      <c r="W39" s="190">
        <f t="shared" si="30"/>
        <v>3.5</v>
      </c>
      <c r="X39" s="191" t="str">
        <f t="shared" si="31"/>
        <v>ml/j</v>
      </c>
      <c r="Y39" s="235"/>
      <c r="Z39" s="236" t="str">
        <f t="shared" si="32"/>
        <v/>
      </c>
      <c r="AA39" s="237" t="str">
        <f t="shared" si="33"/>
        <v/>
      </c>
      <c r="AB39" s="238" t="str">
        <f t="shared" si="34"/>
        <v/>
      </c>
      <c r="AC39" s="239">
        <v>23</v>
      </c>
      <c r="AD39" s="240">
        <v>23</v>
      </c>
    </row>
    <row r="40" spans="1:30" s="91" customFormat="1" ht="3" customHeight="1" x14ac:dyDescent="0.3">
      <c r="A40" s="245"/>
      <c r="B40" s="246" t="s">
        <v>61</v>
      </c>
      <c r="C40" s="247" t="s">
        <v>61</v>
      </c>
      <c r="D40" s="248" t="s">
        <v>61</v>
      </c>
      <c r="E40" s="248" t="s">
        <v>61</v>
      </c>
      <c r="F40" s="248" t="s">
        <v>61</v>
      </c>
      <c r="G40" s="248" t="s">
        <v>61</v>
      </c>
      <c r="H40" s="249" t="s">
        <v>61</v>
      </c>
      <c r="I40" s="250" t="s">
        <v>61</v>
      </c>
      <c r="J40" s="251" t="s">
        <v>61</v>
      </c>
      <c r="K40" s="252" t="s">
        <v>61</v>
      </c>
      <c r="L40" s="253" t="s">
        <v>61</v>
      </c>
      <c r="M40" s="254" t="s">
        <v>61</v>
      </c>
      <c r="N40" s="255"/>
      <c r="O40" s="256"/>
      <c r="P40" s="255"/>
      <c r="Q40" s="257"/>
      <c r="R40" s="255"/>
      <c r="S40" s="258"/>
      <c r="T40" s="258"/>
      <c r="U40" s="259"/>
      <c r="V40" s="260" t="s">
        <v>61</v>
      </c>
      <c r="W40" s="261" t="s">
        <v>61</v>
      </c>
      <c r="X40" s="262" t="s">
        <v>61</v>
      </c>
      <c r="Y40" s="263" t="s">
        <v>61</v>
      </c>
      <c r="Z40" s="264" t="s">
        <v>61</v>
      </c>
      <c r="AA40" s="265" t="s">
        <v>61</v>
      </c>
      <c r="AB40" s="266" t="s">
        <v>61</v>
      </c>
      <c r="AC40" s="121"/>
    </row>
    <row r="41" spans="1:30" s="91" customFormat="1" ht="3" customHeight="1" thickBot="1" x14ac:dyDescent="0.35">
      <c r="A41" s="267"/>
      <c r="B41" s="268" t="s">
        <v>61</v>
      </c>
      <c r="C41" s="269" t="s">
        <v>61</v>
      </c>
      <c r="D41" s="270" t="s">
        <v>61</v>
      </c>
      <c r="E41" s="270" t="s">
        <v>61</v>
      </c>
      <c r="F41" s="270" t="s">
        <v>61</v>
      </c>
      <c r="G41" s="270" t="s">
        <v>61</v>
      </c>
      <c r="H41" s="271" t="s">
        <v>61</v>
      </c>
      <c r="I41" s="272" t="s">
        <v>61</v>
      </c>
      <c r="J41" s="273" t="s">
        <v>61</v>
      </c>
      <c r="K41" s="274" t="s">
        <v>61</v>
      </c>
      <c r="L41" s="275" t="s">
        <v>61</v>
      </c>
      <c r="M41" s="276" t="s">
        <v>61</v>
      </c>
      <c r="N41" s="277"/>
      <c r="O41" s="277"/>
      <c r="P41" s="277"/>
      <c r="Q41" s="277"/>
      <c r="R41" s="277"/>
      <c r="S41" s="277"/>
      <c r="T41" s="277"/>
      <c r="U41" s="278"/>
      <c r="V41" s="279" t="s">
        <v>61</v>
      </c>
      <c r="W41" s="280" t="s">
        <v>61</v>
      </c>
      <c r="X41" s="281" t="s">
        <v>61</v>
      </c>
      <c r="Y41" s="282" t="s">
        <v>61</v>
      </c>
      <c r="Z41" s="283" t="s">
        <v>61</v>
      </c>
      <c r="AA41" s="284" t="s">
        <v>61</v>
      </c>
      <c r="AB41" s="285" t="s">
        <v>61</v>
      </c>
      <c r="AC41" s="121"/>
    </row>
    <row r="42" spans="1:30" s="222" customFormat="1" ht="30" customHeight="1" x14ac:dyDescent="0.3">
      <c r="A42" s="202" t="s">
        <v>88</v>
      </c>
      <c r="B42" s="203"/>
      <c r="C42" s="204"/>
      <c r="D42" s="205"/>
      <c r="E42" s="205"/>
      <c r="F42" s="205"/>
      <c r="G42" s="205"/>
      <c r="H42" s="206"/>
      <c r="I42" s="207"/>
      <c r="J42" s="208"/>
      <c r="K42" s="209"/>
      <c r="L42" s="210"/>
      <c r="M42" s="211"/>
      <c r="N42" s="286"/>
      <c r="O42" s="287"/>
      <c r="P42" s="287"/>
      <c r="Q42" s="287"/>
      <c r="R42" s="287"/>
      <c r="S42" s="287"/>
      <c r="T42" s="287"/>
      <c r="U42" s="288"/>
      <c r="V42" s="215">
        <v>23</v>
      </c>
      <c r="W42" s="216"/>
      <c r="X42" s="217"/>
      <c r="Y42" s="218">
        <f ca="1">IF(SUM(OFFSET(H42,1,0):H53)=0,0,ROUND(SUMPRODUCT(OFFSET(H42,1,0):H53,OFFSET(J42,1,0):J53)/(V42*8.1),0))</f>
        <v>5</v>
      </c>
      <c r="Z42" s="219">
        <f ca="1">IF(Y42=0,"",ROUND(Y42*V42*7.4,2))</f>
        <v>851</v>
      </c>
      <c r="AA42" s="220">
        <f ca="1">IF(Y42=0,"",ROUND(Y42*V42*8.1,2))</f>
        <v>931.5</v>
      </c>
      <c r="AB42" s="221">
        <f ca="1">IF(Y42=0,"",ROUND(Y42*V42*7.4*60/52,2))</f>
        <v>981.92</v>
      </c>
      <c r="AC42" s="200"/>
    </row>
    <row r="43" spans="1:30" ht="15.75" x14ac:dyDescent="0.3">
      <c r="A43" s="223" t="s">
        <v>109</v>
      </c>
      <c r="B43" s="224" t="s">
        <v>83</v>
      </c>
      <c r="C43" s="225"/>
      <c r="D43" s="226">
        <v>2</v>
      </c>
      <c r="E43" s="227">
        <v>11.82</v>
      </c>
      <c r="F43" s="227">
        <v>0</v>
      </c>
      <c r="G43" s="227">
        <v>0.6</v>
      </c>
      <c r="H43" s="181">
        <f t="shared" ref="H43:H51" si="35">IF(I43="","",IF(I43="u",ROUND(D43, 0),IF(I43="ml",ROUND(E43,1),IF(I43="m²",ROUND(F43,1),ROUND(G43,1)))))</f>
        <v>11.8</v>
      </c>
      <c r="I43" s="182" t="str">
        <f>IF(B43="","",IF(A43="","",INDEX([1]BMO!$A$5:$B$284,MATCH(B43,[1]BMO!$B$5:$B$284,0),1)))</f>
        <v>ml</v>
      </c>
      <c r="J43" s="183">
        <v>4</v>
      </c>
      <c r="K43" s="184">
        <f ca="1">IF(J43="","",J43*AA42/SUMPRODUCT(H42:H52,J42:J52))</f>
        <v>3.7865084043007258</v>
      </c>
      <c r="L43" s="185" t="str">
        <f>IF(I43="","",CONCATENATE("h/",I43))</f>
        <v>h/ml</v>
      </c>
      <c r="M43" s="228">
        <f ca="1">IF(H43="","",H43*K43)</f>
        <v>44.680799170748564</v>
      </c>
      <c r="N43" s="229"/>
      <c r="O43" s="230"/>
      <c r="P43" s="229"/>
      <c r="Q43" s="231"/>
      <c r="R43" s="229"/>
      <c r="S43" s="232"/>
      <c r="T43" s="232"/>
      <c r="U43" s="233"/>
      <c r="V43" s="234">
        <v>2</v>
      </c>
      <c r="W43" s="190">
        <f t="shared" ref="W43:W51" si="36">IF(H43="","",ROUND(H43/V43,1))</f>
        <v>5.9</v>
      </c>
      <c r="X43" s="191" t="str">
        <f t="shared" ref="X43:X51" si="37">IF(W43="","",CONCATENATE(I43,"/j"))</f>
        <v>ml/j</v>
      </c>
      <c r="Y43" s="235"/>
      <c r="Z43" s="236" t="str">
        <f t="shared" ref="Z43:Z51" si="38">IF(Y43=0,"",ROUND(Y43*V43*7.4,2))</f>
        <v/>
      </c>
      <c r="AA43" s="237" t="str">
        <f t="shared" ref="AA43:AA51" si="39">IF(Y43=0,"",ROUND(Y43*V43*8.1,2))</f>
        <v/>
      </c>
      <c r="AB43" s="238" t="str">
        <f t="shared" ref="AB43:AB51" si="40">IF(Y43=0,"",ROUND(Y43*V43*7.4*60/52,2))</f>
        <v/>
      </c>
      <c r="AC43" s="239">
        <v>24</v>
      </c>
    </row>
    <row r="44" spans="1:30" ht="15.75" x14ac:dyDescent="0.3">
      <c r="A44" s="223"/>
      <c r="B44" s="224"/>
      <c r="C44" s="225"/>
      <c r="D44" s="226"/>
      <c r="E44" s="227"/>
      <c r="F44" s="227"/>
      <c r="G44" s="227"/>
      <c r="H44" s="181"/>
      <c r="I44" s="182"/>
      <c r="J44" s="183"/>
      <c r="K44" s="184"/>
      <c r="L44" s="185"/>
      <c r="M44" s="228"/>
      <c r="N44" s="229"/>
      <c r="O44" s="230"/>
      <c r="P44" s="229"/>
      <c r="Q44" s="231"/>
      <c r="R44" s="229"/>
      <c r="S44" s="232"/>
      <c r="T44" s="232"/>
      <c r="U44" s="233"/>
      <c r="V44" s="234"/>
      <c r="W44" s="190"/>
      <c r="X44" s="191"/>
      <c r="Y44" s="235"/>
      <c r="Z44" s="236"/>
      <c r="AA44" s="237"/>
      <c r="AB44" s="238"/>
    </row>
    <row r="45" spans="1:30" ht="15.75" x14ac:dyDescent="0.3">
      <c r="A45" s="223" t="s">
        <v>110</v>
      </c>
      <c r="B45" s="224"/>
      <c r="C45" s="225"/>
      <c r="D45" s="226">
        <v>91</v>
      </c>
      <c r="E45" s="227">
        <v>0</v>
      </c>
      <c r="F45" s="227">
        <v>1363.96</v>
      </c>
      <c r="G45" s="227">
        <v>234.64</v>
      </c>
      <c r="H45" s="181" t="str">
        <f t="shared" si="35"/>
        <v/>
      </c>
      <c r="I45" s="182" t="str">
        <f>IF(B45="","",IF(A45="","",INDEX([1]BMO!$A$5:$B$284,MATCH(B45,[1]BMO!$B$5:$B$284,0),1)))</f>
        <v/>
      </c>
      <c r="J45" s="183" t="s">
        <v>61</v>
      </c>
      <c r="K45" s="184" t="str">
        <f>IF(J45="","",J45*AA42/SUMPRODUCT(H42:H52,J42:J52))</f>
        <v/>
      </c>
      <c r="L45" s="185" t="str">
        <f t="shared" ref="L45:L51" si="41">IF(I45="","",CONCATENATE("h/",I45))</f>
        <v/>
      </c>
      <c r="M45" s="228" t="str">
        <f t="shared" ref="M45:M51" si="42">IF(H45="","",H45*K45)</f>
        <v/>
      </c>
      <c r="N45" s="229"/>
      <c r="O45" s="230"/>
      <c r="P45" s="229"/>
      <c r="Q45" s="231"/>
      <c r="R45" s="229"/>
      <c r="S45" s="232"/>
      <c r="T45" s="232"/>
      <c r="U45" s="233"/>
      <c r="V45" s="234">
        <v>23</v>
      </c>
      <c r="W45" s="190" t="str">
        <f t="shared" si="36"/>
        <v/>
      </c>
      <c r="X45" s="191" t="str">
        <f t="shared" si="37"/>
        <v/>
      </c>
      <c r="Y45" s="235"/>
      <c r="Z45" s="236" t="str">
        <f t="shared" si="38"/>
        <v/>
      </c>
      <c r="AA45" s="237" t="str">
        <f t="shared" si="39"/>
        <v/>
      </c>
      <c r="AB45" s="238" t="str">
        <f t="shared" si="40"/>
        <v/>
      </c>
      <c r="AC45" s="239">
        <v>24</v>
      </c>
      <c r="AD45" s="240">
        <v>24</v>
      </c>
    </row>
    <row r="46" spans="1:30" ht="15.75" x14ac:dyDescent="0.3">
      <c r="A46" s="359" t="s">
        <v>89</v>
      </c>
      <c r="B46" s="224" t="s">
        <v>90</v>
      </c>
      <c r="C46" s="225"/>
      <c r="D46" s="226">
        <v>91</v>
      </c>
      <c r="E46" s="227">
        <v>0</v>
      </c>
      <c r="F46" s="227">
        <v>1363.96</v>
      </c>
      <c r="G46" s="227">
        <v>234.64</v>
      </c>
      <c r="H46" s="181">
        <f t="shared" si="35"/>
        <v>1364</v>
      </c>
      <c r="I46" s="182" t="str">
        <f>IF(B46="","",IF(A46="","",INDEX([1]BMO!$A$5:$B$284,MATCH(B46,[1]BMO!$B$5:$B$284,0),1)))</f>
        <v>m²</v>
      </c>
      <c r="J46" s="183">
        <v>0.4</v>
      </c>
      <c r="K46" s="184">
        <f ca="1">IF(J46="","",J46*AA42/SUMPRODUCT(H42:H53,J42:J53))</f>
        <v>0.37865084043007258</v>
      </c>
      <c r="L46" s="185" t="str">
        <f t="shared" si="41"/>
        <v>h/m²</v>
      </c>
      <c r="M46" s="228">
        <f t="shared" ca="1" si="42"/>
        <v>516.47974634661898</v>
      </c>
      <c r="N46" s="229"/>
      <c r="O46" s="230"/>
      <c r="P46" s="229"/>
      <c r="Q46" s="231"/>
      <c r="R46" s="229"/>
      <c r="S46" s="232"/>
      <c r="T46" s="232"/>
      <c r="U46" s="233"/>
      <c r="V46" s="234">
        <v>23</v>
      </c>
      <c r="W46" s="190">
        <f t="shared" si="36"/>
        <v>59.3</v>
      </c>
      <c r="X46" s="191" t="str">
        <f t="shared" si="37"/>
        <v>m²/j</v>
      </c>
      <c r="Y46" s="235"/>
      <c r="Z46" s="236" t="str">
        <f t="shared" si="38"/>
        <v/>
      </c>
      <c r="AA46" s="237" t="str">
        <f t="shared" si="39"/>
        <v/>
      </c>
      <c r="AB46" s="238" t="str">
        <f t="shared" si="40"/>
        <v/>
      </c>
      <c r="AC46" s="239">
        <v>24</v>
      </c>
    </row>
    <row r="47" spans="1:30" ht="15.75" x14ac:dyDescent="0.3">
      <c r="A47" s="359" t="s">
        <v>91</v>
      </c>
      <c r="B47" s="224" t="s">
        <v>91</v>
      </c>
      <c r="C47" s="225"/>
      <c r="D47" s="226">
        <v>91</v>
      </c>
      <c r="E47" s="227">
        <v>0</v>
      </c>
      <c r="F47" s="227">
        <v>1363.96</v>
      </c>
      <c r="G47" s="227">
        <v>234.64</v>
      </c>
      <c r="H47" s="181">
        <f t="shared" si="35"/>
        <v>91</v>
      </c>
      <c r="I47" s="182" t="str">
        <f>IF(B47="","",IF(A47="","",INDEX([1]BMO!$A$5:$B$284,MATCH(B47,[1]BMO!$B$5:$B$284,0),1)))</f>
        <v>u</v>
      </c>
      <c r="J47" s="183">
        <v>0.5</v>
      </c>
      <c r="K47" s="184">
        <f ca="1">IF(J47="","",J47*AA42/SUMPRODUCT(H42:H53,J42:J53))</f>
        <v>0.47331355053759072</v>
      </c>
      <c r="L47" s="185" t="str">
        <f t="shared" si="41"/>
        <v>h/u</v>
      </c>
      <c r="M47" s="228">
        <f t="shared" ca="1" si="42"/>
        <v>43.071533098920753</v>
      </c>
      <c r="N47" s="229"/>
      <c r="O47" s="230"/>
      <c r="P47" s="229"/>
      <c r="Q47" s="231"/>
      <c r="R47" s="229"/>
      <c r="S47" s="232"/>
      <c r="T47" s="232"/>
      <c r="U47" s="233"/>
      <c r="V47" s="234">
        <v>23</v>
      </c>
      <c r="W47" s="190">
        <f t="shared" si="36"/>
        <v>4</v>
      </c>
      <c r="X47" s="191" t="str">
        <f t="shared" si="37"/>
        <v>u/j</v>
      </c>
      <c r="Y47" s="235"/>
      <c r="Z47" s="236" t="str">
        <f t="shared" si="38"/>
        <v/>
      </c>
      <c r="AA47" s="237" t="str">
        <f t="shared" si="39"/>
        <v/>
      </c>
      <c r="AB47" s="238" t="str">
        <f t="shared" si="40"/>
        <v/>
      </c>
      <c r="AC47" s="239">
        <v>24</v>
      </c>
    </row>
    <row r="48" spans="1:30" ht="15.75" x14ac:dyDescent="0.3">
      <c r="A48" s="359" t="s">
        <v>92</v>
      </c>
      <c r="B48" s="224" t="s">
        <v>93</v>
      </c>
      <c r="C48" s="225"/>
      <c r="D48" s="226">
        <v>91</v>
      </c>
      <c r="E48" s="227">
        <v>0</v>
      </c>
      <c r="F48" s="227">
        <v>1363.96</v>
      </c>
      <c r="G48" s="227">
        <v>234.64</v>
      </c>
      <c r="H48" s="181">
        <f t="shared" si="35"/>
        <v>1364</v>
      </c>
      <c r="I48" s="182" t="str">
        <f>IF(B48="","",IF(A48="","",INDEX([1]BMO!$A$5:$B$284,MATCH(B48,[1]BMO!$B$5:$B$284,0),1)))</f>
        <v>m²</v>
      </c>
      <c r="J48" s="183">
        <v>0.11</v>
      </c>
      <c r="K48" s="184">
        <f ca="1">IF(J48="","",J48*AA42/SUMPRODUCT(H42:H53,J42:J53))</f>
        <v>0.10412898111826996</v>
      </c>
      <c r="L48" s="185" t="str">
        <f t="shared" si="41"/>
        <v>h/m²</v>
      </c>
      <c r="M48" s="228">
        <f t="shared" ca="1" si="42"/>
        <v>142.03193024532021</v>
      </c>
      <c r="N48" s="229"/>
      <c r="O48" s="230"/>
      <c r="P48" s="229"/>
      <c r="Q48" s="231"/>
      <c r="R48" s="229"/>
      <c r="S48" s="232"/>
      <c r="T48" s="232"/>
      <c r="U48" s="233"/>
      <c r="V48" s="234">
        <v>23</v>
      </c>
      <c r="W48" s="190">
        <f t="shared" si="36"/>
        <v>59.3</v>
      </c>
      <c r="X48" s="191" t="str">
        <f t="shared" si="37"/>
        <v>m²/j</v>
      </c>
      <c r="Y48" s="235"/>
      <c r="Z48" s="236" t="str">
        <f t="shared" si="38"/>
        <v/>
      </c>
      <c r="AA48" s="237" t="str">
        <f t="shared" si="39"/>
        <v/>
      </c>
      <c r="AB48" s="238" t="str">
        <f t="shared" si="40"/>
        <v/>
      </c>
      <c r="AC48" s="239">
        <v>24</v>
      </c>
    </row>
    <row r="49" spans="1:30" ht="15.75" x14ac:dyDescent="0.3">
      <c r="A49" s="359" t="s">
        <v>94</v>
      </c>
      <c r="B49" s="224" t="s">
        <v>95</v>
      </c>
      <c r="C49" s="225"/>
      <c r="D49" s="226">
        <v>91</v>
      </c>
      <c r="E49" s="227">
        <v>0</v>
      </c>
      <c r="F49" s="227">
        <v>1363.96</v>
      </c>
      <c r="G49" s="227">
        <v>234.64</v>
      </c>
      <c r="H49" s="181">
        <f t="shared" si="35"/>
        <v>234.6</v>
      </c>
      <c r="I49" s="182" t="str">
        <f>IF(B49="","",IF(A49="","",INDEX([1]BMO!$A$5:$B$284,MATCH(B49,[1]BMO!$B$5:$B$284,0),1)))</f>
        <v>m3</v>
      </c>
      <c r="J49" s="183">
        <v>0.8</v>
      </c>
      <c r="K49" s="184">
        <f ca="1">IF(J49="","",J49*AA42/SUMPRODUCT(H42:H53,J42:J53))</f>
        <v>0.75730168086014515</v>
      </c>
      <c r="L49" s="185" t="str">
        <f t="shared" si="41"/>
        <v>h/m3</v>
      </c>
      <c r="M49" s="228">
        <f t="shared" ca="1" si="42"/>
        <v>177.66297432979005</v>
      </c>
      <c r="N49" s="229"/>
      <c r="O49" s="230"/>
      <c r="P49" s="229"/>
      <c r="Q49" s="231"/>
      <c r="R49" s="229"/>
      <c r="S49" s="232"/>
      <c r="T49" s="232"/>
      <c r="U49" s="233"/>
      <c r="V49" s="234">
        <v>23</v>
      </c>
      <c r="W49" s="190">
        <f t="shared" si="36"/>
        <v>10.199999999999999</v>
      </c>
      <c r="X49" s="191" t="str">
        <f t="shared" si="37"/>
        <v>m3/j</v>
      </c>
      <c r="Y49" s="235"/>
      <c r="Z49" s="236" t="str">
        <f t="shared" si="38"/>
        <v/>
      </c>
      <c r="AA49" s="237" t="str">
        <f t="shared" si="39"/>
        <v/>
      </c>
      <c r="AB49" s="238" t="str">
        <f t="shared" si="40"/>
        <v/>
      </c>
      <c r="AC49" s="239">
        <v>24</v>
      </c>
    </row>
    <row r="50" spans="1:30" ht="15.75" x14ac:dyDescent="0.3">
      <c r="A50" s="197"/>
      <c r="B50" s="224"/>
      <c r="C50" s="225"/>
      <c r="D50" s="226"/>
      <c r="E50" s="227"/>
      <c r="F50" s="227"/>
      <c r="G50" s="227"/>
      <c r="H50" s="181" t="str">
        <f t="shared" si="35"/>
        <v/>
      </c>
      <c r="I50" s="182" t="str">
        <f>IF(B50="","",IF(A50="","",INDEX([1]BMO!$A$5:$B$284,MATCH(B50,[1]BMO!$B$5:$B$284,0),1)))</f>
        <v/>
      </c>
      <c r="J50" s="183" t="s">
        <v>61</v>
      </c>
      <c r="K50" s="184" t="str">
        <f>IF(J50="","",J50*AA42/SUMPRODUCT(H42:H53,J42:J53))</f>
        <v/>
      </c>
      <c r="L50" s="185" t="str">
        <f t="shared" si="41"/>
        <v/>
      </c>
      <c r="M50" s="228" t="str">
        <f t="shared" si="42"/>
        <v/>
      </c>
      <c r="N50" s="229"/>
      <c r="O50" s="230"/>
      <c r="P50" s="229"/>
      <c r="Q50" s="231"/>
      <c r="R50" s="229"/>
      <c r="S50" s="232"/>
      <c r="T50" s="232"/>
      <c r="U50" s="233"/>
      <c r="V50" s="234" t="s">
        <v>61</v>
      </c>
      <c r="W50" s="190" t="str">
        <f t="shared" si="36"/>
        <v/>
      </c>
      <c r="X50" s="191" t="str">
        <f t="shared" si="37"/>
        <v/>
      </c>
      <c r="Y50" s="235"/>
      <c r="Z50" s="236" t="str">
        <f t="shared" si="38"/>
        <v/>
      </c>
      <c r="AA50" s="237" t="str">
        <f t="shared" si="39"/>
        <v/>
      </c>
      <c r="AB50" s="238" t="str">
        <f t="shared" si="40"/>
        <v/>
      </c>
    </row>
    <row r="51" spans="1:30" ht="15.75" x14ac:dyDescent="0.3">
      <c r="A51" s="223" t="s">
        <v>111</v>
      </c>
      <c r="B51" s="224" t="s">
        <v>96</v>
      </c>
      <c r="C51" s="225"/>
      <c r="D51" s="226">
        <v>1</v>
      </c>
      <c r="E51" s="227">
        <v>0</v>
      </c>
      <c r="F51" s="227">
        <v>0</v>
      </c>
      <c r="G51" s="227">
        <v>0</v>
      </c>
      <c r="H51" s="181">
        <f t="shared" si="35"/>
        <v>1</v>
      </c>
      <c r="I51" s="182" t="str">
        <f>IF(B51="","",IF(A51="","",INDEX([1]BMO!$A$5:$B$284,MATCH(B51,[1]BMO!$B$5:$B$284,0),1)))</f>
        <v>u</v>
      </c>
      <c r="J51" s="183">
        <v>8</v>
      </c>
      <c r="K51" s="184">
        <f ca="1">IF(J51="","",J51*AA42/SUMPRODUCT(H42:H52,J42:J52))</f>
        <v>7.5730168086014515</v>
      </c>
      <c r="L51" s="185" t="str">
        <f t="shared" si="41"/>
        <v>h/u</v>
      </c>
      <c r="M51" s="228">
        <f t="shared" ca="1" si="42"/>
        <v>7.5730168086014515</v>
      </c>
      <c r="N51" s="229"/>
      <c r="O51" s="230"/>
      <c r="P51" s="229"/>
      <c r="Q51" s="231"/>
      <c r="R51" s="229"/>
      <c r="S51" s="232"/>
      <c r="T51" s="232"/>
      <c r="U51" s="233"/>
      <c r="V51" s="234">
        <v>2</v>
      </c>
      <c r="W51" s="190">
        <f t="shared" si="36"/>
        <v>0.5</v>
      </c>
      <c r="X51" s="191" t="str">
        <f t="shared" si="37"/>
        <v>u/j</v>
      </c>
      <c r="Y51" s="235"/>
      <c r="Z51" s="236" t="str">
        <f t="shared" si="38"/>
        <v/>
      </c>
      <c r="AA51" s="237" t="str">
        <f t="shared" si="39"/>
        <v/>
      </c>
      <c r="AB51" s="238" t="str">
        <f t="shared" si="40"/>
        <v/>
      </c>
      <c r="AC51" s="239">
        <v>41</v>
      </c>
      <c r="AD51" s="240">
        <v>41</v>
      </c>
    </row>
    <row r="52" spans="1:30" s="91" customFormat="1" ht="3" customHeight="1" x14ac:dyDescent="0.3">
      <c r="A52" s="245"/>
      <c r="B52" s="246" t="s">
        <v>61</v>
      </c>
      <c r="C52" s="247" t="s">
        <v>61</v>
      </c>
      <c r="D52" s="248" t="s">
        <v>61</v>
      </c>
      <c r="E52" s="248" t="s">
        <v>61</v>
      </c>
      <c r="F52" s="248" t="s">
        <v>61</v>
      </c>
      <c r="G52" s="248" t="s">
        <v>61</v>
      </c>
      <c r="H52" s="249" t="s">
        <v>61</v>
      </c>
      <c r="I52" s="250" t="s">
        <v>61</v>
      </c>
      <c r="J52" s="251" t="s">
        <v>61</v>
      </c>
      <c r="K52" s="252" t="s">
        <v>61</v>
      </c>
      <c r="L52" s="253" t="s">
        <v>61</v>
      </c>
      <c r="M52" s="254" t="s">
        <v>61</v>
      </c>
      <c r="N52" s="255"/>
      <c r="O52" s="256"/>
      <c r="P52" s="255"/>
      <c r="Q52" s="257"/>
      <c r="R52" s="255"/>
      <c r="S52" s="258"/>
      <c r="T52" s="258"/>
      <c r="U52" s="259"/>
      <c r="V52" s="260" t="s">
        <v>61</v>
      </c>
      <c r="W52" s="261" t="s">
        <v>61</v>
      </c>
      <c r="X52" s="262" t="s">
        <v>61</v>
      </c>
      <c r="Y52" s="263" t="s">
        <v>61</v>
      </c>
      <c r="Z52" s="264" t="s">
        <v>61</v>
      </c>
      <c r="AA52" s="265" t="s">
        <v>61</v>
      </c>
      <c r="AB52" s="266" t="s">
        <v>61</v>
      </c>
      <c r="AC52" s="121"/>
    </row>
    <row r="53" spans="1:30" s="91" customFormat="1" ht="3" customHeight="1" thickBot="1" x14ac:dyDescent="0.35">
      <c r="A53" s="267"/>
      <c r="B53" s="268" t="s">
        <v>61</v>
      </c>
      <c r="C53" s="269" t="s">
        <v>61</v>
      </c>
      <c r="D53" s="270" t="s">
        <v>61</v>
      </c>
      <c r="E53" s="270" t="s">
        <v>61</v>
      </c>
      <c r="F53" s="270" t="s">
        <v>61</v>
      </c>
      <c r="G53" s="270" t="s">
        <v>61</v>
      </c>
      <c r="H53" s="271" t="s">
        <v>61</v>
      </c>
      <c r="I53" s="272" t="s">
        <v>61</v>
      </c>
      <c r="J53" s="273" t="s">
        <v>61</v>
      </c>
      <c r="K53" s="274" t="s">
        <v>61</v>
      </c>
      <c r="L53" s="275" t="s">
        <v>61</v>
      </c>
      <c r="M53" s="276" t="s">
        <v>61</v>
      </c>
      <c r="N53" s="277"/>
      <c r="O53" s="277"/>
      <c r="P53" s="277"/>
      <c r="Q53" s="277"/>
      <c r="R53" s="277"/>
      <c r="S53" s="277"/>
      <c r="T53" s="277"/>
      <c r="U53" s="278"/>
      <c r="V53" s="279" t="s">
        <v>61</v>
      </c>
      <c r="W53" s="280" t="s">
        <v>61</v>
      </c>
      <c r="X53" s="281" t="s">
        <v>61</v>
      </c>
      <c r="Y53" s="282" t="s">
        <v>61</v>
      </c>
      <c r="Z53" s="283" t="s">
        <v>61</v>
      </c>
      <c r="AA53" s="284" t="s">
        <v>61</v>
      </c>
      <c r="AB53" s="285" t="s">
        <v>61</v>
      </c>
      <c r="AC53" s="121"/>
    </row>
    <row r="54" spans="1:30" s="91" customFormat="1" ht="15" customHeight="1" x14ac:dyDescent="0.25">
      <c r="A54" s="289"/>
      <c r="B54" s="290"/>
      <c r="C54" s="291"/>
      <c r="D54" s="292"/>
      <c r="E54" s="292"/>
      <c r="F54" s="292"/>
      <c r="G54" s="292"/>
      <c r="H54" s="181" t="str">
        <f>IF(I54="","",IF(I54="u",ROUND(D54, 0),IF(I54="ml",ROUND(E54,1),IF(I54="m²",ROUND(F54,1),ROUND(G54,1)))))</f>
        <v/>
      </c>
      <c r="I54" s="182" t="str">
        <f>IF(B54="","",IF(A54="","",INDEX([1]BMO!$O$5:$P$288,MATCH(B54,[1]BMO!$P$5:$P$288,0),1)))</f>
        <v/>
      </c>
      <c r="J54" s="183" t="s">
        <v>61</v>
      </c>
      <c r="K54" s="184" t="str">
        <f>IF(H54="","",IF(H54=0,"",AA54/H54))</f>
        <v/>
      </c>
      <c r="L54" s="185" t="str">
        <f>IF(H54="","",IF(H54=0,"",CONCATENATE("h/",I54)))</f>
        <v/>
      </c>
      <c r="M54" s="228" t="str">
        <f>IF(H54="","",IF(H54=0,"",H54*K54))</f>
        <v/>
      </c>
      <c r="N54" s="187"/>
      <c r="O54" s="187"/>
      <c r="P54" s="187"/>
      <c r="Q54" s="187"/>
      <c r="R54" s="187"/>
      <c r="S54" s="187"/>
      <c r="T54" s="187"/>
      <c r="U54" s="188"/>
      <c r="V54" s="189" t="s">
        <v>61</v>
      </c>
      <c r="W54" s="190"/>
      <c r="X54" s="191"/>
      <c r="Y54" s="192" t="str">
        <f>IF(H54="","",IF(V54="","",ROUND((H54*J54)/(V54*7.4),0)))</f>
        <v/>
      </c>
      <c r="Z54" s="193" t="str">
        <f>IF(Y54="","",ROUND(Y54*V54*7.4,2))</f>
        <v/>
      </c>
      <c r="AA54" s="194" t="str">
        <f t="shared" ref="AA54:AB54" si="43">Z54</f>
        <v/>
      </c>
      <c r="AB54" s="195" t="str">
        <f t="shared" si="43"/>
        <v/>
      </c>
      <c r="AC54" s="121"/>
    </row>
    <row r="55" spans="1:30" s="91" customFormat="1" ht="5.0999999999999996" customHeight="1" thickBot="1" x14ac:dyDescent="0.3">
      <c r="A55" s="297"/>
      <c r="B55" s="294"/>
      <c r="C55" s="298"/>
      <c r="D55" s="298"/>
      <c r="E55" s="298"/>
      <c r="F55" s="298"/>
      <c r="G55" s="298"/>
      <c r="H55" s="299" t="str">
        <f t="shared" ref="H55" si="44">IF(I55="","",IF(I55="u",D55,IF(I55="ml",E55,IF(I55="m²",F55,G55))))</f>
        <v/>
      </c>
      <c r="I55" s="300"/>
      <c r="J55" s="301"/>
      <c r="K55" s="302" t="str">
        <f>IF(H55="","",AA55/H55)</f>
        <v/>
      </c>
      <c r="L55" s="303" t="str">
        <f>IF(I55="","",CONCATENATE("h/",I55))</f>
        <v/>
      </c>
      <c r="M55" s="304" t="str">
        <f>IF(H55="","",H55*K55)</f>
        <v/>
      </c>
      <c r="N55" s="305"/>
      <c r="O55" s="306"/>
      <c r="P55" s="306"/>
      <c r="Q55" s="306"/>
      <c r="R55" s="306"/>
      <c r="S55" s="306"/>
      <c r="T55" s="306"/>
      <c r="U55" s="307"/>
      <c r="V55" s="308"/>
      <c r="W55" s="309" t="e">
        <f>IF(H55=0,"",ROUND(H55/V55,1))</f>
        <v>#VALUE!</v>
      </c>
      <c r="X55" s="310" t="e">
        <f>IF(W55="","",CONCATENATE(I55,"/j"))</f>
        <v>#VALUE!</v>
      </c>
      <c r="Y55" s="311"/>
      <c r="Z55" s="236" t="str">
        <f>IF(Y55=0,"",ROUND(Y55*V55*7.4,2))</f>
        <v/>
      </c>
      <c r="AA55" s="237" t="str">
        <f>IF(Y55=0,"",ROUND(Y55*V55*8.1,2))</f>
        <v/>
      </c>
      <c r="AB55" s="238" t="str">
        <f>IF(Y55="","",ROUND(Y55*V55*7.4*60/52,2))</f>
        <v/>
      </c>
      <c r="AC55" s="121"/>
    </row>
    <row r="56" spans="1:30" s="91" customFormat="1" ht="16.5" thickTop="1" thickBot="1" x14ac:dyDescent="0.3">
      <c r="A56" s="312"/>
      <c r="B56" s="313"/>
      <c r="C56" s="313"/>
      <c r="D56" s="313"/>
      <c r="E56" s="313"/>
      <c r="F56" s="313"/>
      <c r="G56" s="313"/>
      <c r="H56" s="314"/>
      <c r="I56" s="315"/>
      <c r="J56" s="316"/>
      <c r="K56" s="314"/>
      <c r="L56" s="315" t="s">
        <v>70</v>
      </c>
      <c r="M56" s="317">
        <f ca="1">SUM(M5:M54)</f>
        <v>2924.1</v>
      </c>
      <c r="N56" s="318"/>
      <c r="O56" s="319"/>
      <c r="P56" s="319"/>
      <c r="Q56" s="319"/>
      <c r="R56" s="319"/>
      <c r="S56" s="319"/>
      <c r="T56" s="319"/>
      <c r="U56" s="320"/>
      <c r="V56" s="321"/>
      <c r="W56" s="314"/>
      <c r="X56" s="322"/>
      <c r="Y56" s="323" t="s">
        <v>70</v>
      </c>
      <c r="Z56" s="324">
        <f ca="1">SUM(Z5:Z55)</f>
        <v>2671.4</v>
      </c>
      <c r="AA56" s="325">
        <f ca="1">SUM(AA5:AA55)</f>
        <v>2924.1</v>
      </c>
      <c r="AB56" s="326">
        <f ca="1">SUM(AB5:AB55)</f>
        <v>3082.38</v>
      </c>
      <c r="AC56" s="121"/>
    </row>
    <row r="58" spans="1:30" s="239" customFormat="1" ht="15.75" x14ac:dyDescent="0.3">
      <c r="A58" s="327" t="s">
        <v>71</v>
      </c>
      <c r="B58" s="328"/>
      <c r="C58" s="328"/>
      <c r="D58" s="328"/>
      <c r="E58" s="328"/>
      <c r="F58" s="328"/>
      <c r="G58" s="328"/>
      <c r="H58" s="328"/>
      <c r="I58" s="328"/>
      <c r="J58" s="329"/>
      <c r="K58" s="328"/>
      <c r="L58" s="328"/>
      <c r="M58" s="330" t="str">
        <f ca="1">IF(M56=AA56,"OK","ERREUR")</f>
        <v>OK</v>
      </c>
      <c r="N58" s="330"/>
      <c r="O58" s="330"/>
      <c r="P58" s="330"/>
      <c r="Q58" s="330"/>
      <c r="R58" s="330"/>
      <c r="S58" s="330"/>
      <c r="T58" s="330"/>
      <c r="U58" s="330"/>
      <c r="V58" s="331"/>
      <c r="W58" s="328"/>
      <c r="X58" s="328"/>
      <c r="Y58" s="332"/>
      <c r="Z58" s="330"/>
      <c r="AA58" s="330"/>
      <c r="AB58" s="330"/>
    </row>
    <row r="60" spans="1:30" ht="15.75" x14ac:dyDescent="0.3">
      <c r="H60" s="333"/>
      <c r="I60" s="333"/>
      <c r="J60" s="334"/>
      <c r="K60" s="335"/>
      <c r="L60" s="336"/>
      <c r="M60" s="222"/>
      <c r="N60" s="222"/>
      <c r="O60" s="222"/>
      <c r="P60" s="222"/>
      <c r="Q60" s="222"/>
      <c r="R60" s="222"/>
      <c r="S60" s="222"/>
      <c r="T60" s="222"/>
      <c r="U60" s="337"/>
      <c r="V60" s="222"/>
      <c r="W60" s="6">
        <v>11</v>
      </c>
      <c r="X60" s="7" t="s">
        <v>7</v>
      </c>
      <c r="Y60" s="12"/>
      <c r="Z60" s="340">
        <f t="shared" ref="Z60:Z89" si="45">SUMIF($AC:$AC,W60,$M:$M)</f>
        <v>0</v>
      </c>
      <c r="AA60" s="61">
        <f t="shared" ref="AA60:AA89" si="46">IF(AB60="","",SUMIF($AD:$AD,W60,IF(AB60="u",$D:$D,IF(AB60="ml",$E:$E,IF(AB60="m²",$F:$F,IF(AB60=0,"",""))))))</f>
        <v>0</v>
      </c>
      <c r="AB60" s="62" t="s">
        <v>36</v>
      </c>
    </row>
    <row r="61" spans="1:30" ht="15.75" x14ac:dyDescent="0.3">
      <c r="B61" s="339"/>
      <c r="H61" s="333"/>
      <c r="I61" s="333"/>
      <c r="J61" s="334"/>
      <c r="K61" s="335"/>
      <c r="L61" s="336"/>
      <c r="M61" s="222"/>
      <c r="N61" s="222"/>
      <c r="O61" s="222"/>
      <c r="P61" s="222"/>
      <c r="Q61" s="222"/>
      <c r="R61" s="222"/>
      <c r="S61" s="222"/>
      <c r="T61" s="222"/>
      <c r="U61" s="337"/>
      <c r="V61" s="222"/>
      <c r="W61" s="8">
        <v>12</v>
      </c>
      <c r="X61" t="s">
        <v>8</v>
      </c>
      <c r="Y61" s="13"/>
      <c r="Z61" s="345">
        <f t="shared" si="45"/>
        <v>0</v>
      </c>
      <c r="AA61" s="63">
        <f t="shared" si="46"/>
        <v>0</v>
      </c>
      <c r="AB61" s="64" t="s">
        <v>37</v>
      </c>
    </row>
    <row r="62" spans="1:30" ht="15.75" x14ac:dyDescent="0.3">
      <c r="H62" s="341"/>
      <c r="I62" s="341"/>
      <c r="L62" s="13"/>
      <c r="M62" s="343"/>
      <c r="T62" s="240"/>
      <c r="U62" s="344"/>
      <c r="V62" s="240"/>
      <c r="W62" s="8">
        <v>13</v>
      </c>
      <c r="X62" t="s">
        <v>9</v>
      </c>
      <c r="Y62" s="13"/>
      <c r="Z62" s="345">
        <f t="shared" si="45"/>
        <v>0</v>
      </c>
      <c r="AA62" s="63">
        <f t="shared" si="46"/>
        <v>0</v>
      </c>
      <c r="AB62" s="64" t="s">
        <v>37</v>
      </c>
    </row>
    <row r="63" spans="1:30" ht="15.75" x14ac:dyDescent="0.3">
      <c r="E63" s="339"/>
      <c r="H63" s="346"/>
      <c r="I63" s="346"/>
      <c r="J63" s="347"/>
      <c r="K63" s="348"/>
      <c r="L63" s="13"/>
      <c r="M63" s="343"/>
      <c r="T63" s="240"/>
      <c r="U63" s="344"/>
      <c r="V63" s="240"/>
      <c r="W63" s="8">
        <v>14</v>
      </c>
      <c r="X63" t="s">
        <v>10</v>
      </c>
      <c r="Y63" s="13"/>
      <c r="Z63" s="345">
        <f t="shared" si="45"/>
        <v>0</v>
      </c>
      <c r="AA63" s="63">
        <f t="shared" si="46"/>
        <v>0</v>
      </c>
      <c r="AB63" s="64" t="s">
        <v>38</v>
      </c>
    </row>
    <row r="64" spans="1:30" ht="15.75" x14ac:dyDescent="0.3">
      <c r="W64" s="8">
        <v>15</v>
      </c>
      <c r="X64" t="s">
        <v>11</v>
      </c>
      <c r="Y64" s="13"/>
      <c r="Z64" s="345">
        <f t="shared" si="45"/>
        <v>0</v>
      </c>
      <c r="AA64" s="63" t="str">
        <f t="shared" si="46"/>
        <v/>
      </c>
      <c r="AB64" s="64"/>
    </row>
    <row r="65" spans="4:28" ht="15.75" x14ac:dyDescent="0.3">
      <c r="W65" s="8"/>
      <c r="X65"/>
      <c r="Y65" s="13"/>
      <c r="Z65" s="345">
        <f t="shared" si="45"/>
        <v>0</v>
      </c>
      <c r="AA65" s="63" t="str">
        <f t="shared" si="46"/>
        <v/>
      </c>
      <c r="AB65" s="64"/>
    </row>
    <row r="66" spans="4:28" ht="15.75" x14ac:dyDescent="0.3">
      <c r="W66" s="8">
        <v>21</v>
      </c>
      <c r="X66" t="s">
        <v>12</v>
      </c>
      <c r="Y66" s="13"/>
      <c r="Z66" s="345">
        <f t="shared" ca="1" si="45"/>
        <v>621.87520819987196</v>
      </c>
      <c r="AA66" s="63">
        <f t="shared" si="46"/>
        <v>228.78</v>
      </c>
      <c r="AB66" s="64" t="s">
        <v>36</v>
      </c>
    </row>
    <row r="67" spans="4:28" ht="15.75" x14ac:dyDescent="0.3">
      <c r="W67" s="8">
        <v>22</v>
      </c>
      <c r="X67" t="s">
        <v>13</v>
      </c>
      <c r="Y67" s="13"/>
      <c r="Z67" s="345">
        <f t="shared" ca="1" si="45"/>
        <v>123.32479180012812</v>
      </c>
      <c r="AA67" s="63">
        <f t="shared" si="46"/>
        <v>31</v>
      </c>
      <c r="AB67" s="64" t="s">
        <v>37</v>
      </c>
    </row>
    <row r="68" spans="4:28" ht="15.75" x14ac:dyDescent="0.3">
      <c r="W68" s="8">
        <v>23</v>
      </c>
      <c r="X68" t="s">
        <v>14</v>
      </c>
      <c r="Y68" s="13"/>
      <c r="Z68" s="345">
        <f t="shared" ca="1" si="45"/>
        <v>558.9</v>
      </c>
      <c r="AA68" s="63">
        <f t="shared" si="46"/>
        <v>66</v>
      </c>
      <c r="AB68" s="64" t="s">
        <v>37</v>
      </c>
    </row>
    <row r="69" spans="4:28" ht="15.75" x14ac:dyDescent="0.3">
      <c r="W69" s="8">
        <v>24</v>
      </c>
      <c r="X69" t="s">
        <v>15</v>
      </c>
      <c r="Y69" s="13"/>
      <c r="Z69" s="345">
        <f t="shared" ca="1" si="45"/>
        <v>923.92698319139856</v>
      </c>
      <c r="AA69" s="63">
        <f t="shared" si="46"/>
        <v>1363.96</v>
      </c>
      <c r="AB69" s="64" t="s">
        <v>38</v>
      </c>
    </row>
    <row r="70" spans="4:28" ht="15.75" x14ac:dyDescent="0.3">
      <c r="D70" s="339"/>
      <c r="W70" s="8">
        <v>25</v>
      </c>
      <c r="X70" t="s">
        <v>16</v>
      </c>
      <c r="Y70" s="13"/>
      <c r="Z70" s="345">
        <f t="shared" ca="1" si="45"/>
        <v>688.49999999999989</v>
      </c>
      <c r="AA70" s="63" t="str">
        <f t="shared" si="46"/>
        <v/>
      </c>
      <c r="AB70" s="64"/>
    </row>
    <row r="71" spans="4:28" ht="15.75" x14ac:dyDescent="0.3">
      <c r="W71" s="8"/>
      <c r="X71"/>
      <c r="Y71" s="13"/>
      <c r="Z71" s="345">
        <f t="shared" si="45"/>
        <v>0</v>
      </c>
      <c r="AA71" s="63" t="str">
        <f t="shared" si="46"/>
        <v/>
      </c>
      <c r="AB71" s="64"/>
    </row>
    <row r="72" spans="4:28" ht="15.75" x14ac:dyDescent="0.3">
      <c r="W72" s="8">
        <v>31</v>
      </c>
      <c r="X72" s="9" t="s">
        <v>27</v>
      </c>
      <c r="Y72" s="13"/>
      <c r="Z72" s="345">
        <f t="shared" si="45"/>
        <v>0</v>
      </c>
      <c r="AA72" s="63">
        <f t="shared" si="46"/>
        <v>0</v>
      </c>
      <c r="AB72" s="64" t="s">
        <v>36</v>
      </c>
    </row>
    <row r="73" spans="4:28" ht="15.75" x14ac:dyDescent="0.3">
      <c r="W73" s="8">
        <v>32</v>
      </c>
      <c r="X73" s="9" t="s">
        <v>18</v>
      </c>
      <c r="Y73" s="13"/>
      <c r="Z73" s="345">
        <f t="shared" si="45"/>
        <v>0</v>
      </c>
      <c r="AA73" s="63">
        <f t="shared" si="46"/>
        <v>0</v>
      </c>
      <c r="AB73" s="64" t="s">
        <v>37</v>
      </c>
    </row>
    <row r="74" spans="4:28" ht="15.75" x14ac:dyDescent="0.3">
      <c r="W74" s="8">
        <v>33</v>
      </c>
      <c r="X74" s="9" t="s">
        <v>19</v>
      </c>
      <c r="Y74" s="13"/>
      <c r="Z74" s="345">
        <f t="shared" si="45"/>
        <v>0</v>
      </c>
      <c r="AA74" s="63">
        <f t="shared" si="46"/>
        <v>0</v>
      </c>
      <c r="AB74" s="64" t="s">
        <v>37</v>
      </c>
    </row>
    <row r="75" spans="4:28" ht="15.75" x14ac:dyDescent="0.3">
      <c r="W75" s="8">
        <v>34</v>
      </c>
      <c r="X75" s="9" t="s">
        <v>20</v>
      </c>
      <c r="Y75" s="13"/>
      <c r="Z75" s="345">
        <f t="shared" si="45"/>
        <v>0</v>
      </c>
      <c r="AA75" s="63">
        <f t="shared" si="46"/>
        <v>0</v>
      </c>
      <c r="AB75" s="64" t="s">
        <v>38</v>
      </c>
    </row>
    <row r="76" spans="4:28" ht="15.75" x14ac:dyDescent="0.3">
      <c r="W76" s="8">
        <v>35</v>
      </c>
      <c r="X76" s="9" t="s">
        <v>21</v>
      </c>
      <c r="Y76" s="13"/>
      <c r="Z76" s="345">
        <f t="shared" si="45"/>
        <v>0</v>
      </c>
      <c r="AA76" s="63" t="str">
        <f t="shared" si="46"/>
        <v/>
      </c>
      <c r="AB76" s="64"/>
    </row>
    <row r="77" spans="4:28" ht="15.75" x14ac:dyDescent="0.3">
      <c r="W77" s="8"/>
      <c r="X77"/>
      <c r="Y77" s="13"/>
      <c r="Z77" s="345">
        <f t="shared" si="45"/>
        <v>0</v>
      </c>
      <c r="AA77" s="63" t="str">
        <f t="shared" si="46"/>
        <v/>
      </c>
      <c r="AB77" s="64"/>
    </row>
    <row r="78" spans="4:28" ht="15.75" x14ac:dyDescent="0.3">
      <c r="W78" s="8"/>
      <c r="X78"/>
      <c r="Y78" s="13"/>
      <c r="Z78" s="345">
        <f t="shared" si="45"/>
        <v>0</v>
      </c>
      <c r="AA78" s="63" t="str">
        <f t="shared" si="46"/>
        <v/>
      </c>
      <c r="AB78" s="64"/>
    </row>
    <row r="79" spans="4:28" ht="15.75" x14ac:dyDescent="0.3">
      <c r="W79" s="8">
        <v>41</v>
      </c>
      <c r="X79" t="s">
        <v>22</v>
      </c>
      <c r="Y79" s="13"/>
      <c r="Z79" s="345">
        <f t="shared" ca="1" si="45"/>
        <v>7.5730168086014515</v>
      </c>
      <c r="AA79" s="63">
        <f t="shared" si="46"/>
        <v>1</v>
      </c>
      <c r="AB79" s="64" t="s">
        <v>37</v>
      </c>
    </row>
    <row r="80" spans="4:28" ht="15.75" x14ac:dyDescent="0.3">
      <c r="W80" s="8">
        <v>42</v>
      </c>
      <c r="X80" t="s">
        <v>23</v>
      </c>
      <c r="Y80" s="13"/>
      <c r="Z80" s="345">
        <f t="shared" si="45"/>
        <v>0</v>
      </c>
      <c r="AA80" s="63" t="str">
        <f t="shared" si="46"/>
        <v/>
      </c>
      <c r="AB80" s="64"/>
    </row>
    <row r="81" spans="23:28" ht="15.75" x14ac:dyDescent="0.3">
      <c r="W81" s="8">
        <v>422</v>
      </c>
      <c r="X81" t="s">
        <v>72</v>
      </c>
      <c r="Y81" s="13"/>
      <c r="Z81" s="345">
        <f t="shared" si="45"/>
        <v>0</v>
      </c>
      <c r="AA81" s="63" t="str">
        <f t="shared" si="46"/>
        <v/>
      </c>
      <c r="AB81" s="64"/>
    </row>
    <row r="82" spans="23:28" ht="15.75" x14ac:dyDescent="0.3">
      <c r="W82" s="8">
        <v>43</v>
      </c>
      <c r="X82" t="s">
        <v>24</v>
      </c>
      <c r="Y82" s="13"/>
      <c r="Z82" s="345">
        <f t="shared" si="45"/>
        <v>0</v>
      </c>
      <c r="AA82" s="63">
        <f t="shared" si="46"/>
        <v>0</v>
      </c>
      <c r="AB82" s="64" t="s">
        <v>36</v>
      </c>
    </row>
    <row r="83" spans="23:28" ht="15" customHeight="1" x14ac:dyDescent="0.3">
      <c r="W83" s="8">
        <v>44</v>
      </c>
      <c r="X83" t="s">
        <v>28</v>
      </c>
      <c r="Y83" s="13"/>
      <c r="Z83" s="345">
        <f t="shared" si="45"/>
        <v>0</v>
      </c>
      <c r="AA83" s="63" t="str">
        <f t="shared" si="46"/>
        <v/>
      </c>
      <c r="AB83" s="64"/>
    </row>
    <row r="84" spans="23:28" ht="15" customHeight="1" x14ac:dyDescent="0.3">
      <c r="W84" s="8"/>
      <c r="X84"/>
      <c r="Y84" s="13"/>
      <c r="Z84" s="345">
        <f t="shared" si="45"/>
        <v>0</v>
      </c>
      <c r="AA84" s="63" t="str">
        <f t="shared" si="46"/>
        <v/>
      </c>
      <c r="AB84" s="64"/>
    </row>
    <row r="85" spans="23:28" ht="15" customHeight="1" x14ac:dyDescent="0.3">
      <c r="W85" s="8">
        <v>51</v>
      </c>
      <c r="X85" t="s">
        <v>25</v>
      </c>
      <c r="Y85" s="13"/>
      <c r="Z85" s="345">
        <f t="shared" si="45"/>
        <v>0</v>
      </c>
      <c r="AA85" s="63" t="str">
        <f t="shared" si="46"/>
        <v/>
      </c>
      <c r="AB85" s="64"/>
    </row>
    <row r="86" spans="23:28" ht="15" customHeight="1" x14ac:dyDescent="0.3">
      <c r="W86" s="8">
        <v>52</v>
      </c>
      <c r="X86" t="s">
        <v>73</v>
      </c>
      <c r="Y86" s="13"/>
      <c r="Z86" s="345">
        <f t="shared" si="45"/>
        <v>0</v>
      </c>
      <c r="AA86" s="63" t="str">
        <f t="shared" si="46"/>
        <v/>
      </c>
      <c r="AB86" s="64"/>
    </row>
    <row r="87" spans="23:28" ht="15" customHeight="1" x14ac:dyDescent="0.3">
      <c r="W87" s="8">
        <v>53</v>
      </c>
      <c r="X87" t="s">
        <v>74</v>
      </c>
      <c r="Y87" s="13"/>
      <c r="Z87" s="345">
        <f t="shared" si="45"/>
        <v>0</v>
      </c>
      <c r="AA87" s="63" t="str">
        <f t="shared" si="46"/>
        <v/>
      </c>
      <c r="AB87" s="64"/>
    </row>
    <row r="88" spans="23:28" ht="15" customHeight="1" x14ac:dyDescent="0.3">
      <c r="W88" s="8"/>
      <c r="X88"/>
      <c r="Y88" s="13"/>
      <c r="Z88" s="345">
        <f t="shared" si="45"/>
        <v>0</v>
      </c>
      <c r="AA88" s="63" t="str">
        <f t="shared" si="46"/>
        <v/>
      </c>
      <c r="AB88" s="64"/>
    </row>
    <row r="89" spans="23:28" ht="15" customHeight="1" x14ac:dyDescent="0.3">
      <c r="W89" s="10">
        <v>91</v>
      </c>
      <c r="X89" s="11" t="s">
        <v>29</v>
      </c>
      <c r="Y89" s="14"/>
      <c r="Z89" s="350">
        <f t="shared" si="45"/>
        <v>0</v>
      </c>
      <c r="AA89" s="351" t="str">
        <f t="shared" si="46"/>
        <v/>
      </c>
      <c r="AB89" s="65"/>
    </row>
    <row r="90" spans="23:28" ht="15" customHeight="1" thickBot="1" x14ac:dyDescent="0.3">
      <c r="W90" s="15"/>
      <c r="X90" s="13"/>
      <c r="Y90" s="13"/>
      <c r="Z90" s="352">
        <f ca="1">SUM(Z60:Z89)</f>
        <v>2924.1</v>
      </c>
      <c r="AA90" s="239"/>
      <c r="AB90" s="239"/>
    </row>
    <row r="91" spans="23:28" ht="15" customHeight="1" x14ac:dyDescent="0.25"/>
    <row r="92" spans="23:28" ht="15" customHeight="1" x14ac:dyDescent="0.25"/>
    <row r="93" spans="23:28" ht="15" customHeight="1" x14ac:dyDescent="0.25"/>
    <row r="94" spans="23:28" ht="15" customHeight="1" x14ac:dyDescent="0.25"/>
    <row r="95" spans="23:28" ht="15" customHeight="1" x14ac:dyDescent="0.25"/>
  </sheetData>
  <sheetProtection formatColumns="0"/>
  <mergeCells count="25">
    <mergeCell ref="N6:U6"/>
    <mergeCell ref="N9:U9"/>
    <mergeCell ref="N21:U21"/>
    <mergeCell ref="N28:U28"/>
    <mergeCell ref="N36:U36"/>
    <mergeCell ref="N42:U42"/>
    <mergeCell ref="M3:M4"/>
    <mergeCell ref="N3:U4"/>
    <mergeCell ref="V3:V4"/>
    <mergeCell ref="W3:X4"/>
    <mergeCell ref="Y3:Y4"/>
    <mergeCell ref="Z3:AB3"/>
    <mergeCell ref="A3:A4"/>
    <mergeCell ref="B3:B4"/>
    <mergeCell ref="D3:G3"/>
    <mergeCell ref="H3:I4"/>
    <mergeCell ref="J3:J4"/>
    <mergeCell ref="K3:L4"/>
    <mergeCell ref="A1:A2"/>
    <mergeCell ref="H1:U1"/>
    <mergeCell ref="V1:W1"/>
    <mergeCell ref="AC1:AC2"/>
    <mergeCell ref="AD1:AD2"/>
    <mergeCell ref="H2:U2"/>
    <mergeCell ref="V2:W2"/>
  </mergeCells>
  <dataValidations count="3">
    <dataValidation type="list" errorStyle="warning" allowBlank="1" showInputMessage="1" showErrorMessage="1" sqref="B7:B8" xr:uid="{E94C0E3C-20AB-49B7-8AEB-17E5D5FB65C4}">
      <formula1>VCF.BMO.ALL</formula1>
    </dataValidation>
    <dataValidation type="list" allowBlank="1" showInputMessage="1" showErrorMessage="1" sqref="B22:B25 B37:B39 B43:B51 B29:B33" xr:uid="{419AFAD0-E72B-45B4-BE8C-4A3A1431AC97}">
      <formula1>VCF.BMO.ALL</formula1>
    </dataValidation>
    <dataValidation type="list" allowBlank="1" showInputMessage="1" showErrorMessage="1" sqref="B58" xr:uid="{49F15DFF-69F6-4754-863B-1A6C4FC46153}">
      <formula1>ListeCDG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Footer>&amp;L&amp;K04-019Service Méthodes d'Organisation&amp;CPage &amp;P/&amp;N&amp;R&amp;A
&amp;F</oddFooter>
    <firstFooter>&amp;L&amp;K04-014Service Méthodes d'Organisation Sud-Ouest</first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B8D8A-F85C-40F5-8643-C2DCE7B7D740}">
  <sheetPr codeName="Feuil25">
    <tabColor rgb="FFFF00FF"/>
    <pageSetUpPr fitToPage="1"/>
  </sheetPr>
  <dimension ref="A1:AD128"/>
  <sheetViews>
    <sheetView showZeros="0" topLeftCell="A71" zoomScale="70" zoomScaleNormal="70" zoomScalePageLayoutView="85" workbookViewId="0">
      <selection activeCell="A92" sqref="A92:XFD92"/>
    </sheetView>
  </sheetViews>
  <sheetFormatPr baseColWidth="10" defaultColWidth="10" defaultRowHeight="15" x14ac:dyDescent="0.25"/>
  <cols>
    <col min="1" max="1" width="36.5" style="240" bestFit="1" customWidth="1"/>
    <col min="2" max="2" width="27.375" style="240" customWidth="1"/>
    <col min="3" max="3" width="0.75" style="240" customWidth="1"/>
    <col min="4" max="7" width="8.625" style="240" customWidth="1"/>
    <col min="8" max="9" width="5.375" style="240" customWidth="1"/>
    <col min="10" max="10" width="5.375" style="342" customWidth="1"/>
    <col min="11" max="11" width="10" style="240" bestFit="1" customWidth="1"/>
    <col min="12" max="12" width="5.375" style="240" customWidth="1"/>
    <col min="13" max="13" width="9.5" style="13" customWidth="1"/>
    <col min="14" max="14" width="5" style="343" customWidth="1"/>
    <col min="15" max="15" width="6.125" style="343" customWidth="1"/>
    <col min="16" max="16" width="5" style="343" customWidth="1"/>
    <col min="17" max="17" width="6.125" style="343" customWidth="1"/>
    <col min="18" max="18" width="5" style="343" customWidth="1"/>
    <col min="19" max="20" width="4.375" style="343" customWidth="1"/>
    <col min="21" max="21" width="3.5" style="343" customWidth="1"/>
    <col min="22" max="22" width="8" style="349" customWidth="1"/>
    <col min="23" max="23" width="3.875" style="240" customWidth="1"/>
    <col min="24" max="24" width="10.25" style="240" bestFit="1" customWidth="1"/>
    <col min="25" max="25" width="5.25" style="15" customWidth="1"/>
    <col min="26" max="27" width="8.625" style="13" customWidth="1"/>
    <col min="28" max="28" width="10" style="13" bestFit="1" customWidth="1"/>
    <col min="29" max="30" width="10" style="239"/>
    <col min="31" max="16384" width="10" style="240"/>
  </cols>
  <sheetData>
    <row r="1" spans="1:30" s="91" customFormat="1" ht="18.75" customHeight="1" x14ac:dyDescent="0.25">
      <c r="A1" s="80" t="str">
        <f>VCF.SOMMAIRE.NIVEAUX.63366237336634372D623230622D346366342D613132662D643661386338316337363564.65653364353933342D663566652D346664302D626536352D363265393836356538316230.61323034363735372D633863622D343638352D623331662D383763653463663533646531</f>
        <v>PH RDC</v>
      </c>
      <c r="B1" s="81"/>
      <c r="C1" s="81"/>
      <c r="D1" s="81"/>
      <c r="E1" s="81"/>
      <c r="F1" s="81"/>
      <c r="G1" s="81"/>
      <c r="H1" s="82" t="str">
        <f>VCF.SOMMAIRE.HYP1</f>
        <v>Hypothèses : activité 60</v>
      </c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4"/>
      <c r="V1" s="353" t="s">
        <v>42</v>
      </c>
      <c r="W1" s="354"/>
      <c r="X1" s="87" t="str">
        <f>VCF.SOMMAIRE.ENTREPRISE</f>
        <v>SOGEA SUD BATIMENT</v>
      </c>
      <c r="Y1" s="88"/>
      <c r="Z1" s="89"/>
      <c r="AA1" s="89"/>
      <c r="AB1" s="355"/>
      <c r="AC1" s="121"/>
      <c r="AD1" s="121"/>
    </row>
    <row r="2" spans="1:30" s="91" customFormat="1" ht="19.5" thickBot="1" x14ac:dyDescent="0.3">
      <c r="A2" s="92"/>
      <c r="B2" s="93"/>
      <c r="C2" s="93"/>
      <c r="D2" s="93"/>
      <c r="E2" s="93"/>
      <c r="F2" s="93"/>
      <c r="G2" s="93"/>
      <c r="H2" s="94" t="str">
        <f>VCF.SOMMAIRE.HYP2</f>
        <v xml:space="preserve"> 37Hr semaine = 7.40H/J</v>
      </c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6"/>
      <c r="V2" s="356" t="s">
        <v>44</v>
      </c>
      <c r="W2" s="357"/>
      <c r="X2" s="99" t="str">
        <f>VCF.SOMMAIRE.CHANTIER</f>
        <v>HOCHE NIMES</v>
      </c>
      <c r="Y2" s="100"/>
      <c r="Z2" s="101"/>
      <c r="AA2" s="101"/>
      <c r="AB2" s="358"/>
      <c r="AC2" s="121"/>
      <c r="AD2" s="121"/>
    </row>
    <row r="3" spans="1:30" s="91" customFormat="1" ht="15.75" customHeight="1" thickTop="1" x14ac:dyDescent="0.25">
      <c r="A3" s="102" t="s">
        <v>45</v>
      </c>
      <c r="B3" s="103" t="s">
        <v>46</v>
      </c>
      <c r="C3" s="104"/>
      <c r="D3" s="105" t="s">
        <v>47</v>
      </c>
      <c r="E3" s="105"/>
      <c r="F3" s="105"/>
      <c r="G3" s="106"/>
      <c r="H3" s="107" t="s">
        <v>48</v>
      </c>
      <c r="I3" s="108"/>
      <c r="J3" s="109" t="s">
        <v>49</v>
      </c>
      <c r="K3" s="110" t="s">
        <v>50</v>
      </c>
      <c r="L3" s="111"/>
      <c r="M3" s="112" t="s">
        <v>51</v>
      </c>
      <c r="N3" s="113" t="s">
        <v>52</v>
      </c>
      <c r="O3" s="114"/>
      <c r="P3" s="114"/>
      <c r="Q3" s="114"/>
      <c r="R3" s="114"/>
      <c r="S3" s="114"/>
      <c r="T3" s="114"/>
      <c r="U3" s="115"/>
      <c r="V3" s="116" t="s">
        <v>53</v>
      </c>
      <c r="W3" s="117" t="s">
        <v>54</v>
      </c>
      <c r="X3" s="117"/>
      <c r="Y3" s="118" t="s">
        <v>55</v>
      </c>
      <c r="Z3" s="119" t="s">
        <v>56</v>
      </c>
      <c r="AA3" s="119"/>
      <c r="AB3" s="120"/>
      <c r="AC3" s="121"/>
      <c r="AD3" s="121"/>
    </row>
    <row r="4" spans="1:30" s="91" customFormat="1" x14ac:dyDescent="0.25">
      <c r="A4" s="122"/>
      <c r="B4" s="123"/>
      <c r="C4" s="124"/>
      <c r="D4" s="124" t="s">
        <v>37</v>
      </c>
      <c r="E4" s="124" t="s">
        <v>36</v>
      </c>
      <c r="F4" s="124" t="s">
        <v>38</v>
      </c>
      <c r="G4" s="125" t="s">
        <v>57</v>
      </c>
      <c r="H4" s="126"/>
      <c r="I4" s="127"/>
      <c r="J4" s="128"/>
      <c r="K4" s="126"/>
      <c r="L4" s="129"/>
      <c r="M4" s="130"/>
      <c r="N4" s="131"/>
      <c r="O4" s="132"/>
      <c r="P4" s="132"/>
      <c r="Q4" s="132"/>
      <c r="R4" s="132"/>
      <c r="S4" s="132"/>
      <c r="T4" s="132"/>
      <c r="U4" s="133"/>
      <c r="V4" s="134"/>
      <c r="W4" s="135"/>
      <c r="X4" s="135"/>
      <c r="Y4" s="136"/>
      <c r="Z4" s="137">
        <v>60</v>
      </c>
      <c r="AA4" s="138">
        <v>55</v>
      </c>
      <c r="AB4" s="139">
        <v>52</v>
      </c>
      <c r="AC4" s="121"/>
      <c r="AD4" s="121"/>
    </row>
    <row r="5" spans="1:30" s="91" customFormat="1" x14ac:dyDescent="0.25">
      <c r="A5" s="140"/>
      <c r="B5" s="141"/>
      <c r="C5" s="142"/>
      <c r="D5" s="143"/>
      <c r="E5" s="143"/>
      <c r="F5" s="143"/>
      <c r="G5" s="143"/>
      <c r="H5" s="144"/>
      <c r="I5" s="145"/>
      <c r="J5" s="146"/>
      <c r="K5" s="147"/>
      <c r="L5" s="148"/>
      <c r="M5" s="149"/>
      <c r="N5" s="150"/>
      <c r="O5" s="150"/>
      <c r="P5" s="150"/>
      <c r="Q5" s="150"/>
      <c r="R5" s="150"/>
      <c r="S5" s="150"/>
      <c r="T5" s="150"/>
      <c r="U5" s="151"/>
      <c r="V5" s="152"/>
      <c r="W5" s="147"/>
      <c r="X5" s="148"/>
      <c r="Y5" s="153"/>
      <c r="Z5" s="154"/>
      <c r="AA5" s="155"/>
      <c r="AB5" s="156"/>
      <c r="AC5" s="121"/>
      <c r="AD5" s="121"/>
    </row>
    <row r="6" spans="1:30" s="91" customFormat="1" x14ac:dyDescent="0.25">
      <c r="A6" s="157" t="s">
        <v>58</v>
      </c>
      <c r="B6" s="158"/>
      <c r="C6" s="159"/>
      <c r="D6" s="160"/>
      <c r="E6" s="160"/>
      <c r="F6" s="160"/>
      <c r="G6" s="160"/>
      <c r="H6" s="161"/>
      <c r="I6" s="162"/>
      <c r="J6" s="163"/>
      <c r="K6" s="164"/>
      <c r="L6" s="165"/>
      <c r="M6" s="166"/>
      <c r="N6" s="167"/>
      <c r="O6" s="168"/>
      <c r="P6" s="168"/>
      <c r="Q6" s="168"/>
      <c r="R6" s="168"/>
      <c r="S6" s="168"/>
      <c r="T6" s="168"/>
      <c r="U6" s="169"/>
      <c r="V6" s="170"/>
      <c r="W6" s="171"/>
      <c r="X6" s="172"/>
      <c r="Y6" s="173"/>
      <c r="Z6" s="174"/>
      <c r="AA6" s="175"/>
      <c r="AB6" s="176"/>
      <c r="AC6" s="121"/>
      <c r="AD6" s="121"/>
    </row>
    <row r="7" spans="1:30" s="91" customFormat="1" x14ac:dyDescent="0.25">
      <c r="A7" s="177"/>
      <c r="B7" s="178"/>
      <c r="C7" s="179"/>
      <c r="D7" s="180"/>
      <c r="E7" s="180"/>
      <c r="F7" s="180"/>
      <c r="G7" s="180"/>
      <c r="H7" s="181" t="str">
        <f>IF(I7="","",IF(I7="u",ROUND(D7, 0),IF(I7="ml",ROUND(E7,1),IF(I7="m²",ROUND(F7,1),ROUND(G7,1)))))</f>
        <v/>
      </c>
      <c r="I7" s="182" t="str">
        <f>IF(B7="","",IF(A7="","",INDEX([1]BMO!$A$5:$B$292,MATCH(B7,[1]BMO!$B$5:$B$292,0),1)))</f>
        <v/>
      </c>
      <c r="J7" s="183" t="s">
        <v>61</v>
      </c>
      <c r="K7" s="184" t="str">
        <f>IF(H7="","",AA7/H7)</f>
        <v/>
      </c>
      <c r="L7" s="185" t="str">
        <f>IF(H7="","",CONCATENATE("h/",I7))</f>
        <v/>
      </c>
      <c r="M7" s="186" t="str">
        <f>IF(H7="","",H7*K7)</f>
        <v/>
      </c>
      <c r="N7" s="187"/>
      <c r="O7" s="187"/>
      <c r="P7" s="187"/>
      <c r="Q7" s="187"/>
      <c r="R7" s="187"/>
      <c r="S7" s="187"/>
      <c r="T7" s="187"/>
      <c r="U7" s="188"/>
      <c r="V7" s="189" t="s">
        <v>61</v>
      </c>
      <c r="W7" s="190" t="str">
        <f>IF(H7="","",ROUND(H7/V7,1))</f>
        <v/>
      </c>
      <c r="X7" s="191" t="str">
        <f>IF(H7="","",CONCATENATE(I7,"/j"))</f>
        <v/>
      </c>
      <c r="Y7" s="192" t="str">
        <f>IF(H7="","",ROUND((H7*J7)/(V7*7.4),0))</f>
        <v/>
      </c>
      <c r="Z7" s="193" t="str">
        <f>IF(Y7="","",ROUND(Y7*V7*7.4,2))</f>
        <v/>
      </c>
      <c r="AA7" s="194" t="str">
        <f>Z7</f>
        <v/>
      </c>
      <c r="AB7" s="195" t="str">
        <f>AA7</f>
        <v/>
      </c>
      <c r="AC7" s="121"/>
      <c r="AD7" s="121"/>
    </row>
    <row r="8" spans="1:30" s="91" customFormat="1" x14ac:dyDescent="0.25">
      <c r="A8" s="196" t="s">
        <v>112</v>
      </c>
      <c r="B8" s="178"/>
      <c r="C8" s="179"/>
      <c r="D8" s="180"/>
      <c r="E8" s="180"/>
      <c r="F8" s="180"/>
      <c r="G8" s="180"/>
      <c r="H8" s="181" t="str">
        <f t="shared" ref="H8:H10" si="0">IF(I8="","",IF(I8="u",ROUND(D8, 0),IF(I8="ml",ROUND(E8,1),IF(I8="m²",ROUND(F8,1),ROUND(G8,1)))))</f>
        <v/>
      </c>
      <c r="I8" s="182" t="str">
        <f>IF(B8="","",IF(A8="","",INDEX([1]BMO!$A$5:$B$292,MATCH(B8,[1]BMO!$B$5:$B$292,0),1)))</f>
        <v/>
      </c>
      <c r="J8" s="183" t="s">
        <v>61</v>
      </c>
      <c r="K8" s="184" t="str">
        <f t="shared" ref="K8:K10" si="1">IF(H8="","",AA8/H8)</f>
        <v/>
      </c>
      <c r="L8" s="185" t="str">
        <f t="shared" ref="L8:L10" si="2">IF(H8="","",CONCATENATE("h/",I8))</f>
        <v/>
      </c>
      <c r="M8" s="186" t="str">
        <f t="shared" ref="M8:M10" si="3">IF(H8="","",H8*K8)</f>
        <v/>
      </c>
      <c r="N8" s="187"/>
      <c r="O8" s="187"/>
      <c r="P8" s="187"/>
      <c r="Q8" s="187"/>
      <c r="R8" s="187"/>
      <c r="S8" s="187"/>
      <c r="T8" s="187"/>
      <c r="U8" s="188"/>
      <c r="V8" s="189">
        <v>1</v>
      </c>
      <c r="W8" s="190" t="str">
        <f t="shared" ref="W8:W10" si="4">IF(H8="","",ROUND(H8/V8,1))</f>
        <v/>
      </c>
      <c r="X8" s="191" t="str">
        <f t="shared" ref="X8:X10" si="5">IF(H8="","",CONCATENATE(I8,"/j"))</f>
        <v/>
      </c>
      <c r="Y8" s="192" t="str">
        <f t="shared" ref="Y8:Y10" si="6">IF(H8="","",ROUND((H8*J8)/(V8*7.4),0))</f>
        <v/>
      </c>
      <c r="Z8" s="193" t="str">
        <f t="shared" ref="Z8:Z10" si="7">IF(Y8="","",ROUND(Y8*V8*7.4,2))</f>
        <v/>
      </c>
      <c r="AA8" s="194" t="str">
        <f t="shared" ref="AA8:AB10" si="8">Z8</f>
        <v/>
      </c>
      <c r="AB8" s="195" t="str">
        <f t="shared" si="8"/>
        <v/>
      </c>
      <c r="AC8" s="121"/>
      <c r="AD8" s="121"/>
    </row>
    <row r="9" spans="1:30" s="91" customFormat="1" ht="15.75" x14ac:dyDescent="0.3">
      <c r="A9" s="360" t="s">
        <v>113</v>
      </c>
      <c r="B9" s="178"/>
      <c r="C9" s="179"/>
      <c r="D9" s="180"/>
      <c r="E9" s="180"/>
      <c r="F9" s="180"/>
      <c r="G9" s="180"/>
      <c r="H9" s="181" t="str">
        <f t="shared" si="0"/>
        <v/>
      </c>
      <c r="I9" s="182" t="str">
        <f>IF(B9="","",IF(A9="","",INDEX([1]BMO!$A$5:$B$292,MATCH(B9,[1]BMO!$B$5:$B$292,0),1)))</f>
        <v/>
      </c>
      <c r="J9" s="183" t="s">
        <v>61</v>
      </c>
      <c r="K9" s="184" t="str">
        <f t="shared" si="1"/>
        <v/>
      </c>
      <c r="L9" s="185" t="str">
        <f t="shared" si="2"/>
        <v/>
      </c>
      <c r="M9" s="186" t="str">
        <f t="shared" si="3"/>
        <v/>
      </c>
      <c r="N9" s="187"/>
      <c r="O9" s="187"/>
      <c r="P9" s="187"/>
      <c r="Q9" s="187"/>
      <c r="R9" s="187"/>
      <c r="S9" s="187"/>
      <c r="T9" s="187"/>
      <c r="U9" s="188"/>
      <c r="V9" s="189">
        <v>1</v>
      </c>
      <c r="W9" s="190" t="str">
        <f t="shared" si="4"/>
        <v/>
      </c>
      <c r="X9" s="191" t="str">
        <f t="shared" si="5"/>
        <v/>
      </c>
      <c r="Y9" s="192" t="str">
        <f t="shared" si="6"/>
        <v/>
      </c>
      <c r="Z9" s="193" t="str">
        <f t="shared" si="7"/>
        <v/>
      </c>
      <c r="AA9" s="194" t="str">
        <f t="shared" si="8"/>
        <v/>
      </c>
      <c r="AB9" s="195" t="str">
        <f t="shared" si="8"/>
        <v/>
      </c>
      <c r="AC9" s="121"/>
      <c r="AD9" s="121"/>
    </row>
    <row r="10" spans="1:30" s="91" customFormat="1" ht="15.75" thickBot="1" x14ac:dyDescent="0.3">
      <c r="A10" s="198"/>
      <c r="B10" s="199"/>
      <c r="C10" s="200"/>
      <c r="D10" s="201"/>
      <c r="E10" s="201"/>
      <c r="F10" s="201"/>
      <c r="G10" s="201"/>
      <c r="H10" s="181" t="str">
        <f t="shared" si="0"/>
        <v/>
      </c>
      <c r="I10" s="182" t="str">
        <f>IF(B10="","",IF(A10="","",INDEX([1]BMO!$A$5:$B$292,MATCH(B10,[1]BMO!$B$5:$B$292,0),1)))</f>
        <v/>
      </c>
      <c r="J10" s="183" t="s">
        <v>61</v>
      </c>
      <c r="K10" s="184" t="str">
        <f t="shared" si="1"/>
        <v/>
      </c>
      <c r="L10" s="185" t="str">
        <f t="shared" si="2"/>
        <v/>
      </c>
      <c r="M10" s="186" t="str">
        <f t="shared" si="3"/>
        <v/>
      </c>
      <c r="N10" s="187"/>
      <c r="O10" s="187"/>
      <c r="P10" s="187"/>
      <c r="Q10" s="187"/>
      <c r="R10" s="187"/>
      <c r="S10" s="187"/>
      <c r="T10" s="187"/>
      <c r="U10" s="188"/>
      <c r="V10" s="189" t="s">
        <v>61</v>
      </c>
      <c r="W10" s="190" t="str">
        <f t="shared" si="4"/>
        <v/>
      </c>
      <c r="X10" s="191" t="str">
        <f t="shared" si="5"/>
        <v/>
      </c>
      <c r="Y10" s="192" t="str">
        <f t="shared" si="6"/>
        <v/>
      </c>
      <c r="Z10" s="193" t="str">
        <f t="shared" si="7"/>
        <v/>
      </c>
      <c r="AA10" s="194" t="str">
        <f t="shared" si="8"/>
        <v/>
      </c>
      <c r="AB10" s="195" t="str">
        <f t="shared" si="8"/>
        <v/>
      </c>
      <c r="AC10" s="121"/>
      <c r="AD10" s="121"/>
    </row>
    <row r="11" spans="1:30" s="222" customFormat="1" ht="15.75" hidden="1" thickBot="1" x14ac:dyDescent="0.35">
      <c r="A11" s="202" t="s">
        <v>60</v>
      </c>
      <c r="B11" s="203"/>
      <c r="C11" s="204"/>
      <c r="D11" s="205"/>
      <c r="E11" s="205"/>
      <c r="F11" s="205"/>
      <c r="G11" s="205"/>
      <c r="H11" s="206"/>
      <c r="I11" s="207"/>
      <c r="J11" s="208"/>
      <c r="K11" s="209"/>
      <c r="L11" s="210"/>
      <c r="M11" s="211"/>
      <c r="N11" s="212"/>
      <c r="O11" s="213"/>
      <c r="P11" s="213"/>
      <c r="Q11" s="213"/>
      <c r="R11" s="213"/>
      <c r="S11" s="213"/>
      <c r="T11" s="213"/>
      <c r="U11" s="214"/>
      <c r="V11" s="215">
        <v>34</v>
      </c>
      <c r="W11" s="216"/>
      <c r="X11" s="217"/>
      <c r="Y11" s="218">
        <f ca="1">IF(SUM(OFFSET(H11,1,0):H22)=0,0,ROUND(SUMPRODUCT(OFFSET(H11,1,0):H22,OFFSET(J11,1,0):J22)/(V11*8.1),0))</f>
        <v>0</v>
      </c>
      <c r="Z11" s="219" t="str">
        <f ca="1">IF(Y11=0,"",ROUND(Y11*V11*7.4,2))</f>
        <v/>
      </c>
      <c r="AA11" s="220" t="str">
        <f ca="1">IF(Y11=0,"",ROUND(Y11*V11*8.1,2))</f>
        <v/>
      </c>
      <c r="AB11" s="221" t="str">
        <f ca="1">IF(Y11=0,"",ROUND(Y11*V11*7.4*60/52,2))</f>
        <v/>
      </c>
      <c r="AC11" s="200"/>
      <c r="AD11" s="200"/>
    </row>
    <row r="12" spans="1:30" ht="16.5" hidden="1" thickBot="1" x14ac:dyDescent="0.35">
      <c r="A12" s="223"/>
      <c r="B12" s="224"/>
      <c r="C12" s="225"/>
      <c r="D12" s="226"/>
      <c r="E12" s="227"/>
      <c r="F12" s="227"/>
      <c r="G12" s="227"/>
      <c r="H12" s="181" t="str">
        <f t="shared" ref="H12:H20" si="9">IF(I12="","",IF(I12="u",ROUND(D12, 0),IF(I12="ml",ROUND(E12,1),IF(I12="m²",ROUND(F12,1),ROUND(G12,1)))))</f>
        <v/>
      </c>
      <c r="I12" s="182" t="str">
        <f>IF(B12="","",IF(A12="","",INDEX([1]BMO!$A$5:$B$292,MATCH(B12,[1]BMO!$B$5:$B$292,0),1)))</f>
        <v/>
      </c>
      <c r="J12" s="183" t="s">
        <v>61</v>
      </c>
      <c r="K12" s="184" t="str">
        <f>IF(J12="","",J12*AA11/SUMPRODUCT(H11:H22,J11:J22))</f>
        <v/>
      </c>
      <c r="L12" s="185" t="str">
        <f>IF(I12="","",CONCATENATE("h/",I12))</f>
        <v/>
      </c>
      <c r="M12" s="228" t="str">
        <f>IF(H12="","",H12*K12)</f>
        <v/>
      </c>
      <c r="N12" s="229"/>
      <c r="O12" s="230"/>
      <c r="P12" s="229"/>
      <c r="Q12" s="231"/>
      <c r="R12" s="229"/>
      <c r="S12" s="232"/>
      <c r="T12" s="232"/>
      <c r="U12" s="233"/>
      <c r="V12" s="234" t="s">
        <v>61</v>
      </c>
      <c r="W12" s="190" t="str">
        <f t="shared" ref="W12:W20" si="10">IF(H12="","",ROUND(H12/V12,1))</f>
        <v/>
      </c>
      <c r="X12" s="191" t="str">
        <f t="shared" ref="X12:X20" si="11">IF(W12="","",CONCATENATE(I12,"/j"))</f>
        <v/>
      </c>
      <c r="Y12" s="235"/>
      <c r="Z12" s="236" t="str">
        <f t="shared" ref="Z12:Z20" si="12">IF(Y12=0,"",ROUND(Y12*V12*7.4,2))</f>
        <v/>
      </c>
      <c r="AA12" s="237" t="str">
        <f t="shared" ref="AA12:AA20" si="13">IF(Y12=0,"",ROUND(Y12*V12*8.1,2))</f>
        <v/>
      </c>
      <c r="AB12" s="238" t="str">
        <f t="shared" ref="AB12:AB20" si="14">IF(Y12=0,"",ROUND(Y12*V12*7.4*60/52,2))</f>
        <v/>
      </c>
    </row>
    <row r="13" spans="1:30" ht="16.5" hidden="1" thickBot="1" x14ac:dyDescent="0.35">
      <c r="A13" s="223"/>
      <c r="B13" s="224"/>
      <c r="C13" s="179"/>
      <c r="D13" s="241"/>
      <c r="E13" s="242"/>
      <c r="F13" s="227"/>
      <c r="G13" s="227"/>
      <c r="H13" s="181" t="str">
        <f t="shared" si="9"/>
        <v/>
      </c>
      <c r="I13" s="182" t="str">
        <f>IF(B13="","",IF(A13="","",INDEX([1]BMO!$A$5:$B$292,MATCH(B13,[1]BMO!$B$5:$B$292,0),1)))</f>
        <v/>
      </c>
      <c r="J13" s="183" t="s">
        <v>61</v>
      </c>
      <c r="K13" s="184" t="str">
        <f>IF(J13="","",J13*AA11/SUMPRODUCT(H11:H22,J11:J22))</f>
        <v/>
      </c>
      <c r="L13" s="243" t="str">
        <f t="shared" ref="L13:L20" si="15">IF(I13="","",CONCATENATE("h/",I13))</f>
        <v/>
      </c>
      <c r="M13" s="186" t="str">
        <f t="shared" ref="M13:M20" si="16">IF(H13="","",H13*K13)</f>
        <v/>
      </c>
      <c r="N13" s="229"/>
      <c r="O13" s="230"/>
      <c r="P13" s="229"/>
      <c r="Q13" s="231"/>
      <c r="R13" s="229"/>
      <c r="S13" s="187"/>
      <c r="T13" s="187"/>
      <c r="U13" s="244"/>
      <c r="V13" s="234" t="s">
        <v>61</v>
      </c>
      <c r="W13" s="190" t="str">
        <f t="shared" si="10"/>
        <v/>
      </c>
      <c r="X13" s="191" t="str">
        <f t="shared" si="11"/>
        <v/>
      </c>
      <c r="Y13" s="235"/>
      <c r="Z13" s="236" t="str">
        <f t="shared" si="12"/>
        <v/>
      </c>
      <c r="AA13" s="237" t="str">
        <f t="shared" si="13"/>
        <v/>
      </c>
      <c r="AB13" s="238" t="str">
        <f t="shared" si="14"/>
        <v/>
      </c>
    </row>
    <row r="14" spans="1:30" ht="16.5" hidden="1" thickBot="1" x14ac:dyDescent="0.35">
      <c r="A14" s="223"/>
      <c r="B14" s="224"/>
      <c r="C14" s="179"/>
      <c r="D14" s="241"/>
      <c r="E14" s="242"/>
      <c r="F14" s="242"/>
      <c r="G14" s="227"/>
      <c r="H14" s="181" t="str">
        <f t="shared" si="9"/>
        <v/>
      </c>
      <c r="I14" s="182" t="str">
        <f>IF(B14="","",IF(A14="","",INDEX([1]BMO!$A$5:$B$292,MATCH(B14,[1]BMO!$B$5:$B$292,0),1)))</f>
        <v/>
      </c>
      <c r="J14" s="183" t="s">
        <v>61</v>
      </c>
      <c r="K14" s="184" t="str">
        <f>IF(J14="","",J14*AA11/SUMPRODUCT(H11:H22,J11:J22))</f>
        <v/>
      </c>
      <c r="L14" s="243" t="str">
        <f t="shared" si="15"/>
        <v/>
      </c>
      <c r="M14" s="186" t="str">
        <f t="shared" si="16"/>
        <v/>
      </c>
      <c r="N14" s="229"/>
      <c r="O14" s="230"/>
      <c r="P14" s="229"/>
      <c r="Q14" s="231"/>
      <c r="R14" s="229"/>
      <c r="S14" s="187"/>
      <c r="T14" s="187"/>
      <c r="U14" s="244"/>
      <c r="V14" s="234" t="s">
        <v>61</v>
      </c>
      <c r="W14" s="190" t="str">
        <f t="shared" si="10"/>
        <v/>
      </c>
      <c r="X14" s="191" t="str">
        <f t="shared" si="11"/>
        <v/>
      </c>
      <c r="Y14" s="235"/>
      <c r="Z14" s="236" t="str">
        <f t="shared" si="12"/>
        <v/>
      </c>
      <c r="AA14" s="237" t="str">
        <f t="shared" si="13"/>
        <v/>
      </c>
      <c r="AB14" s="238" t="str">
        <f t="shared" si="14"/>
        <v/>
      </c>
    </row>
    <row r="15" spans="1:30" ht="16.5" hidden="1" thickBot="1" x14ac:dyDescent="0.35">
      <c r="A15" s="223"/>
      <c r="B15" s="224"/>
      <c r="C15" s="179"/>
      <c r="D15" s="241"/>
      <c r="E15" s="242"/>
      <c r="F15" s="242"/>
      <c r="G15" s="227"/>
      <c r="H15" s="181" t="str">
        <f t="shared" si="9"/>
        <v/>
      </c>
      <c r="I15" s="182" t="str">
        <f>IF(B15="","",IF(A15="","",INDEX([1]BMO!$A$5:$B$292,MATCH(B15,[1]BMO!$B$5:$B$292,0),1)))</f>
        <v/>
      </c>
      <c r="J15" s="183" t="s">
        <v>61</v>
      </c>
      <c r="K15" s="184" t="str">
        <f>IF(J15="","",J15*AA11/SUMPRODUCT(H11:H22,J11:J22))</f>
        <v/>
      </c>
      <c r="L15" s="243" t="str">
        <f t="shared" si="15"/>
        <v/>
      </c>
      <c r="M15" s="186" t="str">
        <f t="shared" si="16"/>
        <v/>
      </c>
      <c r="N15" s="229"/>
      <c r="O15" s="230"/>
      <c r="P15" s="229"/>
      <c r="Q15" s="231"/>
      <c r="R15" s="229"/>
      <c r="S15" s="187"/>
      <c r="T15" s="187"/>
      <c r="U15" s="244"/>
      <c r="V15" s="234" t="s">
        <v>61</v>
      </c>
      <c r="W15" s="190" t="str">
        <f t="shared" si="10"/>
        <v/>
      </c>
      <c r="X15" s="191" t="str">
        <f t="shared" si="11"/>
        <v/>
      </c>
      <c r="Y15" s="235"/>
      <c r="Z15" s="236" t="str">
        <f t="shared" si="12"/>
        <v/>
      </c>
      <c r="AA15" s="237" t="str">
        <f t="shared" si="13"/>
        <v/>
      </c>
      <c r="AB15" s="238" t="str">
        <f t="shared" si="14"/>
        <v/>
      </c>
    </row>
    <row r="16" spans="1:30" ht="16.5" hidden="1" thickBot="1" x14ac:dyDescent="0.35">
      <c r="A16" s="223"/>
      <c r="B16" s="224"/>
      <c r="C16" s="179"/>
      <c r="D16" s="241"/>
      <c r="E16" s="242"/>
      <c r="F16" s="242"/>
      <c r="G16" s="227"/>
      <c r="H16" s="181" t="str">
        <f t="shared" si="9"/>
        <v/>
      </c>
      <c r="I16" s="182" t="str">
        <f>IF(B16="","",IF(A16="","",INDEX([1]BMO!$A$5:$B$292,MATCH(B16,[1]BMO!$B$5:$B$292,0),1)))</f>
        <v/>
      </c>
      <c r="J16" s="183" t="s">
        <v>61</v>
      </c>
      <c r="K16" s="184" t="str">
        <f>IF(J16="","",J16*AA11/SUMPRODUCT(H11:H22,J11:J22))</f>
        <v/>
      </c>
      <c r="L16" s="243" t="str">
        <f t="shared" si="15"/>
        <v/>
      </c>
      <c r="M16" s="186" t="str">
        <f t="shared" si="16"/>
        <v/>
      </c>
      <c r="N16" s="229"/>
      <c r="O16" s="230"/>
      <c r="P16" s="229"/>
      <c r="Q16" s="231"/>
      <c r="R16" s="229"/>
      <c r="S16" s="187"/>
      <c r="T16" s="187"/>
      <c r="U16" s="244"/>
      <c r="V16" s="234" t="s">
        <v>61</v>
      </c>
      <c r="W16" s="190" t="str">
        <f t="shared" si="10"/>
        <v/>
      </c>
      <c r="X16" s="191" t="str">
        <f t="shared" si="11"/>
        <v/>
      </c>
      <c r="Y16" s="235"/>
      <c r="Z16" s="236" t="str">
        <f t="shared" si="12"/>
        <v/>
      </c>
      <c r="AA16" s="237" t="str">
        <f t="shared" si="13"/>
        <v/>
      </c>
      <c r="AB16" s="238" t="str">
        <f t="shared" si="14"/>
        <v/>
      </c>
    </row>
    <row r="17" spans="1:30" ht="16.5" hidden="1" thickBot="1" x14ac:dyDescent="0.35">
      <c r="A17" s="223"/>
      <c r="B17" s="224"/>
      <c r="C17" s="179"/>
      <c r="D17" s="241"/>
      <c r="E17" s="242"/>
      <c r="F17" s="242"/>
      <c r="G17" s="227"/>
      <c r="H17" s="181" t="str">
        <f t="shared" si="9"/>
        <v/>
      </c>
      <c r="I17" s="182" t="str">
        <f>IF(B17="","",IF(A17="","",INDEX([1]BMO!$A$5:$B$292,MATCH(B17,[1]BMO!$B$5:$B$292,0),1)))</f>
        <v/>
      </c>
      <c r="J17" s="183" t="s">
        <v>61</v>
      </c>
      <c r="K17" s="184" t="str">
        <f>IF(J17="","",J17*AA11/SUMPRODUCT(H11:H22,J11:J22))</f>
        <v/>
      </c>
      <c r="L17" s="243" t="str">
        <f t="shared" si="15"/>
        <v/>
      </c>
      <c r="M17" s="186" t="str">
        <f t="shared" si="16"/>
        <v/>
      </c>
      <c r="N17" s="229"/>
      <c r="O17" s="230"/>
      <c r="P17" s="229"/>
      <c r="Q17" s="231"/>
      <c r="R17" s="229"/>
      <c r="S17" s="187"/>
      <c r="T17" s="187"/>
      <c r="U17" s="244"/>
      <c r="V17" s="234" t="s">
        <v>61</v>
      </c>
      <c r="W17" s="190" t="str">
        <f t="shared" si="10"/>
        <v/>
      </c>
      <c r="X17" s="191" t="str">
        <f t="shared" si="11"/>
        <v/>
      </c>
      <c r="Y17" s="235"/>
      <c r="Z17" s="236" t="str">
        <f t="shared" si="12"/>
        <v/>
      </c>
      <c r="AA17" s="237" t="str">
        <f t="shared" si="13"/>
        <v/>
      </c>
      <c r="AB17" s="238" t="str">
        <f t="shared" si="14"/>
        <v/>
      </c>
    </row>
    <row r="18" spans="1:30" ht="16.5" hidden="1" thickBot="1" x14ac:dyDescent="0.35">
      <c r="A18" s="223"/>
      <c r="B18" s="224"/>
      <c r="C18" s="179"/>
      <c r="D18" s="241"/>
      <c r="E18" s="242"/>
      <c r="F18" s="242"/>
      <c r="G18" s="227"/>
      <c r="H18" s="181" t="str">
        <f t="shared" si="9"/>
        <v/>
      </c>
      <c r="I18" s="182" t="str">
        <f>IF(B18="","",IF(A18="","",INDEX([1]BMO!$A$5:$B$292,MATCH(B18,[1]BMO!$B$5:$B$292,0),1)))</f>
        <v/>
      </c>
      <c r="J18" s="183" t="s">
        <v>61</v>
      </c>
      <c r="K18" s="184" t="str">
        <f>IF(J18="","",J18*AA11/SUMPRODUCT(H11:H22,J11:J22))</f>
        <v/>
      </c>
      <c r="L18" s="243" t="str">
        <f t="shared" si="15"/>
        <v/>
      </c>
      <c r="M18" s="186" t="str">
        <f t="shared" si="16"/>
        <v/>
      </c>
      <c r="N18" s="229"/>
      <c r="O18" s="230"/>
      <c r="P18" s="229"/>
      <c r="Q18" s="231"/>
      <c r="R18" s="229"/>
      <c r="S18" s="187"/>
      <c r="T18" s="187"/>
      <c r="U18" s="244"/>
      <c r="V18" s="234" t="s">
        <v>61</v>
      </c>
      <c r="W18" s="190" t="str">
        <f t="shared" si="10"/>
        <v/>
      </c>
      <c r="X18" s="191" t="str">
        <f t="shared" si="11"/>
        <v/>
      </c>
      <c r="Y18" s="235"/>
      <c r="Z18" s="236" t="str">
        <f t="shared" si="12"/>
        <v/>
      </c>
      <c r="AA18" s="237" t="str">
        <f t="shared" si="13"/>
        <v/>
      </c>
      <c r="AB18" s="238" t="str">
        <f t="shared" si="14"/>
        <v/>
      </c>
    </row>
    <row r="19" spans="1:30" ht="16.5" hidden="1" thickBot="1" x14ac:dyDescent="0.35">
      <c r="A19" s="223"/>
      <c r="B19" s="224"/>
      <c r="C19" s="179"/>
      <c r="D19" s="241"/>
      <c r="E19" s="242"/>
      <c r="F19" s="242"/>
      <c r="G19" s="227"/>
      <c r="H19" s="181" t="str">
        <f t="shared" si="9"/>
        <v/>
      </c>
      <c r="I19" s="182" t="str">
        <f>IF(B19="","",IF(A19="","",INDEX([1]BMO!$A$5:$B$292,MATCH(B19,[1]BMO!$B$5:$B$292,0),1)))</f>
        <v/>
      </c>
      <c r="J19" s="183" t="s">
        <v>61</v>
      </c>
      <c r="K19" s="184" t="str">
        <f>IF(J19="","",J19*AA11/SUMPRODUCT(H11:H22,J11:J22))</f>
        <v/>
      </c>
      <c r="L19" s="243" t="str">
        <f t="shared" si="15"/>
        <v/>
      </c>
      <c r="M19" s="186" t="str">
        <f t="shared" si="16"/>
        <v/>
      </c>
      <c r="N19" s="229"/>
      <c r="O19" s="230"/>
      <c r="P19" s="229"/>
      <c r="Q19" s="231"/>
      <c r="R19" s="229"/>
      <c r="S19" s="187"/>
      <c r="T19" s="187"/>
      <c r="U19" s="244"/>
      <c r="V19" s="234" t="s">
        <v>61</v>
      </c>
      <c r="W19" s="190" t="str">
        <f t="shared" si="10"/>
        <v/>
      </c>
      <c r="X19" s="191" t="str">
        <f t="shared" si="11"/>
        <v/>
      </c>
      <c r="Y19" s="235"/>
      <c r="Z19" s="236" t="str">
        <f t="shared" si="12"/>
        <v/>
      </c>
      <c r="AA19" s="237" t="str">
        <f t="shared" si="13"/>
        <v/>
      </c>
      <c r="AB19" s="238" t="str">
        <f t="shared" si="14"/>
        <v/>
      </c>
    </row>
    <row r="20" spans="1:30" ht="15" hidden="1" customHeight="1" x14ac:dyDescent="0.3">
      <c r="A20" s="223"/>
      <c r="B20" s="224"/>
      <c r="C20" s="179"/>
      <c r="D20" s="241"/>
      <c r="E20" s="242"/>
      <c r="F20" s="242"/>
      <c r="G20" s="242"/>
      <c r="H20" s="181" t="str">
        <f t="shared" si="9"/>
        <v/>
      </c>
      <c r="I20" s="182" t="str">
        <f>IF(B20="","",IF(A20="","",INDEX([1]BMO!$A$5:$B$292,MATCH(B20,[1]BMO!$B$5:$B$292,0),1)))</f>
        <v/>
      </c>
      <c r="J20" s="183" t="s">
        <v>61</v>
      </c>
      <c r="K20" s="184" t="str">
        <f>IF(J20="","",J20*AA11/SUMPRODUCT(H11:H22,J11:J22))</f>
        <v/>
      </c>
      <c r="L20" s="243" t="str">
        <f t="shared" si="15"/>
        <v/>
      </c>
      <c r="M20" s="186" t="str">
        <f t="shared" si="16"/>
        <v/>
      </c>
      <c r="N20" s="229"/>
      <c r="O20" s="230"/>
      <c r="P20" s="229"/>
      <c r="Q20" s="231"/>
      <c r="R20" s="229"/>
      <c r="S20" s="187"/>
      <c r="T20" s="187"/>
      <c r="U20" s="244"/>
      <c r="V20" s="234" t="s">
        <v>61</v>
      </c>
      <c r="W20" s="190" t="str">
        <f t="shared" si="10"/>
        <v/>
      </c>
      <c r="X20" s="191" t="str">
        <f t="shared" si="11"/>
        <v/>
      </c>
      <c r="Y20" s="235"/>
      <c r="Z20" s="236" t="str">
        <f t="shared" si="12"/>
        <v/>
      </c>
      <c r="AA20" s="237" t="str">
        <f t="shared" si="13"/>
        <v/>
      </c>
      <c r="AB20" s="238" t="str">
        <f t="shared" si="14"/>
        <v/>
      </c>
    </row>
    <row r="21" spans="1:30" s="91" customFormat="1" ht="3" hidden="1" customHeight="1" x14ac:dyDescent="0.3">
      <c r="A21" s="245"/>
      <c r="B21" s="246" t="s">
        <v>61</v>
      </c>
      <c r="C21" s="247" t="s">
        <v>61</v>
      </c>
      <c r="D21" s="248" t="s">
        <v>61</v>
      </c>
      <c r="E21" s="248" t="s">
        <v>61</v>
      </c>
      <c r="F21" s="248" t="s">
        <v>61</v>
      </c>
      <c r="G21" s="248" t="s">
        <v>61</v>
      </c>
      <c r="H21" s="249" t="s">
        <v>61</v>
      </c>
      <c r="I21" s="250" t="s">
        <v>61</v>
      </c>
      <c r="J21" s="251" t="s">
        <v>61</v>
      </c>
      <c r="K21" s="252" t="s">
        <v>61</v>
      </c>
      <c r="L21" s="253" t="s">
        <v>61</v>
      </c>
      <c r="M21" s="254" t="s">
        <v>61</v>
      </c>
      <c r="N21" s="255"/>
      <c r="O21" s="256"/>
      <c r="P21" s="255"/>
      <c r="Q21" s="257"/>
      <c r="R21" s="255"/>
      <c r="S21" s="258"/>
      <c r="T21" s="258"/>
      <c r="U21" s="259"/>
      <c r="V21" s="260" t="s">
        <v>61</v>
      </c>
      <c r="W21" s="261" t="s">
        <v>61</v>
      </c>
      <c r="X21" s="262" t="s">
        <v>61</v>
      </c>
      <c r="Y21" s="263" t="s">
        <v>61</v>
      </c>
      <c r="Z21" s="264" t="s">
        <v>61</v>
      </c>
      <c r="AA21" s="265" t="s">
        <v>61</v>
      </c>
      <c r="AB21" s="266" t="s">
        <v>61</v>
      </c>
      <c r="AC21" s="121"/>
      <c r="AD21" s="121"/>
    </row>
    <row r="22" spans="1:30" s="91" customFormat="1" ht="3" hidden="1" customHeight="1" x14ac:dyDescent="0.3">
      <c r="A22" s="267"/>
      <c r="B22" s="268" t="s">
        <v>61</v>
      </c>
      <c r="C22" s="269" t="s">
        <v>61</v>
      </c>
      <c r="D22" s="270" t="s">
        <v>61</v>
      </c>
      <c r="E22" s="270" t="s">
        <v>61</v>
      </c>
      <c r="F22" s="270" t="s">
        <v>61</v>
      </c>
      <c r="G22" s="270" t="s">
        <v>61</v>
      </c>
      <c r="H22" s="271" t="s">
        <v>61</v>
      </c>
      <c r="I22" s="272" t="s">
        <v>61</v>
      </c>
      <c r="J22" s="273" t="s">
        <v>61</v>
      </c>
      <c r="K22" s="274" t="s">
        <v>61</v>
      </c>
      <c r="L22" s="275" t="s">
        <v>61</v>
      </c>
      <c r="M22" s="276" t="s">
        <v>61</v>
      </c>
      <c r="N22" s="277"/>
      <c r="O22" s="277"/>
      <c r="P22" s="277"/>
      <c r="Q22" s="277"/>
      <c r="R22" s="277"/>
      <c r="S22" s="277"/>
      <c r="T22" s="277"/>
      <c r="U22" s="278"/>
      <c r="V22" s="279" t="s">
        <v>61</v>
      </c>
      <c r="W22" s="280" t="s">
        <v>61</v>
      </c>
      <c r="X22" s="281" t="s">
        <v>61</v>
      </c>
      <c r="Y22" s="282" t="s">
        <v>61</v>
      </c>
      <c r="Z22" s="283" t="s">
        <v>61</v>
      </c>
      <c r="AA22" s="284" t="s">
        <v>61</v>
      </c>
      <c r="AB22" s="285" t="s">
        <v>61</v>
      </c>
      <c r="AC22" s="121"/>
      <c r="AD22" s="121"/>
    </row>
    <row r="23" spans="1:30" s="222" customFormat="1" ht="30" customHeight="1" x14ac:dyDescent="0.3">
      <c r="A23" s="202" t="s">
        <v>114</v>
      </c>
      <c r="B23" s="203"/>
      <c r="C23" s="204"/>
      <c r="D23" s="205"/>
      <c r="E23" s="205"/>
      <c r="F23" s="205"/>
      <c r="G23" s="205"/>
      <c r="H23" s="206"/>
      <c r="I23" s="207"/>
      <c r="J23" s="208"/>
      <c r="K23" s="209"/>
      <c r="L23" s="210"/>
      <c r="M23" s="211"/>
      <c r="N23" s="286"/>
      <c r="O23" s="287"/>
      <c r="P23" s="287"/>
      <c r="Q23" s="287"/>
      <c r="R23" s="287"/>
      <c r="S23" s="287"/>
      <c r="T23" s="287"/>
      <c r="U23" s="288"/>
      <c r="V23" s="215">
        <v>24</v>
      </c>
      <c r="W23" s="216"/>
      <c r="X23" s="217"/>
      <c r="Y23" s="218">
        <f ca="1">IF(SUM(OFFSET(H23,1,0):H29)=0,0,ROUND(SUMPRODUCT(OFFSET(H23,1,0):H29,OFFSET(J23,1,0):J29)/(V23*8.1),0))</f>
        <v>5</v>
      </c>
      <c r="Z23" s="219">
        <f ca="1">IF(Y23=0,"",ROUND(Y23*V23*7.4,2))</f>
        <v>888</v>
      </c>
      <c r="AA23" s="220">
        <f ca="1">IF(Y23=0,"",ROUND(Y23*V23*8.1,2))</f>
        <v>972</v>
      </c>
      <c r="AB23" s="221">
        <f ca="1">IF(Y23=0,"",ROUND(Y23*V23*7.4*60/52,2))</f>
        <v>1024.6199999999999</v>
      </c>
      <c r="AC23" s="200"/>
      <c r="AD23" s="200"/>
    </row>
    <row r="24" spans="1:30" ht="15.75" x14ac:dyDescent="0.3">
      <c r="A24" s="223" t="s">
        <v>133</v>
      </c>
      <c r="B24" s="224" t="s">
        <v>81</v>
      </c>
      <c r="C24" s="225"/>
      <c r="D24" s="226">
        <v>0</v>
      </c>
      <c r="E24" s="227">
        <v>115.9</v>
      </c>
      <c r="F24" s="227">
        <v>419</v>
      </c>
      <c r="G24" s="227">
        <v>61.95</v>
      </c>
      <c r="H24" s="181">
        <f t="shared" ref="H24:H27" si="17">IF(I24="","",IF(I24="u",ROUND(D24, 0),IF(I24="ml",ROUND(E24,1),IF(I24="m²",ROUND(F24,1),ROUND(G24,1)))))</f>
        <v>419</v>
      </c>
      <c r="I24" s="182" t="str">
        <f>IF(B24="","",IF(A24="","",INDEX([1]BMO!$A$5:$B$292,MATCH(B24,[1]BMO!$B$5:$B$292,0),1)))</f>
        <v>m²</v>
      </c>
      <c r="J24" s="183">
        <v>0.75</v>
      </c>
      <c r="K24" s="184">
        <f ca="1">IF(J24="","",J24*AA23/SUMPRODUCT(H23:H28,J23:J28))</f>
        <v>0.70136617279199531</v>
      </c>
      <c r="L24" s="185" t="str">
        <f>IF(I24="","",CONCATENATE("h/",I24))</f>
        <v>h/m²</v>
      </c>
      <c r="M24" s="228">
        <f ca="1">IF(H24="","",H24*K24)</f>
        <v>293.87242639984606</v>
      </c>
      <c r="N24" s="229"/>
      <c r="O24" s="230"/>
      <c r="P24" s="229"/>
      <c r="Q24" s="231"/>
      <c r="R24" s="229"/>
      <c r="S24" s="232"/>
      <c r="T24" s="232"/>
      <c r="U24" s="233"/>
      <c r="V24" s="234">
        <v>24</v>
      </c>
      <c r="W24" s="190">
        <f t="shared" ref="W24:W27" si="18">IF(H24="","",ROUND(H24/V24,1))</f>
        <v>17.5</v>
      </c>
      <c r="X24" s="191" t="str">
        <f t="shared" ref="X24:X27" si="19">IF(W24="","",CONCATENATE(I24,"/j"))</f>
        <v>m²/j</v>
      </c>
      <c r="Y24" s="235"/>
      <c r="Z24" s="236" t="str">
        <f t="shared" ref="Z24:Z27" si="20">IF(Y24=0,"",ROUND(Y24*V24*7.4,2))</f>
        <v/>
      </c>
      <c r="AA24" s="237" t="str">
        <f t="shared" ref="AA24:AA27" si="21">IF(Y24=0,"",ROUND(Y24*V24*8.1,2))</f>
        <v/>
      </c>
      <c r="AB24" s="238" t="str">
        <f t="shared" ref="AB24:AB27" si="22">IF(Y24=0,"",ROUND(Y24*V24*7.4*60/52,2))</f>
        <v/>
      </c>
      <c r="AC24" s="239">
        <v>31</v>
      </c>
      <c r="AD24" s="239">
        <v>31</v>
      </c>
    </row>
    <row r="25" spans="1:30" ht="15.75" x14ac:dyDescent="0.3">
      <c r="A25" s="223" t="s">
        <v>134</v>
      </c>
      <c r="B25" s="224" t="s">
        <v>115</v>
      </c>
      <c r="C25" s="225"/>
      <c r="D25" s="226">
        <v>0</v>
      </c>
      <c r="E25" s="227">
        <v>230.08</v>
      </c>
      <c r="F25" s="227">
        <v>788.9</v>
      </c>
      <c r="G25" s="227">
        <v>157.78</v>
      </c>
      <c r="H25" s="181">
        <f t="shared" si="17"/>
        <v>788.9</v>
      </c>
      <c r="I25" s="182" t="str">
        <f>IF(B25="","",IF(A25="","",INDEX([1]BMO!$A$5:$B$292,MATCH(B25,[1]BMO!$B$5:$B$292,0),1)))</f>
        <v>m²</v>
      </c>
      <c r="J25" s="183">
        <v>0.75</v>
      </c>
      <c r="K25" s="184">
        <f ca="1">IF(J25="","",J25*AA23/SUMPRODUCT(H23:H28,J23:J28))</f>
        <v>0.70136617279199531</v>
      </c>
      <c r="L25" s="185" t="str">
        <f>IF(I25="","",CONCATENATE("h/",I25))</f>
        <v>h/m²</v>
      </c>
      <c r="M25" s="228">
        <f ca="1">IF(H25="","",H25*K25)</f>
        <v>553.30777371560509</v>
      </c>
      <c r="N25" s="229"/>
      <c r="O25" s="230"/>
      <c r="P25" s="229"/>
      <c r="Q25" s="231"/>
      <c r="R25" s="229"/>
      <c r="S25" s="232"/>
      <c r="T25" s="232"/>
      <c r="U25" s="233"/>
      <c r="V25" s="234">
        <v>24</v>
      </c>
      <c r="W25" s="190">
        <f t="shared" si="18"/>
        <v>32.9</v>
      </c>
      <c r="X25" s="191" t="str">
        <f t="shared" si="19"/>
        <v>m²/j</v>
      </c>
      <c r="Y25" s="235"/>
      <c r="Z25" s="236" t="str">
        <f t="shared" si="20"/>
        <v/>
      </c>
      <c r="AA25" s="237" t="str">
        <f t="shared" si="21"/>
        <v/>
      </c>
      <c r="AB25" s="238" t="str">
        <f t="shared" si="22"/>
        <v/>
      </c>
      <c r="AC25" s="239">
        <v>31</v>
      </c>
      <c r="AD25" s="239">
        <v>31</v>
      </c>
    </row>
    <row r="26" spans="1:30" ht="15.75" x14ac:dyDescent="0.3">
      <c r="A26" s="223" t="s">
        <v>135</v>
      </c>
      <c r="B26" s="224" t="s">
        <v>81</v>
      </c>
      <c r="C26" s="225"/>
      <c r="D26" s="226">
        <v>0</v>
      </c>
      <c r="E26" s="227">
        <v>11.530000000000001</v>
      </c>
      <c r="F26" s="227">
        <v>40.200000000000003</v>
      </c>
      <c r="G26" s="227">
        <v>7.85</v>
      </c>
      <c r="H26" s="181">
        <f t="shared" si="17"/>
        <v>40.200000000000003</v>
      </c>
      <c r="I26" s="182" t="str">
        <f>IF(B26="","",IF(A26="","",INDEX([1]BMO!$A$5:$B$292,MATCH(B26,[1]BMO!$B$5:$B$292,0),1)))</f>
        <v>m²</v>
      </c>
      <c r="J26" s="183">
        <v>1</v>
      </c>
      <c r="K26" s="184">
        <f ca="1">IF(J26="","",J26*AA23/SUMPRODUCT(H23:H28,J23:J28))</f>
        <v>0.93515489705599375</v>
      </c>
      <c r="L26" s="185" t="str">
        <f>IF(I26="","",CONCATENATE("h/",I26))</f>
        <v>h/m²</v>
      </c>
      <c r="M26" s="228">
        <f ca="1">IF(H26="","",H26*K26)</f>
        <v>37.593226861650955</v>
      </c>
      <c r="N26" s="229"/>
      <c r="O26" s="230"/>
      <c r="P26" s="229"/>
      <c r="Q26" s="231"/>
      <c r="R26" s="229"/>
      <c r="S26" s="232"/>
      <c r="T26" s="232"/>
      <c r="U26" s="233"/>
      <c r="V26" s="234">
        <v>24</v>
      </c>
      <c r="W26" s="190">
        <f t="shared" si="18"/>
        <v>1.7</v>
      </c>
      <c r="X26" s="191" t="str">
        <f t="shared" si="19"/>
        <v>m²/j</v>
      </c>
      <c r="Y26" s="235"/>
      <c r="Z26" s="236" t="str">
        <f t="shared" si="20"/>
        <v/>
      </c>
      <c r="AA26" s="237" t="str">
        <f t="shared" si="21"/>
        <v/>
      </c>
      <c r="AB26" s="238" t="str">
        <f t="shared" si="22"/>
        <v/>
      </c>
      <c r="AC26" s="239">
        <v>31</v>
      </c>
      <c r="AD26" s="239">
        <v>31</v>
      </c>
    </row>
    <row r="27" spans="1:30" ht="15.75" x14ac:dyDescent="0.3">
      <c r="A27" s="223" t="s">
        <v>136</v>
      </c>
      <c r="B27" s="224" t="s">
        <v>116</v>
      </c>
      <c r="C27" s="225"/>
      <c r="D27" s="226">
        <v>15</v>
      </c>
      <c r="E27" s="227">
        <v>44.05</v>
      </c>
      <c r="F27" s="227">
        <v>143.5</v>
      </c>
      <c r="G27" s="227">
        <v>28.7</v>
      </c>
      <c r="H27" s="181">
        <f t="shared" si="17"/>
        <v>143.5</v>
      </c>
      <c r="I27" s="182" t="str">
        <f>IF(B27="","",IF(A27="","",INDEX([1]BMO!$A$5:$B$292,MATCH(B27,[1]BMO!$B$5:$B$292,0),1)))</f>
        <v>m²</v>
      </c>
      <c r="J27" s="183">
        <v>0.65</v>
      </c>
      <c r="K27" s="184">
        <f ca="1">IF(J27="","",J27*AA23/SUMPRODUCT(H23:H28,J23:J28))</f>
        <v>0.607850683086396</v>
      </c>
      <c r="L27" s="185" t="str">
        <f>IF(I27="","",CONCATENATE("h/",I27))</f>
        <v>h/m²</v>
      </c>
      <c r="M27" s="228">
        <f ca="1">IF(H27="","",H27*K27)</f>
        <v>87.226573022897824</v>
      </c>
      <c r="N27" s="229"/>
      <c r="O27" s="230"/>
      <c r="P27" s="229"/>
      <c r="Q27" s="231"/>
      <c r="R27" s="229"/>
      <c r="S27" s="232"/>
      <c r="T27" s="232"/>
      <c r="U27" s="233"/>
      <c r="V27" s="234">
        <v>24</v>
      </c>
      <c r="W27" s="190">
        <f t="shared" si="18"/>
        <v>6</v>
      </c>
      <c r="X27" s="191" t="str">
        <f t="shared" si="19"/>
        <v>m²/j</v>
      </c>
      <c r="Y27" s="235"/>
      <c r="Z27" s="236" t="str">
        <f t="shared" si="20"/>
        <v/>
      </c>
      <c r="AA27" s="237" t="str">
        <f t="shared" si="21"/>
        <v/>
      </c>
      <c r="AB27" s="238" t="str">
        <f t="shared" si="22"/>
        <v/>
      </c>
      <c r="AC27" s="239">
        <v>31</v>
      </c>
      <c r="AD27" s="239">
        <v>31</v>
      </c>
    </row>
    <row r="28" spans="1:30" s="91" customFormat="1" ht="3" customHeight="1" x14ac:dyDescent="0.3">
      <c r="A28" s="245"/>
      <c r="B28" s="246" t="s">
        <v>61</v>
      </c>
      <c r="C28" s="247" t="s">
        <v>61</v>
      </c>
      <c r="D28" s="248" t="s">
        <v>61</v>
      </c>
      <c r="E28" s="248" t="s">
        <v>61</v>
      </c>
      <c r="F28" s="248" t="s">
        <v>61</v>
      </c>
      <c r="G28" s="248" t="s">
        <v>61</v>
      </c>
      <c r="H28" s="249" t="s">
        <v>61</v>
      </c>
      <c r="I28" s="250" t="s">
        <v>61</v>
      </c>
      <c r="J28" s="251" t="s">
        <v>61</v>
      </c>
      <c r="K28" s="252" t="s">
        <v>61</v>
      </c>
      <c r="L28" s="253" t="s">
        <v>61</v>
      </c>
      <c r="M28" s="254" t="s">
        <v>61</v>
      </c>
      <c r="N28" s="255"/>
      <c r="O28" s="256"/>
      <c r="P28" s="255"/>
      <c r="Q28" s="257"/>
      <c r="R28" s="255"/>
      <c r="S28" s="258"/>
      <c r="T28" s="258"/>
      <c r="U28" s="259"/>
      <c r="V28" s="260" t="s">
        <v>61</v>
      </c>
      <c r="W28" s="261" t="s">
        <v>61</v>
      </c>
      <c r="X28" s="262" t="s">
        <v>61</v>
      </c>
      <c r="Y28" s="263" t="s">
        <v>61</v>
      </c>
      <c r="Z28" s="264" t="s">
        <v>61</v>
      </c>
      <c r="AA28" s="265" t="s">
        <v>61</v>
      </c>
      <c r="AB28" s="266" t="s">
        <v>61</v>
      </c>
      <c r="AC28" s="121"/>
      <c r="AD28" s="121"/>
    </row>
    <row r="29" spans="1:30" s="91" customFormat="1" ht="3" customHeight="1" thickBot="1" x14ac:dyDescent="0.35">
      <c r="A29" s="267"/>
      <c r="B29" s="268" t="s">
        <v>61</v>
      </c>
      <c r="C29" s="269" t="s">
        <v>61</v>
      </c>
      <c r="D29" s="270" t="s">
        <v>61</v>
      </c>
      <c r="E29" s="270" t="s">
        <v>61</v>
      </c>
      <c r="F29" s="270" t="s">
        <v>61</v>
      </c>
      <c r="G29" s="270" t="s">
        <v>61</v>
      </c>
      <c r="H29" s="271" t="s">
        <v>61</v>
      </c>
      <c r="I29" s="272" t="s">
        <v>61</v>
      </c>
      <c r="J29" s="273" t="s">
        <v>61</v>
      </c>
      <c r="K29" s="274" t="s">
        <v>61</v>
      </c>
      <c r="L29" s="275" t="s">
        <v>61</v>
      </c>
      <c r="M29" s="276" t="s">
        <v>61</v>
      </c>
      <c r="N29" s="277"/>
      <c r="O29" s="277"/>
      <c r="P29" s="277"/>
      <c r="Q29" s="277"/>
      <c r="R29" s="277"/>
      <c r="S29" s="277"/>
      <c r="T29" s="277"/>
      <c r="U29" s="278"/>
      <c r="V29" s="279" t="s">
        <v>61</v>
      </c>
      <c r="W29" s="280" t="s">
        <v>61</v>
      </c>
      <c r="X29" s="281" t="s">
        <v>61</v>
      </c>
      <c r="Y29" s="282" t="s">
        <v>61</v>
      </c>
      <c r="Z29" s="283" t="s">
        <v>61</v>
      </c>
      <c r="AA29" s="284" t="s">
        <v>61</v>
      </c>
      <c r="AB29" s="285" t="s">
        <v>61</v>
      </c>
      <c r="AC29" s="121"/>
      <c r="AD29" s="121"/>
    </row>
    <row r="30" spans="1:30" s="222" customFormat="1" ht="30" customHeight="1" x14ac:dyDescent="0.3">
      <c r="A30" s="361" t="s">
        <v>117</v>
      </c>
      <c r="B30" s="362"/>
      <c r="C30" s="363"/>
      <c r="D30" s="364"/>
      <c r="E30" s="364"/>
      <c r="F30" s="364"/>
      <c r="G30" s="364"/>
      <c r="H30" s="365"/>
      <c r="I30" s="366"/>
      <c r="J30" s="367"/>
      <c r="K30" s="368"/>
      <c r="L30" s="369"/>
      <c r="M30" s="370"/>
      <c r="N30" s="371"/>
      <c r="O30" s="287"/>
      <c r="P30" s="287"/>
      <c r="Q30" s="287"/>
      <c r="R30" s="287"/>
      <c r="S30" s="287"/>
      <c r="T30" s="287"/>
      <c r="U30" s="288"/>
      <c r="V30" s="372">
        <v>33</v>
      </c>
      <c r="W30" s="373"/>
      <c r="X30" s="374"/>
      <c r="Y30" s="375">
        <f ca="1">IF(SUM(OFFSET(H30,1,0):H35)=0,0,ROUND(SUMPRODUCT(OFFSET(H30,1,0):H35,OFFSET(J30,1,0):J35)/(V30*8.1),0))</f>
        <v>4</v>
      </c>
      <c r="Z30" s="376">
        <f ca="1">IF(Y30=0,"",ROUND(Y30*V30*7.4,2))</f>
        <v>976.8</v>
      </c>
      <c r="AA30" s="377">
        <f ca="1">IF(Y30=0,"",ROUND(Y30*V30*8.1,2))</f>
        <v>1069.2</v>
      </c>
      <c r="AB30" s="378">
        <f ca="1">IF(Y30=0,"",ROUND(Y30*V30*7.4*60/52,2))</f>
        <v>1127.08</v>
      </c>
      <c r="AC30" s="200"/>
      <c r="AD30" s="200"/>
    </row>
    <row r="31" spans="1:30" ht="15.75" x14ac:dyDescent="0.3">
      <c r="A31" s="223" t="s">
        <v>137</v>
      </c>
      <c r="B31" s="224" t="s">
        <v>118</v>
      </c>
      <c r="C31" s="225"/>
      <c r="D31" s="226">
        <v>0</v>
      </c>
      <c r="E31" s="227">
        <v>77.820000000000007</v>
      </c>
      <c r="F31" s="227">
        <v>792.90000000000009</v>
      </c>
      <c r="G31" s="227">
        <v>254.54</v>
      </c>
      <c r="H31" s="181">
        <f t="shared" ref="H31:H33" si="23">IF(I31="","",IF(I31="u",ROUND(D31, 0),IF(I31="ml",ROUND(E31,1),IF(I31="m²",ROUND(F31,1),ROUND(G31,1)))))</f>
        <v>792.9</v>
      </c>
      <c r="I31" s="182" t="str">
        <f>IF(B31="","",IF(A31="","",INDEX([1]BMO!$A$5:$B$292,MATCH(B31,[1]BMO!$B$5:$B$292,0),1)))</f>
        <v>m²</v>
      </c>
      <c r="J31" s="183">
        <v>1.25</v>
      </c>
      <c r="K31" s="184">
        <f ca="1">IF(J31="","",J31*AA30/SUMPRODUCT(H30:H34,J30:J34))</f>
        <v>1.2912107818274037</v>
      </c>
      <c r="L31" s="185" t="str">
        <f>IF(I31="","",CONCATENATE("h/",I31))</f>
        <v>h/m²</v>
      </c>
      <c r="M31" s="228">
        <f ca="1">IF(H31="","",H31*K31)</f>
        <v>1023.8010289109484</v>
      </c>
      <c r="N31" s="229"/>
      <c r="O31" s="230"/>
      <c r="P31" s="229"/>
      <c r="Q31" s="231"/>
      <c r="R31" s="229"/>
      <c r="S31" s="232"/>
      <c r="T31" s="232"/>
      <c r="U31" s="233"/>
      <c r="V31" s="234">
        <v>33</v>
      </c>
      <c r="W31" s="190">
        <f t="shared" ref="W31:W33" si="24">IF(H31="","",ROUND(H31/V31,1))</f>
        <v>24</v>
      </c>
      <c r="X31" s="191" t="str">
        <f t="shared" ref="X31:X33" si="25">IF(W31="","",CONCATENATE(I31,"/j"))</f>
        <v>m²/j</v>
      </c>
      <c r="Y31" s="235"/>
      <c r="Z31" s="236" t="str">
        <f t="shared" ref="Z31:Z33" si="26">IF(Y31=0,"",ROUND(Y31*V31*7.4,2))</f>
        <v/>
      </c>
      <c r="AA31" s="237" t="str">
        <f t="shared" ref="AA31:AA33" si="27">IF(Y31=0,"",ROUND(Y31*V31*8.1,2))</f>
        <v/>
      </c>
      <c r="AB31" s="238" t="str">
        <f t="shared" ref="AB31:AB33" si="28">IF(Y31=0,"",ROUND(Y31*V31*7.4*60/52,2))</f>
        <v/>
      </c>
      <c r="AC31" s="239">
        <v>31</v>
      </c>
      <c r="AD31" s="239">
        <v>31</v>
      </c>
    </row>
    <row r="32" spans="1:30" ht="15.75" x14ac:dyDescent="0.3">
      <c r="A32" s="223" t="s">
        <v>119</v>
      </c>
      <c r="B32" s="224" t="s">
        <v>120</v>
      </c>
      <c r="C32" s="225"/>
      <c r="D32" s="226">
        <v>0</v>
      </c>
      <c r="E32" s="227"/>
      <c r="F32" s="227">
        <v>71.91</v>
      </c>
      <c r="G32" s="227"/>
      <c r="H32" s="181">
        <f t="shared" si="23"/>
        <v>71.900000000000006</v>
      </c>
      <c r="I32" s="182" t="str">
        <f>IF(B32="","",IF(A32="","",INDEX([1]BMO!$A$5:$B$292,MATCH(B32,[1]BMO!$B$5:$B$292,0),1)))</f>
        <v>m²</v>
      </c>
      <c r="J32" s="183">
        <v>0.5</v>
      </c>
      <c r="K32" s="184">
        <f ca="1">IF(J32="","",J32*AA30/SUMPRODUCT(H30:H34,J30:J34))</f>
        <v>0.51648431273096151</v>
      </c>
      <c r="L32" s="185" t="str">
        <f>IF(I32="","",CONCATENATE("h/",I32))</f>
        <v>h/m²</v>
      </c>
      <c r="M32" s="228">
        <f ca="1">IF(H32="","",H32*K32)</f>
        <v>37.135222085356133</v>
      </c>
      <c r="N32" s="229"/>
      <c r="O32" s="230"/>
      <c r="P32" s="229"/>
      <c r="Q32" s="231"/>
      <c r="R32" s="229"/>
      <c r="S32" s="232"/>
      <c r="T32" s="232"/>
      <c r="U32" s="233"/>
      <c r="V32" s="234">
        <v>2</v>
      </c>
      <c r="W32" s="190">
        <f t="shared" si="24"/>
        <v>36</v>
      </c>
      <c r="X32" s="191" t="str">
        <f t="shared" si="25"/>
        <v>m²/j</v>
      </c>
      <c r="Y32" s="235"/>
      <c r="Z32" s="236" t="str">
        <f t="shared" si="26"/>
        <v/>
      </c>
      <c r="AA32" s="237" t="str">
        <f t="shared" si="27"/>
        <v/>
      </c>
      <c r="AB32" s="238" t="str">
        <f t="shared" si="28"/>
        <v/>
      </c>
      <c r="AC32" s="239">
        <v>31</v>
      </c>
    </row>
    <row r="33" spans="1:30" ht="15.75" x14ac:dyDescent="0.3">
      <c r="A33" s="223" t="s">
        <v>138</v>
      </c>
      <c r="B33" s="224" t="s">
        <v>121</v>
      </c>
      <c r="C33" s="225"/>
      <c r="D33" s="226">
        <v>1</v>
      </c>
      <c r="E33" s="227">
        <v>0</v>
      </c>
      <c r="F33" s="227">
        <v>0</v>
      </c>
      <c r="G33" s="227">
        <v>3.24</v>
      </c>
      <c r="H33" s="181">
        <f t="shared" si="23"/>
        <v>1</v>
      </c>
      <c r="I33" s="182" t="str">
        <f>IF(B33="","",IF(A33="","",INDEX([1]BMO!$A$5:$B$292,MATCH(B33,[1]BMO!$B$5:$B$292,0),1)))</f>
        <v>u</v>
      </c>
      <c r="J33" s="183">
        <v>8</v>
      </c>
      <c r="K33" s="184">
        <f ca="1">IF(J33="","",J33*AA30/SUMPRODUCT(H30:H34,J30:J34))</f>
        <v>8.2637490036953842</v>
      </c>
      <c r="L33" s="185" t="str">
        <f>IF(I33="","",CONCATENATE("h/",I33))</f>
        <v>h/u</v>
      </c>
      <c r="M33" s="228">
        <f ca="1">IF(H33="","",H33*K33)</f>
        <v>8.2637490036953842</v>
      </c>
      <c r="N33" s="229"/>
      <c r="O33" s="230"/>
      <c r="P33" s="229"/>
      <c r="Q33" s="231"/>
      <c r="R33" s="229"/>
      <c r="S33" s="232"/>
      <c r="T33" s="232"/>
      <c r="U33" s="233"/>
      <c r="V33" s="234">
        <v>2</v>
      </c>
      <c r="W33" s="190">
        <f t="shared" si="24"/>
        <v>0.5</v>
      </c>
      <c r="X33" s="191" t="str">
        <f t="shared" si="25"/>
        <v>u/j</v>
      </c>
      <c r="Y33" s="235"/>
      <c r="Z33" s="236" t="str">
        <f t="shared" si="26"/>
        <v/>
      </c>
      <c r="AA33" s="237" t="str">
        <f t="shared" si="27"/>
        <v/>
      </c>
      <c r="AB33" s="238" t="str">
        <f t="shared" si="28"/>
        <v/>
      </c>
      <c r="AC33" s="239">
        <v>32</v>
      </c>
      <c r="AD33" s="239">
        <v>32</v>
      </c>
    </row>
    <row r="34" spans="1:30" s="91" customFormat="1" ht="3" customHeight="1" x14ac:dyDescent="0.3">
      <c r="A34" s="245"/>
      <c r="B34" s="246" t="s">
        <v>61</v>
      </c>
      <c r="C34" s="247" t="s">
        <v>61</v>
      </c>
      <c r="D34" s="248" t="s">
        <v>61</v>
      </c>
      <c r="E34" s="248" t="s">
        <v>61</v>
      </c>
      <c r="F34" s="248" t="s">
        <v>61</v>
      </c>
      <c r="G34" s="248" t="s">
        <v>61</v>
      </c>
      <c r="H34" s="249" t="s">
        <v>61</v>
      </c>
      <c r="I34" s="250" t="s">
        <v>61</v>
      </c>
      <c r="J34" s="251" t="s">
        <v>61</v>
      </c>
      <c r="K34" s="252" t="s">
        <v>61</v>
      </c>
      <c r="L34" s="253" t="s">
        <v>61</v>
      </c>
      <c r="M34" s="254" t="s">
        <v>61</v>
      </c>
      <c r="N34" s="255"/>
      <c r="O34" s="256"/>
      <c r="P34" s="255"/>
      <c r="Q34" s="257"/>
      <c r="R34" s="255"/>
      <c r="S34" s="258"/>
      <c r="T34" s="258"/>
      <c r="U34" s="259"/>
      <c r="V34" s="260" t="s">
        <v>61</v>
      </c>
      <c r="W34" s="261" t="s">
        <v>61</v>
      </c>
      <c r="X34" s="262" t="s">
        <v>61</v>
      </c>
      <c r="Y34" s="263" t="s">
        <v>61</v>
      </c>
      <c r="Z34" s="264" t="s">
        <v>61</v>
      </c>
      <c r="AA34" s="265" t="s">
        <v>61</v>
      </c>
      <c r="AB34" s="266" t="s">
        <v>61</v>
      </c>
      <c r="AC34" s="121"/>
      <c r="AD34" s="121"/>
    </row>
    <row r="35" spans="1:30" s="91" customFormat="1" ht="3" customHeight="1" thickBot="1" x14ac:dyDescent="0.35">
      <c r="A35" s="267"/>
      <c r="B35" s="268" t="s">
        <v>61</v>
      </c>
      <c r="C35" s="269" t="s">
        <v>61</v>
      </c>
      <c r="D35" s="270" t="s">
        <v>61</v>
      </c>
      <c r="E35" s="270" t="s">
        <v>61</v>
      </c>
      <c r="F35" s="270" t="s">
        <v>61</v>
      </c>
      <c r="G35" s="270" t="s">
        <v>61</v>
      </c>
      <c r="H35" s="271" t="s">
        <v>61</v>
      </c>
      <c r="I35" s="272" t="s">
        <v>61</v>
      </c>
      <c r="J35" s="273" t="s">
        <v>61</v>
      </c>
      <c r="K35" s="274" t="s">
        <v>61</v>
      </c>
      <c r="L35" s="275" t="s">
        <v>61</v>
      </c>
      <c r="M35" s="276" t="s">
        <v>61</v>
      </c>
      <c r="N35" s="277"/>
      <c r="O35" s="277"/>
      <c r="P35" s="277"/>
      <c r="Q35" s="277"/>
      <c r="R35" s="277"/>
      <c r="S35" s="277"/>
      <c r="T35" s="277"/>
      <c r="U35" s="278"/>
      <c r="V35" s="279" t="s">
        <v>61</v>
      </c>
      <c r="W35" s="280" t="s">
        <v>61</v>
      </c>
      <c r="X35" s="281" t="s">
        <v>61</v>
      </c>
      <c r="Y35" s="282" t="s">
        <v>61</v>
      </c>
      <c r="Z35" s="283" t="s">
        <v>61</v>
      </c>
      <c r="AA35" s="284" t="s">
        <v>61</v>
      </c>
      <c r="AB35" s="285" t="s">
        <v>61</v>
      </c>
      <c r="AC35" s="121"/>
      <c r="AD35" s="121"/>
    </row>
    <row r="36" spans="1:30" s="222" customFormat="1" ht="60" customHeight="1" x14ac:dyDescent="0.3">
      <c r="A36" s="361" t="s">
        <v>122</v>
      </c>
      <c r="B36" s="362"/>
      <c r="C36" s="363"/>
      <c r="D36" s="364"/>
      <c r="E36" s="364"/>
      <c r="F36" s="364"/>
      <c r="G36" s="364"/>
      <c r="H36" s="365"/>
      <c r="I36" s="366"/>
      <c r="J36" s="367"/>
      <c r="K36" s="368"/>
      <c r="L36" s="369"/>
      <c r="M36" s="370"/>
      <c r="N36" s="371"/>
      <c r="O36" s="287"/>
      <c r="P36" s="287"/>
      <c r="Q36" s="287"/>
      <c r="R36" s="287"/>
      <c r="S36" s="287"/>
      <c r="T36" s="287"/>
      <c r="U36" s="288"/>
      <c r="V36" s="372">
        <v>15</v>
      </c>
      <c r="W36" s="373"/>
      <c r="X36" s="374"/>
      <c r="Y36" s="375">
        <f ca="1">IF(SUM(OFFSET(H36,1,0):H49)=0,0,ROUND(SUMPRODUCT(OFFSET(H36,1,0):H49,OFFSET(J36,1,0):J49)/(V36*8.1),0))</f>
        <v>4</v>
      </c>
      <c r="Z36" s="376">
        <f ca="1">IF(Y36=0,"",ROUND(Y36*V36*7.4,2))</f>
        <v>444</v>
      </c>
      <c r="AA36" s="377">
        <f ca="1">IF(Y36=0,"",ROUND(Y36*V36*8.1,2))</f>
        <v>486</v>
      </c>
      <c r="AB36" s="378">
        <f ca="1">IF(Y36=0,"",ROUND(Y36*V36*7.4*60/52,2))</f>
        <v>512.30999999999995</v>
      </c>
      <c r="AC36" s="200"/>
      <c r="AD36" s="200"/>
    </row>
    <row r="37" spans="1:30" ht="15.75" x14ac:dyDescent="0.3">
      <c r="A37" s="223" t="s">
        <v>139</v>
      </c>
      <c r="B37" s="224" t="s">
        <v>81</v>
      </c>
      <c r="C37" s="225"/>
      <c r="D37" s="226">
        <v>0</v>
      </c>
      <c r="E37" s="227">
        <v>24.3</v>
      </c>
      <c r="F37" s="227">
        <v>81.7</v>
      </c>
      <c r="G37" s="227">
        <v>16.329999999999998</v>
      </c>
      <c r="H37" s="181">
        <f t="shared" ref="H37:H47" si="29">IF(I37="","",IF(I37="u",ROUND(D37, 0),IF(I37="ml",ROUND(E37,1),IF(I37="m²",ROUND(F37,1),ROUND(G37,1)))))</f>
        <v>81.7</v>
      </c>
      <c r="I37" s="182" t="str">
        <f>IF(B37="","",IF(A37="","",INDEX([1]BMO!$A$5:$B$292,MATCH(B37,[1]BMO!$B$5:$B$292,0),1)))</f>
        <v>m²</v>
      </c>
      <c r="J37" s="183">
        <v>0.8</v>
      </c>
      <c r="K37" s="184">
        <f ca="1">IF(J37="","",J37*AA36/SUMPRODUCT(H36:H48,J36:J48))</f>
        <v>0.87723652444665057</v>
      </c>
      <c r="L37" s="185" t="str">
        <f t="shared" ref="L37:L47" si="30">IF(I37="","",CONCATENATE("h/",I37))</f>
        <v>h/m²</v>
      </c>
      <c r="M37" s="228">
        <f t="shared" ref="M37:M47" ca="1" si="31">IF(H37="","",H37*K37)</f>
        <v>71.670224047291356</v>
      </c>
      <c r="N37" s="229"/>
      <c r="O37" s="230"/>
      <c r="P37" s="229"/>
      <c r="Q37" s="231"/>
      <c r="R37" s="229"/>
      <c r="S37" s="232"/>
      <c r="T37" s="232"/>
      <c r="U37" s="233"/>
      <c r="V37" s="234">
        <v>13</v>
      </c>
      <c r="W37" s="190">
        <f t="shared" ref="W37:W47" si="32">IF(H37="","",ROUND(H37/V37,1))</f>
        <v>6.3</v>
      </c>
      <c r="X37" s="191" t="str">
        <f t="shared" ref="X37:X47" si="33">IF(W37="","",CONCATENATE(I37,"/j"))</f>
        <v>m²/j</v>
      </c>
      <c r="Y37" s="235"/>
      <c r="Z37" s="236" t="str">
        <f t="shared" ref="Z37:Z47" si="34">IF(Y37=0,"",ROUND(Y37*V37*7.4,2))</f>
        <v/>
      </c>
      <c r="AA37" s="237" t="str">
        <f t="shared" ref="AA37:AA47" si="35">IF(Y37=0,"",ROUND(Y37*V37*8.1,2))</f>
        <v/>
      </c>
      <c r="AB37" s="238" t="str">
        <f t="shared" ref="AB37:AB47" si="36">IF(Y37=0,"",ROUND(Y37*V37*7.4*60/52,2))</f>
        <v/>
      </c>
      <c r="AC37" s="239">
        <v>31</v>
      </c>
      <c r="AD37" s="239">
        <v>31</v>
      </c>
    </row>
    <row r="38" spans="1:30" ht="15.75" x14ac:dyDescent="0.3">
      <c r="A38" s="223" t="s">
        <v>140</v>
      </c>
      <c r="B38" s="224" t="s">
        <v>123</v>
      </c>
      <c r="C38" s="225"/>
      <c r="D38" s="226">
        <v>0</v>
      </c>
      <c r="E38" s="227">
        <v>29.11</v>
      </c>
      <c r="F38" s="227">
        <v>127.19999999999999</v>
      </c>
      <c r="G38" s="227">
        <v>25.36</v>
      </c>
      <c r="H38" s="181">
        <f t="shared" si="29"/>
        <v>127.2</v>
      </c>
      <c r="I38" s="182" t="str">
        <f>IF(B38="","",IF(A38="","",INDEX([1]BMO!$A$5:$B$292,MATCH(B38,[1]BMO!$B$5:$B$292,0),1)))</f>
        <v>m²</v>
      </c>
      <c r="J38" s="183">
        <v>0.9</v>
      </c>
      <c r="K38" s="184">
        <f ca="1">IF(J38="","",J38*AA36/SUMPRODUCT(H36:H48,J36:J48))</f>
        <v>0.98689109000248187</v>
      </c>
      <c r="L38" s="185" t="str">
        <f t="shared" si="30"/>
        <v>h/m²</v>
      </c>
      <c r="M38" s="228">
        <f t="shared" ca="1" si="31"/>
        <v>125.5325466483157</v>
      </c>
      <c r="N38" s="229"/>
      <c r="O38" s="230"/>
      <c r="P38" s="229"/>
      <c r="Q38" s="231"/>
      <c r="R38" s="229"/>
      <c r="S38" s="232"/>
      <c r="T38" s="232"/>
      <c r="U38" s="233"/>
      <c r="V38" s="234">
        <v>13</v>
      </c>
      <c r="W38" s="190">
        <f t="shared" si="32"/>
        <v>9.8000000000000007</v>
      </c>
      <c r="X38" s="191" t="str">
        <f t="shared" si="33"/>
        <v>m²/j</v>
      </c>
      <c r="Y38" s="235"/>
      <c r="Z38" s="236" t="str">
        <f t="shared" si="34"/>
        <v/>
      </c>
      <c r="AA38" s="237" t="str">
        <f t="shared" si="35"/>
        <v/>
      </c>
      <c r="AB38" s="238" t="str">
        <f t="shared" si="36"/>
        <v/>
      </c>
      <c r="AC38" s="239">
        <v>31</v>
      </c>
      <c r="AD38" s="239">
        <v>31</v>
      </c>
    </row>
    <row r="39" spans="1:30" ht="15.75" x14ac:dyDescent="0.3">
      <c r="A39" s="223" t="s">
        <v>141</v>
      </c>
      <c r="B39" s="224" t="s">
        <v>123</v>
      </c>
      <c r="C39" s="225"/>
      <c r="D39" s="226">
        <v>0</v>
      </c>
      <c r="E39" s="227">
        <v>28.84</v>
      </c>
      <c r="F39" s="227">
        <v>82.9</v>
      </c>
      <c r="G39" s="227">
        <v>16.57</v>
      </c>
      <c r="H39" s="181">
        <f t="shared" si="29"/>
        <v>82.9</v>
      </c>
      <c r="I39" s="182" t="str">
        <f>IF(B39="","",IF(A39="","",INDEX([1]BMO!$A$5:$B$292,MATCH(B39,[1]BMO!$B$5:$B$292,0),1)))</f>
        <v>m²</v>
      </c>
      <c r="J39" s="183">
        <v>1.1000000000000001</v>
      </c>
      <c r="K39" s="184">
        <f ca="1">IF(J39="","",J39*AA36/SUMPRODUCT(H36:H48,J36:J48))</f>
        <v>1.2062002211141445</v>
      </c>
      <c r="L39" s="185" t="str">
        <f t="shared" si="30"/>
        <v>h/m²</v>
      </c>
      <c r="M39" s="228">
        <f t="shared" ca="1" si="31"/>
        <v>99.993998330362587</v>
      </c>
      <c r="N39" s="229"/>
      <c r="O39" s="230"/>
      <c r="P39" s="229"/>
      <c r="Q39" s="231"/>
      <c r="R39" s="229"/>
      <c r="S39" s="232"/>
      <c r="T39" s="232"/>
      <c r="U39" s="233"/>
      <c r="V39" s="234">
        <v>13</v>
      </c>
      <c r="W39" s="190">
        <f t="shared" si="32"/>
        <v>6.4</v>
      </c>
      <c r="X39" s="191" t="str">
        <f t="shared" si="33"/>
        <v>m²/j</v>
      </c>
      <c r="Y39" s="235"/>
      <c r="Z39" s="236" t="str">
        <f t="shared" si="34"/>
        <v/>
      </c>
      <c r="AA39" s="237" t="str">
        <f t="shared" si="35"/>
        <v/>
      </c>
      <c r="AB39" s="238" t="str">
        <f t="shared" si="36"/>
        <v/>
      </c>
      <c r="AC39" s="239">
        <v>31</v>
      </c>
      <c r="AD39" s="239">
        <v>31</v>
      </c>
    </row>
    <row r="40" spans="1:30" ht="15.75" x14ac:dyDescent="0.3">
      <c r="A40" s="223" t="s">
        <v>142</v>
      </c>
      <c r="B40" s="224" t="s">
        <v>124</v>
      </c>
      <c r="C40" s="225"/>
      <c r="D40" s="226">
        <v>0</v>
      </c>
      <c r="E40" s="227">
        <v>6.2200000000000006</v>
      </c>
      <c r="F40" s="227">
        <v>44.800000000000004</v>
      </c>
      <c r="G40" s="227">
        <v>11.11</v>
      </c>
      <c r="H40" s="181">
        <f t="shared" si="29"/>
        <v>44.8</v>
      </c>
      <c r="I40" s="182" t="str">
        <f>IF(B40="","",IF(A40="","",INDEX([1]BMO!$A$5:$B$292,MATCH(B40,[1]BMO!$B$5:$B$292,0),1)))</f>
        <v>m²</v>
      </c>
      <c r="J40" s="183">
        <v>1.25</v>
      </c>
      <c r="K40" s="184">
        <f ca="1">IF(J40="","",J40*AA36/SUMPRODUCT(H36:H48,J36:J48))</f>
        <v>1.3706820694478914</v>
      </c>
      <c r="L40" s="185" t="str">
        <f>IF(I40="","",CONCATENATE("h/",I40))</f>
        <v>h/m²</v>
      </c>
      <c r="M40" s="228">
        <f ca="1">IF(H40="","",H40*K40)</f>
        <v>61.40655671126553</v>
      </c>
      <c r="N40" s="229"/>
      <c r="O40" s="230"/>
      <c r="P40" s="229"/>
      <c r="Q40" s="231"/>
      <c r="R40" s="229"/>
      <c r="S40" s="232"/>
      <c r="T40" s="232"/>
      <c r="U40" s="233"/>
      <c r="V40" s="234">
        <v>13</v>
      </c>
      <c r="W40" s="190">
        <f t="shared" si="32"/>
        <v>3.4</v>
      </c>
      <c r="X40" s="191" t="str">
        <f t="shared" si="33"/>
        <v>m²/j</v>
      </c>
      <c r="Y40" s="235"/>
      <c r="Z40" s="236" t="str">
        <f t="shared" si="34"/>
        <v/>
      </c>
      <c r="AA40" s="237" t="str">
        <f t="shared" si="35"/>
        <v/>
      </c>
      <c r="AB40" s="238" t="str">
        <f t="shared" si="36"/>
        <v/>
      </c>
      <c r="AC40" s="239">
        <v>31</v>
      </c>
      <c r="AD40" s="239">
        <v>31</v>
      </c>
    </row>
    <row r="41" spans="1:30" ht="15.75" x14ac:dyDescent="0.3">
      <c r="A41" s="223" t="s">
        <v>143</v>
      </c>
      <c r="B41" s="224" t="s">
        <v>81</v>
      </c>
      <c r="C41" s="225"/>
      <c r="D41" s="226">
        <v>0</v>
      </c>
      <c r="E41" s="227">
        <v>17.46</v>
      </c>
      <c r="F41" s="227">
        <v>59.4</v>
      </c>
      <c r="G41" s="227">
        <v>17.809999999999999</v>
      </c>
      <c r="H41" s="181">
        <f t="shared" si="29"/>
        <v>59.4</v>
      </c>
      <c r="I41" s="182" t="str">
        <f>IF(B41="","",IF(A41="","",INDEX([1]BMO!$A$5:$B$292,MATCH(B41,[1]BMO!$B$5:$B$292,0),1)))</f>
        <v>m²</v>
      </c>
      <c r="J41" s="183">
        <v>0.8</v>
      </c>
      <c r="K41" s="184">
        <f ca="1">IF(J41="","",J41*AA36/SUMPRODUCT(H36:H48,J36:J48))</f>
        <v>0.87723652444665057</v>
      </c>
      <c r="L41" s="185" t="str">
        <f>IF(I41="","",CONCATENATE("h/",I41))</f>
        <v>h/m²</v>
      </c>
      <c r="M41" s="228">
        <f ca="1">IF(H41="","",H41*K41)</f>
        <v>52.107849552131043</v>
      </c>
      <c r="N41" s="229"/>
      <c r="O41" s="230"/>
      <c r="P41" s="229"/>
      <c r="Q41" s="231"/>
      <c r="R41" s="229"/>
      <c r="S41" s="232"/>
      <c r="T41" s="232"/>
      <c r="U41" s="233"/>
      <c r="V41" s="234">
        <v>3</v>
      </c>
      <c r="W41" s="190">
        <f t="shared" si="32"/>
        <v>19.8</v>
      </c>
      <c r="X41" s="191" t="str">
        <f t="shared" si="33"/>
        <v>m²/j</v>
      </c>
      <c r="Y41" s="235"/>
      <c r="Z41" s="236" t="str">
        <f t="shared" si="34"/>
        <v/>
      </c>
      <c r="AA41" s="237" t="str">
        <f t="shared" si="35"/>
        <v/>
      </c>
      <c r="AB41" s="238" t="str">
        <f t="shared" si="36"/>
        <v/>
      </c>
      <c r="AC41" s="239">
        <v>31</v>
      </c>
      <c r="AD41" s="239">
        <v>31</v>
      </c>
    </row>
    <row r="42" spans="1:30" ht="15.75" x14ac:dyDescent="0.3">
      <c r="A42" s="223" t="s">
        <v>144</v>
      </c>
      <c r="B42" s="224" t="s">
        <v>116</v>
      </c>
      <c r="C42" s="225"/>
      <c r="D42" s="226">
        <v>1</v>
      </c>
      <c r="E42" s="227">
        <v>1.43</v>
      </c>
      <c r="F42" s="227">
        <v>4.8</v>
      </c>
      <c r="G42" s="227">
        <v>0.96</v>
      </c>
      <c r="H42" s="181">
        <f t="shared" si="29"/>
        <v>4.8</v>
      </c>
      <c r="I42" s="182" t="str">
        <f>IF(B42="","",IF(A42="","",INDEX([1]BMO!$A$5:$B$292,MATCH(B42,[1]BMO!$B$5:$B$292,0),1)))</f>
        <v>m²</v>
      </c>
      <c r="J42" s="183">
        <v>0.7</v>
      </c>
      <c r="K42" s="184">
        <f ca="1">IF(J42="","",J42*AA36/SUMPRODUCT(H36:H48,J36:J48))</f>
        <v>0.76758195889081915</v>
      </c>
      <c r="L42" s="185" t="str">
        <f>IF(I42="","",CONCATENATE("h/",I42))</f>
        <v>h/m²</v>
      </c>
      <c r="M42" s="228">
        <f ca="1">IF(H42="","",H42*K42)</f>
        <v>3.6843934026759317</v>
      </c>
      <c r="N42" s="229"/>
      <c r="O42" s="230"/>
      <c r="P42" s="229"/>
      <c r="Q42" s="231"/>
      <c r="R42" s="229"/>
      <c r="S42" s="232"/>
      <c r="T42" s="232"/>
      <c r="U42" s="233"/>
      <c r="V42" s="234">
        <v>1</v>
      </c>
      <c r="W42" s="190">
        <f t="shared" si="32"/>
        <v>4.8</v>
      </c>
      <c r="X42" s="191" t="str">
        <f t="shared" si="33"/>
        <v>m²/j</v>
      </c>
      <c r="Y42" s="235"/>
      <c r="Z42" s="236" t="str">
        <f t="shared" si="34"/>
        <v/>
      </c>
      <c r="AA42" s="237" t="str">
        <f t="shared" si="35"/>
        <v/>
      </c>
      <c r="AB42" s="238" t="str">
        <f t="shared" si="36"/>
        <v/>
      </c>
      <c r="AC42" s="239">
        <v>31</v>
      </c>
      <c r="AD42" s="239">
        <v>31</v>
      </c>
    </row>
    <row r="43" spans="1:30" ht="15.75" x14ac:dyDescent="0.3">
      <c r="A43" s="223" t="s">
        <v>145</v>
      </c>
      <c r="B43" s="224" t="s">
        <v>82</v>
      </c>
      <c r="C43" s="225"/>
      <c r="D43" s="226">
        <v>5</v>
      </c>
      <c r="E43" s="227">
        <v>0</v>
      </c>
      <c r="F43" s="227">
        <v>0</v>
      </c>
      <c r="G43" s="227">
        <v>2.1</v>
      </c>
      <c r="H43" s="181">
        <f t="shared" si="29"/>
        <v>5</v>
      </c>
      <c r="I43" s="182" t="str">
        <f>IF(B43="","",IF(A43="","",INDEX([1]BMO!$A$5:$B$292,MATCH(B43,[1]BMO!$B$5:$B$292,0),1)))</f>
        <v>u</v>
      </c>
      <c r="J43" s="183">
        <v>3</v>
      </c>
      <c r="K43" s="184">
        <f ca="1">IF(J43="","",J43*AA36/SUMPRODUCT(H36:H48,J36:J48))</f>
        <v>3.2896369666749394</v>
      </c>
      <c r="L43" s="185" t="str">
        <f t="shared" si="30"/>
        <v>h/u</v>
      </c>
      <c r="M43" s="228">
        <f t="shared" ca="1" si="31"/>
        <v>16.448184833374697</v>
      </c>
      <c r="N43" s="229"/>
      <c r="O43" s="230"/>
      <c r="P43" s="229"/>
      <c r="Q43" s="231"/>
      <c r="R43" s="229"/>
      <c r="S43" s="232"/>
      <c r="T43" s="232"/>
      <c r="U43" s="233"/>
      <c r="V43" s="234">
        <v>2</v>
      </c>
      <c r="W43" s="190">
        <f t="shared" si="32"/>
        <v>2.5</v>
      </c>
      <c r="X43" s="191" t="str">
        <f t="shared" si="33"/>
        <v>u/j</v>
      </c>
      <c r="Y43" s="235"/>
      <c r="Z43" s="236" t="str">
        <f t="shared" si="34"/>
        <v/>
      </c>
      <c r="AA43" s="237" t="str">
        <f t="shared" si="35"/>
        <v/>
      </c>
      <c r="AB43" s="238" t="str">
        <f t="shared" si="36"/>
        <v/>
      </c>
      <c r="AC43" s="239">
        <v>32</v>
      </c>
      <c r="AD43" s="239">
        <v>32</v>
      </c>
    </row>
    <row r="44" spans="1:30" ht="15.75" x14ac:dyDescent="0.3">
      <c r="A44" s="223" t="s">
        <v>146</v>
      </c>
      <c r="B44" s="224" t="s">
        <v>121</v>
      </c>
      <c r="C44" s="225"/>
      <c r="D44" s="226">
        <v>3</v>
      </c>
      <c r="E44" s="227">
        <v>0</v>
      </c>
      <c r="F44" s="227">
        <v>0</v>
      </c>
      <c r="G44" s="227">
        <v>6.32</v>
      </c>
      <c r="H44" s="181">
        <f t="shared" si="29"/>
        <v>3</v>
      </c>
      <c r="I44" s="182" t="str">
        <f>IF(B44="","",IF(A44="","",INDEX([1]BMO!$A$5:$B$292,MATCH(B44,[1]BMO!$B$5:$B$292,0),1)))</f>
        <v>u</v>
      </c>
      <c r="J44" s="183">
        <v>8</v>
      </c>
      <c r="K44" s="184">
        <f ca="1">IF(J44="","",J44*AA36/SUMPRODUCT(H36:H48,J36:J48))</f>
        <v>8.7723652444665046</v>
      </c>
      <c r="L44" s="185" t="str">
        <f>IF(I44="","",CONCATENATE("h/",I44))</f>
        <v>h/u</v>
      </c>
      <c r="M44" s="228">
        <f ca="1">IF(H44="","",H44*K44)</f>
        <v>26.317095733399512</v>
      </c>
      <c r="N44" s="229"/>
      <c r="O44" s="230"/>
      <c r="P44" s="229"/>
      <c r="Q44" s="231"/>
      <c r="R44" s="229"/>
      <c r="S44" s="232"/>
      <c r="T44" s="232"/>
      <c r="U44" s="233"/>
      <c r="V44" s="234">
        <v>1</v>
      </c>
      <c r="W44" s="190">
        <f t="shared" si="32"/>
        <v>3</v>
      </c>
      <c r="X44" s="191" t="str">
        <f t="shared" si="33"/>
        <v>u/j</v>
      </c>
      <c r="Y44" s="235"/>
      <c r="Z44" s="236" t="str">
        <f t="shared" si="34"/>
        <v/>
      </c>
      <c r="AA44" s="237" t="str">
        <f t="shared" si="35"/>
        <v/>
      </c>
      <c r="AB44" s="238" t="str">
        <f t="shared" si="36"/>
        <v/>
      </c>
      <c r="AC44" s="239">
        <v>32</v>
      </c>
      <c r="AD44" s="239">
        <v>32</v>
      </c>
    </row>
    <row r="45" spans="1:30" ht="15.75" x14ac:dyDescent="0.3">
      <c r="A45" s="223" t="s">
        <v>147</v>
      </c>
      <c r="B45" s="224" t="s">
        <v>82</v>
      </c>
      <c r="C45" s="225"/>
      <c r="D45" s="226">
        <v>2</v>
      </c>
      <c r="E45" s="227">
        <v>0</v>
      </c>
      <c r="F45" s="227">
        <v>0</v>
      </c>
      <c r="G45" s="227">
        <v>0.83</v>
      </c>
      <c r="H45" s="181">
        <f t="shared" si="29"/>
        <v>2</v>
      </c>
      <c r="I45" s="182" t="str">
        <f>IF(B45="","",IF(A45="","",INDEX([1]BMO!$A$5:$B$292,MATCH(B45,[1]BMO!$B$5:$B$292,0),1)))</f>
        <v>u</v>
      </c>
      <c r="J45" s="183">
        <v>6</v>
      </c>
      <c r="K45" s="184">
        <f ca="1">IF(J45="","",J45*AA36/SUMPRODUCT(H36:H48,J36:J48))</f>
        <v>6.5792739333498789</v>
      </c>
      <c r="L45" s="185" t="str">
        <f t="shared" si="30"/>
        <v>h/u</v>
      </c>
      <c r="M45" s="228">
        <f t="shared" ca="1" si="31"/>
        <v>13.158547866699758</v>
      </c>
      <c r="N45" s="229"/>
      <c r="O45" s="230"/>
      <c r="P45" s="229"/>
      <c r="Q45" s="231"/>
      <c r="R45" s="229"/>
      <c r="S45" s="232"/>
      <c r="T45" s="232"/>
      <c r="U45" s="233"/>
      <c r="V45" s="234">
        <v>3</v>
      </c>
      <c r="W45" s="190">
        <f t="shared" si="32"/>
        <v>0.7</v>
      </c>
      <c r="X45" s="191" t="str">
        <f t="shared" si="33"/>
        <v>u/j</v>
      </c>
      <c r="Y45" s="235"/>
      <c r="Z45" s="236" t="str">
        <f t="shared" si="34"/>
        <v/>
      </c>
      <c r="AA45" s="237" t="str">
        <f t="shared" si="35"/>
        <v/>
      </c>
      <c r="AB45" s="238" t="str">
        <f t="shared" si="36"/>
        <v/>
      </c>
      <c r="AC45" s="239">
        <v>32</v>
      </c>
      <c r="AD45" s="239">
        <v>32</v>
      </c>
    </row>
    <row r="46" spans="1:30" ht="15.75" x14ac:dyDescent="0.3">
      <c r="A46" s="223" t="s">
        <v>148</v>
      </c>
      <c r="B46" s="224" t="s">
        <v>82</v>
      </c>
      <c r="C46" s="225"/>
      <c r="D46" s="226">
        <v>1</v>
      </c>
      <c r="E46" s="227">
        <v>0</v>
      </c>
      <c r="F46" s="227">
        <v>0</v>
      </c>
      <c r="G46" s="227">
        <v>0.83</v>
      </c>
      <c r="H46" s="181">
        <f t="shared" si="29"/>
        <v>1</v>
      </c>
      <c r="I46" s="182" t="str">
        <f>IF(B46="","",IF(A46="","",INDEX([1]BMO!$A$5:$B$292,MATCH(B46,[1]BMO!$B$5:$B$292,0),1)))</f>
        <v>u</v>
      </c>
      <c r="J46" s="183">
        <v>8</v>
      </c>
      <c r="K46" s="184">
        <f ca="1">IF(J46="","",J46*AA36/SUMPRODUCT(H36:H48,J36:J48))</f>
        <v>8.7723652444665046</v>
      </c>
      <c r="L46" s="185" t="str">
        <f>IF(I46="","",CONCATENATE("h/",I46))</f>
        <v>h/u</v>
      </c>
      <c r="M46" s="228">
        <f ca="1">IF(H46="","",H46*K46)</f>
        <v>8.7723652444665046</v>
      </c>
      <c r="N46" s="229"/>
      <c r="O46" s="230"/>
      <c r="P46" s="229"/>
      <c r="Q46" s="231"/>
      <c r="R46" s="229"/>
      <c r="S46" s="232"/>
      <c r="T46" s="232"/>
      <c r="U46" s="233"/>
      <c r="V46" s="234">
        <v>1</v>
      </c>
      <c r="W46" s="190">
        <f t="shared" si="32"/>
        <v>1</v>
      </c>
      <c r="X46" s="191" t="str">
        <f t="shared" si="33"/>
        <v>u/j</v>
      </c>
      <c r="Y46" s="235"/>
      <c r="Z46" s="236" t="str">
        <f t="shared" si="34"/>
        <v/>
      </c>
      <c r="AA46" s="237" t="str">
        <f t="shared" si="35"/>
        <v/>
      </c>
      <c r="AB46" s="238" t="str">
        <f t="shared" si="36"/>
        <v/>
      </c>
      <c r="AC46" s="239">
        <v>32</v>
      </c>
      <c r="AD46" s="239">
        <v>32</v>
      </c>
    </row>
    <row r="47" spans="1:30" ht="15.75" x14ac:dyDescent="0.3">
      <c r="A47" s="223" t="s">
        <v>149</v>
      </c>
      <c r="B47" s="224" t="s">
        <v>125</v>
      </c>
      <c r="C47" s="225"/>
      <c r="D47" s="226">
        <v>0</v>
      </c>
      <c r="E47" s="227">
        <v>4.1900000000000004</v>
      </c>
      <c r="F47" s="227">
        <v>4.2</v>
      </c>
      <c r="G47" s="227">
        <v>0.84</v>
      </c>
      <c r="H47" s="181">
        <f t="shared" si="29"/>
        <v>4.2</v>
      </c>
      <c r="I47" s="182" t="str">
        <f>IF(B47="","",IF(A47="","",INDEX([1]BMO!$A$5:$B$292,MATCH(B47,[1]BMO!$B$5:$B$292,0),1)))</f>
        <v>ml</v>
      </c>
      <c r="J47" s="183">
        <v>1.5</v>
      </c>
      <c r="K47" s="184">
        <f ca="1">IF(J47="","",J47*AA36/SUMPRODUCT(H36:H48,J36:J48))</f>
        <v>1.6448184833374697</v>
      </c>
      <c r="L47" s="185" t="str">
        <f t="shared" si="30"/>
        <v>h/ml</v>
      </c>
      <c r="M47" s="228">
        <f t="shared" ca="1" si="31"/>
        <v>6.9082376300173731</v>
      </c>
      <c r="N47" s="229"/>
      <c r="O47" s="230"/>
      <c r="P47" s="229"/>
      <c r="Q47" s="231"/>
      <c r="R47" s="229"/>
      <c r="S47" s="232"/>
      <c r="T47" s="232"/>
      <c r="U47" s="233"/>
      <c r="V47" s="234">
        <v>1</v>
      </c>
      <c r="W47" s="190">
        <f t="shared" si="32"/>
        <v>4.2</v>
      </c>
      <c r="X47" s="191" t="str">
        <f t="shared" si="33"/>
        <v>ml/j</v>
      </c>
      <c r="Y47" s="235"/>
      <c r="Z47" s="236" t="str">
        <f t="shared" si="34"/>
        <v/>
      </c>
      <c r="AA47" s="237" t="str">
        <f t="shared" si="35"/>
        <v/>
      </c>
      <c r="AB47" s="238" t="str">
        <f t="shared" si="36"/>
        <v/>
      </c>
      <c r="AC47" s="239">
        <v>31</v>
      </c>
      <c r="AD47" s="239">
        <v>31</v>
      </c>
    </row>
    <row r="48" spans="1:30" s="91" customFormat="1" ht="3" customHeight="1" x14ac:dyDescent="0.3">
      <c r="A48" s="245"/>
      <c r="B48" s="246" t="s">
        <v>61</v>
      </c>
      <c r="C48" s="247" t="s">
        <v>61</v>
      </c>
      <c r="D48" s="248" t="s">
        <v>61</v>
      </c>
      <c r="E48" s="248" t="s">
        <v>61</v>
      </c>
      <c r="F48" s="248" t="s">
        <v>61</v>
      </c>
      <c r="G48" s="248" t="s">
        <v>61</v>
      </c>
      <c r="H48" s="249" t="s">
        <v>61</v>
      </c>
      <c r="I48" s="250" t="s">
        <v>61</v>
      </c>
      <c r="J48" s="251" t="s">
        <v>61</v>
      </c>
      <c r="K48" s="252" t="s">
        <v>61</v>
      </c>
      <c r="L48" s="253" t="s">
        <v>61</v>
      </c>
      <c r="M48" s="254" t="s">
        <v>61</v>
      </c>
      <c r="N48" s="255"/>
      <c r="O48" s="256"/>
      <c r="P48" s="255"/>
      <c r="Q48" s="257"/>
      <c r="R48" s="255"/>
      <c r="S48" s="258"/>
      <c r="T48" s="258"/>
      <c r="U48" s="259"/>
      <c r="V48" s="260" t="s">
        <v>61</v>
      </c>
      <c r="W48" s="261" t="s">
        <v>61</v>
      </c>
      <c r="X48" s="262" t="s">
        <v>61</v>
      </c>
      <c r="Y48" s="263" t="s">
        <v>61</v>
      </c>
      <c r="Z48" s="264" t="s">
        <v>61</v>
      </c>
      <c r="AA48" s="265" t="s">
        <v>61</v>
      </c>
      <c r="AB48" s="266" t="s">
        <v>61</v>
      </c>
      <c r="AC48" s="121"/>
      <c r="AD48" s="121"/>
    </row>
    <row r="49" spans="1:30" s="91" customFormat="1" ht="3" customHeight="1" thickBot="1" x14ac:dyDescent="0.35">
      <c r="A49" s="267"/>
      <c r="B49" s="268" t="s">
        <v>61</v>
      </c>
      <c r="C49" s="269" t="s">
        <v>61</v>
      </c>
      <c r="D49" s="270" t="s">
        <v>61</v>
      </c>
      <c r="E49" s="270" t="s">
        <v>61</v>
      </c>
      <c r="F49" s="270" t="s">
        <v>61</v>
      </c>
      <c r="G49" s="270" t="s">
        <v>61</v>
      </c>
      <c r="H49" s="271" t="s">
        <v>61</v>
      </c>
      <c r="I49" s="272" t="s">
        <v>61</v>
      </c>
      <c r="J49" s="273" t="s">
        <v>61</v>
      </c>
      <c r="K49" s="274" t="s">
        <v>61</v>
      </c>
      <c r="L49" s="275" t="s">
        <v>61</v>
      </c>
      <c r="M49" s="276" t="s">
        <v>61</v>
      </c>
      <c r="N49" s="277"/>
      <c r="O49" s="277"/>
      <c r="P49" s="277"/>
      <c r="Q49" s="277"/>
      <c r="R49" s="277"/>
      <c r="S49" s="277"/>
      <c r="T49" s="277"/>
      <c r="U49" s="278"/>
      <c r="V49" s="279" t="s">
        <v>61</v>
      </c>
      <c r="W49" s="280" t="s">
        <v>61</v>
      </c>
      <c r="X49" s="281" t="s">
        <v>61</v>
      </c>
      <c r="Y49" s="282" t="s">
        <v>61</v>
      </c>
      <c r="Z49" s="283" t="s">
        <v>61</v>
      </c>
      <c r="AA49" s="284" t="s">
        <v>61</v>
      </c>
      <c r="AB49" s="285" t="s">
        <v>61</v>
      </c>
      <c r="AC49" s="121"/>
      <c r="AD49" s="121"/>
    </row>
    <row r="50" spans="1:30" s="222" customFormat="1" ht="30" customHeight="1" x14ac:dyDescent="0.3">
      <c r="A50" s="361" t="s">
        <v>126</v>
      </c>
      <c r="B50" s="362"/>
      <c r="C50" s="363"/>
      <c r="D50" s="364"/>
      <c r="E50" s="364"/>
      <c r="F50" s="364"/>
      <c r="G50" s="364"/>
      <c r="H50" s="365"/>
      <c r="I50" s="366"/>
      <c r="J50" s="367"/>
      <c r="K50" s="368"/>
      <c r="L50" s="369"/>
      <c r="M50" s="370"/>
      <c r="N50" s="371"/>
      <c r="O50" s="287"/>
      <c r="P50" s="287"/>
      <c r="Q50" s="287"/>
      <c r="R50" s="287"/>
      <c r="S50" s="287"/>
      <c r="T50" s="287"/>
      <c r="U50" s="288"/>
      <c r="V50" s="372">
        <v>13</v>
      </c>
      <c r="W50" s="373"/>
      <c r="X50" s="374"/>
      <c r="Y50" s="375">
        <f ca="1">IF(SUM(OFFSET(H50,1,0):H73)=0,0,ROUND(SUMPRODUCT(OFFSET(H50,1,0):H73,OFFSET(J50,1,0):J73)/(V50*8.1),0))</f>
        <v>4</v>
      </c>
      <c r="Z50" s="376">
        <f ca="1">IF(Y50=0,"",ROUND(Y50*V50*7.4,2))</f>
        <v>384.8</v>
      </c>
      <c r="AA50" s="377">
        <f ca="1">IF(Y50=0,"",ROUND(Y50*V50*8.1,2))</f>
        <v>421.2</v>
      </c>
      <c r="AB50" s="378">
        <f ca="1">IF(Y50=0,"",ROUND(Y50*V50*7.4*60/52,2))</f>
        <v>444</v>
      </c>
      <c r="AC50" s="200"/>
      <c r="AD50" s="200"/>
    </row>
    <row r="51" spans="1:30" ht="15.75" x14ac:dyDescent="0.3">
      <c r="A51" s="223" t="s">
        <v>150</v>
      </c>
      <c r="B51" s="224" t="s">
        <v>87</v>
      </c>
      <c r="C51" s="225"/>
      <c r="D51" s="226">
        <v>4</v>
      </c>
      <c r="E51" s="227">
        <v>18.260000000000002</v>
      </c>
      <c r="F51" s="227">
        <v>0</v>
      </c>
      <c r="G51" s="227">
        <v>4.2300000000000004</v>
      </c>
      <c r="H51" s="181">
        <f t="shared" ref="H51:H52" si="37">IF(I51="","",IF(I51="u",ROUND(D51, 0),IF(I51="ml",ROUND(E51,1),IF(I51="m²",ROUND(F51,1),ROUND(G51,1)))))</f>
        <v>4</v>
      </c>
      <c r="I51" s="182" t="str">
        <f>IF(B51="","",IF(A51="","",INDEX([1]BMO!$A$5:$B$292,MATCH(B51,[1]BMO!$B$5:$B$292,0),1)))</f>
        <v>u</v>
      </c>
      <c r="J51" s="183">
        <v>6</v>
      </c>
      <c r="K51" s="184">
        <f ca="1">IF(J51="","",J51*AA50/SUMPRODUCT(H50:H72,J50:J72))</f>
        <v>6.5822613370283465</v>
      </c>
      <c r="L51" s="185" t="str">
        <f>IF(I51="","",CONCATENATE("h/",I51))</f>
        <v>h/u</v>
      </c>
      <c r="M51" s="228">
        <f ca="1">IF(H51="","",H51*K51)</f>
        <v>26.329045348113386</v>
      </c>
      <c r="N51" s="229"/>
      <c r="O51" s="230"/>
      <c r="P51" s="229"/>
      <c r="Q51" s="231"/>
      <c r="R51" s="229"/>
      <c r="S51" s="232"/>
      <c r="T51" s="232"/>
      <c r="U51" s="233"/>
      <c r="V51" s="379">
        <v>2</v>
      </c>
      <c r="W51" s="190">
        <f t="shared" ref="W51:W52" si="38">IF(H51="","",ROUND(H51/V51,1))</f>
        <v>2</v>
      </c>
      <c r="X51" s="191" t="str">
        <f t="shared" ref="X51:X52" si="39">IF(W51="","",CONCATENATE(I51,"/j"))</f>
        <v>u/j</v>
      </c>
      <c r="Y51" s="235"/>
      <c r="Z51" s="236" t="str">
        <f t="shared" ref="Z51:Z52" si="40">IF(Y51=0,"",ROUND(Y51*V51*7.4,2))</f>
        <v/>
      </c>
      <c r="AA51" s="237" t="str">
        <f t="shared" ref="AA51:AA52" si="41">IF(Y51=0,"",ROUND(Y51*V51*8.1,2))</f>
        <v/>
      </c>
      <c r="AB51" s="238" t="str">
        <f t="shared" ref="AB51:AB52" si="42">IF(Y51=0,"",ROUND(Y51*V51*7.4*60/52,2))</f>
        <v/>
      </c>
      <c r="AC51" s="239">
        <v>33</v>
      </c>
      <c r="AD51" s="239">
        <v>33</v>
      </c>
    </row>
    <row r="52" spans="1:30" ht="15.75" x14ac:dyDescent="0.3">
      <c r="A52" s="223" t="s">
        <v>151</v>
      </c>
      <c r="B52" s="224" t="s">
        <v>87</v>
      </c>
      <c r="C52" s="225"/>
      <c r="D52" s="226">
        <v>36</v>
      </c>
      <c r="E52" s="227">
        <v>113.4</v>
      </c>
      <c r="F52" s="227">
        <v>0</v>
      </c>
      <c r="G52" s="227">
        <v>32.83</v>
      </c>
      <c r="H52" s="181">
        <f t="shared" si="37"/>
        <v>36</v>
      </c>
      <c r="I52" s="182" t="str">
        <f>IF(B52="","",IF(A52="","",INDEX([1]BMO!$A$5:$B$292,MATCH(B52,[1]BMO!$B$5:$B$292,0),1)))</f>
        <v>u</v>
      </c>
      <c r="J52" s="183">
        <v>4</v>
      </c>
      <c r="K52" s="184">
        <f ca="1">IF(J52="","",J52*AA50/SUMPRODUCT(H50:H72,J50:J72))</f>
        <v>4.3881742246855646</v>
      </c>
      <c r="L52" s="185" t="str">
        <f>IF(I52="","",CONCATENATE("h/",I52))</f>
        <v>h/u</v>
      </c>
      <c r="M52" s="228">
        <f ca="1">IF(H52="","",H52*K52)</f>
        <v>157.97427208868032</v>
      </c>
      <c r="N52" s="229"/>
      <c r="O52" s="230"/>
      <c r="P52" s="229"/>
      <c r="Q52" s="231"/>
      <c r="R52" s="229"/>
      <c r="S52" s="232"/>
      <c r="T52" s="232"/>
      <c r="U52" s="233"/>
      <c r="V52" s="379">
        <v>6</v>
      </c>
      <c r="W52" s="190">
        <f t="shared" si="38"/>
        <v>6</v>
      </c>
      <c r="X52" s="191" t="str">
        <f t="shared" si="39"/>
        <v>u/j</v>
      </c>
      <c r="Y52" s="235"/>
      <c r="Z52" s="236" t="str">
        <f t="shared" si="40"/>
        <v/>
      </c>
      <c r="AA52" s="237" t="str">
        <f t="shared" si="41"/>
        <v/>
      </c>
      <c r="AB52" s="238" t="str">
        <f t="shared" si="42"/>
        <v/>
      </c>
      <c r="AC52" s="239">
        <v>42</v>
      </c>
      <c r="AD52" s="239">
        <v>42</v>
      </c>
    </row>
    <row r="53" spans="1:30" ht="15.75" x14ac:dyDescent="0.3">
      <c r="A53" s="223"/>
      <c r="B53" s="224"/>
      <c r="C53" s="225"/>
      <c r="D53" s="226"/>
      <c r="E53" s="227"/>
      <c r="F53" s="227"/>
      <c r="G53" s="227"/>
      <c r="H53" s="181"/>
      <c r="I53" s="182"/>
      <c r="J53" s="183"/>
      <c r="K53" s="184"/>
      <c r="L53" s="185"/>
      <c r="M53" s="228"/>
      <c r="N53" s="229"/>
      <c r="O53" s="230"/>
      <c r="P53" s="229"/>
      <c r="Q53" s="231"/>
      <c r="R53" s="229"/>
      <c r="S53" s="232"/>
      <c r="T53" s="232"/>
      <c r="U53" s="233"/>
      <c r="V53" s="379"/>
      <c r="W53" s="190"/>
      <c r="X53" s="191"/>
      <c r="Y53" s="235"/>
      <c r="Z53" s="236"/>
      <c r="AA53" s="237"/>
      <c r="AB53" s="238"/>
    </row>
    <row r="54" spans="1:30" ht="15.75" x14ac:dyDescent="0.3">
      <c r="A54" s="223" t="s">
        <v>152</v>
      </c>
      <c r="B54" s="224" t="s">
        <v>127</v>
      </c>
      <c r="C54" s="225"/>
      <c r="D54" s="226">
        <v>0</v>
      </c>
      <c r="E54" s="227">
        <v>0</v>
      </c>
      <c r="F54" s="227">
        <v>32.15</v>
      </c>
      <c r="G54" s="227">
        <v>7.7</v>
      </c>
      <c r="H54" s="181">
        <f t="shared" ref="H54:H71" si="43">IF(I54="","",IF(I54="u",ROUND(D54, 0),IF(I54="ml",ROUND(E54,1),IF(I54="m²",ROUND(F54,1),ROUND(G54,1)))))</f>
        <v>32.200000000000003</v>
      </c>
      <c r="I54" s="182" t="str">
        <f>IF(B54="","",IF(A54="","",INDEX([1]BMO!$A$5:$B$292,MATCH(B54,[1]BMO!$B$5:$B$292,0),1)))</f>
        <v>m²</v>
      </c>
      <c r="J54" s="183"/>
      <c r="K54" s="380">
        <f ca="1">SUM(M55:M57)/F54</f>
        <v>0.97932037518254833</v>
      </c>
      <c r="L54" s="381" t="str">
        <f t="shared" ref="L54:L71" si="44">IF(I54="","",CONCATENATE("h/",I54))</f>
        <v>h/m²</v>
      </c>
      <c r="M54" s="228"/>
      <c r="N54" s="229"/>
      <c r="O54" s="230"/>
      <c r="P54" s="229"/>
      <c r="Q54" s="231"/>
      <c r="R54" s="229"/>
      <c r="S54" s="232"/>
      <c r="T54" s="232"/>
      <c r="U54" s="233"/>
      <c r="V54" s="379">
        <v>3</v>
      </c>
      <c r="W54" s="190">
        <f t="shared" ref="W54:W71" si="45">IF(H54="","",ROUND(H54/V54,1))</f>
        <v>10.7</v>
      </c>
      <c r="X54" s="191" t="str">
        <f t="shared" ref="X54:X71" si="46">IF(W54="","",CONCATENATE(I54,"/j"))</f>
        <v>m²/j</v>
      </c>
      <c r="Y54" s="235"/>
      <c r="Z54" s="236" t="str">
        <f t="shared" ref="Z54:Z71" si="47">IF(Y54=0,"",ROUND(Y54*V54*7.4,2))</f>
        <v/>
      </c>
      <c r="AA54" s="237" t="str">
        <f t="shared" ref="AA54:AA71" si="48">IF(Y54=0,"",ROUND(Y54*V54*8.1,2))</f>
        <v/>
      </c>
      <c r="AB54" s="238" t="str">
        <f t="shared" ref="AB54:AB71" si="49">IF(Y54=0,"",ROUND(Y54*V54*7.4*60/52,2))</f>
        <v/>
      </c>
    </row>
    <row r="55" spans="1:30" ht="15.75" x14ac:dyDescent="0.3">
      <c r="A55" s="382" t="s">
        <v>89</v>
      </c>
      <c r="B55" s="224" t="s">
        <v>128</v>
      </c>
      <c r="C55" s="225"/>
      <c r="D55" s="226">
        <v>0</v>
      </c>
      <c r="E55" s="227">
        <v>0</v>
      </c>
      <c r="F55" s="227">
        <v>32.15</v>
      </c>
      <c r="G55" s="227">
        <v>7.7</v>
      </c>
      <c r="H55" s="181">
        <f t="shared" si="43"/>
        <v>32.200000000000003</v>
      </c>
      <c r="I55" s="182" t="str">
        <f>IF(B55="","",IF(A55="","",INDEX([1]BMO!$A$5:$B$292,MATCH(B55,[1]BMO!$B$5:$B$292,0),1)))</f>
        <v>m²</v>
      </c>
      <c r="J55" s="183">
        <v>0.5</v>
      </c>
      <c r="K55" s="184">
        <f ca="1">IF(J55="","",J55*AA50/SUMPRODUCT(H50:H73,J50:J73))</f>
        <v>0.54852177808569558</v>
      </c>
      <c r="L55" s="185" t="str">
        <f t="shared" si="44"/>
        <v>h/m²</v>
      </c>
      <c r="M55" s="228">
        <f ca="1">IF(H55="","",H55*K55)</f>
        <v>17.662401254359398</v>
      </c>
      <c r="N55" s="229"/>
      <c r="O55" s="230"/>
      <c r="P55" s="229"/>
      <c r="Q55" s="231"/>
      <c r="R55" s="229"/>
      <c r="S55" s="232"/>
      <c r="T55" s="232"/>
      <c r="U55" s="233"/>
      <c r="V55" s="379">
        <v>1</v>
      </c>
      <c r="W55" s="190">
        <f t="shared" si="45"/>
        <v>32.200000000000003</v>
      </c>
      <c r="X55" s="191" t="str">
        <f t="shared" si="46"/>
        <v>m²/j</v>
      </c>
      <c r="Y55" s="235"/>
      <c r="Z55" s="236" t="str">
        <f t="shared" si="47"/>
        <v/>
      </c>
      <c r="AA55" s="237" t="str">
        <f t="shared" si="48"/>
        <v/>
      </c>
      <c r="AB55" s="238" t="str">
        <f t="shared" si="49"/>
        <v/>
      </c>
      <c r="AC55" s="239">
        <v>34</v>
      </c>
      <c r="AD55" s="239">
        <v>34</v>
      </c>
    </row>
    <row r="56" spans="1:30" ht="15.75" x14ac:dyDescent="0.3">
      <c r="A56" s="382" t="s">
        <v>92</v>
      </c>
      <c r="B56" s="224" t="s">
        <v>129</v>
      </c>
      <c r="C56" s="225"/>
      <c r="D56" s="226">
        <v>0</v>
      </c>
      <c r="E56" s="227">
        <v>0</v>
      </c>
      <c r="F56" s="227">
        <v>32.15</v>
      </c>
      <c r="G56" s="227">
        <v>7.7</v>
      </c>
      <c r="H56" s="181">
        <f t="shared" si="43"/>
        <v>32.200000000000003</v>
      </c>
      <c r="I56" s="182" t="str">
        <f>IF(B56="","",IF(A56="","",INDEX([1]BMO!$A$5:$B$292,MATCH(B56,[1]BMO!$B$5:$B$292,0),1)))</f>
        <v>m²</v>
      </c>
      <c r="J56" s="183">
        <v>0.2</v>
      </c>
      <c r="K56" s="184">
        <f ca="1">IF(J56="","",J56*AA50/SUMPRODUCT(H50:H73,J50:J73))</f>
        <v>0.21940871123427824</v>
      </c>
      <c r="L56" s="185" t="str">
        <f t="shared" si="44"/>
        <v>h/m²</v>
      </c>
      <c r="M56" s="228">
        <f ca="1">IF(H56="","",H56*K56)</f>
        <v>7.0649605017437604</v>
      </c>
      <c r="N56" s="229"/>
      <c r="O56" s="230"/>
      <c r="P56" s="229"/>
      <c r="Q56" s="231"/>
      <c r="R56" s="229"/>
      <c r="S56" s="232"/>
      <c r="T56" s="232"/>
      <c r="U56" s="233"/>
      <c r="V56" s="379">
        <v>1</v>
      </c>
      <c r="W56" s="190">
        <f t="shared" si="45"/>
        <v>32.200000000000003</v>
      </c>
      <c r="X56" s="191" t="str">
        <f t="shared" si="46"/>
        <v>m²/j</v>
      </c>
      <c r="Y56" s="235"/>
      <c r="Z56" s="236" t="str">
        <f t="shared" si="47"/>
        <v/>
      </c>
      <c r="AA56" s="237" t="str">
        <f t="shared" si="48"/>
        <v/>
      </c>
      <c r="AB56" s="238" t="str">
        <f t="shared" si="49"/>
        <v/>
      </c>
      <c r="AC56" s="239">
        <v>34</v>
      </c>
    </row>
    <row r="57" spans="1:30" ht="15.75" x14ac:dyDescent="0.3">
      <c r="A57" s="382" t="s">
        <v>94</v>
      </c>
      <c r="B57" s="224" t="s">
        <v>130</v>
      </c>
      <c r="C57" s="225"/>
      <c r="D57" s="226">
        <v>0</v>
      </c>
      <c r="E57" s="227">
        <v>0</v>
      </c>
      <c r="F57" s="227">
        <v>32.15</v>
      </c>
      <c r="G57" s="227">
        <v>7.7</v>
      </c>
      <c r="H57" s="181">
        <f t="shared" si="43"/>
        <v>7.7</v>
      </c>
      <c r="I57" s="182" t="str">
        <f>IF(B57="","",IF(A57="","",INDEX([1]BMO!$A$5:$B$292,MATCH(B57,[1]BMO!$B$5:$B$292,0),1)))</f>
        <v>m3</v>
      </c>
      <c r="J57" s="183">
        <v>0.8</v>
      </c>
      <c r="K57" s="184">
        <f ca="1">IF(J57="","",J57*AA50/SUMPRODUCT(H50:H73,J50:J73))</f>
        <v>0.87763484493711297</v>
      </c>
      <c r="L57" s="185" t="str">
        <f t="shared" si="44"/>
        <v>h/m3</v>
      </c>
      <c r="M57" s="228">
        <f ca="1">IF(H57="","",H57*K57)</f>
        <v>6.7577883060157697</v>
      </c>
      <c r="N57" s="229"/>
      <c r="O57" s="230"/>
      <c r="P57" s="229"/>
      <c r="Q57" s="231"/>
      <c r="R57" s="229"/>
      <c r="S57" s="232"/>
      <c r="T57" s="232"/>
      <c r="U57" s="233"/>
      <c r="V57" s="379">
        <v>1</v>
      </c>
      <c r="W57" s="190">
        <f t="shared" si="45"/>
        <v>7.7</v>
      </c>
      <c r="X57" s="191" t="str">
        <f t="shared" si="46"/>
        <v>m3/j</v>
      </c>
      <c r="Y57" s="235"/>
      <c r="Z57" s="236" t="str">
        <f t="shared" si="47"/>
        <v/>
      </c>
      <c r="AA57" s="237" t="str">
        <f t="shared" si="48"/>
        <v/>
      </c>
      <c r="AB57" s="238" t="str">
        <f t="shared" si="49"/>
        <v/>
      </c>
      <c r="AC57" s="239">
        <v>34</v>
      </c>
    </row>
    <row r="58" spans="1:30" ht="15.75" x14ac:dyDescent="0.3">
      <c r="A58" s="383"/>
      <c r="B58" s="224"/>
      <c r="C58" s="225"/>
      <c r="D58" s="226"/>
      <c r="E58" s="227"/>
      <c r="F58" s="227"/>
      <c r="G58" s="227"/>
      <c r="H58" s="181"/>
      <c r="I58" s="182"/>
      <c r="J58" s="183"/>
      <c r="K58" s="184"/>
      <c r="L58" s="185"/>
      <c r="M58" s="228"/>
      <c r="N58" s="229"/>
      <c r="O58" s="230"/>
      <c r="P58" s="229"/>
      <c r="Q58" s="231"/>
      <c r="R58" s="229"/>
      <c r="S58" s="232"/>
      <c r="T58" s="232"/>
      <c r="U58" s="233"/>
      <c r="V58" s="379"/>
      <c r="W58" s="190"/>
      <c r="X58" s="191"/>
      <c r="Y58" s="235"/>
      <c r="Z58" s="236"/>
      <c r="AA58" s="237"/>
      <c r="AB58" s="238"/>
    </row>
    <row r="59" spans="1:30" ht="15.75" x14ac:dyDescent="0.3">
      <c r="A59" s="223" t="s">
        <v>153</v>
      </c>
      <c r="B59" s="224" t="s">
        <v>127</v>
      </c>
      <c r="C59" s="225"/>
      <c r="D59" s="226">
        <v>0</v>
      </c>
      <c r="E59" s="227">
        <v>0</v>
      </c>
      <c r="F59" s="227">
        <v>65.5</v>
      </c>
      <c r="G59" s="227">
        <v>19.32</v>
      </c>
      <c r="H59" s="181">
        <f t="shared" si="43"/>
        <v>65.5</v>
      </c>
      <c r="I59" s="182" t="str">
        <f>IF(B59="","",IF(A59="","",INDEX([1]BMO!$A$5:$B$292,MATCH(B59,[1]BMO!$B$5:$B$292,0),1)))</f>
        <v>m²</v>
      </c>
      <c r="J59" s="183"/>
      <c r="K59" s="380">
        <f ca="1">SUM(M60:M62)/F59</f>
        <v>1.1558316917769116</v>
      </c>
      <c r="L59" s="185" t="str">
        <f t="shared" si="44"/>
        <v>h/m²</v>
      </c>
      <c r="M59" s="228"/>
      <c r="N59" s="229"/>
      <c r="O59" s="230"/>
      <c r="P59" s="229"/>
      <c r="Q59" s="231"/>
      <c r="R59" s="229"/>
      <c r="S59" s="232"/>
      <c r="T59" s="232"/>
      <c r="U59" s="233"/>
      <c r="V59" s="379">
        <v>3</v>
      </c>
      <c r="W59" s="190">
        <f t="shared" si="45"/>
        <v>21.8</v>
      </c>
      <c r="X59" s="191" t="str">
        <f t="shared" si="46"/>
        <v>m²/j</v>
      </c>
      <c r="Y59" s="235"/>
      <c r="Z59" s="236" t="str">
        <f t="shared" si="47"/>
        <v/>
      </c>
      <c r="AA59" s="237" t="str">
        <f t="shared" si="48"/>
        <v/>
      </c>
      <c r="AB59" s="238" t="str">
        <f t="shared" si="49"/>
        <v/>
      </c>
    </row>
    <row r="60" spans="1:30" ht="15.75" x14ac:dyDescent="0.3">
      <c r="A60" s="382" t="s">
        <v>89</v>
      </c>
      <c r="B60" s="224" t="s">
        <v>128</v>
      </c>
      <c r="C60" s="225"/>
      <c r="D60" s="226">
        <v>0</v>
      </c>
      <c r="E60" s="227">
        <v>0</v>
      </c>
      <c r="F60" s="227">
        <v>65.5</v>
      </c>
      <c r="G60" s="227">
        <v>19.32</v>
      </c>
      <c r="H60" s="181">
        <f t="shared" si="43"/>
        <v>65.5</v>
      </c>
      <c r="I60" s="182" t="str">
        <f>IF(B60="","",IF(A60="","",INDEX([1]BMO!$A$5:$B$292,MATCH(B60,[1]BMO!$B$5:$B$292,0),1)))</f>
        <v>m²</v>
      </c>
      <c r="J60" s="183">
        <v>0.5</v>
      </c>
      <c r="K60" s="184">
        <f ca="1">IF(J60="","",J60*AA50/SUMPRODUCT(H50:H73,J50:J73))</f>
        <v>0.54852177808569558</v>
      </c>
      <c r="L60" s="185" t="str">
        <f t="shared" si="44"/>
        <v>h/m²</v>
      </c>
      <c r="M60" s="228">
        <f ca="1">IF(H60="","",H60*K60)</f>
        <v>35.92817646461306</v>
      </c>
      <c r="N60" s="229"/>
      <c r="O60" s="230"/>
      <c r="P60" s="229"/>
      <c r="Q60" s="231"/>
      <c r="R60" s="229"/>
      <c r="S60" s="232"/>
      <c r="T60" s="232"/>
      <c r="U60" s="233"/>
      <c r="V60" s="379">
        <v>1</v>
      </c>
      <c r="W60" s="190">
        <f t="shared" si="45"/>
        <v>65.5</v>
      </c>
      <c r="X60" s="191" t="str">
        <f t="shared" si="46"/>
        <v>m²/j</v>
      </c>
      <c r="Y60" s="235"/>
      <c r="Z60" s="236" t="str">
        <f t="shared" si="47"/>
        <v/>
      </c>
      <c r="AA60" s="237" t="str">
        <f t="shared" si="48"/>
        <v/>
      </c>
      <c r="AB60" s="238" t="str">
        <f t="shared" si="49"/>
        <v/>
      </c>
      <c r="AC60" s="239">
        <v>34</v>
      </c>
      <c r="AD60" s="239">
        <v>34</v>
      </c>
    </row>
    <row r="61" spans="1:30" ht="15.75" x14ac:dyDescent="0.3">
      <c r="A61" s="382" t="s">
        <v>92</v>
      </c>
      <c r="B61" s="224" t="s">
        <v>129</v>
      </c>
      <c r="C61" s="225"/>
      <c r="D61" s="226">
        <v>0</v>
      </c>
      <c r="E61" s="227">
        <v>0</v>
      </c>
      <c r="F61" s="227">
        <v>65.5</v>
      </c>
      <c r="G61" s="227">
        <v>19.32</v>
      </c>
      <c r="H61" s="181">
        <f t="shared" si="43"/>
        <v>65.5</v>
      </c>
      <c r="I61" s="182" t="str">
        <f>IF(B61="","",IF(A61="","",INDEX([1]BMO!$A$5:$B$292,MATCH(B61,[1]BMO!$B$5:$B$292,0),1)))</f>
        <v>m²</v>
      </c>
      <c r="J61" s="183">
        <v>0.2</v>
      </c>
      <c r="K61" s="184">
        <f ca="1">IF(J61="","",J61*AA50/SUMPRODUCT(H50:H73,J50:J73))</f>
        <v>0.21940871123427824</v>
      </c>
      <c r="L61" s="185" t="str">
        <f t="shared" si="44"/>
        <v>h/m²</v>
      </c>
      <c r="M61" s="228">
        <f ca="1">IF(H61="","",H61*K61)</f>
        <v>14.371270585845226</v>
      </c>
      <c r="N61" s="229"/>
      <c r="O61" s="230"/>
      <c r="P61" s="229"/>
      <c r="Q61" s="231"/>
      <c r="R61" s="229"/>
      <c r="S61" s="232"/>
      <c r="T61" s="232"/>
      <c r="U61" s="233"/>
      <c r="V61" s="379">
        <v>1</v>
      </c>
      <c r="W61" s="190">
        <f t="shared" si="45"/>
        <v>65.5</v>
      </c>
      <c r="X61" s="191" t="str">
        <f t="shared" si="46"/>
        <v>m²/j</v>
      </c>
      <c r="Y61" s="235"/>
      <c r="Z61" s="236" t="str">
        <f t="shared" si="47"/>
        <v/>
      </c>
      <c r="AA61" s="237" t="str">
        <f t="shared" si="48"/>
        <v/>
      </c>
      <c r="AB61" s="238" t="str">
        <f t="shared" si="49"/>
        <v/>
      </c>
      <c r="AC61" s="239">
        <v>34</v>
      </c>
    </row>
    <row r="62" spans="1:30" ht="15.75" x14ac:dyDescent="0.3">
      <c r="A62" s="382" t="s">
        <v>94</v>
      </c>
      <c r="B62" s="224" t="s">
        <v>130</v>
      </c>
      <c r="C62" s="225"/>
      <c r="D62" s="226">
        <v>0</v>
      </c>
      <c r="E62" s="227">
        <v>0</v>
      </c>
      <c r="F62" s="227">
        <v>65.5</v>
      </c>
      <c r="G62" s="227">
        <v>19.32</v>
      </c>
      <c r="H62" s="181">
        <f t="shared" si="43"/>
        <v>19.3</v>
      </c>
      <c r="I62" s="182" t="str">
        <f>IF(B62="","",IF(A62="","",INDEX([1]BMO!$A$5:$B$292,MATCH(B62,[1]BMO!$B$5:$B$292,0),1)))</f>
        <v>m3</v>
      </c>
      <c r="J62" s="183">
        <v>1.2000000000000002</v>
      </c>
      <c r="K62" s="184">
        <f ca="1">IF(J62="","",J62*AA50/SUMPRODUCT(H50:H73,J50:J73))</f>
        <v>1.3164522674056696</v>
      </c>
      <c r="L62" s="185" t="str">
        <f t="shared" si="44"/>
        <v>h/m3</v>
      </c>
      <c r="M62" s="228">
        <f ca="1">IF(H62="","",H62*K62)</f>
        <v>25.407528760929424</v>
      </c>
      <c r="N62" s="229"/>
      <c r="O62" s="230"/>
      <c r="P62" s="229"/>
      <c r="Q62" s="231"/>
      <c r="R62" s="229"/>
      <c r="S62" s="232"/>
      <c r="T62" s="232"/>
      <c r="U62" s="233"/>
      <c r="V62" s="379">
        <v>1</v>
      </c>
      <c r="W62" s="190">
        <f t="shared" si="45"/>
        <v>19.3</v>
      </c>
      <c r="X62" s="191" t="str">
        <f t="shared" si="46"/>
        <v>m3/j</v>
      </c>
      <c r="Y62" s="235"/>
      <c r="Z62" s="236" t="str">
        <f t="shared" si="47"/>
        <v/>
      </c>
      <c r="AA62" s="237" t="str">
        <f t="shared" si="48"/>
        <v/>
      </c>
      <c r="AB62" s="238" t="str">
        <f t="shared" si="49"/>
        <v/>
      </c>
      <c r="AC62" s="239">
        <v>34</v>
      </c>
    </row>
    <row r="63" spans="1:30" ht="15.75" x14ac:dyDescent="0.3">
      <c r="A63" s="383"/>
      <c r="B63" s="224"/>
      <c r="C63" s="225"/>
      <c r="D63" s="226"/>
      <c r="E63" s="227"/>
      <c r="F63" s="227"/>
      <c r="G63" s="227"/>
      <c r="H63" s="181"/>
      <c r="I63" s="182"/>
      <c r="J63" s="183"/>
      <c r="K63" s="184"/>
      <c r="L63" s="185"/>
      <c r="M63" s="228"/>
      <c r="N63" s="229"/>
      <c r="O63" s="230"/>
      <c r="P63" s="229"/>
      <c r="Q63" s="231"/>
      <c r="R63" s="229"/>
      <c r="S63" s="232"/>
      <c r="T63" s="232"/>
      <c r="U63" s="233"/>
      <c r="V63" s="379"/>
      <c r="W63" s="190"/>
      <c r="X63" s="191"/>
      <c r="Y63" s="235"/>
      <c r="Z63" s="236"/>
      <c r="AA63" s="237"/>
      <c r="AB63" s="238"/>
    </row>
    <row r="64" spans="1:30" ht="15.75" x14ac:dyDescent="0.3">
      <c r="A64" s="223" t="s">
        <v>154</v>
      </c>
      <c r="B64" s="224" t="s">
        <v>131</v>
      </c>
      <c r="C64" s="225"/>
      <c r="D64" s="226">
        <v>5</v>
      </c>
      <c r="E64" s="227">
        <v>0</v>
      </c>
      <c r="F64" s="227">
        <v>72.11</v>
      </c>
      <c r="G64" s="227">
        <v>13.7</v>
      </c>
      <c r="H64" s="181">
        <f t="shared" si="43"/>
        <v>72.099999999999994</v>
      </c>
      <c r="I64" s="182" t="str">
        <f>IF(B64="","",IF(A64="","",INDEX([1]BMO!$A$5:$B$292,MATCH(B64,[1]BMO!$B$5:$B$292,0),1)))</f>
        <v>m²</v>
      </c>
      <c r="J64" s="183"/>
      <c r="K64" s="380">
        <f ca="1">SUM(M65:M68)/F64</f>
        <v>0.76418797490008528</v>
      </c>
      <c r="L64" s="185" t="str">
        <f t="shared" si="44"/>
        <v>h/m²</v>
      </c>
      <c r="M64" s="228"/>
      <c r="N64" s="229"/>
      <c r="O64" s="230"/>
      <c r="P64" s="229"/>
      <c r="Q64" s="231"/>
      <c r="R64" s="229"/>
      <c r="S64" s="232"/>
      <c r="T64" s="232"/>
      <c r="U64" s="233"/>
      <c r="V64" s="379">
        <v>3</v>
      </c>
      <c r="W64" s="190">
        <f t="shared" si="45"/>
        <v>24</v>
      </c>
      <c r="X64" s="191" t="str">
        <f t="shared" si="46"/>
        <v>m²/j</v>
      </c>
      <c r="Y64" s="235"/>
      <c r="Z64" s="236" t="str">
        <f t="shared" si="47"/>
        <v/>
      </c>
      <c r="AA64" s="237" t="str">
        <f t="shared" si="48"/>
        <v/>
      </c>
      <c r="AB64" s="238" t="str">
        <f t="shared" si="49"/>
        <v/>
      </c>
    </row>
    <row r="65" spans="1:30" ht="15.75" x14ac:dyDescent="0.3">
      <c r="A65" s="382" t="s">
        <v>89</v>
      </c>
      <c r="B65" s="224" t="s">
        <v>90</v>
      </c>
      <c r="C65" s="225"/>
      <c r="D65" s="226">
        <v>5</v>
      </c>
      <c r="E65" s="227">
        <v>0</v>
      </c>
      <c r="F65" s="227">
        <v>72.11</v>
      </c>
      <c r="G65" s="227">
        <v>13.7</v>
      </c>
      <c r="H65" s="181">
        <f t="shared" si="43"/>
        <v>72.099999999999994</v>
      </c>
      <c r="I65" s="182" t="str">
        <f>IF(B65="","",IF(A65="","",INDEX([1]BMO!$A$5:$B$292,MATCH(B65,[1]BMO!$B$5:$B$292,0),1)))</f>
        <v>m²</v>
      </c>
      <c r="J65" s="183">
        <v>0.4</v>
      </c>
      <c r="K65" s="184">
        <f ca="1">IF(J65="","",J65*AA50/SUMPRODUCT(H50:H73,J50:J73))</f>
        <v>0.43881742246855648</v>
      </c>
      <c r="L65" s="185" t="str">
        <f t="shared" si="44"/>
        <v>h/m²</v>
      </c>
      <c r="M65" s="228">
        <f t="shared" ref="M65:M71" ca="1" si="50">IF(H65="","",H65*K65)</f>
        <v>31.638736159982919</v>
      </c>
      <c r="N65" s="229"/>
      <c r="O65" s="230"/>
      <c r="P65" s="229"/>
      <c r="Q65" s="231"/>
      <c r="R65" s="229"/>
      <c r="S65" s="232"/>
      <c r="T65" s="232"/>
      <c r="U65" s="233"/>
      <c r="V65" s="379">
        <v>1</v>
      </c>
      <c r="W65" s="190">
        <f t="shared" si="45"/>
        <v>72.099999999999994</v>
      </c>
      <c r="X65" s="191" t="str">
        <f t="shared" si="46"/>
        <v>m²/j</v>
      </c>
      <c r="Y65" s="235"/>
      <c r="Z65" s="236" t="str">
        <f t="shared" si="47"/>
        <v/>
      </c>
      <c r="AA65" s="237" t="str">
        <f t="shared" si="48"/>
        <v/>
      </c>
      <c r="AB65" s="238" t="str">
        <f t="shared" si="49"/>
        <v/>
      </c>
      <c r="AC65" s="239">
        <v>34</v>
      </c>
      <c r="AD65" s="239">
        <v>34</v>
      </c>
    </row>
    <row r="66" spans="1:30" ht="15.75" x14ac:dyDescent="0.3">
      <c r="A66" s="382" t="s">
        <v>91</v>
      </c>
      <c r="B66" s="224" t="s">
        <v>91</v>
      </c>
      <c r="C66" s="225"/>
      <c r="D66" s="226">
        <v>5</v>
      </c>
      <c r="E66" s="227">
        <v>0</v>
      </c>
      <c r="F66" s="227">
        <v>72.11</v>
      </c>
      <c r="G66" s="227">
        <v>13.7</v>
      </c>
      <c r="H66" s="181">
        <f t="shared" si="43"/>
        <v>5</v>
      </c>
      <c r="I66" s="182" t="str">
        <f>IF(B66="","",IF(A66="","",INDEX([1]BMO!$A$5:$B$292,MATCH(B66,[1]BMO!$B$5:$B$292,0),1)))</f>
        <v>u</v>
      </c>
      <c r="J66" s="183">
        <v>0.5</v>
      </c>
      <c r="K66" s="184">
        <f ca="1">IF(J66="","",J66*AA50/SUMPRODUCT(H50:H73,J50:J73))</f>
        <v>0.54852177808569558</v>
      </c>
      <c r="L66" s="185" t="str">
        <f t="shared" si="44"/>
        <v>h/u</v>
      </c>
      <c r="M66" s="228">
        <f t="shared" ca="1" si="50"/>
        <v>2.7426088904284778</v>
      </c>
      <c r="N66" s="229"/>
      <c r="O66" s="230"/>
      <c r="P66" s="229"/>
      <c r="Q66" s="231"/>
      <c r="R66" s="229"/>
      <c r="S66" s="232"/>
      <c r="T66" s="232"/>
      <c r="U66" s="233"/>
      <c r="V66" s="379">
        <v>1</v>
      </c>
      <c r="W66" s="190">
        <f t="shared" si="45"/>
        <v>5</v>
      </c>
      <c r="X66" s="191" t="str">
        <f t="shared" si="46"/>
        <v>u/j</v>
      </c>
      <c r="Y66" s="235"/>
      <c r="Z66" s="236" t="str">
        <f t="shared" si="47"/>
        <v/>
      </c>
      <c r="AA66" s="237" t="str">
        <f t="shared" si="48"/>
        <v/>
      </c>
      <c r="AB66" s="238" t="str">
        <f t="shared" si="49"/>
        <v/>
      </c>
      <c r="AC66" s="239">
        <v>34</v>
      </c>
    </row>
    <row r="67" spans="1:30" ht="15.75" x14ac:dyDescent="0.3">
      <c r="A67" s="382" t="s">
        <v>92</v>
      </c>
      <c r="B67" s="224" t="s">
        <v>93</v>
      </c>
      <c r="C67" s="225"/>
      <c r="D67" s="226">
        <v>5</v>
      </c>
      <c r="E67" s="227">
        <v>0</v>
      </c>
      <c r="F67" s="227">
        <v>72.11</v>
      </c>
      <c r="G67" s="227">
        <v>13.7</v>
      </c>
      <c r="H67" s="181">
        <f t="shared" si="43"/>
        <v>72.099999999999994</v>
      </c>
      <c r="I67" s="182" t="str">
        <f>IF(B67="","",IF(A67="","",INDEX([1]BMO!$A$5:$B$292,MATCH(B67,[1]BMO!$B$5:$B$292,0),1)))</f>
        <v>m²</v>
      </c>
      <c r="J67" s="183">
        <v>0.11</v>
      </c>
      <c r="K67" s="184">
        <f ca="1">IF(J67="","",J67*AA50/SUMPRODUCT(H50:H73,J50:J73))</f>
        <v>0.12067479117885303</v>
      </c>
      <c r="L67" s="185" t="str">
        <f t="shared" si="44"/>
        <v>h/m²</v>
      </c>
      <c r="M67" s="228">
        <f t="shared" ca="1" si="50"/>
        <v>8.7006524439953026</v>
      </c>
      <c r="N67" s="229"/>
      <c r="O67" s="230"/>
      <c r="P67" s="229"/>
      <c r="Q67" s="231"/>
      <c r="R67" s="229"/>
      <c r="S67" s="232"/>
      <c r="T67" s="232"/>
      <c r="U67" s="233"/>
      <c r="V67" s="379">
        <v>1</v>
      </c>
      <c r="W67" s="190">
        <f t="shared" si="45"/>
        <v>72.099999999999994</v>
      </c>
      <c r="X67" s="191" t="str">
        <f t="shared" si="46"/>
        <v>m²/j</v>
      </c>
      <c r="Y67" s="235"/>
      <c r="Z67" s="236" t="str">
        <f t="shared" si="47"/>
        <v/>
      </c>
      <c r="AA67" s="237" t="str">
        <f t="shared" si="48"/>
        <v/>
      </c>
      <c r="AB67" s="238" t="str">
        <f t="shared" si="49"/>
        <v/>
      </c>
      <c r="AC67" s="239">
        <v>34</v>
      </c>
    </row>
    <row r="68" spans="1:30" ht="15.75" x14ac:dyDescent="0.3">
      <c r="A68" s="382" t="s">
        <v>94</v>
      </c>
      <c r="B68" s="224" t="s">
        <v>95</v>
      </c>
      <c r="C68" s="225"/>
      <c r="D68" s="226">
        <v>5</v>
      </c>
      <c r="E68" s="227">
        <v>0</v>
      </c>
      <c r="F68" s="227">
        <v>72.11</v>
      </c>
      <c r="G68" s="227">
        <v>13.7</v>
      </c>
      <c r="H68" s="181">
        <f t="shared" si="43"/>
        <v>13.7</v>
      </c>
      <c r="I68" s="182" t="str">
        <f>IF(B68="","",IF(A68="","",INDEX([1]BMO!$A$5:$B$292,MATCH(B68,[1]BMO!$B$5:$B$292,0),1)))</f>
        <v>m3</v>
      </c>
      <c r="J68" s="183">
        <v>0.8</v>
      </c>
      <c r="K68" s="184">
        <f ca="1">IF(J68="","",J68*AA50/SUMPRODUCT(H50:H73,J50:J73))</f>
        <v>0.87763484493711297</v>
      </c>
      <c r="L68" s="185" t="str">
        <f t="shared" si="44"/>
        <v>h/m3</v>
      </c>
      <c r="M68" s="228">
        <f t="shared" ca="1" si="50"/>
        <v>12.023597375638447</v>
      </c>
      <c r="N68" s="229"/>
      <c r="O68" s="230"/>
      <c r="P68" s="229"/>
      <c r="Q68" s="231"/>
      <c r="R68" s="229"/>
      <c r="S68" s="232"/>
      <c r="T68" s="232"/>
      <c r="U68" s="233"/>
      <c r="V68" s="379">
        <v>1</v>
      </c>
      <c r="W68" s="190">
        <f t="shared" si="45"/>
        <v>13.7</v>
      </c>
      <c r="X68" s="191" t="str">
        <f t="shared" si="46"/>
        <v>m3/j</v>
      </c>
      <c r="Y68" s="235"/>
      <c r="Z68" s="236" t="str">
        <f t="shared" si="47"/>
        <v/>
      </c>
      <c r="AA68" s="237" t="str">
        <f t="shared" si="48"/>
        <v/>
      </c>
      <c r="AB68" s="238" t="str">
        <f t="shared" si="49"/>
        <v/>
      </c>
      <c r="AC68" s="239">
        <v>34</v>
      </c>
    </row>
    <row r="69" spans="1:30" ht="15.75" x14ac:dyDescent="0.3">
      <c r="A69" s="383"/>
      <c r="B69" s="224"/>
      <c r="C69" s="225"/>
      <c r="D69" s="226"/>
      <c r="E69" s="227"/>
      <c r="F69" s="227"/>
      <c r="G69" s="227"/>
      <c r="H69" s="181"/>
      <c r="I69" s="182"/>
      <c r="J69" s="183"/>
      <c r="K69" s="184"/>
      <c r="L69" s="185"/>
      <c r="M69" s="228"/>
      <c r="N69" s="229"/>
      <c r="O69" s="230"/>
      <c r="P69" s="229"/>
      <c r="Q69" s="231"/>
      <c r="R69" s="229"/>
      <c r="S69" s="232"/>
      <c r="T69" s="232"/>
      <c r="U69" s="233"/>
      <c r="V69" s="234"/>
      <c r="W69" s="190"/>
      <c r="X69" s="191"/>
      <c r="Y69" s="235"/>
      <c r="Z69" s="236"/>
      <c r="AA69" s="237"/>
      <c r="AB69" s="238"/>
    </row>
    <row r="70" spans="1:30" ht="15.75" x14ac:dyDescent="0.3">
      <c r="A70" s="223" t="s">
        <v>155</v>
      </c>
      <c r="B70" s="224" t="s">
        <v>111</v>
      </c>
      <c r="C70" s="225"/>
      <c r="D70" s="226">
        <v>2</v>
      </c>
      <c r="E70" s="227">
        <v>0</v>
      </c>
      <c r="F70" s="227">
        <v>0</v>
      </c>
      <c r="G70" s="227">
        <v>0</v>
      </c>
      <c r="H70" s="181">
        <f t="shared" si="43"/>
        <v>2</v>
      </c>
      <c r="I70" s="182" t="str">
        <f>IF(B70="","",IF(A70="","",INDEX([1]BMO!$A$5:$B$292,MATCH(B70,[1]BMO!$B$5:$B$292,0),1)))</f>
        <v>u</v>
      </c>
      <c r="J70" s="183">
        <v>16</v>
      </c>
      <c r="K70" s="184">
        <f ca="1">IF(J70="","",J70*AA50/SUMPRODUCT(H50:H72,J50:J72))</f>
        <v>17.552696898742258</v>
      </c>
      <c r="L70" s="185" t="str">
        <f t="shared" si="44"/>
        <v>h/u</v>
      </c>
      <c r="M70" s="228">
        <f t="shared" ca="1" si="50"/>
        <v>35.105393797484517</v>
      </c>
      <c r="N70" s="229"/>
      <c r="O70" s="230"/>
      <c r="P70" s="229"/>
      <c r="Q70" s="231"/>
      <c r="R70" s="229"/>
      <c r="S70" s="232"/>
      <c r="T70" s="232"/>
      <c r="U70" s="233"/>
      <c r="V70" s="234">
        <v>2</v>
      </c>
      <c r="W70" s="190">
        <f t="shared" si="45"/>
        <v>1</v>
      </c>
      <c r="X70" s="191" t="str">
        <f t="shared" si="46"/>
        <v>u/j</v>
      </c>
      <c r="Y70" s="235"/>
      <c r="Z70" s="236" t="str">
        <f t="shared" si="47"/>
        <v/>
      </c>
      <c r="AA70" s="237" t="str">
        <f t="shared" si="48"/>
        <v/>
      </c>
      <c r="AB70" s="238" t="str">
        <f t="shared" si="49"/>
        <v/>
      </c>
      <c r="AC70" s="239">
        <v>41</v>
      </c>
      <c r="AD70" s="239">
        <v>41</v>
      </c>
    </row>
    <row r="71" spans="1:30" ht="15.75" x14ac:dyDescent="0.3">
      <c r="A71" s="223" t="s">
        <v>156</v>
      </c>
      <c r="B71" s="224" t="s">
        <v>96</v>
      </c>
      <c r="C71" s="225"/>
      <c r="D71" s="226">
        <v>6</v>
      </c>
      <c r="E71" s="227">
        <v>0</v>
      </c>
      <c r="F71" s="227">
        <v>0</v>
      </c>
      <c r="G71" s="227">
        <v>0</v>
      </c>
      <c r="H71" s="181">
        <f t="shared" si="43"/>
        <v>6</v>
      </c>
      <c r="I71" s="182" t="str">
        <f>IF(B71="","",IF(A71="","",INDEX([1]BMO!$A$5:$B$292,MATCH(B71,[1]BMO!$B$5:$B$292,0),1)))</f>
        <v>u</v>
      </c>
      <c r="J71" s="183">
        <v>6</v>
      </c>
      <c r="K71" s="184">
        <f ca="1">IF(J71="","",J71*AA50/SUMPRODUCT(H50:H72,J50:J72))</f>
        <v>6.5822613370283465</v>
      </c>
      <c r="L71" s="185" t="str">
        <f t="shared" si="44"/>
        <v>h/u</v>
      </c>
      <c r="M71" s="228">
        <f t="shared" ca="1" si="50"/>
        <v>39.493568022170081</v>
      </c>
      <c r="N71" s="229"/>
      <c r="O71" s="230"/>
      <c r="P71" s="229"/>
      <c r="Q71" s="231"/>
      <c r="R71" s="229"/>
      <c r="S71" s="232"/>
      <c r="T71" s="232"/>
      <c r="U71" s="233"/>
      <c r="V71" s="234">
        <v>3</v>
      </c>
      <c r="W71" s="190">
        <f t="shared" si="45"/>
        <v>2</v>
      </c>
      <c r="X71" s="191" t="str">
        <f t="shared" si="46"/>
        <v>u/j</v>
      </c>
      <c r="Y71" s="235"/>
      <c r="Z71" s="236" t="str">
        <f t="shared" si="47"/>
        <v/>
      </c>
      <c r="AA71" s="237" t="str">
        <f t="shared" si="48"/>
        <v/>
      </c>
      <c r="AB71" s="238" t="str">
        <f t="shared" si="49"/>
        <v/>
      </c>
      <c r="AC71" s="239">
        <v>41</v>
      </c>
      <c r="AD71" s="239">
        <v>41</v>
      </c>
    </row>
    <row r="72" spans="1:30" s="91" customFormat="1" ht="3" customHeight="1" x14ac:dyDescent="0.3">
      <c r="A72" s="245"/>
      <c r="B72" s="246" t="s">
        <v>61</v>
      </c>
      <c r="C72" s="247" t="s">
        <v>61</v>
      </c>
      <c r="D72" s="248" t="s">
        <v>61</v>
      </c>
      <c r="E72" s="248" t="s">
        <v>61</v>
      </c>
      <c r="F72" s="248" t="s">
        <v>61</v>
      </c>
      <c r="G72" s="248" t="s">
        <v>61</v>
      </c>
      <c r="H72" s="249" t="s">
        <v>61</v>
      </c>
      <c r="I72" s="250" t="s">
        <v>61</v>
      </c>
      <c r="J72" s="251" t="s">
        <v>61</v>
      </c>
      <c r="K72" s="252" t="s">
        <v>61</v>
      </c>
      <c r="L72" s="253" t="s">
        <v>61</v>
      </c>
      <c r="M72" s="254" t="s">
        <v>61</v>
      </c>
      <c r="N72" s="255"/>
      <c r="O72" s="256"/>
      <c r="P72" s="255"/>
      <c r="Q72" s="257"/>
      <c r="R72" s="255"/>
      <c r="S72" s="258"/>
      <c r="T72" s="258"/>
      <c r="U72" s="259"/>
      <c r="V72" s="260" t="s">
        <v>61</v>
      </c>
      <c r="W72" s="261" t="s">
        <v>61</v>
      </c>
      <c r="X72" s="262" t="s">
        <v>61</v>
      </c>
      <c r="Y72" s="263" t="s">
        <v>61</v>
      </c>
      <c r="Z72" s="264" t="s">
        <v>61</v>
      </c>
      <c r="AA72" s="265" t="s">
        <v>61</v>
      </c>
      <c r="AB72" s="266" t="s">
        <v>61</v>
      </c>
      <c r="AC72" s="121"/>
      <c r="AD72" s="121"/>
    </row>
    <row r="73" spans="1:30" s="91" customFormat="1" ht="3" customHeight="1" thickBot="1" x14ac:dyDescent="0.35">
      <c r="A73" s="267"/>
      <c r="B73" s="268" t="s">
        <v>61</v>
      </c>
      <c r="C73" s="269" t="s">
        <v>61</v>
      </c>
      <c r="D73" s="270" t="s">
        <v>61</v>
      </c>
      <c r="E73" s="270" t="s">
        <v>61</v>
      </c>
      <c r="F73" s="270" t="s">
        <v>61</v>
      </c>
      <c r="G73" s="270" t="s">
        <v>61</v>
      </c>
      <c r="H73" s="271" t="s">
        <v>61</v>
      </c>
      <c r="I73" s="272" t="s">
        <v>61</v>
      </c>
      <c r="J73" s="273" t="s">
        <v>61</v>
      </c>
      <c r="K73" s="274" t="s">
        <v>61</v>
      </c>
      <c r="L73" s="275" t="s">
        <v>61</v>
      </c>
      <c r="M73" s="276" t="s">
        <v>61</v>
      </c>
      <c r="N73" s="277"/>
      <c r="O73" s="277"/>
      <c r="P73" s="277"/>
      <c r="Q73" s="277"/>
      <c r="R73" s="277"/>
      <c r="S73" s="277"/>
      <c r="T73" s="277"/>
      <c r="U73" s="278"/>
      <c r="V73" s="279" t="s">
        <v>61</v>
      </c>
      <c r="W73" s="280" t="s">
        <v>61</v>
      </c>
      <c r="X73" s="281" t="s">
        <v>61</v>
      </c>
      <c r="Y73" s="282" t="s">
        <v>61</v>
      </c>
      <c r="Z73" s="283" t="s">
        <v>61</v>
      </c>
      <c r="AA73" s="284" t="s">
        <v>61</v>
      </c>
      <c r="AB73" s="285" t="s">
        <v>61</v>
      </c>
      <c r="AC73" s="121"/>
      <c r="AD73" s="121"/>
    </row>
    <row r="74" spans="1:30" s="222" customFormat="1" ht="30" customHeight="1" x14ac:dyDescent="0.3">
      <c r="A74" s="384" t="s">
        <v>132</v>
      </c>
      <c r="B74" s="385"/>
      <c r="C74" s="386"/>
      <c r="D74" s="387"/>
      <c r="E74" s="387"/>
      <c r="F74" s="387"/>
      <c r="G74" s="387"/>
      <c r="H74" s="388"/>
      <c r="I74" s="389"/>
      <c r="J74" s="390"/>
      <c r="K74" s="391"/>
      <c r="L74" s="392"/>
      <c r="M74" s="393"/>
      <c r="N74" s="394"/>
      <c r="O74" s="287"/>
      <c r="P74" s="287"/>
      <c r="Q74" s="287"/>
      <c r="R74" s="287"/>
      <c r="S74" s="287"/>
      <c r="T74" s="287"/>
      <c r="U74" s="288"/>
      <c r="V74" s="395">
        <v>23</v>
      </c>
      <c r="W74" s="396"/>
      <c r="X74" s="397"/>
      <c r="Y74" s="398">
        <f ca="1">IF(SUM(OFFSET(H74,1,0):H84)=0,0,ROUND(SUMPRODUCT(OFFSET(H74,1,0):H84,OFFSET(J74,1,0):J84)/(V74*8.1),0))</f>
        <v>3</v>
      </c>
      <c r="Z74" s="399">
        <f ca="1">IF(Y74=0,"",ROUND(Y74*V74*7.4,2))</f>
        <v>510.6</v>
      </c>
      <c r="AA74" s="400">
        <f ca="1">IF(Y74=0,"",ROUND(Y74*V74*8.1,2))</f>
        <v>558.9</v>
      </c>
      <c r="AB74" s="401">
        <f ca="1">IF(Y74=0,"",ROUND(Y74*V74*7.4*60/52,2))</f>
        <v>589.15</v>
      </c>
      <c r="AC74" s="200"/>
      <c r="AD74" s="200"/>
    </row>
    <row r="75" spans="1:30" ht="15.75" x14ac:dyDescent="0.3">
      <c r="A75" s="223" t="s">
        <v>157</v>
      </c>
      <c r="B75" s="224" t="s">
        <v>87</v>
      </c>
      <c r="C75" s="225"/>
      <c r="D75" s="226">
        <v>5</v>
      </c>
      <c r="E75" s="227">
        <v>18.23</v>
      </c>
      <c r="F75" s="227">
        <v>0</v>
      </c>
      <c r="G75" s="227">
        <v>1.2</v>
      </c>
      <c r="H75" s="181">
        <f t="shared" ref="H75:H82" si="51">IF(I75="","",IF(I75="u",ROUND(D75, 0),IF(I75="ml",ROUND(E75,1),IF(I75="m²",ROUND(F75,1),ROUND(G75,1)))))</f>
        <v>5</v>
      </c>
      <c r="I75" s="182" t="str">
        <f>IF(B75="","",IF(A75="","",INDEX([1]BMO!$A$5:$B$292,MATCH(B75,[1]BMO!$B$5:$B$292,0),1)))</f>
        <v>u</v>
      </c>
      <c r="J75" s="183">
        <v>4</v>
      </c>
      <c r="K75" s="184">
        <f ca="1">IF(J75="","",J75*AA74/SUMPRODUCT(H74:H83,J74:J83))</f>
        <v>4.1592945050651631</v>
      </c>
      <c r="L75" s="185" t="str">
        <f t="shared" ref="L75:L80" si="52">IF(I75="","",CONCATENATE("h/",I75))</f>
        <v>h/u</v>
      </c>
      <c r="M75" s="228">
        <f ca="1">IF(H75="","",H75*K75)</f>
        <v>20.796472525325814</v>
      </c>
      <c r="N75" s="229"/>
      <c r="O75" s="230"/>
      <c r="P75" s="229"/>
      <c r="Q75" s="231"/>
      <c r="R75" s="229"/>
      <c r="S75" s="232"/>
      <c r="T75" s="232"/>
      <c r="U75" s="233"/>
      <c r="V75" s="234">
        <v>2</v>
      </c>
      <c r="W75" s="190">
        <f t="shared" ref="W75:W82" si="53">IF(H75="","",ROUND(H75/V75,1))</f>
        <v>2.5</v>
      </c>
      <c r="X75" s="191" t="str">
        <f t="shared" ref="X75:X82" si="54">IF(W75="","",CONCATENATE(I75,"/j"))</f>
        <v>u/j</v>
      </c>
      <c r="Y75" s="235"/>
      <c r="Z75" s="236" t="str">
        <f t="shared" ref="Z75:Z82" si="55">IF(Y75=0,"",ROUND(Y75*V75*7.4,2))</f>
        <v/>
      </c>
      <c r="AA75" s="237" t="str">
        <f t="shared" ref="AA75:AA82" si="56">IF(Y75=0,"",ROUND(Y75*V75*8.1,2))</f>
        <v/>
      </c>
      <c r="AB75" s="238" t="str">
        <f t="shared" ref="AB75:AB82" si="57">IF(Y75=0,"",ROUND(Y75*V75*7.4*60/52,2))</f>
        <v/>
      </c>
      <c r="AC75" s="239">
        <v>33</v>
      </c>
      <c r="AD75" s="239">
        <v>33</v>
      </c>
    </row>
    <row r="76" spans="1:30" ht="15.75" x14ac:dyDescent="0.3">
      <c r="A76" s="223" t="s">
        <v>158</v>
      </c>
      <c r="B76" s="224" t="s">
        <v>131</v>
      </c>
      <c r="C76" s="225"/>
      <c r="D76" s="226">
        <v>50</v>
      </c>
      <c r="E76" s="227">
        <v>0</v>
      </c>
      <c r="F76" s="227">
        <v>736.47</v>
      </c>
      <c r="G76" s="227">
        <v>106.09</v>
      </c>
      <c r="H76" s="181">
        <f t="shared" si="51"/>
        <v>736.5</v>
      </c>
      <c r="I76" s="182" t="str">
        <f>IF(B76="","",IF(A76="","",INDEX([1]BMO!$A$5:$B$292,MATCH(B76,[1]BMO!$B$5:$B$292,0),1)))</f>
        <v>m²</v>
      </c>
      <c r="J76" s="183"/>
      <c r="K76" s="380">
        <f ca="1">SUM(M77:M80)/F76</f>
        <v>0.68547146718013341</v>
      </c>
      <c r="L76" s="185" t="str">
        <f t="shared" si="52"/>
        <v>h/m²</v>
      </c>
      <c r="M76" s="228"/>
      <c r="N76" s="229"/>
      <c r="O76" s="230"/>
      <c r="P76" s="229"/>
      <c r="Q76" s="231"/>
      <c r="R76" s="229"/>
      <c r="S76" s="232"/>
      <c r="T76" s="232"/>
      <c r="U76" s="233"/>
      <c r="V76" s="234">
        <v>23</v>
      </c>
      <c r="W76" s="190">
        <f t="shared" si="53"/>
        <v>32</v>
      </c>
      <c r="X76" s="191" t="str">
        <f t="shared" si="54"/>
        <v>m²/j</v>
      </c>
      <c r="Y76" s="235"/>
      <c r="Z76" s="236" t="str">
        <f t="shared" si="55"/>
        <v/>
      </c>
      <c r="AA76" s="237" t="str">
        <f t="shared" si="56"/>
        <v/>
      </c>
      <c r="AB76" s="238" t="str">
        <f t="shared" si="57"/>
        <v/>
      </c>
    </row>
    <row r="77" spans="1:30" ht="15.75" x14ac:dyDescent="0.3">
      <c r="A77" s="382" t="s">
        <v>89</v>
      </c>
      <c r="B77" s="224" t="s">
        <v>90</v>
      </c>
      <c r="C77" s="225"/>
      <c r="D77" s="226">
        <v>50</v>
      </c>
      <c r="E77" s="227">
        <v>0</v>
      </c>
      <c r="F77" s="227">
        <v>736.47</v>
      </c>
      <c r="G77" s="227">
        <v>106.09</v>
      </c>
      <c r="H77" s="181">
        <f t="shared" si="51"/>
        <v>736.5</v>
      </c>
      <c r="I77" s="182" t="str">
        <f>IF(B77="","",IF(A77="","",INDEX([1]BMO!$A$5:$B$292,MATCH(B77,[1]BMO!$B$5:$B$292,0),1)))</f>
        <v>m²</v>
      </c>
      <c r="J77" s="183">
        <v>0.4</v>
      </c>
      <c r="K77" s="184">
        <f ca="1">IF(J77="","",J77*AA74/SUMPRODUCT(H74:H84,J74:J84))</f>
        <v>0.41592945050651636</v>
      </c>
      <c r="L77" s="185" t="str">
        <f t="shared" si="52"/>
        <v>h/m²</v>
      </c>
      <c r="M77" s="228">
        <f ca="1">IF(H77="","",H77*K77)</f>
        <v>306.33204029804932</v>
      </c>
      <c r="N77" s="229"/>
      <c r="O77" s="230"/>
      <c r="P77" s="229"/>
      <c r="Q77" s="231"/>
      <c r="R77" s="229"/>
      <c r="S77" s="232"/>
      <c r="T77" s="232"/>
      <c r="U77" s="233"/>
      <c r="V77" s="234">
        <v>23</v>
      </c>
      <c r="W77" s="190">
        <f t="shared" si="53"/>
        <v>32</v>
      </c>
      <c r="X77" s="191" t="str">
        <f t="shared" si="54"/>
        <v>m²/j</v>
      </c>
      <c r="Y77" s="235"/>
      <c r="Z77" s="236" t="str">
        <f t="shared" si="55"/>
        <v/>
      </c>
      <c r="AA77" s="237" t="str">
        <f t="shared" si="56"/>
        <v/>
      </c>
      <c r="AB77" s="238" t="str">
        <f t="shared" si="57"/>
        <v/>
      </c>
      <c r="AC77" s="239">
        <v>34</v>
      </c>
      <c r="AD77" s="239">
        <v>34</v>
      </c>
    </row>
    <row r="78" spans="1:30" ht="15.75" x14ac:dyDescent="0.3">
      <c r="A78" s="382" t="s">
        <v>91</v>
      </c>
      <c r="B78" s="224" t="s">
        <v>91</v>
      </c>
      <c r="C78" s="225"/>
      <c r="D78" s="226">
        <v>50</v>
      </c>
      <c r="E78" s="227">
        <v>0</v>
      </c>
      <c r="F78" s="227">
        <v>736.47</v>
      </c>
      <c r="G78" s="227">
        <v>106.09</v>
      </c>
      <c r="H78" s="181">
        <f t="shared" si="51"/>
        <v>50</v>
      </c>
      <c r="I78" s="182" t="str">
        <f>IF(B78="","",IF(A78="","",INDEX([1]BMO!$A$5:$B$292,MATCH(B78,[1]BMO!$B$5:$B$292,0),1)))</f>
        <v>u</v>
      </c>
      <c r="J78" s="183">
        <v>0.5</v>
      </c>
      <c r="K78" s="184">
        <f ca="1">IF(J78="","",J78*AA74/SUMPRODUCT(H74:H84,J74:J84))</f>
        <v>0.51991181313314538</v>
      </c>
      <c r="L78" s="185" t="str">
        <f t="shared" si="52"/>
        <v>h/u</v>
      </c>
      <c r="M78" s="228">
        <f ca="1">IF(H78="","",H78*K78)</f>
        <v>25.995590656657271</v>
      </c>
      <c r="N78" s="229"/>
      <c r="O78" s="230"/>
      <c r="P78" s="229"/>
      <c r="Q78" s="231"/>
      <c r="R78" s="229"/>
      <c r="S78" s="232"/>
      <c r="T78" s="232"/>
      <c r="U78" s="233"/>
      <c r="V78" s="234">
        <v>23</v>
      </c>
      <c r="W78" s="190">
        <f t="shared" si="53"/>
        <v>2.2000000000000002</v>
      </c>
      <c r="X78" s="191" t="str">
        <f t="shared" si="54"/>
        <v>u/j</v>
      </c>
      <c r="Y78" s="235"/>
      <c r="Z78" s="236" t="str">
        <f t="shared" si="55"/>
        <v/>
      </c>
      <c r="AA78" s="237" t="str">
        <f t="shared" si="56"/>
        <v/>
      </c>
      <c r="AB78" s="238" t="str">
        <f t="shared" si="57"/>
        <v/>
      </c>
      <c r="AC78" s="239">
        <v>34</v>
      </c>
    </row>
    <row r="79" spans="1:30" ht="15.75" x14ac:dyDescent="0.3">
      <c r="A79" s="382" t="s">
        <v>92</v>
      </c>
      <c r="B79" s="224" t="s">
        <v>93</v>
      </c>
      <c r="C79" s="225"/>
      <c r="D79" s="226">
        <v>50</v>
      </c>
      <c r="E79" s="227">
        <v>0</v>
      </c>
      <c r="F79" s="227">
        <v>736.47</v>
      </c>
      <c r="G79" s="227">
        <v>106.09</v>
      </c>
      <c r="H79" s="181">
        <f t="shared" si="51"/>
        <v>736.5</v>
      </c>
      <c r="I79" s="182" t="str">
        <f>IF(B79="","",IF(A79="","",INDEX([1]BMO!$A$5:$B$292,MATCH(B79,[1]BMO!$B$5:$B$292,0),1)))</f>
        <v>m²</v>
      </c>
      <c r="J79" s="183">
        <v>0.11</v>
      </c>
      <c r="K79" s="184">
        <f ca="1">IF(J79="","",J79*AA74/SUMPRODUCT(H74:H84,J74:J84))</f>
        <v>0.11438059888929199</v>
      </c>
      <c r="L79" s="185" t="str">
        <f t="shared" si="52"/>
        <v>h/m²</v>
      </c>
      <c r="M79" s="228">
        <f ca="1">IF(H79="","",H79*K79)</f>
        <v>84.241311081963545</v>
      </c>
      <c r="N79" s="229"/>
      <c r="O79" s="230"/>
      <c r="P79" s="229"/>
      <c r="Q79" s="231"/>
      <c r="R79" s="229"/>
      <c r="S79" s="232"/>
      <c r="T79" s="232"/>
      <c r="U79" s="233"/>
      <c r="V79" s="234">
        <v>23</v>
      </c>
      <c r="W79" s="190">
        <f t="shared" si="53"/>
        <v>32</v>
      </c>
      <c r="X79" s="191" t="str">
        <f t="shared" si="54"/>
        <v>m²/j</v>
      </c>
      <c r="Y79" s="235"/>
      <c r="Z79" s="236" t="str">
        <f t="shared" si="55"/>
        <v/>
      </c>
      <c r="AA79" s="237" t="str">
        <f t="shared" si="56"/>
        <v/>
      </c>
      <c r="AB79" s="238" t="str">
        <f t="shared" si="57"/>
        <v/>
      </c>
      <c r="AC79" s="239">
        <v>34</v>
      </c>
    </row>
    <row r="80" spans="1:30" ht="15.75" x14ac:dyDescent="0.3">
      <c r="A80" s="382" t="s">
        <v>94</v>
      </c>
      <c r="B80" s="224" t="s">
        <v>95</v>
      </c>
      <c r="C80" s="225"/>
      <c r="D80" s="226">
        <v>50</v>
      </c>
      <c r="E80" s="227">
        <v>0</v>
      </c>
      <c r="F80" s="227">
        <v>736.47</v>
      </c>
      <c r="G80" s="227">
        <v>106.09</v>
      </c>
      <c r="H80" s="181">
        <f t="shared" si="51"/>
        <v>106.1</v>
      </c>
      <c r="I80" s="182" t="str">
        <f>IF(B80="","",IF(A80="","",INDEX([1]BMO!$A$5:$B$292,MATCH(B80,[1]BMO!$B$5:$B$292,0),1)))</f>
        <v>m3</v>
      </c>
      <c r="J80" s="183">
        <v>0.8</v>
      </c>
      <c r="K80" s="184">
        <f ca="1">IF(J80="","",J80*AA74/SUMPRODUCT(H74:H84,J74:J84))</f>
        <v>0.83185890101303273</v>
      </c>
      <c r="L80" s="185" t="str">
        <f t="shared" si="52"/>
        <v>h/m3</v>
      </c>
      <c r="M80" s="228">
        <f ca="1">IF(H80="","",H80*K80)</f>
        <v>88.260229397482775</v>
      </c>
      <c r="N80" s="229"/>
      <c r="O80" s="230"/>
      <c r="P80" s="229"/>
      <c r="Q80" s="231"/>
      <c r="R80" s="229"/>
      <c r="S80" s="232"/>
      <c r="T80" s="232"/>
      <c r="U80" s="233"/>
      <c r="V80" s="234">
        <v>23</v>
      </c>
      <c r="W80" s="190">
        <f t="shared" si="53"/>
        <v>4.5999999999999996</v>
      </c>
      <c r="X80" s="191" t="str">
        <f t="shared" si="54"/>
        <v>m3/j</v>
      </c>
      <c r="Y80" s="235"/>
      <c r="Z80" s="236" t="str">
        <f t="shared" si="55"/>
        <v/>
      </c>
      <c r="AA80" s="237" t="str">
        <f t="shared" si="56"/>
        <v/>
      </c>
      <c r="AB80" s="238" t="str">
        <f t="shared" si="57"/>
        <v/>
      </c>
      <c r="AC80" s="239">
        <v>34</v>
      </c>
    </row>
    <row r="81" spans="1:30" ht="15.75" x14ac:dyDescent="0.3">
      <c r="A81" s="383"/>
      <c r="B81" s="224"/>
      <c r="C81" s="225"/>
      <c r="D81" s="226"/>
      <c r="E81" s="227"/>
      <c r="F81" s="227"/>
      <c r="G81" s="227"/>
      <c r="H81" s="181"/>
      <c r="I81" s="182"/>
      <c r="J81" s="183"/>
      <c r="K81" s="184"/>
      <c r="L81" s="185"/>
      <c r="M81" s="228"/>
      <c r="N81" s="229"/>
      <c r="O81" s="230"/>
      <c r="P81" s="229"/>
      <c r="Q81" s="231"/>
      <c r="R81" s="229"/>
      <c r="S81" s="232"/>
      <c r="T81" s="232"/>
      <c r="U81" s="233"/>
      <c r="V81" s="234"/>
      <c r="W81" s="190"/>
      <c r="X81" s="191"/>
      <c r="Y81" s="235"/>
      <c r="Z81" s="236"/>
      <c r="AA81" s="237"/>
      <c r="AB81" s="238"/>
    </row>
    <row r="82" spans="1:30" ht="15.75" x14ac:dyDescent="0.3">
      <c r="A82" s="223" t="s">
        <v>159</v>
      </c>
      <c r="B82" s="224" t="s">
        <v>111</v>
      </c>
      <c r="C82" s="225"/>
      <c r="D82" s="226">
        <v>4</v>
      </c>
      <c r="E82" s="227">
        <v>0</v>
      </c>
      <c r="F82" s="227">
        <v>0</v>
      </c>
      <c r="G82" s="227">
        <v>0</v>
      </c>
      <c r="H82" s="181">
        <f t="shared" si="51"/>
        <v>4</v>
      </c>
      <c r="I82" s="182" t="str">
        <f>IF(B82="","",IF(A82="","",INDEX([1]BMO!$A$5:$B$292,MATCH(B82,[1]BMO!$B$5:$B$292,0),1)))</f>
        <v>u</v>
      </c>
      <c r="J82" s="183">
        <v>8</v>
      </c>
      <c r="K82" s="184">
        <f ca="1">IF(J82="","",J82*AA74/SUMPRODUCT(H74:H83,J74:J83))</f>
        <v>8.3185890101303261</v>
      </c>
      <c r="L82" s="185" t="str">
        <f>IF(I82="","",CONCATENATE("h/",I82))</f>
        <v>h/u</v>
      </c>
      <c r="M82" s="228">
        <f ca="1">IF(H82="","",H82*K82)</f>
        <v>33.274356040521305</v>
      </c>
      <c r="N82" s="229"/>
      <c r="O82" s="230"/>
      <c r="P82" s="229"/>
      <c r="Q82" s="231"/>
      <c r="R82" s="229"/>
      <c r="S82" s="232"/>
      <c r="T82" s="232"/>
      <c r="U82" s="233"/>
      <c r="V82" s="234">
        <v>2</v>
      </c>
      <c r="W82" s="190">
        <f t="shared" si="53"/>
        <v>2</v>
      </c>
      <c r="X82" s="191" t="str">
        <f t="shared" si="54"/>
        <v>u/j</v>
      </c>
      <c r="Y82" s="235"/>
      <c r="Z82" s="236" t="str">
        <f t="shared" si="55"/>
        <v/>
      </c>
      <c r="AA82" s="237" t="str">
        <f t="shared" si="56"/>
        <v/>
      </c>
      <c r="AB82" s="238" t="str">
        <f t="shared" si="57"/>
        <v/>
      </c>
      <c r="AC82" s="239">
        <v>41</v>
      </c>
      <c r="AD82" s="239">
        <v>41</v>
      </c>
    </row>
    <row r="83" spans="1:30" s="91" customFormat="1" ht="3" customHeight="1" x14ac:dyDescent="0.3">
      <c r="A83" s="245"/>
      <c r="B83" s="246" t="s">
        <v>61</v>
      </c>
      <c r="C83" s="247" t="s">
        <v>61</v>
      </c>
      <c r="D83" s="248" t="s">
        <v>61</v>
      </c>
      <c r="E83" s="248" t="s">
        <v>61</v>
      </c>
      <c r="F83" s="248" t="s">
        <v>61</v>
      </c>
      <c r="G83" s="248" t="s">
        <v>61</v>
      </c>
      <c r="H83" s="249" t="s">
        <v>61</v>
      </c>
      <c r="I83" s="250" t="s">
        <v>61</v>
      </c>
      <c r="J83" s="251" t="s">
        <v>61</v>
      </c>
      <c r="K83" s="252" t="s">
        <v>61</v>
      </c>
      <c r="L83" s="253" t="s">
        <v>61</v>
      </c>
      <c r="M83" s="254" t="s">
        <v>61</v>
      </c>
      <c r="N83" s="255"/>
      <c r="O83" s="256"/>
      <c r="P83" s="255"/>
      <c r="Q83" s="257"/>
      <c r="R83" s="255"/>
      <c r="S83" s="258"/>
      <c r="T83" s="258"/>
      <c r="U83" s="259"/>
      <c r="V83" s="260" t="s">
        <v>61</v>
      </c>
      <c r="W83" s="261" t="s">
        <v>61</v>
      </c>
      <c r="X83" s="262" t="s">
        <v>61</v>
      </c>
      <c r="Y83" s="263" t="s">
        <v>61</v>
      </c>
      <c r="Z83" s="264" t="s">
        <v>61</v>
      </c>
      <c r="AA83" s="265" t="s">
        <v>61</v>
      </c>
      <c r="AB83" s="266" t="s">
        <v>61</v>
      </c>
      <c r="AC83" s="121"/>
      <c r="AD83" s="121"/>
    </row>
    <row r="84" spans="1:30" s="91" customFormat="1" ht="3" customHeight="1" thickBot="1" x14ac:dyDescent="0.35">
      <c r="A84" s="267"/>
      <c r="B84" s="268" t="s">
        <v>61</v>
      </c>
      <c r="C84" s="269" t="s">
        <v>61</v>
      </c>
      <c r="D84" s="270" t="s">
        <v>61</v>
      </c>
      <c r="E84" s="270" t="s">
        <v>61</v>
      </c>
      <c r="F84" s="270" t="s">
        <v>61</v>
      </c>
      <c r="G84" s="270" t="s">
        <v>61</v>
      </c>
      <c r="H84" s="271" t="s">
        <v>61</v>
      </c>
      <c r="I84" s="272" t="s">
        <v>61</v>
      </c>
      <c r="J84" s="273" t="s">
        <v>61</v>
      </c>
      <c r="K84" s="274" t="s">
        <v>61</v>
      </c>
      <c r="L84" s="275" t="s">
        <v>61</v>
      </c>
      <c r="M84" s="276" t="s">
        <v>61</v>
      </c>
      <c r="N84" s="277"/>
      <c r="O84" s="277"/>
      <c r="P84" s="277"/>
      <c r="Q84" s="277"/>
      <c r="R84" s="277"/>
      <c r="S84" s="277"/>
      <c r="T84" s="277"/>
      <c r="U84" s="278"/>
      <c r="V84" s="279" t="s">
        <v>61</v>
      </c>
      <c r="W84" s="280" t="s">
        <v>61</v>
      </c>
      <c r="X84" s="281" t="s">
        <v>61</v>
      </c>
      <c r="Y84" s="282" t="s">
        <v>61</v>
      </c>
      <c r="Z84" s="283" t="s">
        <v>61</v>
      </c>
      <c r="AA84" s="284" t="s">
        <v>61</v>
      </c>
      <c r="AB84" s="285" t="s">
        <v>61</v>
      </c>
      <c r="AC84" s="121"/>
      <c r="AD84" s="121"/>
    </row>
    <row r="85" spans="1:30" ht="15" hidden="1" customHeight="1" thickBot="1" x14ac:dyDescent="0.25">
      <c r="A85" s="177" t="s">
        <v>69</v>
      </c>
      <c r="B85" s="224" t="s">
        <v>69</v>
      </c>
      <c r="C85" s="179"/>
      <c r="D85" s="180"/>
      <c r="E85" s="180"/>
      <c r="F85" s="180"/>
      <c r="G85" s="180"/>
      <c r="H85" s="181">
        <f>IF(I85="","",IF(I85="u",ROUND(D85, 0),IF(I85="ml",ROUND(E85,1),IF(I85="m²",ROUND(F85,1),ROUND(G85,1)))))</f>
        <v>0</v>
      </c>
      <c r="I85" s="182" t="str">
        <f>IF(B85="","",IF(A85="","",INDEX([1]BMO!$O$5:$P$296,MATCH(B85,[1]BMO!$P$5:$P$296,0),1)))</f>
        <v>m²</v>
      </c>
      <c r="J85" s="183">
        <v>0.08</v>
      </c>
      <c r="K85" s="184" t="str">
        <f>IF(H85="","",IF(H85=0,"",AA85/H85))</f>
        <v/>
      </c>
      <c r="L85" s="185" t="str">
        <f>IF(H85="","",IF(H85=0,"",CONCATENATE("h/",I85)))</f>
        <v/>
      </c>
      <c r="M85" s="228" t="str">
        <f>IF(H85="","",IF(H85=0,"",H85*K85))</f>
        <v/>
      </c>
      <c r="N85" s="187"/>
      <c r="O85" s="187"/>
      <c r="P85" s="187"/>
      <c r="Q85" s="187"/>
      <c r="R85" s="187"/>
      <c r="S85" s="187"/>
      <c r="T85" s="187"/>
      <c r="U85" s="188"/>
      <c r="V85" s="189" t="s">
        <v>61</v>
      </c>
      <c r="W85" s="190"/>
      <c r="X85" s="191"/>
      <c r="Y85" s="192" t="str">
        <f>IF(H85="","",IF(V85="","",ROUND((H85*J85)/(V85*7.4),0)))</f>
        <v/>
      </c>
      <c r="Z85" s="193" t="str">
        <f>IF(Y85="","",ROUND(Y85*V85*7.4,2))</f>
        <v/>
      </c>
      <c r="AA85" s="194" t="str">
        <f t="shared" ref="AA85:AB86" si="58">Z85</f>
        <v/>
      </c>
      <c r="AB85" s="195" t="str">
        <f t="shared" si="58"/>
        <v/>
      </c>
    </row>
    <row r="86" spans="1:30" s="91" customFormat="1" ht="10.5" customHeight="1" thickBot="1" x14ac:dyDescent="0.3">
      <c r="A86" s="293"/>
      <c r="B86" s="294"/>
      <c r="C86" s="295"/>
      <c r="D86" s="296"/>
      <c r="E86" s="296"/>
      <c r="F86" s="296"/>
      <c r="G86" s="296"/>
      <c r="H86" s="181" t="str">
        <f>IF(I86="","",IF(I86="u",ROUND(D86, 0),IF(I86="ml",ROUND(E86,1),IF(I86="m²",ROUND(F86,1),ROUND(G86,1)))))</f>
        <v/>
      </c>
      <c r="I86" s="182" t="str">
        <f>IF(B86="","",IF(A86="","",INDEX([1]BMO!$O$5:$P$296,MATCH(B86,[1]BMO!$P$5:$P$296,0),1)))</f>
        <v/>
      </c>
      <c r="J86" s="183" t="s">
        <v>61</v>
      </c>
      <c r="K86" s="184" t="str">
        <f>IF(H86="","",IF(H86=0,"",AA86/H86))</f>
        <v/>
      </c>
      <c r="L86" s="185" t="str">
        <f>IF(H86="","",IF(H86=0,"",CONCATENATE("h/",I86)))</f>
        <v/>
      </c>
      <c r="M86" s="228" t="str">
        <f>IF(H86="","",IF(H86=0,"",H86*K86))</f>
        <v/>
      </c>
      <c r="N86" s="187"/>
      <c r="O86" s="187"/>
      <c r="P86" s="187"/>
      <c r="Q86" s="187"/>
      <c r="R86" s="187"/>
      <c r="S86" s="187"/>
      <c r="T86" s="187"/>
      <c r="U86" s="188"/>
      <c r="V86" s="189" t="s">
        <v>61</v>
      </c>
      <c r="W86" s="190"/>
      <c r="X86" s="191"/>
      <c r="Y86" s="192" t="str">
        <f>IF(H86="","",IF(V86="","",ROUND((H86*J86)/(V86*7.4),0)))</f>
        <v/>
      </c>
      <c r="Z86" s="193" t="str">
        <f>IF(Y86="","",ROUND(Y86*V86*7.4,2))</f>
        <v/>
      </c>
      <c r="AA86" s="194" t="str">
        <f t="shared" si="58"/>
        <v/>
      </c>
      <c r="AB86" s="195" t="str">
        <f t="shared" si="58"/>
        <v/>
      </c>
      <c r="AC86" s="121"/>
      <c r="AD86" s="121"/>
    </row>
    <row r="87" spans="1:30" s="91" customFormat="1" ht="4.5" hidden="1" customHeight="1" thickBot="1" x14ac:dyDescent="0.3">
      <c r="A87" s="297"/>
      <c r="B87" s="294"/>
      <c r="C87" s="298"/>
      <c r="D87" s="298"/>
      <c r="E87" s="298"/>
      <c r="F87" s="298"/>
      <c r="G87" s="298"/>
      <c r="H87" s="299" t="str">
        <f t="shared" ref="H87" si="59">IF(I87="","",IF(I87="u",D87,IF(I87="ml",E87,IF(I87="m²",F87,G87))))</f>
        <v/>
      </c>
      <c r="I87" s="300"/>
      <c r="J87" s="301"/>
      <c r="K87" s="302" t="str">
        <f>IF(H87="","",AA87/H87)</f>
        <v/>
      </c>
      <c r="L87" s="303" t="str">
        <f>IF(I87="","",CONCATENATE("h/",I87))</f>
        <v/>
      </c>
      <c r="M87" s="304" t="str">
        <f>IF(H87="","",H87*K87)</f>
        <v/>
      </c>
      <c r="N87" s="305"/>
      <c r="O87" s="306"/>
      <c r="P87" s="306"/>
      <c r="Q87" s="306"/>
      <c r="R87" s="306"/>
      <c r="S87" s="306"/>
      <c r="T87" s="306"/>
      <c r="U87" s="307"/>
      <c r="V87" s="308"/>
      <c r="W87" s="309" t="e">
        <f>IF(H87=0,"",ROUND(H87/V87,1))</f>
        <v>#VALUE!</v>
      </c>
      <c r="X87" s="310" t="e">
        <f>IF(W87="","",CONCATENATE(I87,"/j"))</f>
        <v>#VALUE!</v>
      </c>
      <c r="Y87" s="311"/>
      <c r="Z87" s="236" t="str">
        <f>IF(Y87=0,"",ROUND(Y87*V87*7.4,2))</f>
        <v/>
      </c>
      <c r="AA87" s="237" t="str">
        <f>IF(Y87=0,"",ROUND(Y87*V87*8.1,2))</f>
        <v/>
      </c>
      <c r="AB87" s="238" t="str">
        <f>IF(Y87="","",ROUND(Y87*V87*7.4*60/52,2))</f>
        <v/>
      </c>
      <c r="AC87" s="121"/>
      <c r="AD87" s="121"/>
    </row>
    <row r="88" spans="1:30" s="91" customFormat="1" ht="16.5" thickTop="1" thickBot="1" x14ac:dyDescent="0.3">
      <c r="A88" s="312"/>
      <c r="B88" s="313"/>
      <c r="C88" s="313"/>
      <c r="D88" s="313"/>
      <c r="E88" s="313"/>
      <c r="F88" s="313"/>
      <c r="G88" s="313"/>
      <c r="H88" s="314"/>
      <c r="I88" s="315"/>
      <c r="J88" s="316"/>
      <c r="K88" s="314"/>
      <c r="L88" s="315" t="s">
        <v>70</v>
      </c>
      <c r="M88" s="317">
        <f ca="1">SUM(M5:M86)</f>
        <v>3507.3000000000006</v>
      </c>
      <c r="N88" s="318"/>
      <c r="O88" s="319"/>
      <c r="P88" s="319"/>
      <c r="Q88" s="319"/>
      <c r="R88" s="319"/>
      <c r="S88" s="319"/>
      <c r="T88" s="319"/>
      <c r="U88" s="320"/>
      <c r="V88" s="321"/>
      <c r="W88" s="314"/>
      <c r="X88" s="322"/>
      <c r="Y88" s="323" t="s">
        <v>70</v>
      </c>
      <c r="Z88" s="324">
        <f ca="1">SUM(Z5:Z87)</f>
        <v>3204.2000000000003</v>
      </c>
      <c r="AA88" s="325">
        <f ca="1">SUM(AA5:AA87)</f>
        <v>3507.2999999999997</v>
      </c>
      <c r="AB88" s="326">
        <f ca="1">SUM(AB5:AB87)</f>
        <v>3697.16</v>
      </c>
      <c r="AC88" s="121"/>
      <c r="AD88" s="121"/>
    </row>
    <row r="90" spans="1:30" s="239" customFormat="1" ht="15.75" x14ac:dyDescent="0.3">
      <c r="A90" s="327" t="s">
        <v>71</v>
      </c>
      <c r="B90" s="328"/>
      <c r="C90" s="328"/>
      <c r="D90" s="328"/>
      <c r="E90" s="328"/>
      <c r="F90" s="328"/>
      <c r="G90" s="328"/>
      <c r="H90" s="328"/>
      <c r="I90" s="328"/>
      <c r="J90" s="329"/>
      <c r="K90" s="328"/>
      <c r="L90" s="328"/>
      <c r="M90" s="330" t="str">
        <f ca="1">IF(M88=AA88,"OK","ERREUR")</f>
        <v>OK</v>
      </c>
      <c r="N90" s="330"/>
      <c r="O90" s="330"/>
      <c r="P90" s="330"/>
      <c r="Q90" s="330"/>
      <c r="R90" s="330"/>
      <c r="S90" s="330"/>
      <c r="T90" s="330"/>
      <c r="U90" s="330"/>
      <c r="V90" s="331"/>
      <c r="W90" s="328"/>
      <c r="X90" s="328"/>
      <c r="Y90" s="332"/>
      <c r="Z90" s="330"/>
      <c r="AA90" s="330"/>
      <c r="AB90" s="330"/>
    </row>
    <row r="92" spans="1:30" ht="15.75" x14ac:dyDescent="0.3">
      <c r="H92" s="333"/>
      <c r="I92" s="333"/>
      <c r="J92" s="334"/>
      <c r="K92" s="335"/>
      <c r="L92" s="336"/>
      <c r="M92" s="222"/>
      <c r="N92" s="222"/>
      <c r="O92" s="222"/>
      <c r="P92" s="222"/>
      <c r="Q92" s="222"/>
      <c r="R92" s="222"/>
      <c r="S92" s="222"/>
      <c r="T92" s="222"/>
      <c r="U92" s="337"/>
      <c r="V92" s="222"/>
      <c r="W92" s="6">
        <v>11</v>
      </c>
      <c r="X92" s="7" t="s">
        <v>7</v>
      </c>
      <c r="Y92" s="12"/>
      <c r="Z92" s="340">
        <f t="shared" ref="Z92:Z121" si="60">SUMIF($AC:$AC,W92,$M:$M)</f>
        <v>0</v>
      </c>
      <c r="AA92" s="61">
        <f t="shared" ref="AA92:AA121" si="61">IF(AB92="","",SUMIF($AD:$AD,W92,IF(AB92="u",$D:$D,IF(AB92="ml",$E:$E,IF(AB92="m²",$F:$F,IF(AB92=0,"",""))))))</f>
        <v>0</v>
      </c>
      <c r="AB92" s="62" t="s">
        <v>36</v>
      </c>
    </row>
    <row r="93" spans="1:30" ht="15.75" x14ac:dyDescent="0.3">
      <c r="B93" s="339"/>
      <c r="H93" s="333"/>
      <c r="I93" s="333"/>
      <c r="J93" s="334"/>
      <c r="K93" s="335"/>
      <c r="L93" s="336"/>
      <c r="M93" s="222"/>
      <c r="N93" s="222"/>
      <c r="O93" s="222"/>
      <c r="P93" s="222"/>
      <c r="Q93" s="222"/>
      <c r="R93" s="222"/>
      <c r="S93" s="222"/>
      <c r="T93" s="222"/>
      <c r="U93" s="337"/>
      <c r="V93" s="222"/>
      <c r="W93" s="8">
        <v>12</v>
      </c>
      <c r="X93" t="s">
        <v>8</v>
      </c>
      <c r="Y93" s="13"/>
      <c r="Z93" s="345">
        <f t="shared" si="60"/>
        <v>0</v>
      </c>
      <c r="AA93" s="63">
        <f t="shared" si="61"/>
        <v>0</v>
      </c>
      <c r="AB93" s="64" t="s">
        <v>37</v>
      </c>
    </row>
    <row r="94" spans="1:30" ht="15.75" x14ac:dyDescent="0.3">
      <c r="H94" s="341"/>
      <c r="I94" s="341"/>
      <c r="L94" s="13"/>
      <c r="M94" s="343"/>
      <c r="T94" s="240"/>
      <c r="U94" s="344"/>
      <c r="V94" s="240"/>
      <c r="W94" s="8">
        <v>13</v>
      </c>
      <c r="X94" t="s">
        <v>9</v>
      </c>
      <c r="Y94" s="13"/>
      <c r="Z94" s="345">
        <f t="shared" si="60"/>
        <v>0</v>
      </c>
      <c r="AA94" s="63">
        <f t="shared" si="61"/>
        <v>0</v>
      </c>
      <c r="AB94" s="64" t="s">
        <v>37</v>
      </c>
    </row>
    <row r="95" spans="1:30" ht="15.75" x14ac:dyDescent="0.3">
      <c r="E95" s="339"/>
      <c r="H95" s="346"/>
      <c r="I95" s="346"/>
      <c r="J95" s="347"/>
      <c r="K95" s="348"/>
      <c r="L95" s="13"/>
      <c r="M95" s="343"/>
      <c r="T95" s="240"/>
      <c r="U95" s="344"/>
      <c r="V95" s="240"/>
      <c r="W95" s="8">
        <v>14</v>
      </c>
      <c r="X95" t="s">
        <v>10</v>
      </c>
      <c r="Y95" s="13"/>
      <c r="Z95" s="345">
        <f t="shared" si="60"/>
        <v>0</v>
      </c>
      <c r="AA95" s="63">
        <f t="shared" si="61"/>
        <v>0</v>
      </c>
      <c r="AB95" s="64" t="s">
        <v>38</v>
      </c>
    </row>
    <row r="96" spans="1:30" ht="15.75" x14ac:dyDescent="0.3">
      <c r="W96" s="8">
        <v>15</v>
      </c>
      <c r="X96" t="s">
        <v>11</v>
      </c>
      <c r="Y96" s="13"/>
      <c r="Z96" s="345">
        <f t="shared" si="60"/>
        <v>0</v>
      </c>
      <c r="AA96" s="63" t="str">
        <f t="shared" si="61"/>
        <v/>
      </c>
      <c r="AB96" s="64"/>
    </row>
    <row r="97" spans="4:28" ht="15.75" x14ac:dyDescent="0.3">
      <c r="W97" s="8"/>
      <c r="X97"/>
      <c r="Y97" s="13"/>
      <c r="Z97" s="345">
        <f t="shared" si="60"/>
        <v>0</v>
      </c>
      <c r="AA97" s="63" t="str">
        <f t="shared" si="61"/>
        <v/>
      </c>
      <c r="AB97" s="64"/>
    </row>
    <row r="98" spans="4:28" ht="15.75" x14ac:dyDescent="0.3">
      <c r="W98" s="8">
        <v>21</v>
      </c>
      <c r="X98" t="s">
        <v>12</v>
      </c>
      <c r="Y98" s="13"/>
      <c r="Z98" s="345">
        <f t="shared" si="60"/>
        <v>0</v>
      </c>
      <c r="AA98" s="63">
        <f t="shared" si="61"/>
        <v>0</v>
      </c>
      <c r="AB98" s="64" t="s">
        <v>36</v>
      </c>
    </row>
    <row r="99" spans="4:28" ht="15.75" x14ac:dyDescent="0.3">
      <c r="W99" s="8">
        <v>22</v>
      </c>
      <c r="X99" t="s">
        <v>13</v>
      </c>
      <c r="Y99" s="13"/>
      <c r="Z99" s="345">
        <f t="shared" si="60"/>
        <v>0</v>
      </c>
      <c r="AA99" s="63">
        <f t="shared" si="61"/>
        <v>0</v>
      </c>
      <c r="AB99" s="64" t="s">
        <v>37</v>
      </c>
    </row>
    <row r="100" spans="4:28" ht="15.75" x14ac:dyDescent="0.3">
      <c r="W100" s="8">
        <v>23</v>
      </c>
      <c r="X100" t="s">
        <v>14</v>
      </c>
      <c r="Y100" s="13"/>
      <c r="Z100" s="345">
        <f t="shared" si="60"/>
        <v>0</v>
      </c>
      <c r="AA100" s="63">
        <f t="shared" si="61"/>
        <v>0</v>
      </c>
      <c r="AB100" s="64" t="s">
        <v>37</v>
      </c>
    </row>
    <row r="101" spans="4:28" ht="15.75" x14ac:dyDescent="0.3">
      <c r="W101" s="8">
        <v>24</v>
      </c>
      <c r="X101" t="s">
        <v>15</v>
      </c>
      <c r="Y101" s="13"/>
      <c r="Z101" s="345">
        <f t="shared" si="60"/>
        <v>0</v>
      </c>
      <c r="AA101" s="63">
        <f t="shared" si="61"/>
        <v>0</v>
      </c>
      <c r="AB101" s="64" t="s">
        <v>38</v>
      </c>
    </row>
    <row r="102" spans="4:28" ht="15.75" x14ac:dyDescent="0.3">
      <c r="D102" s="339"/>
      <c r="W102" s="8">
        <v>25</v>
      </c>
      <c r="X102" t="s">
        <v>16</v>
      </c>
      <c r="Y102" s="13"/>
      <c r="Z102" s="345">
        <f t="shared" si="60"/>
        <v>0</v>
      </c>
      <c r="AA102" s="63" t="str">
        <f t="shared" si="61"/>
        <v/>
      </c>
      <c r="AB102" s="64"/>
    </row>
    <row r="103" spans="4:28" ht="15.75" x14ac:dyDescent="0.3">
      <c r="W103" s="8"/>
      <c r="X103"/>
      <c r="Y103" s="13"/>
      <c r="Z103" s="345">
        <f t="shared" si="60"/>
        <v>0</v>
      </c>
      <c r="AA103" s="63" t="str">
        <f t="shared" si="61"/>
        <v/>
      </c>
      <c r="AB103" s="64"/>
    </row>
    <row r="104" spans="4:28" ht="15.75" x14ac:dyDescent="0.3">
      <c r="W104" s="8">
        <v>31</v>
      </c>
      <c r="X104" s="9" t="s">
        <v>27</v>
      </c>
      <c r="Y104" s="13"/>
      <c r="Z104" s="345">
        <f t="shared" ca="1" si="60"/>
        <v>2454.2400573183645</v>
      </c>
      <c r="AA104" s="63">
        <f t="shared" si="61"/>
        <v>590.93000000000006</v>
      </c>
      <c r="AB104" s="64" t="s">
        <v>36</v>
      </c>
    </row>
    <row r="105" spans="4:28" ht="15.75" x14ac:dyDescent="0.3">
      <c r="W105" s="8">
        <v>32</v>
      </c>
      <c r="X105" s="9" t="s">
        <v>18</v>
      </c>
      <c r="Y105" s="13"/>
      <c r="Z105" s="345">
        <f t="shared" ca="1" si="60"/>
        <v>72.959942681635852</v>
      </c>
      <c r="AA105" s="63">
        <f t="shared" si="61"/>
        <v>12</v>
      </c>
      <c r="AB105" s="64" t="s">
        <v>37</v>
      </c>
    </row>
    <row r="106" spans="4:28" ht="15.75" x14ac:dyDescent="0.3">
      <c r="W106" s="8">
        <v>33</v>
      </c>
      <c r="X106" s="9" t="s">
        <v>19</v>
      </c>
      <c r="Y106" s="13"/>
      <c r="Z106" s="345">
        <f t="shared" ca="1" si="60"/>
        <v>47.1255178734392</v>
      </c>
      <c r="AA106" s="63">
        <f t="shared" si="61"/>
        <v>9</v>
      </c>
      <c r="AB106" s="64" t="s">
        <v>37</v>
      </c>
    </row>
    <row r="107" spans="4:28" ht="15.75" x14ac:dyDescent="0.3">
      <c r="W107" s="8">
        <v>34</v>
      </c>
      <c r="X107" s="9" t="s">
        <v>20</v>
      </c>
      <c r="Y107" s="13"/>
      <c r="Z107" s="345">
        <f t="shared" ca="1" si="60"/>
        <v>667.1268921777048</v>
      </c>
      <c r="AA107" s="63">
        <f t="shared" si="61"/>
        <v>906.23</v>
      </c>
      <c r="AB107" s="64" t="s">
        <v>38</v>
      </c>
    </row>
    <row r="108" spans="4:28" ht="15.75" x14ac:dyDescent="0.3">
      <c r="W108" s="8">
        <v>35</v>
      </c>
      <c r="X108" s="9" t="s">
        <v>21</v>
      </c>
      <c r="Y108" s="13"/>
      <c r="Z108" s="345">
        <f t="shared" si="60"/>
        <v>0</v>
      </c>
      <c r="AA108" s="63" t="str">
        <f t="shared" si="61"/>
        <v/>
      </c>
      <c r="AB108" s="64"/>
    </row>
    <row r="109" spans="4:28" ht="15.75" x14ac:dyDescent="0.3">
      <c r="W109" s="8"/>
      <c r="X109"/>
      <c r="Y109" s="13"/>
      <c r="Z109" s="345">
        <f t="shared" si="60"/>
        <v>0</v>
      </c>
      <c r="AA109" s="63" t="str">
        <f t="shared" si="61"/>
        <v/>
      </c>
      <c r="AB109" s="64"/>
    </row>
    <row r="110" spans="4:28" ht="15.75" x14ac:dyDescent="0.3">
      <c r="W110" s="8"/>
      <c r="X110"/>
      <c r="Y110" s="13"/>
      <c r="Z110" s="345">
        <f t="shared" si="60"/>
        <v>0</v>
      </c>
      <c r="AA110" s="63" t="str">
        <f t="shared" si="61"/>
        <v/>
      </c>
      <c r="AB110" s="64"/>
    </row>
    <row r="111" spans="4:28" ht="15.75" x14ac:dyDescent="0.3">
      <c r="W111" s="8">
        <v>41</v>
      </c>
      <c r="X111" t="s">
        <v>22</v>
      </c>
      <c r="Y111" s="13"/>
      <c r="Z111" s="345">
        <f t="shared" ca="1" si="60"/>
        <v>107.87331786017589</v>
      </c>
      <c r="AA111" s="63">
        <f t="shared" si="61"/>
        <v>12</v>
      </c>
      <c r="AB111" s="64" t="s">
        <v>37</v>
      </c>
    </row>
    <row r="112" spans="4:28" ht="15.75" x14ac:dyDescent="0.3">
      <c r="W112" s="8">
        <v>42</v>
      </c>
      <c r="X112" t="s">
        <v>23</v>
      </c>
      <c r="Y112" s="13"/>
      <c r="Z112" s="345">
        <f t="shared" ca="1" si="60"/>
        <v>157.97427208868032</v>
      </c>
      <c r="AA112" s="63" t="str">
        <f t="shared" si="61"/>
        <v/>
      </c>
      <c r="AB112" s="64"/>
    </row>
    <row r="113" spans="18:28" ht="15.75" x14ac:dyDescent="0.3">
      <c r="W113" s="8">
        <v>422</v>
      </c>
      <c r="X113" t="s">
        <v>72</v>
      </c>
      <c r="Y113" s="13"/>
      <c r="Z113" s="345">
        <f t="shared" si="60"/>
        <v>0</v>
      </c>
      <c r="AA113" s="63" t="str">
        <f t="shared" si="61"/>
        <v/>
      </c>
      <c r="AB113" s="64"/>
    </row>
    <row r="114" spans="18:28" ht="15.75" x14ac:dyDescent="0.3">
      <c r="W114" s="8">
        <v>43</v>
      </c>
      <c r="X114" t="s">
        <v>24</v>
      </c>
      <c r="Y114" s="13"/>
      <c r="Z114" s="345">
        <f t="shared" si="60"/>
        <v>0</v>
      </c>
      <c r="AA114" s="63">
        <f t="shared" si="61"/>
        <v>0</v>
      </c>
      <c r="AB114" s="64" t="s">
        <v>36</v>
      </c>
    </row>
    <row r="115" spans="18:28" ht="15" customHeight="1" x14ac:dyDescent="0.3">
      <c r="W115" s="8">
        <v>44</v>
      </c>
      <c r="X115" t="s">
        <v>28</v>
      </c>
      <c r="Y115" s="13"/>
      <c r="Z115" s="345">
        <f t="shared" si="60"/>
        <v>0</v>
      </c>
      <c r="AA115" s="63" t="str">
        <f t="shared" si="61"/>
        <v/>
      </c>
      <c r="AB115" s="64"/>
    </row>
    <row r="116" spans="18:28" ht="15" customHeight="1" x14ac:dyDescent="0.3">
      <c r="W116" s="8"/>
      <c r="X116"/>
      <c r="Y116" s="13"/>
      <c r="Z116" s="345">
        <f t="shared" si="60"/>
        <v>0</v>
      </c>
      <c r="AA116" s="63" t="str">
        <f t="shared" si="61"/>
        <v/>
      </c>
      <c r="AB116" s="64"/>
    </row>
    <row r="117" spans="18:28" ht="15" customHeight="1" x14ac:dyDescent="0.3">
      <c r="W117" s="8">
        <v>51</v>
      </c>
      <c r="X117" t="s">
        <v>25</v>
      </c>
      <c r="Y117" s="13"/>
      <c r="Z117" s="345">
        <f t="shared" si="60"/>
        <v>0</v>
      </c>
      <c r="AA117" s="63" t="str">
        <f t="shared" si="61"/>
        <v/>
      </c>
      <c r="AB117" s="64"/>
    </row>
    <row r="118" spans="18:28" ht="15" customHeight="1" x14ac:dyDescent="0.3">
      <c r="W118" s="8">
        <v>52</v>
      </c>
      <c r="X118" t="s">
        <v>73</v>
      </c>
      <c r="Y118" s="13"/>
      <c r="Z118" s="345">
        <f t="shared" si="60"/>
        <v>0</v>
      </c>
      <c r="AA118" s="63" t="str">
        <f t="shared" si="61"/>
        <v/>
      </c>
      <c r="AB118" s="64"/>
    </row>
    <row r="119" spans="18:28" ht="15" customHeight="1" x14ac:dyDescent="0.3">
      <c r="W119" s="8">
        <v>53</v>
      </c>
      <c r="X119" t="s">
        <v>74</v>
      </c>
      <c r="Y119" s="13"/>
      <c r="Z119" s="345">
        <f t="shared" si="60"/>
        <v>0</v>
      </c>
      <c r="AA119" s="63" t="str">
        <f t="shared" si="61"/>
        <v/>
      </c>
      <c r="AB119" s="64"/>
    </row>
    <row r="120" spans="18:28" ht="15" customHeight="1" x14ac:dyDescent="0.3">
      <c r="W120" s="8"/>
      <c r="X120"/>
      <c r="Y120" s="13"/>
      <c r="Z120" s="345">
        <f t="shared" si="60"/>
        <v>0</v>
      </c>
      <c r="AA120" s="63" t="str">
        <f t="shared" si="61"/>
        <v/>
      </c>
      <c r="AB120" s="64"/>
    </row>
    <row r="121" spans="18:28" ht="15" customHeight="1" thickBot="1" x14ac:dyDescent="0.35">
      <c r="W121" s="10">
        <v>91</v>
      </c>
      <c r="X121" s="11" t="s">
        <v>29</v>
      </c>
      <c r="Y121" s="14"/>
      <c r="Z121" s="350">
        <f t="shared" si="60"/>
        <v>0</v>
      </c>
      <c r="AA121" s="351" t="str">
        <f t="shared" si="61"/>
        <v/>
      </c>
      <c r="AB121" s="65"/>
    </row>
    <row r="122" spans="18:28" ht="15" customHeight="1" thickBot="1" x14ac:dyDescent="0.3">
      <c r="W122" s="15"/>
      <c r="X122" s="13"/>
      <c r="Y122" s="13"/>
      <c r="Z122" s="16">
        <f ca="1">SUM(Z92:Z121)</f>
        <v>3507.3000000000006</v>
      </c>
      <c r="AA122" s="239"/>
      <c r="AB122" s="239"/>
    </row>
    <row r="123" spans="18:28" ht="15" customHeight="1" x14ac:dyDescent="0.25">
      <c r="R123" s="239"/>
      <c r="S123" s="239"/>
      <c r="T123" s="239"/>
      <c r="U123" s="239"/>
      <c r="V123" s="239"/>
      <c r="W123" s="239"/>
      <c r="X123" s="239"/>
      <c r="Y123" s="239"/>
      <c r="Z123" s="239"/>
      <c r="AA123" s="239"/>
      <c r="AB123" s="239"/>
    </row>
    <row r="124" spans="18:28" ht="15" customHeight="1" x14ac:dyDescent="0.25"/>
    <row r="125" spans="18:28" ht="15" customHeight="1" x14ac:dyDescent="0.25"/>
    <row r="126" spans="18:28" ht="15" customHeight="1" x14ac:dyDescent="0.25"/>
    <row r="127" spans="18:28" ht="15" customHeight="1" x14ac:dyDescent="0.25"/>
    <row r="128" spans="18:28" ht="15" customHeight="1" x14ac:dyDescent="0.25"/>
  </sheetData>
  <sheetProtection formatColumns="0"/>
  <mergeCells count="24">
    <mergeCell ref="N50:U50"/>
    <mergeCell ref="N74:U74"/>
    <mergeCell ref="Z3:AB3"/>
    <mergeCell ref="N6:U6"/>
    <mergeCell ref="N11:U11"/>
    <mergeCell ref="N23:U23"/>
    <mergeCell ref="N30:U30"/>
    <mergeCell ref="N36:U36"/>
    <mergeCell ref="K3:L4"/>
    <mergeCell ref="M3:M4"/>
    <mergeCell ref="N3:U4"/>
    <mergeCell ref="V3:V4"/>
    <mergeCell ref="W3:X4"/>
    <mergeCell ref="Y3:Y4"/>
    <mergeCell ref="A1:A2"/>
    <mergeCell ref="H1:U1"/>
    <mergeCell ref="V1:W1"/>
    <mergeCell ref="H2:U2"/>
    <mergeCell ref="V2:W2"/>
    <mergeCell ref="A3:A4"/>
    <mergeCell ref="B3:B4"/>
    <mergeCell ref="D3:G3"/>
    <mergeCell ref="H3:I4"/>
    <mergeCell ref="J3:J4"/>
  </mergeCells>
  <dataValidations count="3">
    <dataValidation type="list" errorStyle="warning" allowBlank="1" showInputMessage="1" showErrorMessage="1" sqref="B7:B10" xr:uid="{D3C9418E-88FF-4EBA-95C9-B6FB972E6794}">
      <formula1>VCF.BMO.ALL</formula1>
    </dataValidation>
    <dataValidation type="list" allowBlank="1" showInputMessage="1" showErrorMessage="1" sqref="B31:B33 B37:B47 B24:B27 B51:B71 B75:B82" xr:uid="{DE2069E6-FD34-43E2-A8B1-AD47DD054709}">
      <formula1>VCF.BMO.ALL</formula1>
    </dataValidation>
    <dataValidation type="list" allowBlank="1" showInputMessage="1" showErrorMessage="1" sqref="B90" xr:uid="{D4336296-FE10-4879-85F5-04BCB2320176}">
      <formula1>ListeCDG</formula1>
    </dataValidation>
  </dataValidations>
  <printOptions horizontalCentered="1"/>
  <pageMargins left="0.23622047244094499" right="0.23622047244094499" top="0.5" bottom="0.5" header="0.5" footer="0.5"/>
  <pageSetup paperSize="9" scale="49" orientation="landscape" r:id="rId1"/>
  <headerFooter>
    <oddFooter>&amp;L&amp;K04-019Service Méthodes d'Organisation&amp;CPage &amp;P/&amp;N&amp;R&amp;A
&amp;F</oddFooter>
    <firstFooter>&amp;L&amp;K04-014Service Méthodes d'Organisation Sud-Ouest</first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55EB6-4FFA-472F-8CE8-06E3F2A192DA}">
  <sheetPr>
    <pageSetUpPr fitToPage="1"/>
  </sheetPr>
  <dimension ref="B1:M44"/>
  <sheetViews>
    <sheetView showGridLines="0" showZeros="0" tabSelected="1" view="pageBreakPreview" topLeftCell="A13" zoomScaleNormal="100" zoomScaleSheetLayoutView="100" workbookViewId="0">
      <selection activeCell="D36" sqref="D36"/>
    </sheetView>
  </sheetViews>
  <sheetFormatPr baseColWidth="10" defaultRowHeight="15.75" outlineLevelCol="1" x14ac:dyDescent="0.3"/>
  <cols>
    <col min="1" max="1" width="2" customWidth="1"/>
    <col min="2" max="2" width="5.5" customWidth="1"/>
    <col min="3" max="3" width="24.875" bestFit="1" customWidth="1"/>
    <col min="4" max="5" width="9.375" customWidth="1" outlineLevel="1"/>
    <col min="6" max="6" width="2.625" style="2" customWidth="1" outlineLevel="1"/>
    <col min="7" max="8" width="9.375" customWidth="1" outlineLevel="1"/>
    <col min="9" max="9" width="2.75" customWidth="1" outlineLevel="1"/>
    <col min="10" max="11" width="9.375" customWidth="1" outlineLevel="1"/>
    <col min="12" max="12" width="2.625" customWidth="1" outlineLevel="1"/>
    <col min="13" max="13" width="3.125" customWidth="1"/>
  </cols>
  <sheetData>
    <row r="1" spans="2:13" ht="16.5" thickBot="1" x14ac:dyDescent="0.35"/>
    <row r="2" spans="2:13" s="3" customFormat="1" ht="29.25" customHeight="1" x14ac:dyDescent="0.3">
      <c r="B2" s="67"/>
      <c r="C2" s="17"/>
      <c r="D2" s="69" t="s">
        <v>33</v>
      </c>
      <c r="E2" s="70"/>
      <c r="F2" s="70"/>
      <c r="G2" s="70"/>
      <c r="H2" s="70"/>
      <c r="I2" s="70"/>
      <c r="J2" s="70"/>
      <c r="K2" s="70"/>
      <c r="L2" s="70"/>
      <c r="M2" s="70"/>
    </row>
    <row r="3" spans="2:13" s="3" customFormat="1" ht="29.25" customHeight="1" thickBot="1" x14ac:dyDescent="0.35">
      <c r="B3" s="68"/>
      <c r="C3" s="28"/>
      <c r="D3" s="71"/>
      <c r="E3" s="72"/>
      <c r="F3" s="72"/>
      <c r="G3" s="72"/>
      <c r="H3" s="72"/>
      <c r="I3" s="72"/>
      <c r="J3" s="72"/>
      <c r="K3" s="72"/>
      <c r="L3" s="72"/>
      <c r="M3" s="72"/>
    </row>
    <row r="4" spans="2:13" s="3" customFormat="1" x14ac:dyDescent="0.25">
      <c r="B4" s="18" t="s">
        <v>30</v>
      </c>
      <c r="C4" s="19"/>
      <c r="D4" s="19"/>
      <c r="E4" s="19"/>
      <c r="F4" s="29"/>
      <c r="G4" s="27"/>
      <c r="H4" s="27"/>
      <c r="I4" s="27"/>
      <c r="J4" s="27"/>
      <c r="K4" s="27"/>
      <c r="L4" s="27"/>
      <c r="M4" s="27"/>
    </row>
    <row r="5" spans="2:13" s="3" customFormat="1" x14ac:dyDescent="0.25">
      <c r="B5" s="20" t="s">
        <v>32</v>
      </c>
      <c r="C5" s="30"/>
      <c r="D5" s="30"/>
      <c r="E5" s="30"/>
      <c r="F5" s="31"/>
    </row>
    <row r="6" spans="2:13" s="3" customFormat="1" ht="16.5" thickBot="1" x14ac:dyDescent="0.3">
      <c r="B6" s="22" t="s">
        <v>31</v>
      </c>
      <c r="C6" s="23"/>
      <c r="D6" s="23"/>
      <c r="E6" s="23"/>
      <c r="F6" s="32"/>
      <c r="G6" s="21"/>
      <c r="H6" s="21"/>
      <c r="I6" s="21"/>
      <c r="J6" s="21"/>
      <c r="K6" s="21"/>
      <c r="L6" s="21"/>
      <c r="M6" s="21"/>
    </row>
    <row r="7" spans="2:13" s="3" customFormat="1" x14ac:dyDescent="0.3">
      <c r="B7"/>
      <c r="C7"/>
      <c r="D7"/>
      <c r="E7"/>
      <c r="F7" s="2"/>
      <c r="G7"/>
      <c r="H7"/>
      <c r="I7"/>
      <c r="J7"/>
      <c r="K7"/>
      <c r="L7"/>
    </row>
    <row r="8" spans="2:13" x14ac:dyDescent="0.3">
      <c r="C8" t="s">
        <v>0</v>
      </c>
      <c r="D8" s="1">
        <f>7.4*60/52/8.1</f>
        <v>1.0541310541310542</v>
      </c>
      <c r="E8" s="1"/>
      <c r="F8" s="1"/>
    </row>
    <row r="9" spans="2:13" ht="60" customHeight="1" x14ac:dyDescent="0.3"/>
    <row r="10" spans="2:13" s="3" customFormat="1" ht="21" customHeight="1" x14ac:dyDescent="0.3">
      <c r="D10" s="73" t="s">
        <v>1</v>
      </c>
      <c r="E10" s="74"/>
      <c r="F10" s="74"/>
      <c r="G10" s="74"/>
      <c r="H10" s="74"/>
      <c r="I10" s="74"/>
      <c r="J10" s="74"/>
      <c r="K10" s="74"/>
      <c r="L10" s="74"/>
      <c r="M10"/>
    </row>
    <row r="11" spans="2:13" x14ac:dyDescent="0.3">
      <c r="D11" s="75" t="s">
        <v>34</v>
      </c>
      <c r="E11" s="76"/>
      <c r="F11" s="77"/>
      <c r="G11" s="75" t="s">
        <v>2</v>
      </c>
      <c r="H11" s="76"/>
      <c r="I11" s="77"/>
      <c r="J11" s="75" t="s">
        <v>3</v>
      </c>
      <c r="K11" s="76"/>
      <c r="L11" s="77"/>
    </row>
    <row r="12" spans="2:13" ht="21" customHeight="1" x14ac:dyDescent="0.3">
      <c r="D12" s="78" t="s">
        <v>4</v>
      </c>
      <c r="E12" s="79"/>
      <c r="F12" s="79"/>
      <c r="G12" s="79"/>
      <c r="H12" s="79"/>
      <c r="I12" s="79"/>
      <c r="J12" s="79"/>
      <c r="K12" s="79"/>
      <c r="L12" s="79"/>
    </row>
    <row r="13" spans="2:13" ht="21" customHeight="1" x14ac:dyDescent="0.3">
      <c r="D13" s="33" t="s">
        <v>6</v>
      </c>
      <c r="E13" s="34"/>
      <c r="F13" s="34"/>
      <c r="G13" s="33" t="s">
        <v>5</v>
      </c>
      <c r="H13" s="34"/>
      <c r="I13" s="34"/>
      <c r="J13" s="33" t="s">
        <v>5</v>
      </c>
      <c r="K13" s="34"/>
      <c r="L13" s="34"/>
      <c r="M13" s="35"/>
    </row>
    <row r="14" spans="2:13" x14ac:dyDescent="0.3">
      <c r="D14" s="4"/>
      <c r="E14" s="4"/>
      <c r="F14" s="5"/>
      <c r="G14" s="4"/>
      <c r="H14" s="36"/>
      <c r="I14" s="36"/>
      <c r="J14" s="4"/>
      <c r="K14" s="4"/>
      <c r="L14" s="4"/>
      <c r="M14" s="4"/>
    </row>
    <row r="15" spans="2:13" s="3" customFormat="1" x14ac:dyDescent="0.3">
      <c r="B15" s="41">
        <v>11</v>
      </c>
      <c r="C15" s="42" t="s">
        <v>7</v>
      </c>
      <c r="D15" s="43">
        <f ca="1">IF(B15="",0,VLOOKUP(B15,INDIRECT($D$11),4,0))*IF($D$13="NON",1,$D$8)</f>
        <v>150.41213686249193</v>
      </c>
      <c r="E15" s="44">
        <f ca="1">IF(B15="",0,VLOOKUP(B15,INDIRECT($D$11),5,0))</f>
        <v>191.17</v>
      </c>
      <c r="F15" s="45" t="str">
        <f ca="1">IF(B15="",0,VLOOKUP(B15,INDIRECT($D$11),6,0))</f>
        <v>ml</v>
      </c>
      <c r="G15" s="46">
        <f ca="1">IF(B15="",0,VLOOKUP(B15,INDIRECT($G$11),4,0))*IF($G$13="NON",1,$D$8)</f>
        <v>0</v>
      </c>
      <c r="H15" s="44">
        <f ca="1">IF(B15="",0,VLOOKUP(B15,INDIRECT($G$11),5,0))</f>
        <v>0</v>
      </c>
      <c r="I15" s="47" t="str">
        <f ca="1">IF(B15="",0,VLOOKUP(B15,INDIRECT($G$11),6,0))</f>
        <v>ml</v>
      </c>
      <c r="J15" s="46">
        <f t="shared" ref="J15:J42" ca="1" si="0">IF(B15="",0,VLOOKUP(B15,INDIRECT($J$11),4,0))*IF($J$13="NON",1,$D$8)</f>
        <v>0</v>
      </c>
      <c r="K15" s="44">
        <f ca="1">IF($B15="",0,VLOOKUP($B15,INDIRECT($J$11),5,0))</f>
        <v>0</v>
      </c>
      <c r="L15" s="45" t="str">
        <f ca="1">IF($B15="",0,VLOOKUP($B15,INDIRECT($J$11),6,0))</f>
        <v>ml</v>
      </c>
      <c r="M15" s="48"/>
    </row>
    <row r="16" spans="2:13" s="3" customFormat="1" x14ac:dyDescent="0.3">
      <c r="B16" s="49">
        <v>12</v>
      </c>
      <c r="C16" s="50" t="s">
        <v>8</v>
      </c>
      <c r="D16" s="51">
        <f t="shared" ref="D16:D42" ca="1" si="1">IF(B16="",0,VLOOKUP(B16,INDIRECT($D$11),4,0))*IF($D$13="NON",1,$D$8)</f>
        <v>134.91284699806326</v>
      </c>
      <c r="E16" s="52">
        <f t="shared" ref="E16:E42" ca="1" si="2">IF(B16="",0,VLOOKUP(B16,INDIRECT($D$11),5,0))</f>
        <v>43</v>
      </c>
      <c r="F16" s="53" t="str">
        <f t="shared" ref="F16:F42" ca="1" si="3">IF(B16="",0,VLOOKUP(B16,INDIRECT($D$11),6,0))</f>
        <v>u</v>
      </c>
      <c r="G16" s="54">
        <f t="shared" ref="G16:G42" ca="1" si="4">IF(B16="",0,VLOOKUP(B16,INDIRECT($G$11),4,0))*IF($G$13="NON",1,$D$8)</f>
        <v>0</v>
      </c>
      <c r="H16" s="52">
        <f t="shared" ref="H16:H42" ca="1" si="5">IF(B16="",0,VLOOKUP(B16,INDIRECT($G$11),5,0))</f>
        <v>0</v>
      </c>
      <c r="I16" s="47" t="str">
        <f t="shared" ref="I16:I42" ca="1" si="6">IF(B16="",0,VLOOKUP(B16,INDIRECT($G$11),6,0))</f>
        <v>u</v>
      </c>
      <c r="J16" s="54">
        <f t="shared" ca="1" si="0"/>
        <v>0</v>
      </c>
      <c r="K16" s="52">
        <f t="shared" ref="K16:K42" ca="1" si="7">IF($B16="",0,VLOOKUP($B16,INDIRECT($J$11),5,0))</f>
        <v>0</v>
      </c>
      <c r="L16" s="47" t="str">
        <f t="shared" ref="L16:L42" ca="1" si="8">IF($B16="",0,VLOOKUP($B16,INDIRECT($J$11),6,0))</f>
        <v>u</v>
      </c>
      <c r="M16" s="48"/>
    </row>
    <row r="17" spans="2:13" s="3" customFormat="1" x14ac:dyDescent="0.3">
      <c r="B17" s="49">
        <v>13</v>
      </c>
      <c r="C17" s="50" t="s">
        <v>9</v>
      </c>
      <c r="D17" s="51">
        <f t="shared" ca="1" si="1"/>
        <v>6.2750161394448032</v>
      </c>
      <c r="E17" s="52">
        <f t="shared" ca="1" si="2"/>
        <v>2</v>
      </c>
      <c r="F17" s="53" t="str">
        <f t="shared" ca="1" si="3"/>
        <v>u</v>
      </c>
      <c r="G17" s="55">
        <f t="shared" ca="1" si="4"/>
        <v>0</v>
      </c>
      <c r="H17" s="52">
        <f t="shared" ca="1" si="5"/>
        <v>0</v>
      </c>
      <c r="I17" s="47" t="str">
        <f t="shared" ca="1" si="6"/>
        <v>u</v>
      </c>
      <c r="J17" s="54">
        <f t="shared" ca="1" si="0"/>
        <v>0</v>
      </c>
      <c r="K17" s="52">
        <f t="shared" ca="1" si="7"/>
        <v>0</v>
      </c>
      <c r="L17" s="47" t="str">
        <f t="shared" ca="1" si="8"/>
        <v>u</v>
      </c>
      <c r="M17" s="48"/>
    </row>
    <row r="18" spans="2:13" s="3" customFormat="1" x14ac:dyDescent="0.3">
      <c r="B18" s="49">
        <v>14</v>
      </c>
      <c r="C18" s="50" t="s">
        <v>10</v>
      </c>
      <c r="D18" s="51">
        <f t="shared" ca="1" si="1"/>
        <v>507.84455137277098</v>
      </c>
      <c r="E18" s="52">
        <f t="shared" ca="1" si="2"/>
        <v>1406.39</v>
      </c>
      <c r="F18" s="53" t="str">
        <f t="shared" ca="1" si="3"/>
        <v>m²</v>
      </c>
      <c r="G18" s="54">
        <f t="shared" ca="1" si="4"/>
        <v>0</v>
      </c>
      <c r="H18" s="52">
        <f t="shared" ca="1" si="5"/>
        <v>0</v>
      </c>
      <c r="I18" s="47" t="str">
        <f t="shared" ca="1" si="6"/>
        <v>m²</v>
      </c>
      <c r="J18" s="54">
        <f t="shared" ca="1" si="0"/>
        <v>0</v>
      </c>
      <c r="K18" s="52">
        <f t="shared" ca="1" si="7"/>
        <v>0</v>
      </c>
      <c r="L18" s="47" t="str">
        <f t="shared" ca="1" si="8"/>
        <v>m²</v>
      </c>
      <c r="M18" s="48"/>
    </row>
    <row r="19" spans="2:13" s="3" customFormat="1" x14ac:dyDescent="0.3">
      <c r="B19" s="49">
        <v>15</v>
      </c>
      <c r="C19" s="50" t="s">
        <v>11</v>
      </c>
      <c r="D19" s="51">
        <f t="shared" ca="1" si="1"/>
        <v>2.4554486272289835</v>
      </c>
      <c r="E19" s="52" t="str">
        <f t="shared" ca="1" si="2"/>
        <v/>
      </c>
      <c r="F19" s="53">
        <f t="shared" ca="1" si="3"/>
        <v>0</v>
      </c>
      <c r="G19" s="54">
        <f t="shared" ca="1" si="4"/>
        <v>0</v>
      </c>
      <c r="H19" s="52" t="str">
        <f t="shared" ca="1" si="5"/>
        <v/>
      </c>
      <c r="I19" s="47">
        <f t="shared" ca="1" si="6"/>
        <v>0</v>
      </c>
      <c r="J19" s="54">
        <f t="shared" ca="1" si="0"/>
        <v>0</v>
      </c>
      <c r="K19" s="52" t="str">
        <f t="shared" ca="1" si="7"/>
        <v/>
      </c>
      <c r="L19" s="47">
        <f t="shared" ca="1" si="8"/>
        <v>0</v>
      </c>
      <c r="M19" s="48"/>
    </row>
    <row r="20" spans="2:13" s="3" customFormat="1" x14ac:dyDescent="0.3">
      <c r="B20" s="49"/>
      <c r="C20" s="50"/>
      <c r="D20" s="51">
        <f t="shared" ca="1" si="1"/>
        <v>0</v>
      </c>
      <c r="E20" s="52">
        <f t="shared" ca="1" si="2"/>
        <v>0</v>
      </c>
      <c r="F20" s="53">
        <f t="shared" ca="1" si="3"/>
        <v>0</v>
      </c>
      <c r="G20" s="54">
        <f t="shared" ca="1" si="4"/>
        <v>0</v>
      </c>
      <c r="H20" s="52">
        <f t="shared" ca="1" si="5"/>
        <v>0</v>
      </c>
      <c r="I20" s="47">
        <f t="shared" ca="1" si="6"/>
        <v>0</v>
      </c>
      <c r="J20" s="54">
        <f t="shared" ca="1" si="0"/>
        <v>0</v>
      </c>
      <c r="K20" s="52">
        <f t="shared" ca="1" si="7"/>
        <v>0</v>
      </c>
      <c r="L20" s="47">
        <f t="shared" ca="1" si="8"/>
        <v>0</v>
      </c>
      <c r="M20" s="48"/>
    </row>
    <row r="21" spans="2:13" s="3" customFormat="1" x14ac:dyDescent="0.3">
      <c r="B21" s="49">
        <v>21</v>
      </c>
      <c r="C21" s="50" t="s">
        <v>12</v>
      </c>
      <c r="D21" s="51">
        <f t="shared" ca="1" si="1"/>
        <v>0</v>
      </c>
      <c r="E21" s="52">
        <f t="shared" ca="1" si="2"/>
        <v>0</v>
      </c>
      <c r="F21" s="53" t="str">
        <f t="shared" ca="1" si="3"/>
        <v>ml</v>
      </c>
      <c r="G21" s="54">
        <f t="shared" ca="1" si="4"/>
        <v>655.5379687576999</v>
      </c>
      <c r="H21" s="52">
        <f t="shared" ca="1" si="5"/>
        <v>228.78</v>
      </c>
      <c r="I21" s="47" t="str">
        <f t="shared" ca="1" si="6"/>
        <v>ml</v>
      </c>
      <c r="J21" s="54">
        <f t="shared" ca="1" si="0"/>
        <v>0</v>
      </c>
      <c r="K21" s="52">
        <f t="shared" ca="1" si="7"/>
        <v>0</v>
      </c>
      <c r="L21" s="47" t="str">
        <f t="shared" ca="1" si="8"/>
        <v>ml</v>
      </c>
      <c r="M21" s="48"/>
    </row>
    <row r="22" spans="2:13" s="3" customFormat="1" x14ac:dyDescent="0.3">
      <c r="B22" s="49">
        <v>22</v>
      </c>
      <c r="C22" s="50" t="s">
        <v>13</v>
      </c>
      <c r="D22" s="51">
        <f t="shared" ca="1" si="1"/>
        <v>0</v>
      </c>
      <c r="E22" s="52">
        <f t="shared" ca="1" si="2"/>
        <v>0</v>
      </c>
      <c r="F22" s="53" t="str">
        <f t="shared" ca="1" si="3"/>
        <v>u</v>
      </c>
      <c r="G22" s="54">
        <f t="shared" ca="1" si="4"/>
        <v>130.00049278076185</v>
      </c>
      <c r="H22" s="52">
        <f t="shared" ca="1" si="5"/>
        <v>31</v>
      </c>
      <c r="I22" s="47" t="str">
        <f t="shared" ca="1" si="6"/>
        <v>u</v>
      </c>
      <c r="J22" s="54">
        <f t="shared" ca="1" si="0"/>
        <v>0</v>
      </c>
      <c r="K22" s="52">
        <f t="shared" ca="1" si="7"/>
        <v>0</v>
      </c>
      <c r="L22" s="47" t="str">
        <f t="shared" ca="1" si="8"/>
        <v>u</v>
      </c>
      <c r="M22" s="48"/>
    </row>
    <row r="23" spans="2:13" s="3" customFormat="1" x14ac:dyDescent="0.3">
      <c r="B23" s="49">
        <v>23</v>
      </c>
      <c r="C23" s="50" t="s">
        <v>14</v>
      </c>
      <c r="D23" s="51">
        <f t="shared" ca="1" si="1"/>
        <v>0</v>
      </c>
      <c r="E23" s="52">
        <f t="shared" ca="1" si="2"/>
        <v>0</v>
      </c>
      <c r="F23" s="53" t="str">
        <f t="shared" ca="1" si="3"/>
        <v>u</v>
      </c>
      <c r="G23" s="54">
        <f t="shared" ca="1" si="4"/>
        <v>589.15384615384619</v>
      </c>
      <c r="H23" s="52">
        <f t="shared" ca="1" si="5"/>
        <v>66</v>
      </c>
      <c r="I23" s="47" t="str">
        <f t="shared" ca="1" si="6"/>
        <v>u</v>
      </c>
      <c r="J23" s="54">
        <f t="shared" ca="1" si="0"/>
        <v>0</v>
      </c>
      <c r="K23" s="52">
        <f t="shared" ca="1" si="7"/>
        <v>0</v>
      </c>
      <c r="L23" s="47" t="str">
        <f t="shared" ca="1" si="8"/>
        <v>u</v>
      </c>
      <c r="M23" s="48"/>
    </row>
    <row r="24" spans="2:13" s="3" customFormat="1" x14ac:dyDescent="0.3">
      <c r="B24" s="49">
        <v>24</v>
      </c>
      <c r="C24" s="50" t="s">
        <v>15</v>
      </c>
      <c r="D24" s="51">
        <f t="shared" ca="1" si="1"/>
        <v>0</v>
      </c>
      <c r="E24" s="52">
        <f t="shared" ca="1" si="2"/>
        <v>0</v>
      </c>
      <c r="F24" s="53" t="str">
        <f t="shared" ca="1" si="3"/>
        <v>m²</v>
      </c>
      <c r="G24" s="54">
        <f t="shared" ca="1" si="4"/>
        <v>973.94012473167379</v>
      </c>
      <c r="H24" s="52">
        <f t="shared" ca="1" si="5"/>
        <v>1363.96</v>
      </c>
      <c r="I24" s="47" t="str">
        <f t="shared" ca="1" si="6"/>
        <v>m²</v>
      </c>
      <c r="J24" s="54">
        <f t="shared" ca="1" si="0"/>
        <v>0</v>
      </c>
      <c r="K24" s="52">
        <f t="shared" ca="1" si="7"/>
        <v>0</v>
      </c>
      <c r="L24" s="47" t="str">
        <f t="shared" ca="1" si="8"/>
        <v>m²</v>
      </c>
      <c r="M24" s="48"/>
    </row>
    <row r="25" spans="2:13" s="3" customFormat="1" x14ac:dyDescent="0.3">
      <c r="B25" s="49">
        <v>25</v>
      </c>
      <c r="C25" s="50" t="s">
        <v>16</v>
      </c>
      <c r="D25" s="51">
        <f t="shared" ca="1" si="1"/>
        <v>0</v>
      </c>
      <c r="E25" s="52" t="str">
        <f t="shared" ca="1" si="2"/>
        <v/>
      </c>
      <c r="F25" s="53">
        <f t="shared" ca="1" si="3"/>
        <v>0</v>
      </c>
      <c r="G25" s="54">
        <f t="shared" ca="1" si="4"/>
        <v>725.76923076923072</v>
      </c>
      <c r="H25" s="52" t="str">
        <f t="shared" ca="1" si="5"/>
        <v/>
      </c>
      <c r="I25" s="47">
        <f t="shared" ca="1" si="6"/>
        <v>0</v>
      </c>
      <c r="J25" s="54">
        <f t="shared" ca="1" si="0"/>
        <v>0</v>
      </c>
      <c r="K25" s="52" t="str">
        <f t="shared" ca="1" si="7"/>
        <v/>
      </c>
      <c r="L25" s="47">
        <f t="shared" ca="1" si="8"/>
        <v>0</v>
      </c>
      <c r="M25" s="48"/>
    </row>
    <row r="26" spans="2:13" s="3" customFormat="1" x14ac:dyDescent="0.3">
      <c r="B26" s="49"/>
      <c r="C26" s="50"/>
      <c r="D26" s="51">
        <f t="shared" ca="1" si="1"/>
        <v>0</v>
      </c>
      <c r="E26" s="52">
        <f t="shared" ca="1" si="2"/>
        <v>0</v>
      </c>
      <c r="F26" s="53">
        <f t="shared" ca="1" si="3"/>
        <v>0</v>
      </c>
      <c r="G26" s="54">
        <f t="shared" ca="1" si="4"/>
        <v>0</v>
      </c>
      <c r="H26" s="52">
        <f t="shared" ca="1" si="5"/>
        <v>0</v>
      </c>
      <c r="I26" s="47">
        <f t="shared" ca="1" si="6"/>
        <v>0</v>
      </c>
      <c r="J26" s="54">
        <f t="shared" ca="1" si="0"/>
        <v>0</v>
      </c>
      <c r="K26" s="52">
        <f t="shared" ca="1" si="7"/>
        <v>0</v>
      </c>
      <c r="L26" s="47">
        <f t="shared" ca="1" si="8"/>
        <v>0</v>
      </c>
      <c r="M26" s="48"/>
    </row>
    <row r="27" spans="2:13" s="3" customFormat="1" x14ac:dyDescent="0.3">
      <c r="B27" s="49">
        <v>31</v>
      </c>
      <c r="C27" s="50" t="s">
        <v>17</v>
      </c>
      <c r="D27" s="51">
        <f t="shared" ca="1" si="1"/>
        <v>0</v>
      </c>
      <c r="E27" s="52">
        <f t="shared" ca="1" si="2"/>
        <v>0</v>
      </c>
      <c r="F27" s="53" t="str">
        <f t="shared" ca="1" si="3"/>
        <v>ml</v>
      </c>
      <c r="G27" s="54">
        <f t="shared" ca="1" si="4"/>
        <v>0</v>
      </c>
      <c r="H27" s="52">
        <f t="shared" ca="1" si="5"/>
        <v>0</v>
      </c>
      <c r="I27" s="47" t="str">
        <f t="shared" ca="1" si="6"/>
        <v>ml</v>
      </c>
      <c r="J27" s="54">
        <f t="shared" ca="1" si="0"/>
        <v>2587.0906587116665</v>
      </c>
      <c r="K27" s="52">
        <f t="shared" ca="1" si="7"/>
        <v>590.93000000000006</v>
      </c>
      <c r="L27" s="47" t="str">
        <f t="shared" ca="1" si="8"/>
        <v>ml</v>
      </c>
      <c r="M27" s="48"/>
    </row>
    <row r="28" spans="2:13" s="3" customFormat="1" x14ac:dyDescent="0.3">
      <c r="B28" s="49">
        <v>32</v>
      </c>
      <c r="C28" s="50" t="s">
        <v>18</v>
      </c>
      <c r="D28" s="51">
        <f t="shared" ca="1" si="1"/>
        <v>0</v>
      </c>
      <c r="E28" s="52">
        <f t="shared" ca="1" si="2"/>
        <v>0</v>
      </c>
      <c r="F28" s="53" t="str">
        <f t="shared" ca="1" si="3"/>
        <v>u</v>
      </c>
      <c r="G28" s="54">
        <f t="shared" ca="1" si="4"/>
        <v>0</v>
      </c>
      <c r="H28" s="52">
        <f t="shared" ca="1" si="5"/>
        <v>0</v>
      </c>
      <c r="I28" s="47" t="str">
        <f t="shared" ca="1" si="6"/>
        <v>u</v>
      </c>
      <c r="J28" s="54">
        <f t="shared" ca="1" si="0"/>
        <v>76.90934128833409</v>
      </c>
      <c r="K28" s="52">
        <f t="shared" ca="1" si="7"/>
        <v>12</v>
      </c>
      <c r="L28" s="47" t="str">
        <f t="shared" ca="1" si="8"/>
        <v>u</v>
      </c>
      <c r="M28" s="48"/>
    </row>
    <row r="29" spans="2:13" s="3" customFormat="1" x14ac:dyDescent="0.3">
      <c r="B29" s="49">
        <v>33</v>
      </c>
      <c r="C29" s="50" t="s">
        <v>19</v>
      </c>
      <c r="D29" s="51">
        <f t="shared" ca="1" si="1"/>
        <v>0</v>
      </c>
      <c r="E29" s="52">
        <f t="shared" ca="1" si="2"/>
        <v>0</v>
      </c>
      <c r="F29" s="53" t="str">
        <f t="shared" ca="1" si="3"/>
        <v>u</v>
      </c>
      <c r="G29" s="54">
        <f t="shared" ca="1" si="4"/>
        <v>0</v>
      </c>
      <c r="H29" s="52">
        <f t="shared" ca="1" si="5"/>
        <v>0</v>
      </c>
      <c r="I29" s="47" t="str">
        <f t="shared" ca="1" si="6"/>
        <v>u</v>
      </c>
      <c r="J29" s="54">
        <f t="shared" ca="1" si="0"/>
        <v>49.676471832400303</v>
      </c>
      <c r="K29" s="52">
        <f t="shared" ca="1" si="7"/>
        <v>9</v>
      </c>
      <c r="L29" s="47" t="str">
        <f t="shared" ca="1" si="8"/>
        <v>u</v>
      </c>
      <c r="M29" s="48"/>
    </row>
    <row r="30" spans="2:13" s="3" customFormat="1" x14ac:dyDescent="0.3">
      <c r="B30" s="49">
        <v>34</v>
      </c>
      <c r="C30" s="50" t="s">
        <v>20</v>
      </c>
      <c r="D30" s="51">
        <f t="shared" ca="1" si="1"/>
        <v>0</v>
      </c>
      <c r="E30" s="52">
        <f t="shared" ca="1" si="2"/>
        <v>0</v>
      </c>
      <c r="F30" s="53" t="str">
        <f t="shared" ca="1" si="3"/>
        <v>m²</v>
      </c>
      <c r="G30" s="54">
        <f t="shared" ca="1" si="4"/>
        <v>0</v>
      </c>
      <c r="H30" s="52">
        <f t="shared" ca="1" si="5"/>
        <v>0</v>
      </c>
      <c r="I30" s="47" t="str">
        <f t="shared" ca="1" si="6"/>
        <v>m²</v>
      </c>
      <c r="J30" s="54">
        <f t="shared" ca="1" si="0"/>
        <v>703.23917409045816</v>
      </c>
      <c r="K30" s="52">
        <f t="shared" ca="1" si="7"/>
        <v>906.23</v>
      </c>
      <c r="L30" s="47" t="str">
        <f t="shared" ca="1" si="8"/>
        <v>m²</v>
      </c>
      <c r="M30" s="48"/>
    </row>
    <row r="31" spans="2:13" s="3" customFormat="1" x14ac:dyDescent="0.3">
      <c r="B31" s="49">
        <v>35</v>
      </c>
      <c r="C31" s="50" t="s">
        <v>21</v>
      </c>
      <c r="D31" s="51">
        <f t="shared" ca="1" si="1"/>
        <v>0</v>
      </c>
      <c r="E31" s="52" t="str">
        <f t="shared" ca="1" si="2"/>
        <v/>
      </c>
      <c r="F31" s="53">
        <f t="shared" ca="1" si="3"/>
        <v>0</v>
      </c>
      <c r="G31" s="54">
        <f t="shared" ca="1" si="4"/>
        <v>0</v>
      </c>
      <c r="H31" s="52" t="str">
        <f t="shared" ca="1" si="5"/>
        <v/>
      </c>
      <c r="I31" s="47">
        <f t="shared" ca="1" si="6"/>
        <v>0</v>
      </c>
      <c r="J31" s="54">
        <f t="shared" ca="1" si="0"/>
        <v>0</v>
      </c>
      <c r="K31" s="52" t="str">
        <f t="shared" ca="1" si="7"/>
        <v/>
      </c>
      <c r="L31" s="47">
        <f t="shared" ca="1" si="8"/>
        <v>0</v>
      </c>
      <c r="M31" s="48"/>
    </row>
    <row r="32" spans="2:13" s="3" customFormat="1" x14ac:dyDescent="0.3">
      <c r="B32" s="49"/>
      <c r="C32" s="50"/>
      <c r="D32" s="51">
        <f t="shared" ca="1" si="1"/>
        <v>0</v>
      </c>
      <c r="E32" s="52">
        <f t="shared" ca="1" si="2"/>
        <v>0</v>
      </c>
      <c r="F32" s="53">
        <f t="shared" ca="1" si="3"/>
        <v>0</v>
      </c>
      <c r="G32" s="54">
        <f t="shared" ca="1" si="4"/>
        <v>0</v>
      </c>
      <c r="H32" s="52">
        <f t="shared" ca="1" si="5"/>
        <v>0</v>
      </c>
      <c r="I32" s="47">
        <f t="shared" ca="1" si="6"/>
        <v>0</v>
      </c>
      <c r="J32" s="54">
        <f t="shared" ca="1" si="0"/>
        <v>0</v>
      </c>
      <c r="K32" s="52">
        <f t="shared" ca="1" si="7"/>
        <v>0</v>
      </c>
      <c r="L32" s="47">
        <f t="shared" ca="1" si="8"/>
        <v>0</v>
      </c>
      <c r="M32" s="48"/>
    </row>
    <row r="33" spans="2:13" s="3" customFormat="1" x14ac:dyDescent="0.3">
      <c r="B33" s="49">
        <v>41</v>
      </c>
      <c r="C33" s="50" t="s">
        <v>22</v>
      </c>
      <c r="D33" s="51">
        <f t="shared" ca="1" si="1"/>
        <v>0</v>
      </c>
      <c r="E33" s="52">
        <f t="shared" ca="1" si="2"/>
        <v>0</v>
      </c>
      <c r="F33" s="53" t="str">
        <f t="shared" ca="1" si="3"/>
        <v>u</v>
      </c>
      <c r="G33" s="54">
        <f t="shared" ca="1" si="4"/>
        <v>7.98295219140324</v>
      </c>
      <c r="H33" s="52">
        <f t="shared" ca="1" si="5"/>
        <v>1</v>
      </c>
      <c r="I33" s="47" t="str">
        <f t="shared" ca="1" si="6"/>
        <v>u</v>
      </c>
      <c r="J33" s="54">
        <f t="shared" ca="1" si="0"/>
        <v>113.7126142685615</v>
      </c>
      <c r="K33" s="52">
        <f t="shared" ca="1" si="7"/>
        <v>12</v>
      </c>
      <c r="L33" s="47" t="str">
        <f t="shared" ca="1" si="8"/>
        <v>u</v>
      </c>
      <c r="M33" s="48"/>
    </row>
    <row r="34" spans="2:13" s="3" customFormat="1" x14ac:dyDescent="0.3">
      <c r="B34" s="49">
        <v>42</v>
      </c>
      <c r="C34" s="50" t="s">
        <v>23</v>
      </c>
      <c r="D34" s="51">
        <f t="shared" ca="1" si="1"/>
        <v>0</v>
      </c>
      <c r="E34" s="52" t="str">
        <f t="shared" ca="1" si="2"/>
        <v/>
      </c>
      <c r="F34" s="53">
        <f t="shared" ca="1" si="3"/>
        <v>0</v>
      </c>
      <c r="G34" s="54">
        <f t="shared" ca="1" si="4"/>
        <v>0</v>
      </c>
      <c r="H34" s="52" t="str">
        <f t="shared" ca="1" si="5"/>
        <v/>
      </c>
      <c r="I34" s="47">
        <f t="shared" ca="1" si="6"/>
        <v>0</v>
      </c>
      <c r="J34" s="54">
        <f t="shared" ca="1" si="0"/>
        <v>166.52558596242656</v>
      </c>
      <c r="K34" s="52" t="str">
        <f t="shared" ca="1" si="7"/>
        <v/>
      </c>
      <c r="L34" s="47">
        <f t="shared" ca="1" si="8"/>
        <v>0</v>
      </c>
      <c r="M34" s="48"/>
    </row>
    <row r="35" spans="2:13" s="3" customFormat="1" x14ac:dyDescent="0.3">
      <c r="B35" s="49">
        <v>43</v>
      </c>
      <c r="C35" s="50" t="s">
        <v>24</v>
      </c>
      <c r="D35" s="51">
        <f t="shared" ca="1" si="1"/>
        <v>0</v>
      </c>
      <c r="E35" s="52">
        <f t="shared" ca="1" si="2"/>
        <v>0</v>
      </c>
      <c r="F35" s="53" t="str">
        <f t="shared" ca="1" si="3"/>
        <v>ml</v>
      </c>
      <c r="G35" s="54">
        <f t="shared" ca="1" si="4"/>
        <v>0</v>
      </c>
      <c r="H35" s="52">
        <f t="shared" ca="1" si="5"/>
        <v>0</v>
      </c>
      <c r="I35" s="47" t="str">
        <f t="shared" ca="1" si="6"/>
        <v>ml</v>
      </c>
      <c r="J35" s="54">
        <f t="shared" ca="1" si="0"/>
        <v>0</v>
      </c>
      <c r="K35" s="52">
        <f t="shared" ca="1" si="7"/>
        <v>0</v>
      </c>
      <c r="L35" s="47" t="str">
        <f t="shared" ca="1" si="8"/>
        <v>ml</v>
      </c>
      <c r="M35" s="48"/>
    </row>
    <row r="36" spans="2:13" s="3" customFormat="1" x14ac:dyDescent="0.3">
      <c r="B36" s="49">
        <v>44</v>
      </c>
      <c r="C36" s="50" t="s">
        <v>28</v>
      </c>
      <c r="D36" s="51">
        <f t="shared" ca="1" si="1"/>
        <v>0</v>
      </c>
      <c r="E36" s="52" t="str">
        <f t="shared" ca="1" si="2"/>
        <v/>
      </c>
      <c r="F36" s="53">
        <f t="shared" ca="1" si="3"/>
        <v>0</v>
      </c>
      <c r="G36" s="54">
        <f ca="1">IF(B36="",0,VLOOKUP(B36,INDIRECT($G$11),4,0))*IF($G$13="NON",1,$D$8)</f>
        <v>0</v>
      </c>
      <c r="H36" s="52" t="str">
        <f t="shared" ca="1" si="5"/>
        <v/>
      </c>
      <c r="I36" s="47">
        <f t="shared" ca="1" si="6"/>
        <v>0</v>
      </c>
      <c r="J36" s="54">
        <f t="shared" ca="1" si="0"/>
        <v>0</v>
      </c>
      <c r="K36" s="52" t="str">
        <f t="shared" ca="1" si="7"/>
        <v/>
      </c>
      <c r="L36" s="47">
        <f t="shared" ca="1" si="8"/>
        <v>0</v>
      </c>
      <c r="M36" s="48"/>
    </row>
    <row r="37" spans="2:13" s="3" customFormat="1" ht="18" customHeight="1" x14ac:dyDescent="0.3">
      <c r="B37" s="49"/>
      <c r="C37" s="50"/>
      <c r="D37" s="51">
        <f t="shared" ca="1" si="1"/>
        <v>0</v>
      </c>
      <c r="E37" s="52">
        <f t="shared" ca="1" si="2"/>
        <v>0</v>
      </c>
      <c r="F37" s="53">
        <f t="shared" ca="1" si="3"/>
        <v>0</v>
      </c>
      <c r="G37" s="54">
        <f t="shared" ca="1" si="4"/>
        <v>0</v>
      </c>
      <c r="H37" s="52">
        <f t="shared" ca="1" si="5"/>
        <v>0</v>
      </c>
      <c r="I37" s="47">
        <f t="shared" ca="1" si="6"/>
        <v>0</v>
      </c>
      <c r="J37" s="54">
        <f t="shared" ca="1" si="0"/>
        <v>0</v>
      </c>
      <c r="K37" s="52">
        <f t="shared" ca="1" si="7"/>
        <v>0</v>
      </c>
      <c r="L37" s="47">
        <f t="shared" ca="1" si="8"/>
        <v>0</v>
      </c>
      <c r="M37" s="48"/>
    </row>
    <row r="38" spans="2:13" s="3" customFormat="1" x14ac:dyDescent="0.3">
      <c r="B38" s="49">
        <v>51</v>
      </c>
      <c r="C38" s="50" t="s">
        <v>25</v>
      </c>
      <c r="D38" s="51">
        <f t="shared" ca="1" si="1"/>
        <v>0</v>
      </c>
      <c r="E38" s="52" t="str">
        <f t="shared" ca="1" si="2"/>
        <v/>
      </c>
      <c r="F38" s="53">
        <f t="shared" ca="1" si="3"/>
        <v>0</v>
      </c>
      <c r="G38" s="54">
        <f t="shared" ca="1" si="4"/>
        <v>0</v>
      </c>
      <c r="H38" s="52" t="str">
        <f t="shared" ca="1" si="5"/>
        <v/>
      </c>
      <c r="I38" s="47">
        <f t="shared" ca="1" si="6"/>
        <v>0</v>
      </c>
      <c r="J38" s="54">
        <f t="shared" ca="1" si="0"/>
        <v>0</v>
      </c>
      <c r="K38" s="52" t="str">
        <f t="shared" ca="1" si="7"/>
        <v/>
      </c>
      <c r="L38" s="47">
        <f t="shared" ca="1" si="8"/>
        <v>0</v>
      </c>
      <c r="M38" s="48"/>
    </row>
    <row r="39" spans="2:13" s="3" customFormat="1" ht="18" customHeight="1" x14ac:dyDescent="0.3">
      <c r="B39" s="49">
        <v>52</v>
      </c>
      <c r="C39" s="3" t="s">
        <v>41</v>
      </c>
      <c r="D39" s="51">
        <f t="shared" ca="1" si="1"/>
        <v>0</v>
      </c>
      <c r="E39" s="52" t="str">
        <f t="shared" ca="1" si="2"/>
        <v/>
      </c>
      <c r="F39" s="53">
        <f t="shared" ca="1" si="3"/>
        <v>0</v>
      </c>
      <c r="G39" s="54">
        <f t="shared" ca="1" si="4"/>
        <v>0</v>
      </c>
      <c r="H39" s="52" t="str">
        <f t="shared" ca="1" si="5"/>
        <v/>
      </c>
      <c r="I39" s="47">
        <f t="shared" ca="1" si="6"/>
        <v>0</v>
      </c>
      <c r="J39" s="54">
        <f t="shared" ca="1" si="0"/>
        <v>0</v>
      </c>
      <c r="K39" s="52" t="str">
        <f t="shared" ca="1" si="7"/>
        <v/>
      </c>
      <c r="L39" s="47">
        <f t="shared" ca="1" si="8"/>
        <v>0</v>
      </c>
      <c r="M39" s="48"/>
    </row>
    <row r="40" spans="2:13" s="3" customFormat="1" ht="18" customHeight="1" x14ac:dyDescent="0.3">
      <c r="B40" s="26">
        <v>53</v>
      </c>
      <c r="C40" s="37" t="s">
        <v>39</v>
      </c>
      <c r="D40" s="51">
        <f t="shared" ca="1" si="1"/>
        <v>0</v>
      </c>
      <c r="E40" s="52" t="str">
        <f t="shared" ca="1" si="2"/>
        <v/>
      </c>
      <c r="F40" s="53">
        <f t="shared" ca="1" si="3"/>
        <v>0</v>
      </c>
      <c r="G40" s="54">
        <f t="shared" ca="1" si="4"/>
        <v>0</v>
      </c>
      <c r="H40" s="52" t="str">
        <f t="shared" ca="1" si="5"/>
        <v/>
      </c>
      <c r="I40" s="47">
        <f t="shared" ca="1" si="6"/>
        <v>0</v>
      </c>
      <c r="J40" s="54">
        <f t="shared" ca="1" si="0"/>
        <v>0</v>
      </c>
      <c r="K40" s="52" t="str">
        <f t="shared" ca="1" si="7"/>
        <v/>
      </c>
      <c r="L40" s="47">
        <f t="shared" ca="1" si="8"/>
        <v>0</v>
      </c>
      <c r="M40" s="48"/>
    </row>
    <row r="41" spans="2:13" s="3" customFormat="1" x14ac:dyDescent="0.3">
      <c r="B41" s="49"/>
      <c r="C41" s="50"/>
      <c r="D41" s="51">
        <f t="shared" ca="1" si="1"/>
        <v>0</v>
      </c>
      <c r="E41" s="52">
        <f t="shared" ca="1" si="2"/>
        <v>0</v>
      </c>
      <c r="F41" s="53">
        <f t="shared" ca="1" si="3"/>
        <v>0</v>
      </c>
      <c r="G41" s="54">
        <f t="shared" ca="1" si="4"/>
        <v>0</v>
      </c>
      <c r="H41" s="52">
        <f t="shared" ca="1" si="5"/>
        <v>0</v>
      </c>
      <c r="I41" s="47">
        <f t="shared" ca="1" si="6"/>
        <v>0</v>
      </c>
      <c r="J41" s="54">
        <f t="shared" ca="1" si="0"/>
        <v>0</v>
      </c>
      <c r="K41" s="52">
        <f t="shared" ca="1" si="7"/>
        <v>0</v>
      </c>
      <c r="L41" s="47">
        <f t="shared" ca="1" si="8"/>
        <v>0</v>
      </c>
      <c r="M41" s="48"/>
    </row>
    <row r="42" spans="2:13" s="3" customFormat="1" x14ac:dyDescent="0.3">
      <c r="B42" s="56">
        <v>91</v>
      </c>
      <c r="C42" s="57" t="s">
        <v>26</v>
      </c>
      <c r="D42" s="58">
        <f t="shared" ca="1" si="1"/>
        <v>0</v>
      </c>
      <c r="E42" s="52" t="str">
        <f t="shared" ca="1" si="2"/>
        <v/>
      </c>
      <c r="F42" s="59">
        <f t="shared" ca="1" si="3"/>
        <v>0</v>
      </c>
      <c r="G42" s="60">
        <f t="shared" ca="1" si="4"/>
        <v>0</v>
      </c>
      <c r="H42" s="52" t="str">
        <f t="shared" ca="1" si="5"/>
        <v/>
      </c>
      <c r="I42" s="47">
        <f t="shared" ca="1" si="6"/>
        <v>0</v>
      </c>
      <c r="J42" s="60">
        <f t="shared" ca="1" si="0"/>
        <v>0</v>
      </c>
      <c r="K42" s="52" t="str">
        <f t="shared" ca="1" si="7"/>
        <v/>
      </c>
      <c r="L42" s="47">
        <f t="shared" ca="1" si="8"/>
        <v>0</v>
      </c>
      <c r="M42" s="48"/>
    </row>
    <row r="43" spans="2:13" x14ac:dyDescent="0.3">
      <c r="D43" s="38">
        <f ca="1">SUM(D15:D42)</f>
        <v>801.9</v>
      </c>
      <c r="E43" s="39"/>
      <c r="F43" s="40"/>
      <c r="G43" s="24">
        <f ca="1">SUM(G15:G42)</f>
        <v>3082.3846153846162</v>
      </c>
      <c r="H43" s="24"/>
      <c r="I43" s="24"/>
      <c r="J43" s="24">
        <f ca="1">SUM(J15:J42)</f>
        <v>3697.1538461538471</v>
      </c>
      <c r="K43" s="24"/>
      <c r="L43" s="24"/>
      <c r="M43" s="4"/>
    </row>
    <row r="44" spans="2:13" x14ac:dyDescent="0.3">
      <c r="M44" s="4"/>
    </row>
  </sheetData>
  <mergeCells count="7">
    <mergeCell ref="B2:B3"/>
    <mergeCell ref="D2:M3"/>
    <mergeCell ref="D10:L10"/>
    <mergeCell ref="D11:F11"/>
    <mergeCell ref="G11:I11"/>
    <mergeCell ref="J11:L11"/>
    <mergeCell ref="D12:L12"/>
  </mergeCells>
  <conditionalFormatting sqref="D13:M13">
    <cfRule type="cellIs" dxfId="59" priority="60" operator="equal">
      <formula>"OUI"</formula>
    </cfRule>
  </conditionalFormatting>
  <dataValidations count="1">
    <dataValidation type="list" allowBlank="1" showInputMessage="1" showErrorMessage="1" sqref="D13 G13 J13 M13" xr:uid="{13C72F2E-EE2B-4086-A931-68D984778ABA}">
      <formula1>"OUI,NON"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CD020-F94F-4A08-B7BE-FB5F5A8DCC98}">
  <dimension ref="D5:I37"/>
  <sheetViews>
    <sheetView zoomScaleNormal="100" workbookViewId="0">
      <selection activeCell="K22" sqref="K22"/>
    </sheetView>
  </sheetViews>
  <sheetFormatPr baseColWidth="10" defaultRowHeight="15.75" x14ac:dyDescent="0.3"/>
  <sheetData>
    <row r="5" spans="4:9" x14ac:dyDescent="0.3">
      <c r="D5" s="6">
        <v>11</v>
      </c>
      <c r="E5" s="7" t="s">
        <v>7</v>
      </c>
      <c r="F5" s="12"/>
      <c r="G5" s="340">
        <f t="shared" ref="G5:G34" si="0">SUMIF($AC:$AC,D5,$M:$M)</f>
        <v>0</v>
      </c>
      <c r="H5" s="61">
        <f t="shared" ref="H5:H34" si="1">IF(I5="","",SUMIF($AD:$AD,D5,IF(I5="u",$D:$D,IF(I5="ml",$E:$E,IF(I5="m²",$F:$F,IF(I5=0,"",""))))))</f>
        <v>0</v>
      </c>
      <c r="I5" s="62" t="s">
        <v>36</v>
      </c>
    </row>
    <row r="6" spans="4:9" x14ac:dyDescent="0.3">
      <c r="D6" s="8">
        <v>12</v>
      </c>
      <c r="E6" t="s">
        <v>8</v>
      </c>
      <c r="F6" s="13"/>
      <c r="G6" s="345">
        <f t="shared" si="0"/>
        <v>0</v>
      </c>
      <c r="H6" s="63">
        <f t="shared" si="1"/>
        <v>0</v>
      </c>
      <c r="I6" s="64" t="s">
        <v>37</v>
      </c>
    </row>
    <row r="7" spans="4:9" x14ac:dyDescent="0.3">
      <c r="D7" s="8">
        <v>13</v>
      </c>
      <c r="E7" t="s">
        <v>9</v>
      </c>
      <c r="F7" s="13"/>
      <c r="G7" s="345">
        <f t="shared" si="0"/>
        <v>0</v>
      </c>
      <c r="H7" s="63">
        <f t="shared" si="1"/>
        <v>0</v>
      </c>
      <c r="I7" s="64" t="s">
        <v>37</v>
      </c>
    </row>
    <row r="8" spans="4:9" x14ac:dyDescent="0.3">
      <c r="D8" s="8">
        <v>14</v>
      </c>
      <c r="E8" t="s">
        <v>10</v>
      </c>
      <c r="F8" s="13"/>
      <c r="G8" s="345">
        <f t="shared" si="0"/>
        <v>0</v>
      </c>
      <c r="H8" s="63">
        <f t="shared" si="1"/>
        <v>0</v>
      </c>
      <c r="I8" s="64" t="s">
        <v>38</v>
      </c>
    </row>
    <row r="9" spans="4:9" x14ac:dyDescent="0.3">
      <c r="D9" s="8">
        <v>15</v>
      </c>
      <c r="E9" t="s">
        <v>11</v>
      </c>
      <c r="F9" s="13"/>
      <c r="G9" s="345">
        <f t="shared" si="0"/>
        <v>0</v>
      </c>
      <c r="H9" s="63" t="str">
        <f t="shared" si="1"/>
        <v/>
      </c>
      <c r="I9" s="64"/>
    </row>
    <row r="10" spans="4:9" x14ac:dyDescent="0.3">
      <c r="D10" s="8"/>
      <c r="F10" s="13"/>
      <c r="G10" s="345">
        <f t="shared" si="0"/>
        <v>0</v>
      </c>
      <c r="H10" s="63" t="str">
        <f t="shared" si="1"/>
        <v/>
      </c>
      <c r="I10" s="64"/>
    </row>
    <row r="11" spans="4:9" x14ac:dyDescent="0.3">
      <c r="D11" s="8">
        <v>21</v>
      </c>
      <c r="E11" t="s">
        <v>12</v>
      </c>
      <c r="F11" s="13"/>
      <c r="G11" s="345">
        <f t="shared" si="0"/>
        <v>0</v>
      </c>
      <c r="H11" s="63">
        <f t="shared" si="1"/>
        <v>0</v>
      </c>
      <c r="I11" s="64" t="s">
        <v>36</v>
      </c>
    </row>
    <row r="12" spans="4:9" x14ac:dyDescent="0.3">
      <c r="D12" s="8">
        <v>22</v>
      </c>
      <c r="E12" t="s">
        <v>13</v>
      </c>
      <c r="F12" s="13"/>
      <c r="G12" s="345">
        <f t="shared" si="0"/>
        <v>0</v>
      </c>
      <c r="H12" s="63">
        <f t="shared" si="1"/>
        <v>0</v>
      </c>
      <c r="I12" s="64" t="s">
        <v>37</v>
      </c>
    </row>
    <row r="13" spans="4:9" x14ac:dyDescent="0.3">
      <c r="D13" s="8">
        <v>23</v>
      </c>
      <c r="E13" t="s">
        <v>14</v>
      </c>
      <c r="F13" s="13"/>
      <c r="G13" s="345">
        <f t="shared" si="0"/>
        <v>0</v>
      </c>
      <c r="H13" s="63">
        <f t="shared" si="1"/>
        <v>0</v>
      </c>
      <c r="I13" s="64" t="s">
        <v>37</v>
      </c>
    </row>
    <row r="14" spans="4:9" x14ac:dyDescent="0.3">
      <c r="D14" s="8">
        <v>24</v>
      </c>
      <c r="E14" t="s">
        <v>15</v>
      </c>
      <c r="F14" s="13"/>
      <c r="G14" s="345">
        <f t="shared" si="0"/>
        <v>0</v>
      </c>
      <c r="H14" s="63">
        <f t="shared" si="1"/>
        <v>0</v>
      </c>
      <c r="I14" s="64" t="s">
        <v>38</v>
      </c>
    </row>
    <row r="15" spans="4:9" x14ac:dyDescent="0.3">
      <c r="D15" s="8">
        <v>25</v>
      </c>
      <c r="E15" t="s">
        <v>16</v>
      </c>
      <c r="F15" s="13"/>
      <c r="G15" s="345">
        <f t="shared" si="0"/>
        <v>0</v>
      </c>
      <c r="H15" s="63" t="str">
        <f t="shared" si="1"/>
        <v/>
      </c>
      <c r="I15" s="64"/>
    </row>
    <row r="16" spans="4:9" x14ac:dyDescent="0.3">
      <c r="D16" s="8"/>
      <c r="F16" s="13"/>
      <c r="G16" s="345">
        <f t="shared" si="0"/>
        <v>0</v>
      </c>
      <c r="H16" s="63" t="str">
        <f t="shared" si="1"/>
        <v/>
      </c>
      <c r="I16" s="64"/>
    </row>
    <row r="17" spans="4:9" x14ac:dyDescent="0.3">
      <c r="D17" s="8">
        <v>31</v>
      </c>
      <c r="E17" s="9" t="s">
        <v>27</v>
      </c>
      <c r="F17" s="13"/>
      <c r="G17" s="345">
        <f t="shared" si="0"/>
        <v>0</v>
      </c>
      <c r="H17" s="63">
        <f t="shared" si="1"/>
        <v>0</v>
      </c>
      <c r="I17" s="64" t="s">
        <v>36</v>
      </c>
    </row>
    <row r="18" spans="4:9" x14ac:dyDescent="0.3">
      <c r="D18" s="8">
        <v>32</v>
      </c>
      <c r="E18" s="9" t="s">
        <v>18</v>
      </c>
      <c r="F18" s="13"/>
      <c r="G18" s="345">
        <f t="shared" si="0"/>
        <v>0</v>
      </c>
      <c r="H18" s="63">
        <f t="shared" si="1"/>
        <v>0</v>
      </c>
      <c r="I18" s="64" t="s">
        <v>37</v>
      </c>
    </row>
    <row r="19" spans="4:9" x14ac:dyDescent="0.3">
      <c r="D19" s="8">
        <v>33</v>
      </c>
      <c r="E19" s="9" t="s">
        <v>19</v>
      </c>
      <c r="F19" s="13"/>
      <c r="G19" s="345">
        <f t="shared" si="0"/>
        <v>0</v>
      </c>
      <c r="H19" s="63">
        <f t="shared" si="1"/>
        <v>0</v>
      </c>
      <c r="I19" s="64" t="s">
        <v>37</v>
      </c>
    </row>
    <row r="20" spans="4:9" x14ac:dyDescent="0.3">
      <c r="D20" s="8">
        <v>34</v>
      </c>
      <c r="E20" s="9" t="s">
        <v>20</v>
      </c>
      <c r="F20" s="13"/>
      <c r="G20" s="345">
        <f t="shared" si="0"/>
        <v>0</v>
      </c>
      <c r="H20" s="63">
        <f t="shared" si="1"/>
        <v>0</v>
      </c>
      <c r="I20" s="64" t="s">
        <v>38</v>
      </c>
    </row>
    <row r="21" spans="4:9" x14ac:dyDescent="0.3">
      <c r="D21" s="8">
        <v>35</v>
      </c>
      <c r="E21" s="9" t="s">
        <v>21</v>
      </c>
      <c r="F21" s="13"/>
      <c r="G21" s="345">
        <f t="shared" si="0"/>
        <v>0</v>
      </c>
      <c r="H21" s="63" t="str">
        <f t="shared" si="1"/>
        <v/>
      </c>
      <c r="I21" s="64"/>
    </row>
    <row r="22" spans="4:9" x14ac:dyDescent="0.3">
      <c r="D22" s="8"/>
      <c r="F22" s="13"/>
      <c r="G22" s="345">
        <f t="shared" si="0"/>
        <v>0</v>
      </c>
      <c r="H22" s="63" t="str">
        <f t="shared" si="1"/>
        <v/>
      </c>
      <c r="I22" s="64"/>
    </row>
    <row r="23" spans="4:9" x14ac:dyDescent="0.3">
      <c r="D23" s="8"/>
      <c r="F23" s="13"/>
      <c r="G23" s="345">
        <f t="shared" si="0"/>
        <v>0</v>
      </c>
      <c r="H23" s="63" t="str">
        <f t="shared" si="1"/>
        <v/>
      </c>
      <c r="I23" s="64"/>
    </row>
    <row r="24" spans="4:9" x14ac:dyDescent="0.3">
      <c r="D24" s="8">
        <v>41</v>
      </c>
      <c r="E24" t="s">
        <v>22</v>
      </c>
      <c r="F24" s="13"/>
      <c r="G24" s="345">
        <f t="shared" si="0"/>
        <v>0</v>
      </c>
      <c r="H24" s="63">
        <f t="shared" si="1"/>
        <v>0</v>
      </c>
      <c r="I24" s="64" t="s">
        <v>37</v>
      </c>
    </row>
    <row r="25" spans="4:9" x14ac:dyDescent="0.3">
      <c r="D25" s="8">
        <v>42</v>
      </c>
      <c r="E25" t="s">
        <v>23</v>
      </c>
      <c r="F25" s="13"/>
      <c r="G25" s="345">
        <f t="shared" si="0"/>
        <v>0</v>
      </c>
      <c r="H25" s="63" t="str">
        <f t="shared" si="1"/>
        <v/>
      </c>
      <c r="I25" s="64"/>
    </row>
    <row r="26" spans="4:9" x14ac:dyDescent="0.3">
      <c r="D26" s="8">
        <v>422</v>
      </c>
      <c r="E26" t="s">
        <v>72</v>
      </c>
      <c r="F26" s="13"/>
      <c r="G26" s="345">
        <f t="shared" si="0"/>
        <v>0</v>
      </c>
      <c r="H26" s="63" t="str">
        <f t="shared" si="1"/>
        <v/>
      </c>
      <c r="I26" s="64"/>
    </row>
    <row r="27" spans="4:9" x14ac:dyDescent="0.3">
      <c r="D27" s="8">
        <v>43</v>
      </c>
      <c r="E27" t="s">
        <v>24</v>
      </c>
      <c r="F27" s="13"/>
      <c r="G27" s="345">
        <f t="shared" si="0"/>
        <v>0</v>
      </c>
      <c r="H27" s="63">
        <f t="shared" si="1"/>
        <v>0</v>
      </c>
      <c r="I27" s="64" t="s">
        <v>36</v>
      </c>
    </row>
    <row r="28" spans="4:9" x14ac:dyDescent="0.3">
      <c r="D28" s="8">
        <v>44</v>
      </c>
      <c r="E28" t="s">
        <v>28</v>
      </c>
      <c r="F28" s="13"/>
      <c r="G28" s="345">
        <f t="shared" si="0"/>
        <v>0</v>
      </c>
      <c r="H28" s="63" t="str">
        <f t="shared" si="1"/>
        <v/>
      </c>
      <c r="I28" s="64"/>
    </row>
    <row r="29" spans="4:9" x14ac:dyDescent="0.3">
      <c r="D29" s="8"/>
      <c r="F29" s="13"/>
      <c r="G29" s="345">
        <f t="shared" si="0"/>
        <v>0</v>
      </c>
      <c r="H29" s="63" t="str">
        <f t="shared" si="1"/>
        <v/>
      </c>
      <c r="I29" s="64"/>
    </row>
    <row r="30" spans="4:9" x14ac:dyDescent="0.3">
      <c r="D30" s="8">
        <v>51</v>
      </c>
      <c r="E30" t="s">
        <v>25</v>
      </c>
      <c r="F30" s="13"/>
      <c r="G30" s="345">
        <f t="shared" si="0"/>
        <v>0</v>
      </c>
      <c r="H30" s="63" t="str">
        <f t="shared" si="1"/>
        <v/>
      </c>
      <c r="I30" s="64"/>
    </row>
    <row r="31" spans="4:9" x14ac:dyDescent="0.3">
      <c r="D31" s="8">
        <v>52</v>
      </c>
      <c r="E31" t="s">
        <v>73</v>
      </c>
      <c r="F31" s="13"/>
      <c r="G31" s="345">
        <f t="shared" si="0"/>
        <v>0</v>
      </c>
      <c r="H31" s="63" t="str">
        <f t="shared" si="1"/>
        <v/>
      </c>
      <c r="I31" s="64"/>
    </row>
    <row r="32" spans="4:9" x14ac:dyDescent="0.3">
      <c r="D32" s="8">
        <v>53</v>
      </c>
      <c r="E32" t="s">
        <v>74</v>
      </c>
      <c r="F32" s="13"/>
      <c r="G32" s="345">
        <f t="shared" si="0"/>
        <v>0</v>
      </c>
      <c r="H32" s="63" t="str">
        <f t="shared" si="1"/>
        <v/>
      </c>
      <c r="I32" s="64"/>
    </row>
    <row r="33" spans="4:9" x14ac:dyDescent="0.3">
      <c r="D33" s="8"/>
      <c r="F33" s="13"/>
      <c r="G33" s="345">
        <f t="shared" si="0"/>
        <v>0</v>
      </c>
      <c r="H33" s="63" t="str">
        <f t="shared" si="1"/>
        <v/>
      </c>
      <c r="I33" s="64"/>
    </row>
    <row r="34" spans="4:9" ht="16.5" thickBot="1" x14ac:dyDescent="0.35">
      <c r="D34" s="10">
        <v>91</v>
      </c>
      <c r="E34" s="11" t="s">
        <v>29</v>
      </c>
      <c r="F34" s="14"/>
      <c r="G34" s="350">
        <f t="shared" si="0"/>
        <v>0</v>
      </c>
      <c r="H34" s="351" t="str">
        <f t="shared" si="1"/>
        <v/>
      </c>
      <c r="I34" s="65"/>
    </row>
    <row r="35" spans="4:9" ht="16.5" thickBot="1" x14ac:dyDescent="0.35">
      <c r="D35" s="15"/>
      <c r="E35" s="13"/>
      <c r="F35" s="13"/>
      <c r="G35" s="16">
        <f>SUM(G5:G34)</f>
        <v>0</v>
      </c>
      <c r="H35" s="239"/>
      <c r="I35" s="239"/>
    </row>
    <row r="36" spans="4:9" ht="16.5" thickBot="1" x14ac:dyDescent="0.35">
      <c r="D36" s="10">
        <v>91</v>
      </c>
      <c r="E36" s="11" t="s">
        <v>29</v>
      </c>
      <c r="F36" s="14"/>
      <c r="G36" s="25">
        <f t="shared" ref="G5:G36" si="2">SUMIF($AC:$AC,D36,$M:$M)</f>
        <v>0</v>
      </c>
      <c r="H36" s="66" t="str">
        <f t="shared" ref="H5:H36" si="3">IF(I36="","",SUMIF($AD:$AD,D36,IF(I36="u",$D:$D,IF(I36="ml",$E:$E,IF(I36="m²",$F:$F,IF(I36=0,"",""))))))</f>
        <v/>
      </c>
      <c r="I36" s="65"/>
    </row>
    <row r="37" spans="4:9" ht="16.5" thickBot="1" x14ac:dyDescent="0.35">
      <c r="D37" s="15"/>
      <c r="E37" s="13"/>
      <c r="F37" s="13"/>
      <c r="G37" s="16">
        <f>SUM(G5:G36)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29</vt:i4>
      </vt:variant>
    </vt:vector>
  </HeadingPairs>
  <TitlesOfParts>
    <vt:vector size="34" baseType="lpstr">
      <vt:lpstr>B-G1-00</vt:lpstr>
      <vt:lpstr>B-G1-01</vt:lpstr>
      <vt:lpstr>B-G1-02</vt:lpstr>
      <vt:lpstr>COMPAR EDP (2)</vt:lpstr>
      <vt:lpstr>TABLEAU DE BASE</vt:lpstr>
      <vt:lpstr>'B-G1-00'!BMO.GABARIT.LIGNE</vt:lpstr>
      <vt:lpstr>'B-G1-01'!BMO.GABARIT.LIGNE</vt:lpstr>
      <vt:lpstr>'B-G1-02'!BMO.GABARIT.LIGNE</vt:lpstr>
      <vt:lpstr>'B-G1-00'!BMO.NEXT</vt:lpstr>
      <vt:lpstr>'B-G1-01'!BMO.NEXT</vt:lpstr>
      <vt:lpstr>PHFONDATION</vt:lpstr>
      <vt:lpstr>PHR_01</vt:lpstr>
      <vt:lpstr>PHRDC</vt:lpstr>
      <vt:lpstr>'B-G1-00'!VCF.B.EQUIPE.1</vt:lpstr>
      <vt:lpstr>'B-G1-01'!VCF.B.EQUIPE.1</vt:lpstr>
      <vt:lpstr>'B-G1-02'!VCF.B.EQUIPE.1</vt:lpstr>
      <vt:lpstr>'B-G1-00'!VCF.BMO.END</vt:lpstr>
      <vt:lpstr>'B-G1-01'!VCF.BMO.END</vt:lpstr>
      <vt:lpstr>'B-G1-02'!VCF.BMO.END</vt:lpstr>
      <vt:lpstr>'B-G1-00'!VCF.BMO.FINITION</vt:lpstr>
      <vt:lpstr>'B-G1-02'!VCF.BMO.FINITION</vt:lpstr>
      <vt:lpstr>'B-G1-00'!VCF.BMO.LIBRE</vt:lpstr>
      <vt:lpstr>'B-G1-01'!VCF.BMO.LIBRE</vt:lpstr>
      <vt:lpstr>'B-G1-02'!VCF.BMO.LIBRE</vt:lpstr>
      <vt:lpstr>'B-G1-00'!VCF.BMO.MONTAGE</vt:lpstr>
      <vt:lpstr>'B-G1-01'!VCF.BMO.MONTAGE</vt:lpstr>
      <vt:lpstr>'B-G1-02'!VCF.BMO.MONTAGE</vt:lpstr>
      <vt:lpstr>'B-G1-00'!Zone_d_impression</vt:lpstr>
      <vt:lpstr>'B-G1-01'!Zone_d_impression</vt:lpstr>
      <vt:lpstr>'B-G1-02'!Zone_d_impression</vt:lpstr>
      <vt:lpstr>'COMPAR EDP (2)'!Zone_d_impression</vt:lpstr>
      <vt:lpstr>'B-G1-00'!Zone_d_impression_par_defaut</vt:lpstr>
      <vt:lpstr>'B-G1-01'!Zone_d_impression_par_defaut</vt:lpstr>
      <vt:lpstr>'B-G1-02'!Zone_d_impression_par_defaut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LAROCHE-JOUBERT Damien</dc:creator>
  <cp:lastModifiedBy>LAROCHE-JOUBERT Damien</cp:lastModifiedBy>
  <cp:lastPrinted>2020-12-23T09:20:21Z</cp:lastPrinted>
  <dcterms:created xsi:type="dcterms:W3CDTF">2020-12-23T09:09:55Z</dcterms:created>
  <dcterms:modified xsi:type="dcterms:W3CDTF">2021-01-06T11:03:27Z</dcterms:modified>
</cp:coreProperties>
</file>