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ic\Documents\Scr\INDIRECT\"/>
    </mc:Choice>
  </mc:AlternateContent>
  <xr:revisionPtr revIDLastSave="0" documentId="13_ncr:1_{A75739A0-AB60-4AF4-9BCD-29CD19A4E03A}" xr6:coauthVersionLast="45" xr6:coauthVersionMax="45" xr10:uidLastSave="{00000000-0000-0000-0000-000000000000}"/>
  <bookViews>
    <workbookView xWindow="-120" yWindow="-120" windowWidth="20730" windowHeight="11760" xr2:uid="{3EAB318A-E97B-4C18-A0A1-E989E91DE730}"/>
  </bookViews>
  <sheets>
    <sheet name="Feuil1" sheetId="1" r:id="rId1"/>
    <sheet name="Feuil2" sheetId="2" r:id="rId2"/>
  </sheets>
  <externalReferences>
    <externalReference r:id="rId3"/>
  </externalReferences>
  <definedNames>
    <definedName name="Consortium" localSheetId="1">Feuil2!$CS$426:$DF$482</definedName>
    <definedName name="Consortium">Feuil1!$CS$425:$DF$481</definedName>
    <definedName name="ddddddddd">[1]Déboursés!#REF!</definedName>
    <definedName name="DGPP">'[1]ST et matériaux'!#REF!</definedName>
    <definedName name="DGPP_2">'[1]ST et matériaux'!#REF!</definedName>
    <definedName name="DGST">'[1]ST et matériaux'!#REF!</definedName>
    <definedName name="DGST_2">'[1]ST et matériaux'!#REF!</definedName>
    <definedName name="DSPP">'[1]ST et matériaux'!#REF!</definedName>
    <definedName name="DSPP_2">'[1]ST et matériaux'!#REF!</definedName>
    <definedName name="DSST">[1]Déboursés!#REF!</definedName>
    <definedName name="ECHU">#REF!</definedName>
    <definedName name="FACTURE">#REF!</definedName>
    <definedName name="lllllll">'[1]ST et matériaux'!#REF!</definedName>
    <definedName name="MOD">'[1]ST et matériaux'!#REF!</definedName>
    <definedName name="MOI">'[1]ST et matériaux'!#REF!</definedName>
    <definedName name="Montant">[1]Déboursés!#REF!</definedName>
    <definedName name="PAYE">#REF!</definedName>
    <definedName name="PVPP">'[1]ST et matériaux'!#REF!</definedName>
    <definedName name="PVPPHT">'[1]ST et matériaux'!#REF!</definedName>
    <definedName name="PVST">'[1]ST et matériaux'!#REF!</definedName>
    <definedName name="PVSTHT">'[1]ST et matériaux'!#REF!</definedName>
    <definedName name="rg">#REF!</definedName>
    <definedName name="Total">#REF!</definedName>
    <definedName name="Total1" localSheetId="1">Feuil2!$B$4</definedName>
    <definedName name="Total1">Feuil1!$B$7</definedName>
    <definedName name="Total2" localSheetId="1">Feuil2!$C$4</definedName>
    <definedName name="Total2">Feuil1!$C$7</definedName>
    <definedName name="xxxx">'[1]ST et matériaux'!#REF!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C7" i="1"/>
  <c r="B7" i="1"/>
  <c r="C4" i="2" l="1"/>
  <c r="DE475" i="2" l="1"/>
  <c r="DD474" i="2"/>
  <c r="DA474" i="2"/>
  <c r="DD473" i="2"/>
  <c r="DF473" i="2" s="1"/>
  <c r="CZ473" i="2"/>
  <c r="DA473" i="2" s="1"/>
  <c r="DB472" i="2"/>
  <c r="DD472" i="2" s="1"/>
  <c r="CY472" i="2"/>
  <c r="DA472" i="2" s="1"/>
  <c r="DD471" i="2"/>
  <c r="DA471" i="2"/>
  <c r="DD470" i="2"/>
  <c r="CY470" i="2"/>
  <c r="DA470" i="2" s="1"/>
  <c r="CV470" i="2"/>
  <c r="DD469" i="2"/>
  <c r="CY469" i="2"/>
  <c r="DA469" i="2" s="1"/>
  <c r="DB468" i="2"/>
  <c r="DD468" i="2" s="1"/>
  <c r="CY468" i="2"/>
  <c r="DA468" i="2" s="1"/>
  <c r="DB467" i="2"/>
  <c r="DD467" i="2" s="1"/>
  <c r="DA467" i="2"/>
  <c r="DD466" i="2"/>
  <c r="DA466" i="2"/>
  <c r="DB465" i="2"/>
  <c r="DD465" i="2" s="1"/>
  <c r="CY465" i="2"/>
  <c r="DA465" i="2" s="1"/>
  <c r="DD464" i="2"/>
  <c r="DA464" i="2"/>
  <c r="DD463" i="2"/>
  <c r="CY463" i="2"/>
  <c r="DA463" i="2" s="1"/>
  <c r="DB462" i="2"/>
  <c r="DD462" i="2" s="1"/>
  <c r="CY462" i="2"/>
  <c r="DA462" i="2" s="1"/>
  <c r="DC461" i="2"/>
  <c r="DB461" i="2"/>
  <c r="DD461" i="2" s="1"/>
  <c r="CY461" i="2"/>
  <c r="DA461" i="2" s="1"/>
  <c r="DB460" i="2"/>
  <c r="DD460" i="2" s="1"/>
  <c r="CY460" i="2"/>
  <c r="DA460" i="2" s="1"/>
  <c r="DC459" i="2"/>
  <c r="DB459" i="2"/>
  <c r="CY459" i="2"/>
  <c r="CV459" i="2"/>
  <c r="CV461" i="2" s="1"/>
  <c r="CT459" i="2"/>
  <c r="CT461" i="2" s="1"/>
  <c r="CV458" i="2"/>
  <c r="CT458" i="2"/>
  <c r="CS458" i="2"/>
  <c r="CV457" i="2"/>
  <c r="CV453" i="2"/>
  <c r="CV454" i="2" s="1"/>
  <c r="CT453" i="2"/>
  <c r="CT454" i="2" s="1"/>
  <c r="CU450" i="2"/>
  <c r="CY447" i="2"/>
  <c r="CY449" i="2" s="1"/>
  <c r="CT447" i="2"/>
  <c r="CT457" i="2" s="1"/>
  <c r="CV434" i="2"/>
  <c r="CT434" i="2"/>
  <c r="DE474" i="1"/>
  <c r="DD473" i="1"/>
  <c r="DA473" i="1"/>
  <c r="DD472" i="1"/>
  <c r="CZ472" i="1"/>
  <c r="DA472" i="1" s="1"/>
  <c r="DF472" i="1" s="1"/>
  <c r="DB471" i="1"/>
  <c r="DD471" i="1" s="1"/>
  <c r="CY471" i="1"/>
  <c r="DA471" i="1" s="1"/>
  <c r="DD470" i="1"/>
  <c r="DA470" i="1"/>
  <c r="DD469" i="1"/>
  <c r="CY469" i="1"/>
  <c r="DA469" i="1" s="1"/>
  <c r="CV469" i="1"/>
  <c r="DD468" i="1"/>
  <c r="CY468" i="1"/>
  <c r="DA468" i="1" s="1"/>
  <c r="DB467" i="1"/>
  <c r="DD467" i="1" s="1"/>
  <c r="CY467" i="1"/>
  <c r="DA467" i="1" s="1"/>
  <c r="DB466" i="1"/>
  <c r="DD466" i="1" s="1"/>
  <c r="DA466" i="1"/>
  <c r="DD465" i="1"/>
  <c r="DA465" i="1"/>
  <c r="DB464" i="1"/>
  <c r="DD464" i="1" s="1"/>
  <c r="CY464" i="1"/>
  <c r="DA464" i="1" s="1"/>
  <c r="DD463" i="1"/>
  <c r="DA463" i="1"/>
  <c r="DD462" i="1"/>
  <c r="CY462" i="1"/>
  <c r="DA462" i="1" s="1"/>
  <c r="DB461" i="1"/>
  <c r="DD461" i="1" s="1"/>
  <c r="CY461" i="1"/>
  <c r="DA461" i="1" s="1"/>
  <c r="DC460" i="1"/>
  <c r="DB460" i="1"/>
  <c r="DD460" i="1" s="1"/>
  <c r="CY460" i="1"/>
  <c r="DA460" i="1" s="1"/>
  <c r="DB459" i="1"/>
  <c r="DD459" i="1" s="1"/>
  <c r="CY459" i="1"/>
  <c r="DA459" i="1" s="1"/>
  <c r="DC458" i="1"/>
  <c r="DC474" i="1" s="1"/>
  <c r="DB458" i="1"/>
  <c r="CY458" i="1"/>
  <c r="CV458" i="1"/>
  <c r="CV460" i="1" s="1"/>
  <c r="CT458" i="1"/>
  <c r="CT460" i="1" s="1"/>
  <c r="CV457" i="1"/>
  <c r="CT457" i="1"/>
  <c r="CS457" i="1"/>
  <c r="CV456" i="1"/>
  <c r="CV452" i="1"/>
  <c r="CV453" i="1" s="1"/>
  <c r="CT452" i="1"/>
  <c r="CU449" i="1"/>
  <c r="CY446" i="1"/>
  <c r="CY448" i="1" s="1"/>
  <c r="CT446" i="1"/>
  <c r="CT456" i="1" s="1"/>
  <c r="CV433" i="1"/>
  <c r="CT433" i="1"/>
  <c r="DF473" i="1" l="1"/>
  <c r="DF465" i="1"/>
  <c r="CT453" i="1"/>
  <c r="CY474" i="1"/>
  <c r="DF469" i="1"/>
  <c r="DF466" i="1"/>
  <c r="DB474" i="1"/>
  <c r="DF470" i="1"/>
  <c r="DF467" i="1"/>
  <c r="CT466" i="1"/>
  <c r="DF462" i="1"/>
  <c r="DF459" i="1"/>
  <c r="DF461" i="1"/>
  <c r="DF463" i="1"/>
  <c r="DF460" i="1"/>
  <c r="DF464" i="1"/>
  <c r="DF468" i="1"/>
  <c r="DF471" i="1"/>
  <c r="DF468" i="2"/>
  <c r="DC475" i="2"/>
  <c r="DF464" i="2"/>
  <c r="DF462" i="2"/>
  <c r="DF465" i="2"/>
  <c r="DF467" i="2"/>
  <c r="DF474" i="2"/>
  <c r="DF463" i="2"/>
  <c r="CY475" i="2"/>
  <c r="DF472" i="2"/>
  <c r="DB475" i="2"/>
  <c r="DF460" i="2"/>
  <c r="DF466" i="2"/>
  <c r="DF471" i="2"/>
  <c r="CV474" i="2"/>
  <c r="CV475" i="2" s="1"/>
  <c r="CV462" i="2"/>
  <c r="DF470" i="2"/>
  <c r="DF461" i="2"/>
  <c r="DF469" i="2"/>
  <c r="CT462" i="2"/>
  <c r="CT467" i="2"/>
  <c r="CZ475" i="2"/>
  <c r="DD459" i="2"/>
  <c r="DA459" i="2"/>
  <c r="DA475" i="2" s="1"/>
  <c r="CV473" i="1"/>
  <c r="CV474" i="1" s="1"/>
  <c r="CV461" i="1"/>
  <c r="CT461" i="1"/>
  <c r="CZ474" i="1"/>
  <c r="DD458" i="1"/>
  <c r="DA458" i="1"/>
  <c r="DA474" i="1" s="1"/>
  <c r="DF459" i="2" l="1"/>
  <c r="DF475" i="2" s="1"/>
  <c r="DD475" i="2"/>
  <c r="CT466" i="2" s="1"/>
  <c r="DF458" i="1"/>
  <c r="DF474" i="1" s="1"/>
  <c r="DD474" i="1"/>
  <c r="CT465" i="1" s="1"/>
  <c r="CY477" i="2" l="1"/>
  <c r="CT465" i="2"/>
  <c r="CT470" i="2" s="1"/>
  <c r="CT474" i="2" s="1"/>
  <c r="CT475" i="2" s="1"/>
  <c r="CY476" i="1"/>
  <c r="CT464" i="1"/>
  <c r="CT469" i="1" s="1"/>
  <c r="CT473" i="1" s="1"/>
  <c r="CT47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Loic</author>
  </authors>
  <commentList>
    <comment ref="B7" authorId="0" shapeId="0" xr:uid="{1E356F7B-B1F9-4E91-9AE5-9E077483F05A}">
      <text>
        <r>
          <rPr>
            <b/>
            <sz val="9"/>
            <color indexed="81"/>
            <rFont val="Tahoma"/>
            <family val="2"/>
          </rPr>
          <t>Cellule nomé Total1</t>
        </r>
      </text>
    </comment>
    <comment ref="C7" authorId="0" shapeId="0" xr:uid="{2A4045C7-9EF9-4912-A0DE-389F2A21BDFB}">
      <text>
        <r>
          <rPr>
            <sz val="9"/>
            <color indexed="81"/>
            <rFont val="Tahoma"/>
            <family val="2"/>
          </rPr>
          <t>Cellule nomé Total2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Loic</author>
  </authors>
  <commentList>
    <comment ref="B4" authorId="0" shapeId="0" xr:uid="{90FAD78A-AAD4-4F5B-B5BD-6C2D37C8A992}">
      <text>
        <r>
          <rPr>
            <b/>
            <sz val="9"/>
            <color indexed="81"/>
            <rFont val="Tahoma"/>
            <family val="2"/>
          </rPr>
          <t>Cellule nomé Total1</t>
        </r>
      </text>
    </comment>
    <comment ref="C4" authorId="0" shapeId="0" xr:uid="{D523F730-D64A-4D90-9A20-737373916725}">
      <text>
        <r>
          <rPr>
            <b/>
            <sz val="9"/>
            <color indexed="81"/>
            <rFont val="Tahoma"/>
            <family val="2"/>
          </rPr>
          <t>Cellule nomé Total2</t>
        </r>
      </text>
    </comment>
  </commentList>
</comments>
</file>

<file path=xl/sharedStrings.xml><?xml version="1.0" encoding="utf-8"?>
<sst xmlns="http://schemas.openxmlformats.org/spreadsheetml/2006/main" count="142" uniqueCount="59">
  <si>
    <t>SCRASA</t>
  </si>
  <si>
    <t>Recettes</t>
  </si>
  <si>
    <t>Résultat</t>
  </si>
  <si>
    <t>GESTION CONSORTIUM</t>
  </si>
  <si>
    <t>CI</t>
  </si>
  <si>
    <t>NOM</t>
  </si>
  <si>
    <t>PARTENAIRES</t>
  </si>
  <si>
    <t>PART</t>
  </si>
  <si>
    <t>PRESTATION</t>
  </si>
  <si>
    <t>COUT</t>
  </si>
  <si>
    <t>PIASIO</t>
  </si>
  <si>
    <t>Pilote, DT</t>
  </si>
  <si>
    <t>DC+CT</t>
  </si>
  <si>
    <t>CT</t>
  </si>
  <si>
    <t>ACTIVITE</t>
  </si>
  <si>
    <t>MARGE</t>
  </si>
  <si>
    <t>BILANS CONSORTIUMS SUCCESSIFS</t>
  </si>
  <si>
    <t>DATE</t>
  </si>
  <si>
    <t>%</t>
  </si>
  <si>
    <t>CONSORTIUM</t>
  </si>
  <si>
    <t>Scrasa 10/20</t>
  </si>
  <si>
    <t>Scrasa 09/20</t>
  </si>
  <si>
    <t>MARGE Hors Aléas</t>
  </si>
  <si>
    <t>PONDERATION GESTION</t>
  </si>
  <si>
    <t>MARGE Cis Aléas</t>
  </si>
  <si>
    <t>RESULTAT BRUT COMPTE DE PASSAGE</t>
  </si>
  <si>
    <t>PART SCRASA</t>
  </si>
  <si>
    <t>Scrasa</t>
  </si>
  <si>
    <t>Provision</t>
  </si>
  <si>
    <t>TOTAL</t>
  </si>
  <si>
    <t>DEPENSES</t>
  </si>
  <si>
    <t>Salaires Exploitation</t>
  </si>
  <si>
    <t>ALEAS (Att FGx)</t>
  </si>
  <si>
    <t>Salaires Pta</t>
  </si>
  <si>
    <t>Locations Machines, Matériel</t>
  </si>
  <si>
    <r>
      <t>Transports</t>
    </r>
    <r>
      <rPr>
        <b/>
        <sz val="10"/>
        <rFont val="Times New Roman"/>
        <family val="1"/>
      </rPr>
      <t xml:space="preserve"> + Divers</t>
    </r>
  </si>
  <si>
    <t>COMPTE PASSAGE</t>
  </si>
  <si>
    <t>Pièces de rechange</t>
  </si>
  <si>
    <t>Carburants</t>
  </si>
  <si>
    <t>RESULTAT BRUT</t>
  </si>
  <si>
    <t>Electricité+divers</t>
  </si>
  <si>
    <t>Frais Généraux Scrasa</t>
  </si>
  <si>
    <t>matériaux sous traitance</t>
  </si>
  <si>
    <t>Rémunération partenaire</t>
  </si>
  <si>
    <t>Vente magasin</t>
  </si>
  <si>
    <t>Autres frais</t>
  </si>
  <si>
    <t>Transport Plage</t>
  </si>
  <si>
    <t>RESULTAT CPTE PASSAGE</t>
  </si>
  <si>
    <t>Escompte</t>
  </si>
  <si>
    <t>Décharge sagradrance</t>
  </si>
  <si>
    <t>RESULTAT GLOBAL</t>
  </si>
  <si>
    <t>Correction</t>
  </si>
  <si>
    <t>Avoir Socorec</t>
  </si>
  <si>
    <t xml:space="preserve"> * Cis Aléas</t>
  </si>
  <si>
    <t>ODA Coulée Verte</t>
  </si>
  <si>
    <t>TOTAL PASSAGE</t>
  </si>
  <si>
    <t>MATERIEL TST</t>
  </si>
  <si>
    <t>SAV GAINES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</si>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</sst>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.00_ ;\-#,##0.00\ "/>
    <numFmt numFmtId="165" formatCode="_ * #,##0.00_ ;_ * \-#,##0.00_ ;_ * &quot;-&quot;??_ ;_ @_ "/>
    <numFmt numFmtId="166" formatCode="0.0%"/>
    <numFmt numFmtId="167" formatCode="#,##0_ ;[Red]\-#,##0\ "/>
    <numFmt numFmtId="168" formatCode="_ * #,##0_ ;_ * \-#,##0_ ;_ * &quot;-&quot;??_ ;_ @_ "/>
    <numFmt numFmtId="169" formatCode="_ &quot;SFr.&quot;\ * #,##0.00_ ;_ &quot;SFr.&quot;\ * \-#,##0.00_ ;_ &quot;SFr.&quot;\ * &quot;-&quot;??_ ;_ @_ "/>
    <numFmt numFmtId="170" formatCode="_-* #,##0.00\ _F_-;\-* #,##0.00\ _F_-;_-* &quot;-&quot;??\ _F_-;_-@_-"/>
    <numFmt numFmtId="171" formatCode="#,##0.00_ ;[Red]\-#,##0.00\ "/>
    <numFmt numFmtId="172" formatCode="#,##0.00;\-\ #,##0.00;_-* &quot;-&quot;??\ _F_-;_-@_-"/>
    <numFmt numFmtId="173" formatCode="#,##0.000"/>
    <numFmt numFmtId="174" formatCode="_-* #,##0.00\ _C_H_F_-;\-* #,##0.00\ _C_H_F_-;_-* &quot;-&quot;??\ _C_H_F_-;_-@_-"/>
  </numFmts>
  <fonts count="27" x14ac:knownFonts="1">
    <font>
      <sz val="11"/>
      <color rgb="FF000000"/>
      <name val="Calibri"/>
      <family val="2"/>
      <charset val="1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Times New Roman"/>
      <family val="1"/>
    </font>
    <font>
      <b/>
      <sz val="12"/>
      <name val="Comic Sans MS"/>
      <family val="4"/>
    </font>
    <font>
      <b/>
      <sz val="12"/>
      <name val="Times New Roman"/>
      <family val="1"/>
    </font>
    <font>
      <b/>
      <u/>
      <sz val="10"/>
      <name val="Times New Roman"/>
      <family val="1"/>
    </font>
    <font>
      <sz val="10"/>
      <name val="Comic Sans MS"/>
      <family val="4"/>
    </font>
    <font>
      <sz val="12"/>
      <name val="Comic Sans MS"/>
      <family val="4"/>
    </font>
    <font>
      <b/>
      <sz val="10"/>
      <name val="Comic Sans MS"/>
      <family val="4"/>
    </font>
    <font>
      <b/>
      <sz val="12"/>
      <color rgb="FFFF0000"/>
      <name val="Comic Sans MS"/>
      <family val="4"/>
    </font>
    <font>
      <b/>
      <sz val="12"/>
      <name val="Arial"/>
      <family val="2"/>
    </font>
    <font>
      <b/>
      <sz val="10"/>
      <name val="Times New Roman"/>
      <family val="1"/>
    </font>
    <font>
      <u/>
      <sz val="11"/>
      <color rgb="FFFFFFFF"/>
      <name val="Calibri"/>
      <family val="2"/>
    </font>
    <font>
      <sz val="10"/>
      <color rgb="FFFFFFFF"/>
      <name val="Comic Sans MS"/>
      <family val="4"/>
    </font>
    <font>
      <b/>
      <u/>
      <sz val="10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  <font>
      <b/>
      <sz val="10"/>
      <color rgb="FF000080"/>
      <name val="Arial"/>
      <family val="2"/>
    </font>
    <font>
      <sz val="10"/>
      <color rgb="FF0000FF"/>
      <name val="Arial"/>
      <family val="2"/>
    </font>
    <font>
      <sz val="10"/>
      <color rgb="FF000080"/>
      <name val="Arial"/>
      <family val="2"/>
    </font>
    <font>
      <sz val="9"/>
      <name val="Arial"/>
      <family val="2"/>
    </font>
    <font>
      <b/>
      <sz val="8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FFFF"/>
        <bgColor rgb="FF000000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170" fontId="5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90">
    <xf numFmtId="0" fontId="0" fillId="0" borderId="0" xfId="0"/>
    <xf numFmtId="0" fontId="0" fillId="0" borderId="0" xfId="0" applyProtection="1">
      <protection locked="0"/>
    </xf>
    <xf numFmtId="0" fontId="1" fillId="0" borderId="0" xfId="1" applyProtection="1">
      <protection locked="0"/>
    </xf>
    <xf numFmtId="0" fontId="6" fillId="0" borderId="0" xfId="3" applyFont="1" applyAlignment="1">
      <alignment horizontal="left"/>
    </xf>
    <xf numFmtId="14" fontId="7" fillId="0" borderId="0" xfId="2" quotePrefix="1" applyNumberFormat="1" applyFont="1" applyFill="1" applyBorder="1" applyAlignment="1" applyProtection="1">
      <alignment horizontal="center"/>
    </xf>
    <xf numFmtId="0" fontId="7" fillId="0" borderId="0" xfId="3" applyFont="1" applyAlignment="1">
      <alignment horizontal="center"/>
    </xf>
    <xf numFmtId="0" fontId="7" fillId="0" borderId="0" xfId="3" applyFont="1" applyAlignment="1" applyProtection="1">
      <alignment horizontal="center"/>
      <protection locked="0"/>
    </xf>
    <xf numFmtId="0" fontId="5" fillId="0" borderId="0" xfId="3" applyProtection="1">
      <protection locked="0"/>
    </xf>
    <xf numFmtId="0" fontId="5" fillId="0" borderId="0" xfId="3"/>
    <xf numFmtId="165" fontId="5" fillId="0" borderId="0" xfId="2" applyFont="1" applyFill="1" applyBorder="1" applyProtection="1"/>
    <xf numFmtId="0" fontId="5" fillId="0" borderId="8" xfId="3" applyBorder="1"/>
    <xf numFmtId="0" fontId="8" fillId="0" borderId="0" xfId="3" applyFont="1"/>
    <xf numFmtId="10" fontId="9" fillId="0" borderId="0" xfId="4" applyNumberFormat="1" applyFont="1" applyFill="1" applyBorder="1" applyProtection="1">
      <protection locked="0"/>
    </xf>
    <xf numFmtId="0" fontId="5" fillId="0" borderId="11" xfId="3" applyBorder="1"/>
    <xf numFmtId="0" fontId="1" fillId="0" borderId="0" xfId="1" applyAlignment="1" applyProtection="1">
      <alignment horizontal="center" vertical="center" shrinkToFit="1"/>
      <protection locked="0"/>
    </xf>
    <xf numFmtId="0" fontId="11" fillId="0" borderId="14" xfId="3" applyFont="1" applyBorder="1"/>
    <xf numFmtId="165" fontId="11" fillId="0" borderId="15" xfId="2" applyFont="1" applyFill="1" applyBorder="1" applyProtection="1"/>
    <xf numFmtId="0" fontId="11" fillId="0" borderId="15" xfId="3" applyFont="1" applyBorder="1"/>
    <xf numFmtId="0" fontId="11" fillId="0" borderId="16" xfId="3" applyFont="1" applyBorder="1" applyAlignment="1">
      <alignment horizontal="center"/>
    </xf>
    <xf numFmtId="0" fontId="11" fillId="0" borderId="0" xfId="3" applyFont="1" applyAlignment="1" applyProtection="1">
      <alignment horizontal="center"/>
      <protection locked="0"/>
    </xf>
    <xf numFmtId="0" fontId="9" fillId="0" borderId="0" xfId="3" applyFont="1" applyProtection="1">
      <protection locked="0"/>
    </xf>
    <xf numFmtId="0" fontId="11" fillId="3" borderId="17" xfId="3" applyFont="1" applyFill="1" applyBorder="1"/>
    <xf numFmtId="165" fontId="11" fillId="3" borderId="1" xfId="2" applyFont="1" applyFill="1" applyBorder="1" applyAlignment="1" applyProtection="1">
      <alignment horizontal="center"/>
    </xf>
    <xf numFmtId="10" fontId="11" fillId="3" borderId="1" xfId="3" applyNumberFormat="1" applyFont="1" applyFill="1" applyBorder="1" applyAlignment="1">
      <alignment horizontal="center"/>
    </xf>
    <xf numFmtId="10" fontId="11" fillId="3" borderId="18" xfId="4" applyNumberFormat="1" applyFont="1" applyFill="1" applyBorder="1" applyAlignment="1" applyProtection="1">
      <alignment horizontal="center"/>
    </xf>
    <xf numFmtId="10" fontId="11" fillId="0" borderId="0" xfId="4" applyNumberFormat="1" applyFont="1" applyFill="1" applyBorder="1" applyAlignment="1" applyProtection="1">
      <alignment horizontal="center"/>
      <protection locked="0"/>
    </xf>
    <xf numFmtId="0" fontId="9" fillId="0" borderId="17" xfId="3" applyFont="1" applyBorder="1"/>
    <xf numFmtId="165" fontId="9" fillId="0" borderId="1" xfId="2" applyFont="1" applyFill="1" applyBorder="1" applyAlignment="1" applyProtection="1">
      <alignment horizontal="center"/>
    </xf>
    <xf numFmtId="10" fontId="9" fillId="0" borderId="1" xfId="3" applyNumberFormat="1" applyFont="1" applyBorder="1" applyAlignment="1">
      <alignment horizontal="center"/>
    </xf>
    <xf numFmtId="10" fontId="9" fillId="0" borderId="18" xfId="4" applyNumberFormat="1" applyFont="1" applyFill="1" applyBorder="1" applyAlignment="1" applyProtection="1">
      <alignment horizontal="center"/>
    </xf>
    <xf numFmtId="0" fontId="9" fillId="0" borderId="19" xfId="3" applyFont="1" applyBorder="1"/>
    <xf numFmtId="165" fontId="9" fillId="0" borderId="20" xfId="2" applyFont="1" applyFill="1" applyBorder="1" applyAlignment="1" applyProtection="1">
      <alignment horizontal="center"/>
    </xf>
    <xf numFmtId="10" fontId="9" fillId="0" borderId="20" xfId="3" applyNumberFormat="1" applyFont="1" applyBorder="1" applyAlignment="1">
      <alignment horizontal="center"/>
    </xf>
    <xf numFmtId="10" fontId="9" fillId="0" borderId="21" xfId="4" applyNumberFormat="1" applyFont="1" applyFill="1" applyBorder="1" applyAlignment="1" applyProtection="1">
      <alignment horizontal="center"/>
    </xf>
    <xf numFmtId="166" fontId="9" fillId="0" borderId="0" xfId="4" applyNumberFormat="1" applyFont="1" applyFill="1" applyBorder="1" applyAlignment="1" applyProtection="1">
      <alignment horizontal="center"/>
      <protection locked="0"/>
    </xf>
    <xf numFmtId="165" fontId="9" fillId="0" borderId="0" xfId="2" applyFont="1" applyFill="1" applyBorder="1" applyAlignment="1" applyProtection="1">
      <alignment horizontal="center"/>
    </xf>
    <xf numFmtId="10" fontId="9" fillId="0" borderId="0" xfId="3" applyNumberFormat="1" applyFont="1" applyAlignment="1">
      <alignment horizontal="center"/>
    </xf>
    <xf numFmtId="10" fontId="9" fillId="0" borderId="0" xfId="4" applyNumberFormat="1" applyFont="1" applyFill="1" applyBorder="1" applyAlignment="1" applyProtection="1">
      <alignment horizontal="center"/>
    </xf>
    <xf numFmtId="165" fontId="9" fillId="0" borderId="0" xfId="2" applyFont="1" applyFill="1" applyBorder="1" applyAlignment="1" applyProtection="1">
      <alignment horizontal="center"/>
      <protection locked="0"/>
    </xf>
    <xf numFmtId="10" fontId="9" fillId="0" borderId="0" xfId="3" applyNumberFormat="1" applyFont="1" applyAlignment="1" applyProtection="1">
      <alignment horizontal="center"/>
      <protection locked="0"/>
    </xf>
    <xf numFmtId="10" fontId="9" fillId="0" borderId="0" xfId="4" applyNumberFormat="1" applyFont="1" applyFill="1" applyBorder="1" applyAlignment="1" applyProtection="1">
      <alignment horizontal="center"/>
      <protection locked="0"/>
    </xf>
    <xf numFmtId="0" fontId="9" fillId="0" borderId="0" xfId="3" applyFont="1" applyAlignment="1" applyProtection="1">
      <alignment horizontal="center"/>
      <protection locked="0"/>
    </xf>
    <xf numFmtId="167" fontId="9" fillId="0" borderId="0" xfId="1" applyNumberFormat="1" applyFont="1" applyProtection="1">
      <protection locked="0"/>
    </xf>
    <xf numFmtId="165" fontId="9" fillId="0" borderId="0" xfId="3" applyNumberFormat="1" applyFont="1" applyAlignment="1" applyProtection="1">
      <alignment horizontal="center"/>
      <protection locked="0"/>
    </xf>
    <xf numFmtId="0" fontId="11" fillId="0" borderId="22" xfId="1" applyFont="1" applyBorder="1" applyAlignment="1" applyProtection="1">
      <alignment horizontal="left"/>
      <protection locked="0"/>
    </xf>
    <xf numFmtId="0" fontId="5" fillId="0" borderId="23" xfId="1" applyFont="1" applyBorder="1" applyProtection="1">
      <protection locked="0"/>
    </xf>
    <xf numFmtId="0" fontId="5" fillId="0" borderId="24" xfId="1" applyFont="1" applyBorder="1" applyProtection="1">
      <protection locked="0"/>
    </xf>
    <xf numFmtId="15" fontId="9" fillId="0" borderId="17" xfId="1" applyNumberFormat="1" applyFont="1" applyBorder="1" applyAlignment="1" applyProtection="1">
      <alignment horizontal="center"/>
      <protection locked="0"/>
    </xf>
    <xf numFmtId="167" fontId="9" fillId="0" borderId="1" xfId="1" applyNumberFormat="1" applyFont="1" applyBorder="1" applyAlignment="1" applyProtection="1">
      <alignment horizontal="center"/>
      <protection locked="0"/>
    </xf>
    <xf numFmtId="166" fontId="9" fillId="0" borderId="25" xfId="4" applyNumberFormat="1" applyFont="1" applyFill="1" applyBorder="1" applyAlignment="1" applyProtection="1">
      <alignment horizontal="center"/>
      <protection locked="0"/>
    </xf>
    <xf numFmtId="15" fontId="9" fillId="0" borderId="26" xfId="1" applyNumberFormat="1" applyFont="1" applyBorder="1" applyProtection="1">
      <protection locked="0"/>
    </xf>
    <xf numFmtId="167" fontId="9" fillId="0" borderId="27" xfId="1" applyNumberFormat="1" applyFont="1" applyBorder="1" applyProtection="1">
      <protection locked="0"/>
    </xf>
    <xf numFmtId="10" fontId="9" fillId="0" borderId="28" xfId="4" applyNumberFormat="1" applyFont="1" applyFill="1" applyBorder="1" applyAlignment="1" applyProtection="1">
      <alignment horizontal="center"/>
      <protection locked="0"/>
    </xf>
    <xf numFmtId="165" fontId="12" fillId="0" borderId="0" xfId="2" applyFont="1" applyFill="1" applyBorder="1" applyAlignment="1" applyProtection="1">
      <protection locked="0"/>
    </xf>
    <xf numFmtId="0" fontId="10" fillId="0" borderId="0" xfId="3" applyFont="1" applyAlignment="1" applyProtection="1">
      <alignment horizontal="center"/>
      <protection locked="0"/>
    </xf>
    <xf numFmtId="165" fontId="13" fillId="0" borderId="0" xfId="2" applyFont="1" applyFill="1" applyBorder="1" applyAlignment="1" applyProtection="1">
      <alignment vertical="center"/>
      <protection locked="0"/>
    </xf>
    <xf numFmtId="0" fontId="14" fillId="0" borderId="0" xfId="3" applyFont="1" applyAlignment="1" applyProtection="1">
      <alignment horizontal="center"/>
      <protection locked="0"/>
    </xf>
    <xf numFmtId="15" fontId="9" fillId="0" borderId="0" xfId="1" applyNumberFormat="1" applyFont="1" applyProtection="1">
      <protection locked="0"/>
    </xf>
    <xf numFmtId="9" fontId="9" fillId="0" borderId="0" xfId="4" applyFont="1" applyFill="1" applyBorder="1" applyProtection="1">
      <protection locked="0"/>
    </xf>
    <xf numFmtId="165" fontId="5" fillId="0" borderId="0" xfId="2" applyFont="1" applyFill="1" applyBorder="1" applyProtection="1">
      <protection locked="0"/>
    </xf>
    <xf numFmtId="0" fontId="1" fillId="0" borderId="0" xfId="3" applyFont="1" applyProtection="1">
      <protection locked="0"/>
    </xf>
    <xf numFmtId="0" fontId="3" fillId="2" borderId="29" xfId="3" applyFont="1" applyFill="1" applyBorder="1" applyAlignment="1" applyProtection="1">
      <alignment horizontal="center"/>
      <protection locked="0"/>
    </xf>
    <xf numFmtId="165" fontId="3" fillId="0" borderId="30" xfId="2" applyFont="1" applyFill="1" applyBorder="1" applyAlignment="1" applyProtection="1">
      <alignment horizontal="center"/>
      <protection locked="0"/>
    </xf>
    <xf numFmtId="0" fontId="1" fillId="0" borderId="0" xfId="3" applyFont="1" applyAlignment="1" applyProtection="1">
      <alignment horizontal="center"/>
      <protection locked="0"/>
    </xf>
    <xf numFmtId="15" fontId="1" fillId="0" borderId="0" xfId="3" applyNumberFormat="1" applyFont="1" applyProtection="1">
      <protection locked="0"/>
    </xf>
    <xf numFmtId="0" fontId="3" fillId="0" borderId="17" xfId="3" applyFont="1" applyBorder="1" applyProtection="1">
      <protection locked="0"/>
    </xf>
    <xf numFmtId="168" fontId="3" fillId="4" borderId="31" xfId="2" applyNumberFormat="1" applyFont="1" applyFill="1" applyBorder="1" applyProtection="1">
      <protection locked="0"/>
    </xf>
    <xf numFmtId="168" fontId="1" fillId="0" borderId="0" xfId="3" applyNumberFormat="1" applyFont="1" applyProtection="1">
      <protection locked="0"/>
    </xf>
    <xf numFmtId="3" fontId="1" fillId="0" borderId="0" xfId="3" applyNumberFormat="1" applyFont="1" applyProtection="1">
      <protection locked="0"/>
    </xf>
    <xf numFmtId="0" fontId="15" fillId="0" borderId="0" xfId="0" applyFont="1" applyProtection="1">
      <protection locked="0"/>
    </xf>
    <xf numFmtId="167" fontId="16" fillId="0" borderId="0" xfId="1" applyNumberFormat="1" applyFont="1" applyProtection="1">
      <protection locked="0"/>
    </xf>
    <xf numFmtId="166" fontId="9" fillId="0" borderId="0" xfId="4" applyNumberFormat="1" applyFont="1" applyFill="1" applyBorder="1" applyProtection="1">
      <protection locked="0"/>
    </xf>
    <xf numFmtId="0" fontId="1" fillId="0" borderId="32" xfId="3" applyFont="1" applyBorder="1" applyProtection="1">
      <protection locked="0"/>
    </xf>
    <xf numFmtId="168" fontId="3" fillId="0" borderId="33" xfId="2" applyNumberFormat="1" applyFont="1" applyFill="1" applyBorder="1" applyProtection="1">
      <protection locked="0"/>
    </xf>
    <xf numFmtId="4" fontId="1" fillId="0" borderId="0" xfId="3" applyNumberFormat="1" applyFont="1" applyProtection="1">
      <protection locked="0"/>
    </xf>
    <xf numFmtId="15" fontId="9" fillId="0" borderId="0" xfId="3" applyNumberFormat="1" applyFont="1" applyProtection="1">
      <protection locked="0"/>
    </xf>
    <xf numFmtId="169" fontId="1" fillId="0" borderId="32" xfId="5" applyFont="1" applyFill="1" applyBorder="1" applyProtection="1">
      <protection locked="0"/>
    </xf>
    <xf numFmtId="0" fontId="3" fillId="0" borderId="34" xfId="3" applyFont="1" applyBorder="1" applyProtection="1">
      <protection locked="0"/>
    </xf>
    <xf numFmtId="168" fontId="1" fillId="0" borderId="0" xfId="3" applyNumberFormat="1" applyFont="1" applyAlignment="1" applyProtection="1">
      <alignment horizontal="center" vertical="center"/>
      <protection locked="0"/>
    </xf>
    <xf numFmtId="168" fontId="1" fillId="0" borderId="33" xfId="2" applyNumberFormat="1" applyFont="1" applyFill="1" applyBorder="1" applyProtection="1">
      <protection locked="0"/>
    </xf>
    <xf numFmtId="0" fontId="1" fillId="0" borderId="35" xfId="3" applyFont="1" applyBorder="1" applyProtection="1">
      <protection locked="0"/>
    </xf>
    <xf numFmtId="168" fontId="1" fillId="0" borderId="36" xfId="2" applyNumberFormat="1" applyFont="1" applyFill="1" applyBorder="1" applyProtection="1">
      <protection locked="0"/>
    </xf>
    <xf numFmtId="0" fontId="3" fillId="0" borderId="26" xfId="3" applyFont="1" applyBorder="1" applyProtection="1">
      <protection locked="0"/>
    </xf>
    <xf numFmtId="168" fontId="3" fillId="0" borderId="37" xfId="2" applyNumberFormat="1" applyFont="1" applyFill="1" applyBorder="1" applyProtection="1">
      <protection locked="0"/>
    </xf>
    <xf numFmtId="168" fontId="1" fillId="0" borderId="37" xfId="2" applyNumberFormat="1" applyFont="1" applyFill="1" applyBorder="1" applyProtection="1">
      <protection locked="0"/>
    </xf>
    <xf numFmtId="10" fontId="1" fillId="0" borderId="0" xfId="4" applyNumberFormat="1" applyFont="1" applyFill="1" applyBorder="1" applyProtection="1">
      <protection locked="0"/>
    </xf>
    <xf numFmtId="168" fontId="1" fillId="0" borderId="0" xfId="2" applyNumberFormat="1" applyFont="1" applyFill="1" applyBorder="1" applyProtection="1">
      <protection locked="0"/>
    </xf>
    <xf numFmtId="0" fontId="3" fillId="0" borderId="38" xfId="3" applyFont="1" applyBorder="1" applyAlignment="1" applyProtection="1">
      <alignment horizontal="left"/>
      <protection locked="0"/>
    </xf>
    <xf numFmtId="0" fontId="3" fillId="0" borderId="23" xfId="3" applyFont="1" applyBorder="1" applyAlignment="1" applyProtection="1">
      <alignment horizontal="left"/>
      <protection locked="0"/>
    </xf>
    <xf numFmtId="0" fontId="1" fillId="0" borderId="23" xfId="3" applyFont="1" applyBorder="1" applyProtection="1">
      <protection locked="0"/>
    </xf>
    <xf numFmtId="0" fontId="1" fillId="0" borderId="24" xfId="3" applyFont="1" applyBorder="1" applyProtection="1">
      <protection locked="0"/>
    </xf>
    <xf numFmtId="0" fontId="17" fillId="2" borderId="39" xfId="3" applyFont="1" applyFill="1" applyBorder="1" applyProtection="1">
      <protection locked="0"/>
    </xf>
    <xf numFmtId="168" fontId="1" fillId="0" borderId="40" xfId="2" applyNumberFormat="1" applyFont="1" applyFill="1" applyBorder="1" applyProtection="1">
      <protection locked="0"/>
    </xf>
    <xf numFmtId="168" fontId="1" fillId="0" borderId="41" xfId="3" applyNumberFormat="1" applyFont="1" applyBorder="1" applyProtection="1">
      <protection locked="0"/>
    </xf>
    <xf numFmtId="0" fontId="1" fillId="0" borderId="6" xfId="6" applyBorder="1" applyProtection="1">
      <protection locked="0"/>
    </xf>
    <xf numFmtId="0" fontId="19" fillId="5" borderId="43" xfId="6" applyFont="1" applyFill="1" applyBorder="1" applyAlignment="1" applyProtection="1">
      <alignment horizontal="center"/>
      <protection locked="0"/>
    </xf>
    <xf numFmtId="0" fontId="18" fillId="5" borderId="43" xfId="6" applyFont="1" applyFill="1" applyBorder="1" applyAlignment="1" applyProtection="1">
      <alignment horizontal="center"/>
      <protection locked="0"/>
    </xf>
    <xf numFmtId="0" fontId="1" fillId="0" borderId="0" xfId="6" applyAlignment="1" applyProtection="1">
      <alignment horizontal="center"/>
      <protection locked="0"/>
    </xf>
    <xf numFmtId="0" fontId="20" fillId="5" borderId="45" xfId="6" applyFont="1" applyFill="1" applyBorder="1" applyAlignment="1" applyProtection="1">
      <alignment horizontal="center"/>
      <protection locked="0"/>
    </xf>
    <xf numFmtId="0" fontId="3" fillId="0" borderId="46" xfId="3" applyFont="1" applyBorder="1" applyProtection="1">
      <protection locked="0"/>
    </xf>
    <xf numFmtId="168" fontId="3" fillId="4" borderId="47" xfId="2" applyNumberFormat="1" applyFont="1" applyFill="1" applyBorder="1" applyAlignment="1" applyProtection="1">
      <alignment horizontal="right"/>
      <protection locked="0"/>
    </xf>
    <xf numFmtId="0" fontId="19" fillId="5" borderId="49" xfId="6" applyFont="1" applyFill="1" applyBorder="1" applyAlignment="1" applyProtection="1">
      <alignment horizontal="center"/>
      <protection locked="0"/>
    </xf>
    <xf numFmtId="0" fontId="18" fillId="5" borderId="49" xfId="6" applyFont="1" applyFill="1" applyBorder="1" applyAlignment="1" applyProtection="1">
      <alignment horizontal="center"/>
      <protection locked="0"/>
    </xf>
    <xf numFmtId="0" fontId="20" fillId="5" borderId="51" xfId="6" applyFont="1" applyFill="1" applyBorder="1" applyAlignment="1" applyProtection="1">
      <alignment horizontal="center"/>
      <protection locked="0"/>
    </xf>
    <xf numFmtId="0" fontId="1" fillId="0" borderId="52" xfId="3" applyFont="1" applyBorder="1" applyProtection="1">
      <protection locked="0"/>
    </xf>
    <xf numFmtId="168" fontId="1" fillId="0" borderId="53" xfId="2" applyNumberFormat="1" applyFont="1" applyFill="1" applyBorder="1" applyProtection="1">
      <protection locked="0"/>
    </xf>
    <xf numFmtId="0" fontId="1" fillId="0" borderId="54" xfId="6" applyBorder="1" applyProtection="1">
      <protection locked="0"/>
    </xf>
    <xf numFmtId="165" fontId="21" fillId="6" borderId="2" xfId="2" applyFont="1" applyFill="1" applyBorder="1" applyProtection="1">
      <protection locked="0"/>
    </xf>
    <xf numFmtId="38" fontId="1" fillId="0" borderId="2" xfId="7" applyNumberFormat="1" applyFont="1" applyFill="1" applyBorder="1" applyProtection="1">
      <protection locked="0"/>
    </xf>
    <xf numFmtId="165" fontId="22" fillId="0" borderId="55" xfId="2" applyFont="1" applyFill="1" applyBorder="1" applyProtection="1">
      <protection locked="0"/>
    </xf>
    <xf numFmtId="38" fontId="1" fillId="0" borderId="55" xfId="7" applyNumberFormat="1" applyFont="1" applyFill="1" applyBorder="1" applyProtection="1">
      <protection locked="0"/>
    </xf>
    <xf numFmtId="38" fontId="1" fillId="0" borderId="0" xfId="7" applyNumberFormat="1" applyFont="1" applyFill="1" applyBorder="1" applyProtection="1">
      <protection locked="0"/>
    </xf>
    <xf numFmtId="38" fontId="22" fillId="0" borderId="56" xfId="7" applyNumberFormat="1" applyFont="1" applyFill="1" applyBorder="1" applyProtection="1">
      <protection locked="0"/>
    </xf>
    <xf numFmtId="0" fontId="3" fillId="0" borderId="57" xfId="3" applyFont="1" applyBorder="1" applyProtection="1">
      <protection locked="0"/>
    </xf>
    <xf numFmtId="168" fontId="3" fillId="0" borderId="58" xfId="2" applyNumberFormat="1" applyFont="1" applyFill="1" applyBorder="1" applyAlignment="1" applyProtection="1">
      <alignment horizontal="right"/>
      <protection locked="0"/>
    </xf>
    <xf numFmtId="168" fontId="1" fillId="0" borderId="58" xfId="2" applyNumberFormat="1" applyFont="1" applyFill="1" applyBorder="1" applyAlignment="1" applyProtection="1">
      <alignment horizontal="right"/>
      <protection locked="0"/>
    </xf>
    <xf numFmtId="0" fontId="5" fillId="0" borderId="32" xfId="6" applyFont="1" applyBorder="1" applyProtection="1">
      <protection locked="0"/>
    </xf>
    <xf numFmtId="3" fontId="21" fillId="0" borderId="2" xfId="7" applyNumberFormat="1" applyFont="1" applyFill="1" applyBorder="1" applyProtection="1">
      <protection locked="0"/>
    </xf>
    <xf numFmtId="40" fontId="1" fillId="0" borderId="2" xfId="7" applyNumberFormat="1" applyFont="1" applyFill="1" applyBorder="1" applyProtection="1">
      <protection locked="0"/>
    </xf>
    <xf numFmtId="165" fontId="1" fillId="0" borderId="2" xfId="2" applyFont="1" applyFill="1" applyBorder="1" applyProtection="1">
      <protection locked="0"/>
    </xf>
    <xf numFmtId="165" fontId="22" fillId="0" borderId="56" xfId="2" applyFont="1" applyFill="1" applyBorder="1" applyProtection="1">
      <protection locked="0"/>
    </xf>
    <xf numFmtId="38" fontId="3" fillId="0" borderId="0" xfId="7" applyNumberFormat="1" applyFont="1" applyFill="1" applyBorder="1" applyProtection="1">
      <protection locked="0"/>
    </xf>
    <xf numFmtId="0" fontId="3" fillId="0" borderId="59" xfId="3" applyFont="1" applyBorder="1" applyProtection="1">
      <protection locked="0"/>
    </xf>
    <xf numFmtId="168" fontId="3" fillId="4" borderId="60" xfId="2" applyNumberFormat="1" applyFont="1" applyFill="1" applyBorder="1" applyAlignment="1" applyProtection="1">
      <alignment horizontal="right"/>
      <protection locked="0"/>
    </xf>
    <xf numFmtId="3" fontId="3" fillId="0" borderId="0" xfId="3" applyNumberFormat="1" applyFont="1" applyProtection="1">
      <protection locked="0"/>
    </xf>
    <xf numFmtId="0" fontId="17" fillId="0" borderId="57" xfId="3" applyFont="1" applyBorder="1" applyProtection="1">
      <protection locked="0"/>
    </xf>
    <xf numFmtId="168" fontId="1" fillId="0" borderId="58" xfId="2" applyNumberFormat="1" applyFont="1" applyFill="1" applyBorder="1" applyProtection="1">
      <protection locked="0"/>
    </xf>
    <xf numFmtId="167" fontId="1" fillId="0" borderId="0" xfId="3" applyNumberFormat="1" applyFont="1" applyProtection="1">
      <protection locked="0"/>
    </xf>
    <xf numFmtId="0" fontId="1" fillId="0" borderId="32" xfId="6" applyBorder="1" applyProtection="1">
      <protection locked="0"/>
    </xf>
    <xf numFmtId="38" fontId="4" fillId="0" borderId="0" xfId="7" applyNumberFormat="1" applyFont="1" applyFill="1" applyBorder="1" applyProtection="1">
      <protection locked="0"/>
    </xf>
    <xf numFmtId="40" fontId="1" fillId="0" borderId="4" xfId="3" applyNumberFormat="1" applyFont="1" applyBorder="1" applyProtection="1">
      <protection locked="0"/>
    </xf>
    <xf numFmtId="40" fontId="1" fillId="0" borderId="2" xfId="3" applyNumberFormat="1" applyFont="1" applyBorder="1" applyProtection="1">
      <protection locked="0"/>
    </xf>
    <xf numFmtId="0" fontId="1" fillId="0" borderId="59" xfId="3" applyFont="1" applyBorder="1" applyProtection="1">
      <protection locked="0"/>
    </xf>
    <xf numFmtId="168" fontId="1" fillId="0" borderId="60" xfId="2" applyNumberFormat="1" applyFont="1" applyFill="1" applyBorder="1" applyProtection="1">
      <protection locked="0"/>
    </xf>
    <xf numFmtId="167" fontId="3" fillId="0" borderId="0" xfId="3" applyNumberFormat="1" applyFont="1" applyProtection="1">
      <protection locked="0"/>
    </xf>
    <xf numFmtId="0" fontId="4" fillId="0" borderId="32" xfId="6" applyFont="1" applyBorder="1" applyProtection="1">
      <protection locked="0"/>
    </xf>
    <xf numFmtId="167" fontId="1" fillId="0" borderId="2" xfId="7" applyNumberFormat="1" applyFont="1" applyFill="1" applyBorder="1" applyProtection="1">
      <protection locked="0"/>
    </xf>
    <xf numFmtId="0" fontId="1" fillId="0" borderId="6" xfId="3" applyFont="1" applyBorder="1" applyProtection="1">
      <protection locked="0"/>
    </xf>
    <xf numFmtId="168" fontId="19" fillId="0" borderId="61" xfId="2" applyNumberFormat="1" applyFont="1" applyFill="1" applyBorder="1" applyProtection="1">
      <protection locked="0"/>
    </xf>
    <xf numFmtId="168" fontId="4" fillId="0" borderId="53" xfId="2" applyNumberFormat="1" applyFont="1" applyFill="1" applyBorder="1" applyProtection="1">
      <protection locked="0"/>
    </xf>
    <xf numFmtId="165" fontId="21" fillId="0" borderId="2" xfId="2" applyFont="1" applyFill="1" applyBorder="1" applyProtection="1">
      <protection locked="0"/>
    </xf>
    <xf numFmtId="167" fontId="4" fillId="0" borderId="2" xfId="7" applyNumberFormat="1" applyFont="1" applyFill="1" applyBorder="1" applyProtection="1">
      <protection locked="0"/>
    </xf>
    <xf numFmtId="165" fontId="4" fillId="0" borderId="2" xfId="2" applyFont="1" applyFill="1" applyBorder="1" applyProtection="1">
      <protection locked="0"/>
    </xf>
    <xf numFmtId="0" fontId="17" fillId="0" borderId="52" xfId="3" applyFont="1" applyBorder="1" applyProtection="1">
      <protection locked="0"/>
    </xf>
    <xf numFmtId="165" fontId="4" fillId="6" borderId="2" xfId="2" applyFont="1" applyFill="1" applyBorder="1" applyProtection="1">
      <protection locked="0"/>
    </xf>
    <xf numFmtId="167" fontId="1" fillId="6" borderId="2" xfId="7" applyNumberFormat="1" applyFont="1" applyFill="1" applyBorder="1" applyProtection="1">
      <protection locked="0"/>
    </xf>
    <xf numFmtId="165" fontId="4" fillId="0" borderId="55" xfId="2" applyFont="1" applyFill="1" applyBorder="1" applyProtection="1">
      <protection locked="0"/>
    </xf>
    <xf numFmtId="40" fontId="1" fillId="6" borderId="2" xfId="7" applyNumberFormat="1" applyFont="1" applyFill="1" applyBorder="1" applyProtection="1">
      <protection locked="0"/>
    </xf>
    <xf numFmtId="165" fontId="1" fillId="6" borderId="2" xfId="2" applyFont="1" applyFill="1" applyBorder="1" applyProtection="1">
      <protection locked="0"/>
    </xf>
    <xf numFmtId="38" fontId="1" fillId="6" borderId="55" xfId="7" applyNumberFormat="1" applyFont="1" applyFill="1" applyBorder="1" applyProtection="1">
      <protection locked="0"/>
    </xf>
    <xf numFmtId="168" fontId="3" fillId="0" borderId="53" xfId="2" applyNumberFormat="1" applyFont="1" applyFill="1" applyBorder="1" applyProtection="1">
      <protection locked="0"/>
    </xf>
    <xf numFmtId="171" fontId="4" fillId="0" borderId="2" xfId="7" applyNumberFormat="1" applyFont="1" applyFill="1" applyBorder="1" applyProtection="1">
      <protection locked="0"/>
    </xf>
    <xf numFmtId="0" fontId="1" fillId="0" borderId="62" xfId="3" applyFont="1" applyBorder="1" applyProtection="1">
      <protection locked="0"/>
    </xf>
    <xf numFmtId="168" fontId="3" fillId="4" borderId="63" xfId="2" applyNumberFormat="1" applyFont="1" applyFill="1" applyBorder="1" applyProtection="1">
      <protection locked="0"/>
    </xf>
    <xf numFmtId="0" fontId="1" fillId="0" borderId="64" xfId="6" applyBorder="1" applyProtection="1">
      <protection locked="0"/>
    </xf>
    <xf numFmtId="165" fontId="21" fillId="0" borderId="65" xfId="2" applyFont="1" applyFill="1" applyBorder="1" applyProtection="1">
      <protection locked="0"/>
    </xf>
    <xf numFmtId="38" fontId="1" fillId="0" borderId="65" xfId="7" applyNumberFormat="1" applyFont="1" applyFill="1" applyBorder="1" applyProtection="1">
      <protection locked="0"/>
    </xf>
    <xf numFmtId="40" fontId="1" fillId="0" borderId="65" xfId="7" applyNumberFormat="1" applyFont="1" applyFill="1" applyBorder="1" applyProtection="1">
      <protection locked="0"/>
    </xf>
    <xf numFmtId="165" fontId="1" fillId="0" borderId="65" xfId="2" applyFont="1" applyFill="1" applyBorder="1" applyProtection="1">
      <protection locked="0"/>
    </xf>
    <xf numFmtId="10" fontId="1" fillId="0" borderId="0" xfId="2" applyNumberFormat="1" applyFont="1" applyFill="1" applyBorder="1" applyProtection="1">
      <protection locked="0"/>
    </xf>
    <xf numFmtId="166" fontId="1" fillId="0" borderId="0" xfId="4" applyNumberFormat="1" applyFont="1" applyFill="1" applyBorder="1" applyProtection="1">
      <protection locked="0"/>
    </xf>
    <xf numFmtId="172" fontId="3" fillId="0" borderId="19" xfId="6" applyNumberFormat="1" applyFont="1" applyBorder="1" applyProtection="1">
      <protection locked="0"/>
    </xf>
    <xf numFmtId="165" fontId="18" fillId="0" borderId="66" xfId="2" applyFont="1" applyFill="1" applyBorder="1" applyProtection="1">
      <protection locked="0"/>
    </xf>
    <xf numFmtId="3" fontId="18" fillId="0" borderId="66" xfId="7" applyNumberFormat="1" applyFont="1" applyFill="1" applyBorder="1" applyProtection="1">
      <protection locked="0"/>
    </xf>
    <xf numFmtId="4" fontId="18" fillId="0" borderId="66" xfId="7" applyNumberFormat="1" applyFont="1" applyFill="1" applyBorder="1" applyProtection="1">
      <protection locked="0"/>
    </xf>
    <xf numFmtId="0" fontId="1" fillId="0" borderId="0" xfId="3" applyFont="1" applyAlignment="1" applyProtection="1">
      <alignment horizontal="right"/>
      <protection locked="0"/>
    </xf>
    <xf numFmtId="165" fontId="1" fillId="0" borderId="0" xfId="2" applyFont="1" applyFill="1" applyBorder="1" applyProtection="1">
      <protection locked="0"/>
    </xf>
    <xf numFmtId="173" fontId="1" fillId="0" borderId="0" xfId="3" applyNumberFormat="1" applyFont="1" applyProtection="1">
      <protection locked="0"/>
    </xf>
    <xf numFmtId="165" fontId="3" fillId="0" borderId="0" xfId="2" applyFont="1" applyFill="1" applyBorder="1" applyAlignment="1" applyProtection="1">
      <alignment horizontal="right"/>
      <protection locked="0"/>
    </xf>
    <xf numFmtId="165" fontId="3" fillId="3" borderId="5" xfId="2" applyFont="1" applyFill="1" applyBorder="1" applyProtection="1">
      <protection locked="0"/>
    </xf>
    <xf numFmtId="165" fontId="1" fillId="0" borderId="0" xfId="2" applyFont="1" applyFill="1" applyBorder="1" applyAlignment="1" applyProtection="1">
      <alignment horizontal="right"/>
      <protection locked="0"/>
    </xf>
    <xf numFmtId="164" fontId="1" fillId="0" borderId="0" xfId="1" applyNumberFormat="1" applyAlignment="1" applyProtection="1">
      <alignment horizontal="right"/>
      <protection locked="0"/>
    </xf>
    <xf numFmtId="174" fontId="23" fillId="0" borderId="0" xfId="1" applyNumberFormat="1" applyFont="1" applyProtection="1">
      <protection locked="0"/>
    </xf>
    <xf numFmtId="164" fontId="1" fillId="0" borderId="0" xfId="3" applyNumberFormat="1" applyFont="1" applyProtection="1">
      <protection locked="0"/>
    </xf>
    <xf numFmtId="174" fontId="2" fillId="0" borderId="0" xfId="3" applyNumberFormat="1" applyFont="1" applyProtection="1">
      <protection locked="0"/>
    </xf>
    <xf numFmtId="174" fontId="1" fillId="0" borderId="0" xfId="3" applyNumberFormat="1" applyFont="1" applyProtection="1">
      <protection locked="0"/>
    </xf>
    <xf numFmtId="0" fontId="2" fillId="0" borderId="0" xfId="0" applyFont="1" applyProtection="1">
      <protection locked="0"/>
    </xf>
    <xf numFmtId="165" fontId="24" fillId="5" borderId="43" xfId="8" applyFont="1" applyFill="1" applyBorder="1" applyAlignment="1" applyProtection="1">
      <alignment horizontal="center"/>
      <protection locked="0"/>
    </xf>
    <xf numFmtId="165" fontId="2" fillId="0" borderId="0" xfId="8" applyFont="1" applyFill="1" applyBorder="1" applyProtection="1">
      <protection locked="0"/>
    </xf>
    <xf numFmtId="165" fontId="24" fillId="5" borderId="49" xfId="8" applyFont="1" applyFill="1" applyBorder="1" applyAlignment="1" applyProtection="1">
      <alignment horizontal="center"/>
      <protection locked="0"/>
    </xf>
    <xf numFmtId="17" fontId="18" fillId="5" borderId="42" xfId="6" applyNumberFormat="1" applyFont="1" applyFill="1" applyBorder="1" applyAlignment="1" applyProtection="1">
      <alignment horizontal="center" vertical="center" shrinkToFit="1"/>
      <protection locked="0"/>
    </xf>
    <xf numFmtId="17" fontId="18" fillId="5" borderId="48" xfId="6" applyNumberFormat="1" applyFont="1" applyFill="1" applyBorder="1" applyAlignment="1" applyProtection="1">
      <alignment horizontal="center" vertical="center" shrinkToFit="1"/>
      <protection locked="0"/>
    </xf>
    <xf numFmtId="0" fontId="6" fillId="2" borderId="9" xfId="3" applyFont="1" applyFill="1" applyBorder="1" applyAlignment="1">
      <alignment horizontal="center" shrinkToFit="1"/>
    </xf>
    <xf numFmtId="0" fontId="1" fillId="0" borderId="10" xfId="1" applyBorder="1" applyAlignment="1">
      <alignment horizontal="center" shrinkToFit="1"/>
    </xf>
    <xf numFmtId="14" fontId="10" fillId="2" borderId="12" xfId="3" applyNumberFormat="1" applyFont="1" applyFill="1" applyBorder="1" applyAlignment="1">
      <alignment horizontal="center" vertical="center" shrinkToFit="1"/>
    </xf>
    <xf numFmtId="0" fontId="1" fillId="0" borderId="13" xfId="1" applyBorder="1" applyAlignment="1">
      <alignment horizontal="center" vertical="center" shrinkToFit="1"/>
    </xf>
    <xf numFmtId="17" fontId="18" fillId="5" borderId="3" xfId="6" applyNumberFormat="1" applyFont="1" applyFill="1" applyBorder="1" applyAlignment="1" applyProtection="1">
      <alignment horizontal="center" vertical="center" shrinkToFit="1"/>
      <protection locked="0"/>
    </xf>
    <xf numFmtId="17" fontId="18" fillId="5" borderId="7" xfId="6" applyNumberFormat="1" applyFont="1" applyFill="1" applyBorder="1" applyAlignment="1" applyProtection="1">
      <alignment horizontal="center" vertical="center" shrinkToFit="1"/>
      <protection locked="0"/>
    </xf>
    <xf numFmtId="17" fontId="18" fillId="5" borderId="44" xfId="6" applyNumberFormat="1" applyFont="1" applyFill="1" applyBorder="1" applyAlignment="1" applyProtection="1">
      <alignment horizontal="center" vertical="center" shrinkToFit="1"/>
      <protection locked="0"/>
    </xf>
    <xf numFmtId="17" fontId="18" fillId="5" borderId="50" xfId="6" applyNumberFormat="1" applyFont="1" applyFill="1" applyBorder="1" applyAlignment="1" applyProtection="1">
      <alignment horizontal="center" vertical="center" shrinkToFit="1"/>
      <protection locked="0"/>
    </xf>
  </cellXfs>
  <cellStyles count="9">
    <cellStyle name="Milliers 2" xfId="2" xr:uid="{28AD72FE-B228-4C77-BCFD-463CB925F237}"/>
    <cellStyle name="Milliers 3" xfId="8" xr:uid="{37AC9435-F194-4935-9268-276BAAB6E7D0}"/>
    <cellStyle name="Milliers_PB6504-RIVE" xfId="7" xr:uid="{D8C80E00-3E88-450E-8518-7BBB9B7F0E02}"/>
    <cellStyle name="Monétaire 2" xfId="5" xr:uid="{5922DEF1-86C9-4736-85A4-7E487E64B211}"/>
    <cellStyle name="Normal" xfId="0" builtinId="0"/>
    <cellStyle name="Normal 2" xfId="1" xr:uid="{2458BBDB-9067-4FD0-AC53-CE0E1E99D5FA}"/>
    <cellStyle name="Normal_SEP GFC-DODIN" xfId="6" xr:uid="{BF37D8F7-575C-460F-BA78-E06409629F31}"/>
    <cellStyle name="Pourcentage 2 2" xfId="4" xr:uid="{4A877BA3-D166-486C-9106-35CE0EB0BDD2}"/>
    <cellStyle name="Standard_PA6001-B" xfId="3" xr:uid="{E3C10AB5-EFB8-4ADB-ACBF-143237E9DE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340179</xdr:colOff>
      <xdr:row>0</xdr:row>
      <xdr:rowOff>39460</xdr:rowOff>
    </xdr:from>
    <xdr:to>
      <xdr:col>12</xdr:col>
      <xdr:colOff>661305</xdr:colOff>
      <xdr:row>3</xdr:row>
      <xdr:rowOff>115960</xdr:rowOff>
    </xdr:to>
    <xdr:sp macro="[0]!ThisWorkbook1.Affichage_normal" textlink="">
      <xdr:nvSpPr>
        <xdr:cNvPr id="3" name="Normal" hidden="1">
          <a:extLst>
            <a:ext uri="{FF2B5EF4-FFF2-40B4-BE49-F238E27FC236}">
              <a16:creationId xmlns:a16="http://schemas.microsoft.com/office/drawing/2014/main" id="{187AED64-4D31-4C88-B0C4-7AB7595B32AE}"/>
            </a:ext>
          </a:extLst>
        </xdr:cNvPr>
        <xdr:cNvSpPr/>
      </xdr:nvSpPr>
      <xdr:spPr>
        <a:xfrm>
          <a:off x="7512504" y="39460"/>
          <a:ext cx="1749876" cy="6480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Passer</a:t>
          </a:r>
          <a:r>
            <a:rPr lang="en-US" sz="1400" b="1" baseline="0"/>
            <a:t> en a</a:t>
          </a:r>
          <a:r>
            <a:rPr lang="en-US" sz="1400" b="1"/>
            <a:t>ffichage normal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340179</xdr:colOff>
      <xdr:row>0</xdr:row>
      <xdr:rowOff>39460</xdr:rowOff>
    </xdr:from>
    <xdr:to>
      <xdr:col>12</xdr:col>
      <xdr:colOff>661305</xdr:colOff>
      <xdr:row>3</xdr:row>
      <xdr:rowOff>115960</xdr:rowOff>
    </xdr:to>
    <xdr:sp macro="[0]!ThisWorkbook1.Affichage_normal" textlink="">
      <xdr:nvSpPr>
        <xdr:cNvPr id="3" name="Normal" hidden="1">
          <a:extLst>
            <a:ext uri="{FF2B5EF4-FFF2-40B4-BE49-F238E27FC236}">
              <a16:creationId xmlns:a16="http://schemas.microsoft.com/office/drawing/2014/main" id="{A294064C-0F8E-4FD4-9900-9358129251E0}"/>
            </a:ext>
          </a:extLst>
        </xdr:cNvPr>
        <xdr:cNvSpPr/>
      </xdr:nvSpPr>
      <xdr:spPr>
        <a:xfrm>
          <a:off x="7512504" y="39460"/>
          <a:ext cx="1749876" cy="6480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Passer</a:t>
          </a:r>
          <a:r>
            <a:rPr lang="en-US" sz="1400" b="1" baseline="0"/>
            <a:t> en a</a:t>
          </a:r>
          <a:r>
            <a:rPr lang="en-US" sz="1400" b="1"/>
            <a:t>ffichage normal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VIADUCCV\GESTION\OBJECT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garde"/>
      <sheetName val="Sommaire"/>
      <sheetName val="Budgets et marges"/>
      <sheetName val="Ecarts"/>
      <sheetName val="Aléas"/>
      <sheetName val="Vente"/>
      <sheetName val="Déboursés"/>
      <sheetName val="ST et matéri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894ED-F1F0-4217-98A0-A841DE445876}">
  <sheetPr codeName="Feuil3"/>
  <dimension ref="A1:DF481"/>
  <sheetViews>
    <sheetView tabSelected="1" zoomScale="85" zoomScaleNormal="85" zoomScalePageLayoutView="60" workbookViewId="0"/>
  </sheetViews>
  <sheetFormatPr baseColWidth="10" defaultColWidth="10.7109375" defaultRowHeight="15" x14ac:dyDescent="0.25"/>
  <cols>
    <col min="1" max="96" width="10.7109375" style="1"/>
    <col min="97" max="97" width="30.7109375" style="1" bestFit="1" customWidth="1"/>
    <col min="98" max="98" width="16" style="1" bestFit="1" customWidth="1"/>
    <col min="99" max="99" width="16.28515625" style="1" bestFit="1" customWidth="1"/>
    <col min="100" max="100" width="16.42578125" style="1" bestFit="1" customWidth="1"/>
    <col min="101" max="101" width="10.7109375" style="1"/>
    <col min="102" max="102" width="46.85546875" style="1" bestFit="1" customWidth="1"/>
    <col min="103" max="103" width="15" style="1" bestFit="1" customWidth="1"/>
    <col min="104" max="104" width="12" style="1" bestFit="1" customWidth="1"/>
    <col min="105" max="105" width="15.42578125" style="1" bestFit="1" customWidth="1"/>
    <col min="106" max="106" width="13.85546875" style="1" bestFit="1" customWidth="1"/>
    <col min="107" max="107" width="12.42578125" style="1" bestFit="1" customWidth="1"/>
    <col min="108" max="108" width="11.5703125" style="1" bestFit="1" customWidth="1"/>
    <col min="109" max="109" width="3" style="1" bestFit="1" customWidth="1"/>
    <col min="110" max="110" width="13.140625" style="1" bestFit="1" customWidth="1"/>
    <col min="111" max="1010" width="10.7109375" style="1"/>
    <col min="1011" max="1017" width="11.5703125" style="1" customWidth="1"/>
    <col min="1018" max="16384" width="10.7109375" style="1"/>
  </cols>
  <sheetData>
    <row r="1" spans="1:3" x14ac:dyDescent="0.25">
      <c r="B1" s="1">
        <v>10</v>
      </c>
      <c r="C1" s="1">
        <v>15</v>
      </c>
    </row>
    <row r="2" spans="1:3" x14ac:dyDescent="0.25">
      <c r="B2" s="1">
        <v>9</v>
      </c>
      <c r="C2" s="1">
        <v>12</v>
      </c>
    </row>
    <row r="3" spans="1:3" x14ac:dyDescent="0.25">
      <c r="B3" s="1">
        <v>7</v>
      </c>
      <c r="C3" s="1">
        <v>5</v>
      </c>
    </row>
    <row r="4" spans="1:3" x14ac:dyDescent="0.25">
      <c r="B4" s="1">
        <v>9</v>
      </c>
      <c r="C4" s="1">
        <v>12</v>
      </c>
    </row>
    <row r="5" spans="1:3" x14ac:dyDescent="0.25">
      <c r="B5" s="1">
        <v>7</v>
      </c>
      <c r="C5" s="1">
        <v>5</v>
      </c>
    </row>
    <row r="6" spans="1:3" x14ac:dyDescent="0.25">
      <c r="B6" s="1">
        <v>1</v>
      </c>
      <c r="C6" s="1">
        <v>30</v>
      </c>
    </row>
    <row r="7" spans="1:3" x14ac:dyDescent="0.25">
      <c r="A7" s="1" t="s">
        <v>58</v>
      </c>
      <c r="B7" s="1">
        <f>SUM(B1:B6)</f>
        <v>43</v>
      </c>
      <c r="C7" s="1">
        <f>SUM(C1:C6)</f>
        <v>79</v>
      </c>
    </row>
    <row r="425" spans="97:110" ht="19.5" x14ac:dyDescent="0.4">
      <c r="CS425" s="3" t="s">
        <v>3</v>
      </c>
      <c r="CT425" s="4">
        <v>44135</v>
      </c>
      <c r="CU425" s="5"/>
      <c r="CV425" s="5"/>
      <c r="CW425" s="6"/>
      <c r="CX425" s="6"/>
      <c r="CY425" s="6"/>
      <c r="CZ425" s="6"/>
      <c r="DA425" s="6"/>
      <c r="DB425" s="7"/>
      <c r="DC425" s="6"/>
      <c r="DD425" s="7"/>
      <c r="DE425" s="7"/>
      <c r="DF425" s="7"/>
    </row>
    <row r="426" spans="97:110" ht="15.75" thickBot="1" x14ac:dyDescent="0.3">
      <c r="CS426" s="8"/>
      <c r="CT426" s="9"/>
      <c r="CU426" s="8"/>
      <c r="CV426" s="8"/>
      <c r="CW426" s="7"/>
      <c r="CX426" s="7"/>
      <c r="CY426" s="7"/>
      <c r="CZ426" s="7"/>
      <c r="DA426" s="7"/>
      <c r="DB426" s="7"/>
      <c r="DC426" s="7"/>
      <c r="DD426" s="7"/>
      <c r="DE426" s="7"/>
      <c r="DF426" s="7"/>
    </row>
    <row r="427" spans="97:110" ht="19.5" x14ac:dyDescent="0.4">
      <c r="CS427" s="10" t="s">
        <v>4</v>
      </c>
      <c r="CT427" s="182">
        <v>158001</v>
      </c>
      <c r="CU427" s="183"/>
      <c r="CV427" s="11"/>
      <c r="CW427" s="12"/>
      <c r="CX427" s="7"/>
      <c r="CY427" s="7"/>
      <c r="CZ427" s="7"/>
      <c r="DA427" s="7"/>
      <c r="DB427" s="7"/>
      <c r="DC427" s="7"/>
      <c r="DD427" s="7"/>
      <c r="DE427" s="7"/>
      <c r="DF427" s="7"/>
    </row>
    <row r="428" spans="97:110" ht="20.25" thickBot="1" x14ac:dyDescent="0.3">
      <c r="CS428" s="13" t="s">
        <v>5</v>
      </c>
      <c r="CT428" s="184" t="s">
        <v>56</v>
      </c>
      <c r="CU428" s="185"/>
      <c r="CV428" s="11"/>
      <c r="CW428" s="14"/>
      <c r="CX428" s="7"/>
      <c r="CY428" s="7"/>
      <c r="CZ428" s="7"/>
      <c r="DA428" s="7"/>
      <c r="DB428" s="7"/>
      <c r="DC428" s="7"/>
      <c r="DD428" s="7"/>
      <c r="DE428" s="7"/>
      <c r="DF428" s="7"/>
    </row>
    <row r="429" spans="97:110" ht="15.75" thickBot="1" x14ac:dyDescent="0.3">
      <c r="CS429" s="8"/>
      <c r="CT429" s="9"/>
      <c r="CU429" s="8"/>
      <c r="CV429" s="8"/>
      <c r="CW429" s="7"/>
      <c r="CX429" s="7"/>
      <c r="CY429" s="7"/>
      <c r="CZ429" s="7"/>
      <c r="DA429" s="7"/>
      <c r="DB429" s="7"/>
      <c r="DC429" s="7"/>
      <c r="DD429" s="7"/>
      <c r="DE429" s="7"/>
      <c r="DF429" s="7"/>
    </row>
    <row r="430" spans="97:110" ht="17.25" thickTop="1" x14ac:dyDescent="0.35">
      <c r="CS430" s="15" t="s">
        <v>6</v>
      </c>
      <c r="CT430" s="16" t="s">
        <v>7</v>
      </c>
      <c r="CU430" s="17" t="s">
        <v>8</v>
      </c>
      <c r="CV430" s="18" t="s">
        <v>9</v>
      </c>
      <c r="CW430" s="19"/>
      <c r="CX430" s="20"/>
      <c r="CY430" s="20"/>
      <c r="CZ430" s="20"/>
      <c r="DA430" s="20"/>
      <c r="DB430" s="20"/>
      <c r="DC430" s="20"/>
      <c r="DD430" s="20"/>
      <c r="DE430" s="20"/>
      <c r="DF430" s="20"/>
    </row>
    <row r="431" spans="97:110" ht="16.5" x14ac:dyDescent="0.35">
      <c r="CS431" s="21" t="s">
        <v>10</v>
      </c>
      <c r="CT431" s="22">
        <v>0.5</v>
      </c>
      <c r="CU431" s="23" t="s">
        <v>11</v>
      </c>
      <c r="CV431" s="24">
        <v>6.0000000000000001E-3</v>
      </c>
      <c r="CW431" s="25"/>
      <c r="CX431" s="20"/>
      <c r="CY431" s="20"/>
      <c r="CZ431" s="20"/>
      <c r="DA431" s="20"/>
      <c r="DB431" s="20"/>
      <c r="DC431" s="20"/>
      <c r="DD431" s="20"/>
      <c r="DE431" s="20"/>
      <c r="DF431" s="20"/>
    </row>
    <row r="432" spans="97:110" ht="16.5" x14ac:dyDescent="0.35">
      <c r="CS432" s="26" t="s">
        <v>0</v>
      </c>
      <c r="CT432" s="27">
        <v>0.5</v>
      </c>
      <c r="CU432" s="28" t="s">
        <v>12</v>
      </c>
      <c r="CV432" s="29">
        <v>6.0000000000000001E-3</v>
      </c>
      <c r="CW432" s="25"/>
      <c r="CX432" s="20"/>
      <c r="CY432" s="20"/>
      <c r="CZ432" s="20"/>
      <c r="DA432" s="20"/>
      <c r="DB432" s="20"/>
      <c r="DC432" s="20"/>
      <c r="DD432" s="20"/>
      <c r="DE432" s="20"/>
      <c r="DF432" s="20"/>
    </row>
    <row r="433" spans="97:110" ht="16.5" thickBot="1" x14ac:dyDescent="0.35">
      <c r="CS433" s="30"/>
      <c r="CT433" s="31">
        <f>SUM(CT431:CT432)</f>
        <v>1</v>
      </c>
      <c r="CU433" s="32"/>
      <c r="CV433" s="33">
        <f>SUM(CV431:CV432)</f>
        <v>1.2E-2</v>
      </c>
      <c r="CW433" s="34"/>
      <c r="CX433" s="20"/>
      <c r="CY433" s="20"/>
      <c r="CZ433" s="20"/>
      <c r="DA433" s="20"/>
      <c r="DB433" s="20"/>
      <c r="DC433" s="20"/>
      <c r="DD433" s="20"/>
      <c r="DE433" s="20"/>
      <c r="DF433" s="20"/>
    </row>
    <row r="434" spans="97:110" ht="16.5" thickTop="1" x14ac:dyDescent="0.3">
      <c r="CS434" s="26" t="s">
        <v>0</v>
      </c>
      <c r="CT434" s="35"/>
      <c r="CU434" s="36" t="s">
        <v>13</v>
      </c>
      <c r="CV434" s="37">
        <v>1E-3</v>
      </c>
      <c r="CW434" s="34"/>
      <c r="CX434" s="20"/>
      <c r="CY434" s="20"/>
      <c r="CZ434" s="20"/>
      <c r="DA434" s="20"/>
      <c r="DB434" s="20"/>
      <c r="DC434" s="20"/>
      <c r="DD434" s="20"/>
      <c r="DE434" s="20"/>
      <c r="DF434" s="20"/>
    </row>
    <row r="435" spans="97:110" ht="15.75" x14ac:dyDescent="0.3">
      <c r="CS435" s="20"/>
      <c r="CT435" s="38"/>
      <c r="CU435" s="39"/>
      <c r="CV435" s="40"/>
      <c r="CW435" s="34"/>
      <c r="CX435" s="20"/>
      <c r="CY435" s="20"/>
      <c r="CZ435" s="20"/>
      <c r="DA435" s="20"/>
      <c r="DB435" s="20"/>
      <c r="DC435" s="20"/>
      <c r="DD435" s="20"/>
      <c r="DE435" s="20"/>
      <c r="DF435" s="20"/>
    </row>
    <row r="436" spans="97:110" ht="15.75" x14ac:dyDescent="0.3">
      <c r="CS436" s="20"/>
      <c r="CT436" s="38"/>
      <c r="CU436" s="39"/>
      <c r="CV436" s="40"/>
      <c r="CW436" s="34"/>
      <c r="CX436" s="20"/>
      <c r="CY436" s="20"/>
      <c r="CZ436" s="20"/>
      <c r="DA436" s="20"/>
      <c r="DB436" s="20"/>
      <c r="DC436" s="20"/>
      <c r="DD436" s="20"/>
      <c r="DE436" s="20"/>
      <c r="DF436" s="20"/>
    </row>
    <row r="437" spans="97:110" ht="16.5" thickBot="1" x14ac:dyDescent="0.35">
      <c r="CS437" s="20"/>
      <c r="CT437" s="38"/>
      <c r="CU437" s="38"/>
      <c r="CV437" s="41"/>
      <c r="CW437" s="34"/>
      <c r="CX437" s="20"/>
      <c r="CY437" s="41" t="s">
        <v>14</v>
      </c>
      <c r="CZ437" s="41" t="s">
        <v>15</v>
      </c>
      <c r="DA437" s="20"/>
      <c r="DB437" s="20"/>
      <c r="DC437" s="42"/>
      <c r="DD437" s="20"/>
      <c r="DE437" s="20"/>
      <c r="DF437" s="20"/>
    </row>
    <row r="438" spans="97:110" ht="18" thickTop="1" thickBot="1" x14ac:dyDescent="0.4">
      <c r="CS438" s="20"/>
      <c r="CT438" s="38"/>
      <c r="CU438" s="43"/>
      <c r="CV438" s="41"/>
      <c r="CW438" s="34"/>
      <c r="CX438" s="44" t="s">
        <v>16</v>
      </c>
      <c r="CY438" s="45"/>
      <c r="CZ438" s="45"/>
      <c r="DA438" s="46"/>
      <c r="DB438" s="20"/>
      <c r="DC438" s="2"/>
      <c r="DD438" s="20"/>
      <c r="DE438" s="20"/>
      <c r="DF438" s="20"/>
    </row>
    <row r="439" spans="97:110" ht="15.75" x14ac:dyDescent="0.3">
      <c r="CS439" s="20"/>
      <c r="CT439" s="38"/>
      <c r="CU439" s="41"/>
      <c r="CV439" s="41"/>
      <c r="CW439" s="34"/>
      <c r="CX439" s="47" t="s">
        <v>17</v>
      </c>
      <c r="CY439" s="48" t="s">
        <v>14</v>
      </c>
      <c r="CZ439" s="48" t="s">
        <v>15</v>
      </c>
      <c r="DA439" s="49" t="s">
        <v>18</v>
      </c>
      <c r="DB439" s="20"/>
      <c r="DC439" s="2"/>
      <c r="DD439" s="20"/>
      <c r="DE439" s="20"/>
      <c r="DF439" s="20"/>
    </row>
    <row r="440" spans="97:110" ht="16.5" thickBot="1" x14ac:dyDescent="0.35">
      <c r="CS440" s="20"/>
      <c r="CT440" s="38"/>
      <c r="CU440" s="41"/>
      <c r="CV440" s="41"/>
      <c r="CW440" s="34"/>
      <c r="CX440" s="50"/>
      <c r="CY440" s="51"/>
      <c r="CZ440" s="51"/>
      <c r="DA440" s="52"/>
      <c r="DB440" s="20"/>
      <c r="DC440" s="2"/>
      <c r="DD440" s="20"/>
      <c r="DE440" s="20"/>
      <c r="DF440" s="20"/>
    </row>
    <row r="441" spans="97:110" ht="17.25" thickTop="1" thickBot="1" x14ac:dyDescent="0.35">
      <c r="CS441" s="20"/>
      <c r="CT441" s="38"/>
      <c r="CU441" s="41"/>
      <c r="CV441" s="41"/>
      <c r="CW441" s="34"/>
      <c r="CX441" s="50"/>
      <c r="CY441" s="51"/>
      <c r="CZ441" s="51"/>
      <c r="DA441" s="52"/>
      <c r="DB441" s="20"/>
      <c r="DC441" s="2"/>
      <c r="DD441" s="20"/>
      <c r="DE441" s="20"/>
      <c r="DF441" s="20"/>
    </row>
    <row r="442" spans="97:110" ht="20.25" thickTop="1" x14ac:dyDescent="0.4">
      <c r="CS442" s="20"/>
      <c r="CT442" s="53"/>
      <c r="CU442" s="54"/>
      <c r="CV442" s="41"/>
      <c r="CW442" s="34"/>
      <c r="CX442" s="7"/>
      <c r="CY442" s="7"/>
      <c r="CZ442" s="7"/>
      <c r="DA442" s="7"/>
      <c r="DB442" s="20"/>
      <c r="DC442" s="2"/>
      <c r="DD442" s="20"/>
      <c r="DE442" s="20"/>
      <c r="DF442" s="20"/>
    </row>
    <row r="443" spans="97:110" ht="16.5" x14ac:dyDescent="0.3">
      <c r="CS443" s="7"/>
      <c r="CT443" s="55"/>
      <c r="CU443" s="6"/>
      <c r="CV443" s="56"/>
      <c r="CW443" s="7"/>
      <c r="CX443" s="57"/>
      <c r="CY443" s="42"/>
      <c r="CZ443" s="42"/>
      <c r="DA443" s="58"/>
      <c r="DB443" s="7"/>
      <c r="DC443" s="42"/>
      <c r="DD443" s="7"/>
      <c r="DE443" s="7"/>
      <c r="DF443" s="7"/>
    </row>
    <row r="444" spans="97:110" ht="16.5" thickBot="1" x14ac:dyDescent="0.35">
      <c r="CS444" s="7"/>
      <c r="CT444" s="59"/>
      <c r="CU444" s="60"/>
      <c r="CV444" s="56"/>
      <c r="CW444" s="7"/>
      <c r="CX444" s="57"/>
      <c r="CY444" s="42"/>
      <c r="CZ444" s="42"/>
      <c r="DA444" s="42"/>
      <c r="DB444" s="7"/>
      <c r="DC444" s="42"/>
      <c r="DD444" s="7"/>
      <c r="DE444" s="7"/>
      <c r="DF444" s="7"/>
    </row>
    <row r="445" spans="97:110" ht="15.75" thickTop="1" x14ac:dyDescent="0.25">
      <c r="CS445" s="61" t="s">
        <v>19</v>
      </c>
      <c r="CT445" s="62" t="s">
        <v>20</v>
      </c>
      <c r="CU445" s="60"/>
      <c r="CV445" s="62" t="s">
        <v>21</v>
      </c>
      <c r="CW445" s="63"/>
      <c r="CX445" s="64"/>
      <c r="CY445" s="64"/>
      <c r="CZ445" s="64"/>
      <c r="DA445" s="64"/>
      <c r="DB445" s="60"/>
      <c r="DC445" s="64"/>
      <c r="DD445" s="60"/>
      <c r="DE445" s="60"/>
      <c r="DF445" s="60"/>
    </row>
    <row r="446" spans="97:110" ht="15.75" x14ac:dyDescent="0.3">
      <c r="CS446" s="65" t="s">
        <v>14</v>
      </c>
      <c r="CT446" s="66">
        <f>+CV446+CX446</f>
        <v>10181883</v>
      </c>
      <c r="CU446" s="67"/>
      <c r="CV446" s="66">
        <v>10054712</v>
      </c>
      <c r="CW446" s="68"/>
      <c r="CX446" s="69">
        <v>127171</v>
      </c>
      <c r="CY446" s="70">
        <f>48251*1.0171</f>
        <v>49076.092099999994</v>
      </c>
      <c r="CZ446" s="42"/>
      <c r="DA446" s="71"/>
      <c r="DB446" s="60"/>
      <c r="DC446" s="42"/>
      <c r="DD446" s="60"/>
      <c r="DE446" s="60"/>
      <c r="DF446" s="60"/>
    </row>
    <row r="447" spans="97:110" ht="15.75" x14ac:dyDescent="0.3">
      <c r="CS447" s="72"/>
      <c r="CT447" s="73"/>
      <c r="CU447" s="67"/>
      <c r="CV447" s="73"/>
      <c r="CW447" s="74"/>
      <c r="CX447" s="75"/>
      <c r="CY447" s="70"/>
      <c r="CZ447" s="42"/>
      <c r="DA447" s="71"/>
      <c r="DB447" s="60"/>
      <c r="DC447" s="42"/>
      <c r="DD447" s="60"/>
      <c r="DE447" s="60"/>
      <c r="DF447" s="60"/>
    </row>
    <row r="448" spans="97:110" ht="15.75" x14ac:dyDescent="0.3">
      <c r="CS448" s="76"/>
      <c r="CT448" s="73"/>
      <c r="CU448" s="67"/>
      <c r="CV448" s="73"/>
      <c r="CW448" s="74"/>
      <c r="CX448" s="75"/>
      <c r="CY448" s="70">
        <f>+CY446-48251</f>
        <v>825.09209999999439</v>
      </c>
      <c r="CZ448" s="42"/>
      <c r="DA448" s="71"/>
      <c r="DB448" s="60"/>
      <c r="DC448" s="42"/>
      <c r="DD448" s="60"/>
      <c r="DE448" s="60"/>
      <c r="DF448" s="60"/>
    </row>
    <row r="449" spans="97:110" x14ac:dyDescent="0.25">
      <c r="CS449" s="77" t="s">
        <v>22</v>
      </c>
      <c r="CT449" s="66">
        <v>130183.67999999999</v>
      </c>
      <c r="CU449" s="78">
        <f>+CT449-CV449</f>
        <v>-41541.320000000007</v>
      </c>
      <c r="CV449" s="66">
        <v>171725</v>
      </c>
      <c r="CW449" s="74"/>
      <c r="CX449" s="7"/>
      <c r="CY449" s="60"/>
      <c r="CZ449" s="60"/>
      <c r="DA449" s="60"/>
      <c r="DB449" s="60"/>
      <c r="DC449" s="60"/>
      <c r="DD449" s="60"/>
      <c r="DE449" s="60"/>
      <c r="DF449" s="60"/>
    </row>
    <row r="450" spans="97:110" x14ac:dyDescent="0.25">
      <c r="CS450" s="72" t="s">
        <v>23</v>
      </c>
      <c r="CT450" s="79"/>
      <c r="CU450" s="67"/>
      <c r="CV450" s="79"/>
      <c r="CW450" s="74"/>
      <c r="CX450" s="60"/>
      <c r="CY450" s="60"/>
      <c r="CZ450" s="60"/>
      <c r="DA450" s="60"/>
      <c r="DB450" s="60"/>
      <c r="DC450" s="60"/>
      <c r="DD450" s="60"/>
      <c r="DE450" s="60"/>
      <c r="DF450" s="60"/>
    </row>
    <row r="451" spans="97:110" x14ac:dyDescent="0.25">
      <c r="CS451" s="80"/>
      <c r="CT451" s="81"/>
      <c r="CU451" s="67"/>
      <c r="CV451" s="81"/>
      <c r="CW451" s="60"/>
      <c r="CX451" s="60"/>
      <c r="CY451" s="60"/>
      <c r="CZ451" s="60"/>
      <c r="DA451" s="60"/>
      <c r="DB451" s="60"/>
      <c r="DC451" s="60"/>
      <c r="DD451" s="60"/>
      <c r="DE451" s="60"/>
      <c r="DF451" s="60"/>
    </row>
    <row r="452" spans="97:110" ht="15.75" thickBot="1" x14ac:dyDescent="0.3">
      <c r="CS452" s="82" t="s">
        <v>24</v>
      </c>
      <c r="CT452" s="83">
        <f>SUM(CT449:CT451)</f>
        <v>130183.67999999999</v>
      </c>
      <c r="CU452" s="67"/>
      <c r="CV452" s="84">
        <f>SUM(CV449:CV451)</f>
        <v>171725</v>
      </c>
      <c r="CW452" s="60"/>
      <c r="CX452" s="60"/>
      <c r="CY452" s="60"/>
      <c r="CZ452" s="60"/>
      <c r="DA452" s="60"/>
      <c r="DB452" s="60"/>
      <c r="DC452" s="60"/>
      <c r="DD452" s="60"/>
      <c r="DE452" s="60"/>
      <c r="DF452" s="60"/>
    </row>
    <row r="453" spans="97:110" ht="17.25" thickTop="1" thickBot="1" x14ac:dyDescent="0.35">
      <c r="CS453" s="60"/>
      <c r="CT453" s="85">
        <f>CT452/CT446</f>
        <v>1.2785815747440822E-2</v>
      </c>
      <c r="CU453" s="67"/>
      <c r="CV453" s="85">
        <f>CV452/CV446</f>
        <v>1.7079057062996932E-2</v>
      </c>
      <c r="CW453" s="60"/>
      <c r="CX453" s="60"/>
      <c r="CY453" s="60"/>
      <c r="CZ453" s="60"/>
      <c r="DA453" s="42"/>
      <c r="DB453" s="60"/>
      <c r="DC453" s="60"/>
      <c r="DD453" s="60"/>
      <c r="DE453" s="60"/>
      <c r="DF453" s="60"/>
    </row>
    <row r="454" spans="97:110" ht="16.5" thickTop="1" thickBot="1" x14ac:dyDescent="0.3">
      <c r="CS454" s="60"/>
      <c r="CT454" s="86"/>
      <c r="CU454" s="67"/>
      <c r="CV454" s="86"/>
      <c r="CW454" s="60"/>
      <c r="CX454" s="87" t="s">
        <v>25</v>
      </c>
      <c r="CY454" s="88"/>
      <c r="CZ454" s="88"/>
      <c r="DA454" s="88"/>
      <c r="DB454" s="88"/>
      <c r="DC454" s="88"/>
      <c r="DD454" s="89"/>
      <c r="DE454" s="90"/>
      <c r="DF454" s="60"/>
    </row>
    <row r="455" spans="97:110" ht="15.75" thickTop="1" x14ac:dyDescent="0.25">
      <c r="CS455" s="91" t="s">
        <v>26</v>
      </c>
      <c r="CT455" s="92"/>
      <c r="CU455" s="93"/>
      <c r="CV455" s="92"/>
      <c r="CW455" s="63"/>
      <c r="CX455" s="94"/>
      <c r="CY455" s="186" t="s">
        <v>27</v>
      </c>
      <c r="CZ455" s="180" t="s">
        <v>28</v>
      </c>
      <c r="DA455" s="95" t="s">
        <v>29</v>
      </c>
      <c r="DB455" s="188" t="s">
        <v>27</v>
      </c>
      <c r="DC455" s="180" t="s">
        <v>28</v>
      </c>
      <c r="DD455" s="96" t="s">
        <v>29</v>
      </c>
      <c r="DE455" s="97"/>
      <c r="DF455" s="98"/>
    </row>
    <row r="456" spans="97:110" x14ac:dyDescent="0.25">
      <c r="CS456" s="99" t="s">
        <v>14</v>
      </c>
      <c r="CT456" s="100" t="e">
        <f>+CT446*#REF!</f>
        <v>#REF!</v>
      </c>
      <c r="CU456" s="93"/>
      <c r="CV456" s="100" t="e">
        <f>+CV446*#REF!</f>
        <v>#REF!</v>
      </c>
      <c r="CW456" s="68"/>
      <c r="CX456" s="94"/>
      <c r="CY456" s="187"/>
      <c r="CZ456" s="181"/>
      <c r="DA456" s="101" t="s">
        <v>30</v>
      </c>
      <c r="DB456" s="189"/>
      <c r="DC456" s="181"/>
      <c r="DD456" s="102" t="s">
        <v>1</v>
      </c>
      <c r="DE456" s="97"/>
      <c r="DF456" s="103" t="s">
        <v>2</v>
      </c>
    </row>
    <row r="457" spans="97:110" x14ac:dyDescent="0.25">
      <c r="CS457" s="104">
        <f>CS447</f>
        <v>0</v>
      </c>
      <c r="CT457" s="105">
        <f>CT447*CT431</f>
        <v>0</v>
      </c>
      <c r="CU457" s="93"/>
      <c r="CV457" s="105">
        <f>CV447*CV431</f>
        <v>0</v>
      </c>
      <c r="CW457" s="68"/>
      <c r="CX457" s="106"/>
      <c r="CY457" s="107"/>
      <c r="CZ457" s="108"/>
      <c r="DA457" s="109"/>
      <c r="DB457" s="108"/>
      <c r="DC457" s="108"/>
      <c r="DD457" s="110"/>
      <c r="DE457" s="111"/>
      <c r="DF457" s="112"/>
    </row>
    <row r="458" spans="97:110" x14ac:dyDescent="0.25">
      <c r="CS458" s="113" t="s">
        <v>22</v>
      </c>
      <c r="CT458" s="114" t="e">
        <f>+CT449*#REF!</f>
        <v>#REF!</v>
      </c>
      <c r="CU458" s="93"/>
      <c r="CV458" s="115" t="e">
        <f>+CV449*#REF!</f>
        <v>#REF!</v>
      </c>
      <c r="CW458" s="68"/>
      <c r="CX458" s="116" t="s">
        <v>31</v>
      </c>
      <c r="CY458" s="107">
        <f>330654.5+118199+137037.6+85123.85+5994.5+80206.15+49416.55+82941.4+1452.55+54822.05+44832.75+38099.9+108.8+31032.45+609+107392.55-609+21423.45+6875.75+35192.85+1007.9+813.9+261+678.75+3843.3+2766.95</f>
        <v>1240178.4500000002</v>
      </c>
      <c r="CZ458" s="117"/>
      <c r="DA458" s="109">
        <f>SUM(CY458:CZ458)</f>
        <v>1240178.4500000002</v>
      </c>
      <c r="DB458" s="118">
        <f>370719.05+159.4+137999.75+32124.75+103364.05-2202.2+93699.7+88273.05+55125.65+1452.6+54602.45+36118.65+61090.05+41995.7+49221.85+33575.6-317+64811.65+53289+23689.15+7689.3+38931+1456.6+319.05+413.2</f>
        <v>1347602.0500000003</v>
      </c>
      <c r="DC458" s="119">
        <f>1568.75+2273.25+2028</f>
        <v>5870</v>
      </c>
      <c r="DD458" s="110">
        <f>DB458+DC458</f>
        <v>1353472.0500000003</v>
      </c>
      <c r="DE458" s="111"/>
      <c r="DF458" s="120">
        <f>+DD458-DA458</f>
        <v>113293.60000000009</v>
      </c>
    </row>
    <row r="459" spans="97:110" x14ac:dyDescent="0.25">
      <c r="CS459" s="104" t="s">
        <v>32</v>
      </c>
      <c r="CT459" s="105"/>
      <c r="CU459" s="93"/>
      <c r="CV459" s="105"/>
      <c r="CW459" s="68"/>
      <c r="CX459" s="116" t="s">
        <v>33</v>
      </c>
      <c r="CY459" s="107">
        <f>45723.95+19046.15+5134.25-10000+2867+3768+2904.2+2242.9+2867+2721.9+1712.7+4032+1512+4536+567+567+1134+2520</f>
        <v>93856.049999999988</v>
      </c>
      <c r="CZ459" s="117"/>
      <c r="DA459" s="109">
        <f t="shared" ref="DA459:DA473" si="0">SUM(CY459:CZ459)</f>
        <v>93856.049999999988</v>
      </c>
      <c r="DB459" s="118">
        <f>50512.6+1282.5+5220+1853.45+3349.5+5130+3515.05+4429.1-9928.05+3706.95+3045.05+2912.6+968.85+2320+3706.95+2755+2214.55+2542.8+1658.35+866.85+1210.85+866.85+2022.7+2745.05</f>
        <v>98907.550000000032</v>
      </c>
      <c r="DC459" s="119"/>
      <c r="DD459" s="110">
        <f>DB459+DC459</f>
        <v>98907.550000000032</v>
      </c>
      <c r="DE459" s="121"/>
      <c r="DF459" s="120">
        <f>+DD459-DA459</f>
        <v>5051.5000000000437</v>
      </c>
    </row>
    <row r="460" spans="97:110" x14ac:dyDescent="0.25">
      <c r="CS460" s="122" t="s">
        <v>24</v>
      </c>
      <c r="CT460" s="123" t="e">
        <f>SUM(CT458:CT459)</f>
        <v>#REF!</v>
      </c>
      <c r="CU460" s="93"/>
      <c r="CV460" s="123" t="e">
        <f>SUM(CV458:CV459)</f>
        <v>#REF!</v>
      </c>
      <c r="CW460" s="124"/>
      <c r="CX460" s="116" t="s">
        <v>34</v>
      </c>
      <c r="CY460" s="107">
        <f>177230.3+57.3+53330.6+38832.05+200.85+47762.15+46950+32433.6+46392.25-1186+18969.45+15658.25+15002.5+6317.4+27124.65+437.97+9604.75+2836.5+15862.4+7332.4+26.8+6727.7+7135.25</f>
        <v>575039.12</v>
      </c>
      <c r="CZ460" s="117"/>
      <c r="DA460" s="109">
        <f t="shared" si="0"/>
        <v>575039.12</v>
      </c>
      <c r="DB460" s="118">
        <f>156414+11933.85-55.36-1985.65+20462.65+38747.65-20462.65-38747.6+51923.25+45945.2+18935.4+49593.35-2481.9-183.45+48313.05-3023.75-2700-3023.7-187.45+32028.95+23518.4+14030.15+16399.7+1558.1+571.3+13790.85+14386.4+86+8439+79.85+8442.9-4118.2+10175.15+13931.7+382.45+627.8+118+670+170+359+7485.6+210+1045+1110+1160+13161.65+392.5+539.95+1187.5+3475.8+45.6+127.4+212+3853.35+700+5408.7+1000+314</f>
        <v>566493.43999999994</v>
      </c>
      <c r="DC460" s="119">
        <f>4360.95+2749.75+1711.2+1269.5+897</f>
        <v>10988.4</v>
      </c>
      <c r="DD460" s="110">
        <f>DB460+DC460</f>
        <v>577481.84</v>
      </c>
      <c r="DE460" s="121"/>
      <c r="DF460" s="120">
        <f>+DD460-DA460</f>
        <v>2442.7199999999721</v>
      </c>
    </row>
    <row r="461" spans="97:110" x14ac:dyDescent="0.25">
      <c r="CS461" s="104"/>
      <c r="CT461" s="105" t="e">
        <f>CT460/(CT456+CT457)</f>
        <v>#REF!</v>
      </c>
      <c r="CU461" s="93"/>
      <c r="CV461" s="105" t="e">
        <f>CV460/(CV456+CV457)</f>
        <v>#REF!</v>
      </c>
      <c r="CW461" s="60"/>
      <c r="CX461" s="116" t="s">
        <v>35</v>
      </c>
      <c r="CY461" s="107">
        <f>6805.36+4028.02+1185.75+1256+157+157+549.5+628+808.13+157+235.5+313.95</f>
        <v>16281.21</v>
      </c>
      <c r="CZ461" s="117"/>
      <c r="DA461" s="109">
        <f t="shared" si="0"/>
        <v>16281.21</v>
      </c>
      <c r="DB461" s="118">
        <f>6805.7+392.5+900+1400+235.5+500+261.5+2075.7+285+190+1290.55+1260.45+510.05+157+157+500+205+530.05+628+549.5+500+170-1160.05-190+135.5+235.5</f>
        <v>18524.45</v>
      </c>
      <c r="DC461" s="119"/>
      <c r="DD461" s="110">
        <f>DB461+DC461</f>
        <v>18524.45</v>
      </c>
      <c r="DE461" s="121"/>
      <c r="DF461" s="120">
        <f>+DD461-DA461</f>
        <v>2243.2400000000016</v>
      </c>
    </row>
    <row r="462" spans="97:110" x14ac:dyDescent="0.25">
      <c r="CS462" s="125" t="s">
        <v>36</v>
      </c>
      <c r="CT462" s="126"/>
      <c r="CU462" s="93"/>
      <c r="CV462" s="126"/>
      <c r="CW462" s="60"/>
      <c r="CX462" s="116" t="s">
        <v>37</v>
      </c>
      <c r="CY462" s="107">
        <f>1134.95+129.84</f>
        <v>1264.79</v>
      </c>
      <c r="CZ462" s="117"/>
      <c r="DA462" s="109">
        <f t="shared" si="0"/>
        <v>1264.79</v>
      </c>
      <c r="DB462" s="118">
        <v>129.85</v>
      </c>
      <c r="DC462" s="119"/>
      <c r="DD462" s="110">
        <f>DB462+DC462</f>
        <v>129.85</v>
      </c>
      <c r="DE462" s="121"/>
      <c r="DF462" s="120">
        <f t="shared" ref="DF462:DF473" si="1">+DD462-DA462</f>
        <v>-1134.94</v>
      </c>
    </row>
    <row r="463" spans="97:110" x14ac:dyDescent="0.25">
      <c r="CS463" s="104"/>
      <c r="CT463" s="105"/>
      <c r="CU463" s="93"/>
      <c r="CV463" s="105"/>
      <c r="CW463" s="60"/>
      <c r="CX463" s="116" t="s">
        <v>38</v>
      </c>
      <c r="CY463" s="107"/>
      <c r="CZ463" s="117"/>
      <c r="DA463" s="109">
        <f t="shared" si="0"/>
        <v>0</v>
      </c>
      <c r="DB463" s="118"/>
      <c r="DC463" s="119"/>
      <c r="DD463" s="110">
        <f t="shared" ref="DD463:DD473" si="2">DB463+DC463</f>
        <v>0</v>
      </c>
      <c r="DE463" s="111"/>
      <c r="DF463" s="120">
        <f t="shared" si="1"/>
        <v>0</v>
      </c>
    </row>
    <row r="464" spans="97:110" x14ac:dyDescent="0.25">
      <c r="CS464" s="104" t="s">
        <v>39</v>
      </c>
      <c r="CT464" s="105">
        <f>+DF474</f>
        <v>117640.67000000013</v>
      </c>
      <c r="CU464" s="93"/>
      <c r="CV464" s="105">
        <v>122341</v>
      </c>
      <c r="CW464" s="127"/>
      <c r="CX464" s="116" t="s">
        <v>40</v>
      </c>
      <c r="CY464" s="107">
        <f>1379.85+122.05+114.9+244.1+236.2+244.1+240.15+122.05+118.1+122.05+88.95+114.9+122.05+118.1+122.05+118.1</f>
        <v>3627.7000000000003</v>
      </c>
      <c r="CZ464" s="108"/>
      <c r="DA464" s="109">
        <f t="shared" si="0"/>
        <v>3627.7000000000003</v>
      </c>
      <c r="DB464" s="118">
        <f>1372.95+117.4+110.5+117.4+113.6+113.6+117.4+117.4+117.4+113.6+117.4+117.4+110+113.6</f>
        <v>2869.65</v>
      </c>
      <c r="DC464" s="119"/>
      <c r="DD464" s="110">
        <f t="shared" si="2"/>
        <v>2869.65</v>
      </c>
      <c r="DE464" s="111"/>
      <c r="DF464" s="120">
        <f t="shared" si="1"/>
        <v>-758.05000000000018</v>
      </c>
    </row>
    <row r="465" spans="97:110" x14ac:dyDescent="0.25">
      <c r="CS465" s="104" t="s">
        <v>41</v>
      </c>
      <c r="CT465" s="105">
        <f>(-DD474+863.5)*0.2</f>
        <v>-413224.21800000011</v>
      </c>
      <c r="CU465" s="93"/>
      <c r="CV465" s="105">
        <v>-408841</v>
      </c>
      <c r="CW465" s="127"/>
      <c r="CX465" s="128" t="s">
        <v>42</v>
      </c>
      <c r="CY465" s="107">
        <v>-7550.65</v>
      </c>
      <c r="CZ465" s="108"/>
      <c r="DA465" s="109">
        <f t="shared" si="0"/>
        <v>-7550.65</v>
      </c>
      <c r="DB465" s="118"/>
      <c r="DC465" s="119"/>
      <c r="DD465" s="110">
        <f t="shared" si="2"/>
        <v>0</v>
      </c>
      <c r="DE465" s="111"/>
      <c r="DF465" s="120">
        <f t="shared" si="1"/>
        <v>7550.65</v>
      </c>
    </row>
    <row r="466" spans="97:110" x14ac:dyDescent="0.25">
      <c r="CS466" s="104" t="s">
        <v>43</v>
      </c>
      <c r="CT466" s="105">
        <f>CT446*CV434</f>
        <v>10181.883</v>
      </c>
      <c r="CU466" s="93"/>
      <c r="CV466" s="105">
        <v>10055</v>
      </c>
      <c r="CW466" s="127"/>
      <c r="CX466" s="128" t="s">
        <v>44</v>
      </c>
      <c r="CY466" s="107"/>
      <c r="CZ466" s="108"/>
      <c r="DA466" s="109">
        <f t="shared" si="0"/>
        <v>0</v>
      </c>
      <c r="DB466" s="118">
        <f>534+923.2+993.5+1423+2934.55+922.9+193.05+98.5+1423+43</f>
        <v>9488.7000000000007</v>
      </c>
      <c r="DC466" s="119"/>
      <c r="DD466" s="110">
        <f t="shared" si="2"/>
        <v>9488.7000000000007</v>
      </c>
      <c r="DE466" s="129"/>
      <c r="DF466" s="120">
        <f t="shared" si="1"/>
        <v>9488.7000000000007</v>
      </c>
    </row>
    <row r="467" spans="97:110" x14ac:dyDescent="0.25">
      <c r="CS467" s="104"/>
      <c r="CT467" s="105"/>
      <c r="CU467" s="93"/>
      <c r="CV467" s="105"/>
      <c r="CW467" s="127"/>
      <c r="CX467" s="128" t="s">
        <v>45</v>
      </c>
      <c r="CY467" s="107">
        <f>13552.5+159.35+1134.95+129.85+610.73+390</f>
        <v>15977.380000000001</v>
      </c>
      <c r="CZ467" s="108"/>
      <c r="DA467" s="109">
        <f t="shared" si="0"/>
        <v>15977.380000000001</v>
      </c>
      <c r="DB467" s="130">
        <f>5894.7+643.45+1292.2+1256.05+43.2+610.73</f>
        <v>9740.33</v>
      </c>
      <c r="DC467" s="119"/>
      <c r="DD467" s="110">
        <f>DB467+DC467</f>
        <v>9740.33</v>
      </c>
      <c r="DE467" s="111"/>
      <c r="DF467" s="120">
        <f t="shared" si="1"/>
        <v>-6237.0500000000011</v>
      </c>
    </row>
    <row r="468" spans="97:110" x14ac:dyDescent="0.25">
      <c r="CS468" s="104"/>
      <c r="CT468" s="105"/>
      <c r="CU468" s="93"/>
      <c r="CV468" s="105"/>
      <c r="CW468" s="127"/>
      <c r="CX468" s="128" t="s">
        <v>46</v>
      </c>
      <c r="CY468" s="107">
        <f>80030.65-80190-0.76</f>
        <v>-160.11000000000581</v>
      </c>
      <c r="CZ468" s="108"/>
      <c r="DA468" s="109">
        <f t="shared" si="0"/>
        <v>-160.11000000000581</v>
      </c>
      <c r="DB468" s="131"/>
      <c r="DC468" s="119"/>
      <c r="DD468" s="110">
        <f t="shared" si="2"/>
        <v>0</v>
      </c>
      <c r="DE468" s="111"/>
      <c r="DF468" s="120">
        <f>+DD468-DA468</f>
        <v>160.11000000000581</v>
      </c>
    </row>
    <row r="469" spans="97:110" x14ac:dyDescent="0.25">
      <c r="CS469" s="132" t="s">
        <v>47</v>
      </c>
      <c r="CT469" s="133">
        <f>SUM(CT464:CT467)</f>
        <v>-285401.66499999998</v>
      </c>
      <c r="CU469" s="93"/>
      <c r="CV469" s="133">
        <f>SUM(CV464:CV466)-1</f>
        <v>-276446</v>
      </c>
      <c r="CW469" s="134"/>
      <c r="CX469" s="135" t="s">
        <v>48</v>
      </c>
      <c r="CY469" s="107">
        <f>-37.3-4.35-61-4.7-4.7-18.85-11.8-12.5-4.7-1134.95-122.35</f>
        <v>-1417.2</v>
      </c>
      <c r="CZ469" s="136"/>
      <c r="DA469" s="109">
        <f t="shared" si="0"/>
        <v>-1417.2</v>
      </c>
      <c r="DB469" s="118"/>
      <c r="DC469" s="119"/>
      <c r="DD469" s="110">
        <f t="shared" si="2"/>
        <v>0</v>
      </c>
      <c r="DE469" s="129"/>
      <c r="DF469" s="120">
        <f t="shared" si="1"/>
        <v>1417.2</v>
      </c>
    </row>
    <row r="470" spans="97:110" x14ac:dyDescent="0.25">
      <c r="CS470" s="137" t="s">
        <v>23</v>
      </c>
      <c r="CT470" s="138"/>
      <c r="CU470" s="93"/>
      <c r="CV470" s="139"/>
      <c r="CW470" s="127"/>
      <c r="CX470" s="128" t="s">
        <v>49</v>
      </c>
      <c r="CY470" s="140"/>
      <c r="CZ470" s="141"/>
      <c r="DA470" s="109">
        <f t="shared" si="0"/>
        <v>0</v>
      </c>
      <c r="DB470" s="118"/>
      <c r="DC470" s="142"/>
      <c r="DD470" s="110">
        <f t="shared" si="2"/>
        <v>0</v>
      </c>
      <c r="DE470" s="129"/>
      <c r="DF470" s="120">
        <f t="shared" si="1"/>
        <v>0</v>
      </c>
    </row>
    <row r="471" spans="97:110" x14ac:dyDescent="0.25">
      <c r="CS471" s="143" t="s">
        <v>50</v>
      </c>
      <c r="CT471" s="105"/>
      <c r="CU471" s="93"/>
      <c r="CV471" s="105"/>
      <c r="CW471" s="127"/>
      <c r="CX471" s="135" t="s">
        <v>51</v>
      </c>
      <c r="CY471" s="144">
        <f>-575346+573846-252.82</f>
        <v>-1752.82</v>
      </c>
      <c r="CZ471" s="145"/>
      <c r="DA471" s="146">
        <f t="shared" si="0"/>
        <v>-1752.82</v>
      </c>
      <c r="DB471" s="147">
        <f>-196.2-679.8-2339.25-822.6-1004.95+1710+2+283.4-566.8-15.63</f>
        <v>-3629.83</v>
      </c>
      <c r="DC471" s="148"/>
      <c r="DD471" s="149">
        <f t="shared" si="2"/>
        <v>-3629.83</v>
      </c>
      <c r="DE471" s="111"/>
      <c r="DF471" s="120">
        <f t="shared" si="1"/>
        <v>-1877.01</v>
      </c>
    </row>
    <row r="472" spans="97:110" x14ac:dyDescent="0.25">
      <c r="CS472" s="104"/>
      <c r="CT472" s="150"/>
      <c r="CU472" s="93"/>
      <c r="CV472" s="150"/>
      <c r="CW472" s="127"/>
      <c r="CX472" s="128" t="s">
        <v>52</v>
      </c>
      <c r="CY472" s="140">
        <v>3843.3</v>
      </c>
      <c r="CZ472" s="151">
        <f>-2745.2-1098.1</f>
        <v>-3843.2999999999997</v>
      </c>
      <c r="DA472" s="109">
        <f t="shared" si="0"/>
        <v>0</v>
      </c>
      <c r="DB472" s="118"/>
      <c r="DC472" s="119"/>
      <c r="DD472" s="110">
        <f t="shared" si="2"/>
        <v>0</v>
      </c>
      <c r="DE472" s="129"/>
      <c r="DF472" s="120">
        <f t="shared" si="1"/>
        <v>0</v>
      </c>
    </row>
    <row r="473" spans="97:110" ht="15.75" thickBot="1" x14ac:dyDescent="0.3">
      <c r="CS473" s="152" t="s">
        <v>53</v>
      </c>
      <c r="CT473" s="153" t="e">
        <f>+CT460+CT469+CT470</f>
        <v>#REF!</v>
      </c>
      <c r="CU473" s="93"/>
      <c r="CV473" s="153" t="e">
        <f>+CV460+CV469+CV470</f>
        <v>#REF!</v>
      </c>
      <c r="CW473" s="134"/>
      <c r="CX473" s="154" t="s">
        <v>54</v>
      </c>
      <c r="CY473" s="155">
        <v>14000</v>
      </c>
      <c r="CZ473" s="156"/>
      <c r="DA473" s="109">
        <f t="shared" si="0"/>
        <v>14000</v>
      </c>
      <c r="DB473" s="157"/>
      <c r="DC473" s="158"/>
      <c r="DD473" s="110">
        <f t="shared" si="2"/>
        <v>0</v>
      </c>
      <c r="DE473" s="111"/>
      <c r="DF473" s="120">
        <f t="shared" si="1"/>
        <v>-14000</v>
      </c>
    </row>
    <row r="474" spans="97:110" ht="16.5" thickTop="1" thickBot="1" x14ac:dyDescent="0.3">
      <c r="CS474" s="60"/>
      <c r="CT474" s="159" t="e">
        <f>+CT473/CT456</f>
        <v>#REF!</v>
      </c>
      <c r="CU474" s="60"/>
      <c r="CV474" s="160" t="e">
        <f>+CV473/CV456</f>
        <v>#REF!</v>
      </c>
      <c r="CW474" s="60"/>
      <c r="CX474" s="161" t="s">
        <v>55</v>
      </c>
      <c r="CY474" s="162">
        <f>SUM(CY457:CY473)</f>
        <v>1953187.22</v>
      </c>
      <c r="CZ474" s="163">
        <f>SUM(CZ457:CZ473)</f>
        <v>-3843.2999999999997</v>
      </c>
      <c r="DA474" s="162">
        <f>SUM(DA457:DA473)</f>
        <v>1949343.92</v>
      </c>
      <c r="DB474" s="164">
        <f>SUM(DB458:DB473)</f>
        <v>2050126.1900000002</v>
      </c>
      <c r="DC474" s="162">
        <f>SUM(DC458:DC472)</f>
        <v>16858.400000000001</v>
      </c>
      <c r="DD474" s="163">
        <f>SUM(DD458:DD473)</f>
        <v>2066984.5900000003</v>
      </c>
      <c r="DE474" s="163">
        <f>SUM(DE458:DE473)</f>
        <v>0</v>
      </c>
      <c r="DF474" s="162">
        <f>SUM(DF458:DF473)</f>
        <v>117640.67000000013</v>
      </c>
    </row>
    <row r="475" spans="97:110" ht="16.5" thickTop="1" thickBot="1" x14ac:dyDescent="0.3">
      <c r="CS475" s="165"/>
      <c r="CT475" s="166"/>
      <c r="CU475" s="165"/>
      <c r="CV475" s="67"/>
      <c r="CW475" s="60"/>
      <c r="CX475" s="60"/>
      <c r="CY475" s="74"/>
      <c r="CZ475" s="167"/>
      <c r="DA475" s="68"/>
      <c r="DB475" s="74"/>
      <c r="DC475" s="74"/>
      <c r="DD475" s="68"/>
      <c r="DE475" s="68"/>
      <c r="DF475" s="68"/>
    </row>
    <row r="476" spans="97:110" ht="15.75" thickBot="1" x14ac:dyDescent="0.3">
      <c r="CS476" s="60"/>
      <c r="CT476" s="168"/>
      <c r="CU476" s="67"/>
      <c r="CV476" s="60"/>
      <c r="CW476" s="60"/>
      <c r="CX476" s="60"/>
      <c r="CY476" s="169">
        <f>DF474</f>
        <v>117640.67000000013</v>
      </c>
      <c r="CZ476" s="68"/>
      <c r="DA476" s="68"/>
      <c r="DB476" s="68"/>
      <c r="DC476" s="68"/>
      <c r="DD476" s="68"/>
      <c r="DE476" s="68"/>
      <c r="DF476" s="68"/>
    </row>
    <row r="477" spans="97:110" x14ac:dyDescent="0.25">
      <c r="CS477" s="60"/>
      <c r="CT477" s="170"/>
      <c r="CU477" s="67"/>
      <c r="CV477" s="60"/>
      <c r="CW477" s="60"/>
      <c r="CX477" s="2"/>
      <c r="CY477" s="171"/>
      <c r="CZ477" s="2"/>
      <c r="DA477" s="2"/>
      <c r="DB477" s="2"/>
      <c r="DC477" s="2"/>
      <c r="DD477" s="172"/>
      <c r="DE477" s="2"/>
      <c r="DF477" s="2"/>
    </row>
    <row r="478" spans="97:110" x14ac:dyDescent="0.25">
      <c r="CS478" s="60"/>
      <c r="CT478" s="166"/>
      <c r="CU478" s="67"/>
      <c r="CV478" s="60"/>
      <c r="CW478" s="60"/>
      <c r="CX478" s="60"/>
      <c r="CY478" s="173"/>
      <c r="CZ478" s="60"/>
      <c r="DA478" s="60"/>
      <c r="DB478" s="60"/>
      <c r="DC478" s="60"/>
      <c r="DD478" s="174"/>
      <c r="DE478" s="60"/>
      <c r="DF478" s="175"/>
    </row>
    <row r="479" spans="97:110" ht="15.75" thickBot="1" x14ac:dyDescent="0.3">
      <c r="CS479" s="60"/>
      <c r="CT479" s="166"/>
      <c r="CU479" s="60"/>
      <c r="CV479" s="60"/>
      <c r="CW479" s="60"/>
      <c r="CX479" s="60"/>
      <c r="CY479" s="60"/>
      <c r="CZ479" s="60"/>
      <c r="DA479" s="60"/>
      <c r="DB479" s="60"/>
      <c r="DC479" s="60"/>
      <c r="DD479" s="60"/>
      <c r="DE479" s="60"/>
      <c r="DF479" s="60"/>
    </row>
    <row r="480" spans="97:110" x14ac:dyDescent="0.25">
      <c r="CS480" s="60"/>
      <c r="CT480" s="166"/>
      <c r="CU480" s="67"/>
      <c r="CV480" s="60"/>
      <c r="CW480" s="60"/>
      <c r="CX480" s="176"/>
      <c r="CY480" s="177" t="s">
        <v>29</v>
      </c>
      <c r="CZ480" s="178"/>
      <c r="DA480" s="178"/>
      <c r="DB480" s="178"/>
      <c r="DC480" s="178"/>
      <c r="DD480" s="178"/>
      <c r="DE480" s="178"/>
      <c r="DF480" s="178"/>
    </row>
    <row r="481" spans="97:110" x14ac:dyDescent="0.25">
      <c r="CS481" s="60"/>
      <c r="CT481" s="166"/>
      <c r="CU481" s="60"/>
      <c r="CV481" s="60"/>
      <c r="CW481" s="63"/>
      <c r="CX481" s="176"/>
      <c r="CY481" s="179" t="s">
        <v>30</v>
      </c>
      <c r="CZ481" s="178"/>
      <c r="DA481" s="178"/>
      <c r="DB481" s="178"/>
      <c r="DC481" s="178"/>
      <c r="DD481" s="178"/>
      <c r="DE481" s="178"/>
      <c r="DF481" s="178"/>
    </row>
  </sheetData>
  <mergeCells count="6">
    <mergeCell ref="DC455:DC456"/>
    <mergeCell ref="CT427:CU427"/>
    <mergeCell ref="CT428:CU428"/>
    <mergeCell ref="CY455:CY456"/>
    <mergeCell ref="CZ455:CZ456"/>
    <mergeCell ref="DB455:DB456"/>
  </mergeCells>
  <pageMargins left="0.7" right="0.7" top="0.75" bottom="0.75" header="0.51180555555555496" footer="0.51180555555555496"/>
  <pageSetup paperSize="9" firstPageNumber="0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97F59-E83E-49F4-9B67-77CBA6C12C1A}">
  <sheetPr codeName="Feuil4"/>
  <dimension ref="A1:DF482"/>
  <sheetViews>
    <sheetView zoomScale="85" zoomScaleNormal="85" zoomScalePageLayoutView="60" workbookViewId="0">
      <selection activeCell="B10" sqref="B10"/>
    </sheetView>
  </sheetViews>
  <sheetFormatPr baseColWidth="10" defaultColWidth="10.7109375" defaultRowHeight="15" x14ac:dyDescent="0.25"/>
  <cols>
    <col min="1" max="96" width="10.7109375" style="1"/>
    <col min="97" max="97" width="30.7109375" style="1" bestFit="1" customWidth="1"/>
    <col min="98" max="98" width="16" style="1" bestFit="1" customWidth="1"/>
    <col min="99" max="99" width="16.28515625" style="1" bestFit="1" customWidth="1"/>
    <col min="100" max="100" width="16.42578125" style="1" bestFit="1" customWidth="1"/>
    <col min="101" max="101" width="10.7109375" style="1"/>
    <col min="102" max="102" width="46.85546875" style="1" bestFit="1" customWidth="1"/>
    <col min="103" max="103" width="15" style="1" bestFit="1" customWidth="1"/>
    <col min="104" max="104" width="12" style="1" bestFit="1" customWidth="1"/>
    <col min="105" max="105" width="15.42578125" style="1" bestFit="1" customWidth="1"/>
    <col min="106" max="106" width="13.85546875" style="1" bestFit="1" customWidth="1"/>
    <col min="107" max="107" width="12.42578125" style="1" bestFit="1" customWidth="1"/>
    <col min="108" max="108" width="11.5703125" style="1" bestFit="1" customWidth="1"/>
    <col min="109" max="109" width="3" style="1" bestFit="1" customWidth="1"/>
    <col min="110" max="110" width="13.140625" style="1" bestFit="1" customWidth="1"/>
    <col min="111" max="1010" width="10.7109375" style="1"/>
    <col min="1011" max="1017" width="11.5703125" style="1" customWidth="1"/>
    <col min="1018" max="16384" width="10.7109375" style="1"/>
  </cols>
  <sheetData>
    <row r="1" spans="1:3" x14ac:dyDescent="0.25">
      <c r="B1" s="1">
        <v>2</v>
      </c>
      <c r="C1" s="1">
        <v>11</v>
      </c>
    </row>
    <row r="2" spans="1:3" x14ac:dyDescent="0.25">
      <c r="B2" s="1">
        <v>5</v>
      </c>
      <c r="C2" s="1">
        <v>7</v>
      </c>
    </row>
    <row r="3" spans="1:3" x14ac:dyDescent="0.25">
      <c r="B3" s="1">
        <v>9</v>
      </c>
      <c r="C3" s="1">
        <v>3</v>
      </c>
    </row>
    <row r="4" spans="1:3" x14ac:dyDescent="0.25">
      <c r="A4" s="1" t="s">
        <v>58</v>
      </c>
      <c r="B4" s="1">
        <f>SUM(B1:B3)</f>
        <v>16</v>
      </c>
      <c r="C4" s="1">
        <f>SUM(C1:C3)</f>
        <v>21</v>
      </c>
    </row>
    <row r="426" spans="97:110" ht="19.5" x14ac:dyDescent="0.4">
      <c r="CS426" s="3" t="s">
        <v>3</v>
      </c>
      <c r="CT426" s="4">
        <v>44135</v>
      </c>
      <c r="CU426" s="5"/>
      <c r="CV426" s="5"/>
      <c r="CW426" s="6"/>
      <c r="CX426" s="6"/>
      <c r="CY426" s="6"/>
      <c r="CZ426" s="6"/>
      <c r="DA426" s="6"/>
      <c r="DB426" s="7"/>
      <c r="DC426" s="6"/>
      <c r="DD426" s="7"/>
      <c r="DE426" s="7"/>
      <c r="DF426" s="7"/>
    </row>
    <row r="427" spans="97:110" ht="15.75" thickBot="1" x14ac:dyDescent="0.3">
      <c r="CS427" s="8"/>
      <c r="CT427" s="9"/>
      <c r="CU427" s="8"/>
      <c r="CV427" s="8"/>
      <c r="CW427" s="7"/>
      <c r="CX427" s="7"/>
      <c r="CY427" s="7"/>
      <c r="CZ427" s="7"/>
      <c r="DA427" s="7"/>
      <c r="DB427" s="7"/>
      <c r="DC427" s="7"/>
      <c r="DD427" s="7"/>
      <c r="DE427" s="7"/>
      <c r="DF427" s="7"/>
    </row>
    <row r="428" spans="97:110" ht="19.5" x14ac:dyDescent="0.4">
      <c r="CS428" s="10" t="s">
        <v>4</v>
      </c>
      <c r="CT428" s="182">
        <v>170359</v>
      </c>
      <c r="CU428" s="183"/>
      <c r="CV428" s="11"/>
      <c r="CW428" s="12"/>
      <c r="CX428" s="7"/>
      <c r="CY428" s="7"/>
      <c r="CZ428" s="7"/>
      <c r="DA428" s="7"/>
      <c r="DB428" s="7"/>
      <c r="DC428" s="7"/>
      <c r="DD428" s="7"/>
      <c r="DE428" s="7"/>
      <c r="DF428" s="7"/>
    </row>
    <row r="429" spans="97:110" ht="20.25" thickBot="1" x14ac:dyDescent="0.3">
      <c r="CS429" s="13" t="s">
        <v>5</v>
      </c>
      <c r="CT429" s="184" t="s">
        <v>57</v>
      </c>
      <c r="CU429" s="185"/>
      <c r="CV429" s="11"/>
      <c r="CW429" s="14"/>
      <c r="CX429" s="7"/>
      <c r="CY429" s="7"/>
      <c r="CZ429" s="7"/>
      <c r="DA429" s="7"/>
      <c r="DB429" s="7"/>
      <c r="DC429" s="7"/>
      <c r="DD429" s="7"/>
      <c r="DE429" s="7"/>
      <c r="DF429" s="7"/>
    </row>
    <row r="430" spans="97:110" ht="15.75" thickBot="1" x14ac:dyDescent="0.3">
      <c r="CS430" s="8"/>
      <c r="CT430" s="9"/>
      <c r="CU430" s="8"/>
      <c r="CV430" s="8"/>
      <c r="CW430" s="7"/>
      <c r="CX430" s="7"/>
      <c r="CY430" s="7"/>
      <c r="CZ430" s="7"/>
      <c r="DA430" s="7"/>
      <c r="DB430" s="7"/>
      <c r="DC430" s="7"/>
      <c r="DD430" s="7"/>
      <c r="DE430" s="7"/>
      <c r="DF430" s="7"/>
    </row>
    <row r="431" spans="97:110" ht="17.25" thickTop="1" x14ac:dyDescent="0.35">
      <c r="CS431" s="15" t="s">
        <v>6</v>
      </c>
      <c r="CT431" s="16" t="s">
        <v>7</v>
      </c>
      <c r="CU431" s="17" t="s">
        <v>8</v>
      </c>
      <c r="CV431" s="18" t="s">
        <v>9</v>
      </c>
      <c r="CW431" s="19"/>
      <c r="CX431" s="20"/>
      <c r="CY431" s="20"/>
      <c r="CZ431" s="20"/>
      <c r="DA431" s="20"/>
      <c r="DB431" s="20"/>
      <c r="DC431" s="20"/>
      <c r="DD431" s="20"/>
      <c r="DE431" s="20"/>
      <c r="DF431" s="20"/>
    </row>
    <row r="432" spans="97:110" ht="16.5" x14ac:dyDescent="0.35">
      <c r="CS432" s="21" t="s">
        <v>10</v>
      </c>
      <c r="CT432" s="22">
        <v>0.5</v>
      </c>
      <c r="CU432" s="23" t="s">
        <v>11</v>
      </c>
      <c r="CV432" s="24">
        <v>6.0000000000000001E-3</v>
      </c>
      <c r="CW432" s="25"/>
      <c r="CX432" s="20"/>
      <c r="CY432" s="20"/>
      <c r="CZ432" s="20"/>
      <c r="DA432" s="20"/>
      <c r="DB432" s="20"/>
      <c r="DC432" s="20"/>
      <c r="DD432" s="20"/>
      <c r="DE432" s="20"/>
      <c r="DF432" s="20"/>
    </row>
    <row r="433" spans="97:110" ht="16.5" x14ac:dyDescent="0.35">
      <c r="CS433" s="26" t="s">
        <v>0</v>
      </c>
      <c r="CT433" s="27">
        <v>0.5</v>
      </c>
      <c r="CU433" s="28" t="s">
        <v>12</v>
      </c>
      <c r="CV433" s="29">
        <v>6.0000000000000001E-3</v>
      </c>
      <c r="CW433" s="25"/>
      <c r="CX433" s="20"/>
      <c r="CY433" s="20"/>
      <c r="CZ433" s="20"/>
      <c r="DA433" s="20"/>
      <c r="DB433" s="20"/>
      <c r="DC433" s="20"/>
      <c r="DD433" s="20"/>
      <c r="DE433" s="20"/>
      <c r="DF433" s="20"/>
    </row>
    <row r="434" spans="97:110" ht="16.5" thickBot="1" x14ac:dyDescent="0.35">
      <c r="CS434" s="30"/>
      <c r="CT434" s="31">
        <f>SUM(CT432:CT433)</f>
        <v>1</v>
      </c>
      <c r="CU434" s="32"/>
      <c r="CV434" s="33">
        <f>SUM(CV432:CV433)</f>
        <v>1.2E-2</v>
      </c>
      <c r="CW434" s="34"/>
      <c r="CX434" s="20"/>
      <c r="CY434" s="20"/>
      <c r="CZ434" s="20"/>
      <c r="DA434" s="20"/>
      <c r="DB434" s="20"/>
      <c r="DC434" s="20"/>
      <c r="DD434" s="20"/>
      <c r="DE434" s="20"/>
      <c r="DF434" s="20"/>
    </row>
    <row r="435" spans="97:110" ht="16.5" thickTop="1" x14ac:dyDescent="0.3">
      <c r="CS435" s="26" t="s">
        <v>0</v>
      </c>
      <c r="CT435" s="35"/>
      <c r="CU435" s="36" t="s">
        <v>13</v>
      </c>
      <c r="CV435" s="37">
        <v>1E-3</v>
      </c>
      <c r="CW435" s="34"/>
      <c r="CX435" s="20"/>
      <c r="CY435" s="20"/>
      <c r="CZ435" s="20"/>
      <c r="DA435" s="20"/>
      <c r="DB435" s="20"/>
      <c r="DC435" s="20"/>
      <c r="DD435" s="20"/>
      <c r="DE435" s="20"/>
      <c r="DF435" s="20"/>
    </row>
    <row r="436" spans="97:110" ht="15.75" x14ac:dyDescent="0.3">
      <c r="CS436" s="20"/>
      <c r="CT436" s="38"/>
      <c r="CU436" s="39"/>
      <c r="CV436" s="40"/>
      <c r="CW436" s="34"/>
      <c r="CX436" s="20"/>
      <c r="CY436" s="20"/>
      <c r="CZ436" s="20"/>
      <c r="DA436" s="20"/>
      <c r="DB436" s="20"/>
      <c r="DC436" s="20"/>
      <c r="DD436" s="20"/>
      <c r="DE436" s="20"/>
      <c r="DF436" s="20"/>
    </row>
    <row r="437" spans="97:110" ht="15.75" x14ac:dyDescent="0.3">
      <c r="CS437" s="20"/>
      <c r="CT437" s="38"/>
      <c r="CU437" s="39"/>
      <c r="CV437" s="40"/>
      <c r="CW437" s="34"/>
      <c r="CX437" s="20"/>
      <c r="CY437" s="20"/>
      <c r="CZ437" s="20"/>
      <c r="DA437" s="20"/>
      <c r="DB437" s="20"/>
      <c r="DC437" s="20"/>
      <c r="DD437" s="20"/>
      <c r="DE437" s="20"/>
      <c r="DF437" s="20"/>
    </row>
    <row r="438" spans="97:110" ht="16.5" thickBot="1" x14ac:dyDescent="0.35">
      <c r="CS438" s="20"/>
      <c r="CT438" s="38"/>
      <c r="CU438" s="38"/>
      <c r="CV438" s="41"/>
      <c r="CW438" s="34"/>
      <c r="CX438" s="20"/>
      <c r="CY438" s="41" t="s">
        <v>14</v>
      </c>
      <c r="CZ438" s="41" t="s">
        <v>15</v>
      </c>
      <c r="DA438" s="20"/>
      <c r="DB438" s="20"/>
      <c r="DC438" s="42"/>
      <c r="DD438" s="20"/>
      <c r="DE438" s="20"/>
      <c r="DF438" s="20"/>
    </row>
    <row r="439" spans="97:110" ht="18" thickTop="1" thickBot="1" x14ac:dyDescent="0.4">
      <c r="CS439" s="20"/>
      <c r="CT439" s="38"/>
      <c r="CU439" s="43"/>
      <c r="CV439" s="41"/>
      <c r="CW439" s="34"/>
      <c r="CX439" s="44" t="s">
        <v>16</v>
      </c>
      <c r="CY439" s="45"/>
      <c r="CZ439" s="45"/>
      <c r="DA439" s="46"/>
      <c r="DB439" s="20"/>
      <c r="DC439" s="2"/>
      <c r="DD439" s="20"/>
      <c r="DE439" s="20"/>
      <c r="DF439" s="20"/>
    </row>
    <row r="440" spans="97:110" ht="15.75" x14ac:dyDescent="0.3">
      <c r="CS440" s="20"/>
      <c r="CT440" s="38"/>
      <c r="CU440" s="41"/>
      <c r="CV440" s="41"/>
      <c r="CW440" s="34"/>
      <c r="CX440" s="47" t="s">
        <v>17</v>
      </c>
      <c r="CY440" s="48" t="s">
        <v>14</v>
      </c>
      <c r="CZ440" s="48" t="s">
        <v>15</v>
      </c>
      <c r="DA440" s="49" t="s">
        <v>18</v>
      </c>
      <c r="DB440" s="20"/>
      <c r="DC440" s="2"/>
      <c r="DD440" s="20"/>
      <c r="DE440" s="20"/>
      <c r="DF440" s="20"/>
    </row>
    <row r="441" spans="97:110" ht="16.5" thickBot="1" x14ac:dyDescent="0.35">
      <c r="CS441" s="20"/>
      <c r="CT441" s="38"/>
      <c r="CU441" s="41"/>
      <c r="CV441" s="41"/>
      <c r="CW441" s="34"/>
      <c r="CX441" s="50"/>
      <c r="CY441" s="51"/>
      <c r="CZ441" s="51"/>
      <c r="DA441" s="52"/>
      <c r="DB441" s="20"/>
      <c r="DC441" s="2"/>
      <c r="DD441" s="20"/>
      <c r="DE441" s="20"/>
      <c r="DF441" s="20"/>
    </row>
    <row r="442" spans="97:110" ht="17.25" thickTop="1" thickBot="1" x14ac:dyDescent="0.35">
      <c r="CS442" s="20"/>
      <c r="CT442" s="38"/>
      <c r="CU442" s="41"/>
      <c r="CV442" s="41"/>
      <c r="CW442" s="34"/>
      <c r="CX442" s="50"/>
      <c r="CY442" s="51"/>
      <c r="CZ442" s="51"/>
      <c r="DA442" s="52"/>
      <c r="DB442" s="20"/>
      <c r="DC442" s="2"/>
      <c r="DD442" s="20"/>
      <c r="DE442" s="20"/>
      <c r="DF442" s="20"/>
    </row>
    <row r="443" spans="97:110" ht="20.25" thickTop="1" x14ac:dyDescent="0.4">
      <c r="CS443" s="20"/>
      <c r="CT443" s="53"/>
      <c r="CU443" s="54"/>
      <c r="CV443" s="41"/>
      <c r="CW443" s="34"/>
      <c r="CX443" s="7"/>
      <c r="CY443" s="7"/>
      <c r="CZ443" s="7"/>
      <c r="DA443" s="7"/>
      <c r="DB443" s="20"/>
      <c r="DC443" s="2"/>
      <c r="DD443" s="20"/>
      <c r="DE443" s="20"/>
      <c r="DF443" s="20"/>
    </row>
    <row r="444" spans="97:110" ht="16.5" x14ac:dyDescent="0.3">
      <c r="CS444" s="7"/>
      <c r="CT444" s="55"/>
      <c r="CU444" s="6"/>
      <c r="CV444" s="56"/>
      <c r="CW444" s="7"/>
      <c r="CX444" s="57"/>
      <c r="CY444" s="42"/>
      <c r="CZ444" s="42"/>
      <c r="DA444" s="58"/>
      <c r="DB444" s="7"/>
      <c r="DC444" s="42"/>
      <c r="DD444" s="7"/>
      <c r="DE444" s="7"/>
      <c r="DF444" s="7"/>
    </row>
    <row r="445" spans="97:110" ht="16.5" thickBot="1" x14ac:dyDescent="0.35">
      <c r="CS445" s="7"/>
      <c r="CT445" s="59"/>
      <c r="CU445" s="60"/>
      <c r="CV445" s="56"/>
      <c r="CW445" s="7"/>
      <c r="CX445" s="57"/>
      <c r="CY445" s="42"/>
      <c r="CZ445" s="42"/>
      <c r="DA445" s="42"/>
      <c r="DB445" s="7"/>
      <c r="DC445" s="42"/>
      <c r="DD445" s="7"/>
      <c r="DE445" s="7"/>
      <c r="DF445" s="7"/>
    </row>
    <row r="446" spans="97:110" ht="15.75" thickTop="1" x14ac:dyDescent="0.25">
      <c r="CS446" s="61" t="s">
        <v>19</v>
      </c>
      <c r="CT446" s="62" t="s">
        <v>20</v>
      </c>
      <c r="CU446" s="60"/>
      <c r="CV446" s="62" t="s">
        <v>21</v>
      </c>
      <c r="CW446" s="63"/>
      <c r="CX446" s="64"/>
      <c r="CY446" s="64"/>
      <c r="CZ446" s="64"/>
      <c r="DA446" s="64"/>
      <c r="DB446" s="60"/>
      <c r="DC446" s="64"/>
      <c r="DD446" s="60"/>
      <c r="DE446" s="60"/>
      <c r="DF446" s="60"/>
    </row>
    <row r="447" spans="97:110" ht="15.75" x14ac:dyDescent="0.3">
      <c r="CS447" s="65" t="s">
        <v>14</v>
      </c>
      <c r="CT447" s="66">
        <f>+CV447+CX447</f>
        <v>10181883</v>
      </c>
      <c r="CU447" s="67"/>
      <c r="CV447" s="66">
        <v>10054712</v>
      </c>
      <c r="CW447" s="68"/>
      <c r="CX447" s="69">
        <v>127171</v>
      </c>
      <c r="CY447" s="70">
        <f>48251*1.0171</f>
        <v>49076.092099999994</v>
      </c>
      <c r="CZ447" s="42"/>
      <c r="DA447" s="71"/>
      <c r="DB447" s="60"/>
      <c r="DC447" s="42"/>
      <c r="DD447" s="60"/>
      <c r="DE447" s="60"/>
      <c r="DF447" s="60"/>
    </row>
    <row r="448" spans="97:110" ht="15.75" x14ac:dyDescent="0.3">
      <c r="CS448" s="72"/>
      <c r="CT448" s="73"/>
      <c r="CU448" s="67"/>
      <c r="CV448" s="73"/>
      <c r="CW448" s="74"/>
      <c r="CX448" s="75"/>
      <c r="CY448" s="70"/>
      <c r="CZ448" s="42"/>
      <c r="DA448" s="71"/>
      <c r="DB448" s="60"/>
      <c r="DC448" s="42"/>
      <c r="DD448" s="60"/>
      <c r="DE448" s="60"/>
      <c r="DF448" s="60"/>
    </row>
    <row r="449" spans="97:110" ht="15.75" x14ac:dyDescent="0.3">
      <c r="CS449" s="76"/>
      <c r="CT449" s="73"/>
      <c r="CU449" s="67"/>
      <c r="CV449" s="73"/>
      <c r="CW449" s="74"/>
      <c r="CX449" s="75"/>
      <c r="CY449" s="70">
        <f>+CY447-48251</f>
        <v>825.09209999999439</v>
      </c>
      <c r="CZ449" s="42"/>
      <c r="DA449" s="71"/>
      <c r="DB449" s="60"/>
      <c r="DC449" s="42"/>
      <c r="DD449" s="60"/>
      <c r="DE449" s="60"/>
      <c r="DF449" s="60"/>
    </row>
    <row r="450" spans="97:110" x14ac:dyDescent="0.25">
      <c r="CS450" s="77" t="s">
        <v>22</v>
      </c>
      <c r="CT450" s="66">
        <v>130183.67999999999</v>
      </c>
      <c r="CU450" s="78">
        <f>+CT450-CV450</f>
        <v>-41541.320000000007</v>
      </c>
      <c r="CV450" s="66">
        <v>171725</v>
      </c>
      <c r="CW450" s="74"/>
      <c r="CX450" s="7"/>
      <c r="CY450" s="60"/>
      <c r="CZ450" s="60"/>
      <c r="DA450" s="60"/>
      <c r="DB450" s="60"/>
      <c r="DC450" s="60"/>
      <c r="DD450" s="60"/>
      <c r="DE450" s="60"/>
      <c r="DF450" s="60"/>
    </row>
    <row r="451" spans="97:110" x14ac:dyDescent="0.25">
      <c r="CS451" s="72" t="s">
        <v>23</v>
      </c>
      <c r="CT451" s="79"/>
      <c r="CU451" s="67"/>
      <c r="CV451" s="79"/>
      <c r="CW451" s="74"/>
      <c r="CX451" s="60"/>
      <c r="CY451" s="60"/>
      <c r="CZ451" s="60"/>
      <c r="DA451" s="60"/>
      <c r="DB451" s="60"/>
      <c r="DC451" s="60"/>
      <c r="DD451" s="60"/>
      <c r="DE451" s="60"/>
      <c r="DF451" s="60"/>
    </row>
    <row r="452" spans="97:110" x14ac:dyDescent="0.25">
      <c r="CS452" s="80"/>
      <c r="CT452" s="81"/>
      <c r="CU452" s="67"/>
      <c r="CV452" s="81"/>
      <c r="CW452" s="60"/>
      <c r="CX452" s="60"/>
      <c r="CY452" s="60"/>
      <c r="CZ452" s="60"/>
      <c r="DA452" s="60"/>
      <c r="DB452" s="60"/>
      <c r="DC452" s="60"/>
      <c r="DD452" s="60"/>
      <c r="DE452" s="60"/>
      <c r="DF452" s="60"/>
    </row>
    <row r="453" spans="97:110" ht="15.75" thickBot="1" x14ac:dyDescent="0.3">
      <c r="CS453" s="82" t="s">
        <v>24</v>
      </c>
      <c r="CT453" s="83">
        <f>SUM(CT450:CT452)</f>
        <v>130183.67999999999</v>
      </c>
      <c r="CU453" s="67"/>
      <c r="CV453" s="84">
        <f>SUM(CV450:CV452)</f>
        <v>171725</v>
      </c>
      <c r="CW453" s="60"/>
      <c r="CX453" s="60"/>
      <c r="CY453" s="60"/>
      <c r="CZ453" s="60"/>
      <c r="DA453" s="60"/>
      <c r="DB453" s="60"/>
      <c r="DC453" s="60"/>
      <c r="DD453" s="60"/>
      <c r="DE453" s="60"/>
      <c r="DF453" s="60"/>
    </row>
    <row r="454" spans="97:110" ht="17.25" thickTop="1" thickBot="1" x14ac:dyDescent="0.35">
      <c r="CS454" s="60"/>
      <c r="CT454" s="85">
        <f>CT453/CT447</f>
        <v>1.2785815747440822E-2</v>
      </c>
      <c r="CU454" s="67"/>
      <c r="CV454" s="85">
        <f>CV453/CV447</f>
        <v>1.7079057062996932E-2</v>
      </c>
      <c r="CW454" s="60"/>
      <c r="CX454" s="60"/>
      <c r="CY454" s="60"/>
      <c r="CZ454" s="60"/>
      <c r="DA454" s="42"/>
      <c r="DB454" s="60"/>
      <c r="DC454" s="60"/>
      <c r="DD454" s="60"/>
      <c r="DE454" s="60"/>
      <c r="DF454" s="60"/>
    </row>
    <row r="455" spans="97:110" ht="16.5" thickTop="1" thickBot="1" x14ac:dyDescent="0.3">
      <c r="CS455" s="60"/>
      <c r="CT455" s="86"/>
      <c r="CU455" s="67"/>
      <c r="CV455" s="86"/>
      <c r="CW455" s="60"/>
      <c r="CX455" s="87" t="s">
        <v>25</v>
      </c>
      <c r="CY455" s="88"/>
      <c r="CZ455" s="88"/>
      <c r="DA455" s="88"/>
      <c r="DB455" s="88"/>
      <c r="DC455" s="88"/>
      <c r="DD455" s="89"/>
      <c r="DE455" s="90"/>
      <c r="DF455" s="60"/>
    </row>
    <row r="456" spans="97:110" ht="15.75" thickTop="1" x14ac:dyDescent="0.25">
      <c r="CS456" s="91" t="s">
        <v>26</v>
      </c>
      <c r="CT456" s="92"/>
      <c r="CU456" s="93"/>
      <c r="CV456" s="92"/>
      <c r="CW456" s="63"/>
      <c r="CX456" s="94"/>
      <c r="CY456" s="186" t="s">
        <v>27</v>
      </c>
      <c r="CZ456" s="180" t="s">
        <v>28</v>
      </c>
      <c r="DA456" s="95" t="s">
        <v>29</v>
      </c>
      <c r="DB456" s="188" t="s">
        <v>27</v>
      </c>
      <c r="DC456" s="180" t="s">
        <v>28</v>
      </c>
      <c r="DD456" s="96" t="s">
        <v>29</v>
      </c>
      <c r="DE456" s="97"/>
      <c r="DF456" s="98"/>
    </row>
    <row r="457" spans="97:110" x14ac:dyDescent="0.25">
      <c r="CS457" s="99" t="s">
        <v>14</v>
      </c>
      <c r="CT457" s="100" t="e">
        <f>+CT447*#REF!</f>
        <v>#REF!</v>
      </c>
      <c r="CU457" s="93"/>
      <c r="CV457" s="100" t="e">
        <f>+CV447*#REF!</f>
        <v>#REF!</v>
      </c>
      <c r="CW457" s="68"/>
      <c r="CX457" s="94"/>
      <c r="CY457" s="187"/>
      <c r="CZ457" s="181"/>
      <c r="DA457" s="101" t="s">
        <v>30</v>
      </c>
      <c r="DB457" s="189"/>
      <c r="DC457" s="181"/>
      <c r="DD457" s="102" t="s">
        <v>1</v>
      </c>
      <c r="DE457" s="97"/>
      <c r="DF457" s="103" t="s">
        <v>2</v>
      </c>
    </row>
    <row r="458" spans="97:110" x14ac:dyDescent="0.25">
      <c r="CS458" s="104">
        <f>CS448</f>
        <v>0</v>
      </c>
      <c r="CT458" s="105">
        <f>CT448*CT432</f>
        <v>0</v>
      </c>
      <c r="CU458" s="93"/>
      <c r="CV458" s="105">
        <f>CV448*CV432</f>
        <v>0</v>
      </c>
      <c r="CW458" s="68"/>
      <c r="CX458" s="106"/>
      <c r="CY458" s="107"/>
      <c r="CZ458" s="108"/>
      <c r="DA458" s="109"/>
      <c r="DB458" s="108"/>
      <c r="DC458" s="108"/>
      <c r="DD458" s="110"/>
      <c r="DE458" s="111"/>
      <c r="DF458" s="112"/>
    </row>
    <row r="459" spans="97:110" x14ac:dyDescent="0.25">
      <c r="CS459" s="113" t="s">
        <v>22</v>
      </c>
      <c r="CT459" s="114" t="e">
        <f>+CT450*#REF!</f>
        <v>#REF!</v>
      </c>
      <c r="CU459" s="93"/>
      <c r="CV459" s="115" t="e">
        <f>+CV450*#REF!</f>
        <v>#REF!</v>
      </c>
      <c r="CW459" s="68"/>
      <c r="CX459" s="116" t="s">
        <v>31</v>
      </c>
      <c r="CY459" s="107">
        <f>330654.5+118199+137037.6+85123.85+5994.5+80206.15+49416.55+82941.4+1452.55+54822.05+44832.75+38099.9+108.8+31032.45+609+107392.55-609+21423.45+6875.75+35192.85+1007.9+813.9+261+678.75+3843.3+2766.95</f>
        <v>1240178.4500000002</v>
      </c>
      <c r="CZ459" s="117"/>
      <c r="DA459" s="109">
        <f>SUM(CY459:CZ459)</f>
        <v>1240178.4500000002</v>
      </c>
      <c r="DB459" s="118">
        <f>370719.05+159.4+137999.75+32124.75+103364.05-2202.2+93699.7+88273.05+55125.65+1452.6+54602.45+36118.65+61090.05+41995.7+49221.85+33575.6-317+64811.65+53289+23689.15+7689.3+38931+1456.6+319.05+413.2</f>
        <v>1347602.0500000003</v>
      </c>
      <c r="DC459" s="119">
        <f>1568.75+2273.25+2028</f>
        <v>5870</v>
      </c>
      <c r="DD459" s="110">
        <f>DB459+DC459</f>
        <v>1353472.0500000003</v>
      </c>
      <c r="DE459" s="111"/>
      <c r="DF459" s="120">
        <f>+DD459-DA459</f>
        <v>113293.60000000009</v>
      </c>
    </row>
    <row r="460" spans="97:110" x14ac:dyDescent="0.25">
      <c r="CS460" s="104" t="s">
        <v>32</v>
      </c>
      <c r="CT460" s="105"/>
      <c r="CU460" s="93"/>
      <c r="CV460" s="105"/>
      <c r="CW460" s="68"/>
      <c r="CX460" s="116" t="s">
        <v>33</v>
      </c>
      <c r="CY460" s="107">
        <f>45723.95+19046.15+5134.25-10000+2867+3768+2904.2+2242.9+2867+2721.9+1712.7+4032+1512+4536+567+567+1134+2520</f>
        <v>93856.049999999988</v>
      </c>
      <c r="CZ460" s="117"/>
      <c r="DA460" s="109">
        <f t="shared" ref="DA460:DA474" si="0">SUM(CY460:CZ460)</f>
        <v>93856.049999999988</v>
      </c>
      <c r="DB460" s="118">
        <f>50512.6+1282.5+5220+1853.45+3349.5+5130+3515.05+4429.1-9928.05+3706.95+3045.05+2912.6+968.85+2320+3706.95+2755+2214.55+2542.8+1658.35+866.85+1210.85+866.85+2022.7+2745.05</f>
        <v>98907.550000000032</v>
      </c>
      <c r="DC460" s="119"/>
      <c r="DD460" s="110">
        <f>DB460+DC460</f>
        <v>98907.550000000032</v>
      </c>
      <c r="DE460" s="121"/>
      <c r="DF460" s="120">
        <f>+DD460-DA460</f>
        <v>5051.5000000000437</v>
      </c>
    </row>
    <row r="461" spans="97:110" x14ac:dyDescent="0.25">
      <c r="CS461" s="122" t="s">
        <v>24</v>
      </c>
      <c r="CT461" s="123" t="e">
        <f>SUM(CT459:CT460)</f>
        <v>#REF!</v>
      </c>
      <c r="CU461" s="93"/>
      <c r="CV461" s="123" t="e">
        <f>SUM(CV459:CV460)</f>
        <v>#REF!</v>
      </c>
      <c r="CW461" s="124"/>
      <c r="CX461" s="116" t="s">
        <v>34</v>
      </c>
      <c r="CY461" s="107">
        <f>177230.3+57.3+53330.6+38832.05+200.85+47762.15+46950+32433.6+46392.25-1186+18969.45+15658.25+15002.5+6317.4+27124.65+437.97+9604.75+2836.5+15862.4+7332.4+26.8+6727.7+7135.25</f>
        <v>575039.12</v>
      </c>
      <c r="CZ461" s="117"/>
      <c r="DA461" s="109">
        <f t="shared" si="0"/>
        <v>575039.12</v>
      </c>
      <c r="DB461" s="118">
        <f>156414+11933.85-55.36-1985.65+20462.65+38747.65-20462.65-38747.6+51923.25+45945.2+18935.4+49593.35-2481.9-183.45+48313.05-3023.75-2700-3023.7-187.45+32028.95+23518.4+14030.15+16399.7+1558.1+571.3+13790.85+14386.4+86+8439+79.85+8442.9-4118.2+10175.15+13931.7+382.45+627.8+118+670+170+359+7485.6+210+1045+1110+1160+13161.65+392.5+539.95+1187.5+3475.8+45.6+127.4+212+3853.35+700+5408.7+1000+314</f>
        <v>566493.43999999994</v>
      </c>
      <c r="DC461" s="119">
        <f>4360.95+2749.75+1711.2+1269.5+897</f>
        <v>10988.4</v>
      </c>
      <c r="DD461" s="110">
        <f>DB461+DC461</f>
        <v>577481.84</v>
      </c>
      <c r="DE461" s="121"/>
      <c r="DF461" s="120">
        <f>+DD461-DA461</f>
        <v>2442.7199999999721</v>
      </c>
    </row>
    <row r="462" spans="97:110" x14ac:dyDescent="0.25">
      <c r="CS462" s="104"/>
      <c r="CT462" s="105" t="e">
        <f>CT461/(CT457+CT458)</f>
        <v>#REF!</v>
      </c>
      <c r="CU462" s="93"/>
      <c r="CV462" s="105" t="e">
        <f>CV461/(CV457+CV458)</f>
        <v>#REF!</v>
      </c>
      <c r="CW462" s="60"/>
      <c r="CX462" s="116" t="s">
        <v>35</v>
      </c>
      <c r="CY462" s="107">
        <f>6805.36+4028.02+1185.75+1256+157+157+549.5+628+808.13+157+235.5+313.95</f>
        <v>16281.21</v>
      </c>
      <c r="CZ462" s="117"/>
      <c r="DA462" s="109">
        <f t="shared" si="0"/>
        <v>16281.21</v>
      </c>
      <c r="DB462" s="118">
        <f>6805.7+392.5+900+1400+235.5+500+261.5+2075.7+285+190+1290.55+1260.45+510.05+157+157+500+205+530.05+628+549.5+500+170-1160.05-190+135.5+235.5</f>
        <v>18524.45</v>
      </c>
      <c r="DC462" s="119"/>
      <c r="DD462" s="110">
        <f>DB462+DC462</f>
        <v>18524.45</v>
      </c>
      <c r="DE462" s="121"/>
      <c r="DF462" s="120">
        <f>+DD462-DA462</f>
        <v>2243.2400000000016</v>
      </c>
    </row>
    <row r="463" spans="97:110" x14ac:dyDescent="0.25">
      <c r="CS463" s="125" t="s">
        <v>36</v>
      </c>
      <c r="CT463" s="126"/>
      <c r="CU463" s="93"/>
      <c r="CV463" s="126"/>
      <c r="CW463" s="60"/>
      <c r="CX463" s="116" t="s">
        <v>37</v>
      </c>
      <c r="CY463" s="107">
        <f>1134.95+129.84</f>
        <v>1264.79</v>
      </c>
      <c r="CZ463" s="117"/>
      <c r="DA463" s="109">
        <f t="shared" si="0"/>
        <v>1264.79</v>
      </c>
      <c r="DB463" s="118">
        <v>129.85</v>
      </c>
      <c r="DC463" s="119"/>
      <c r="DD463" s="110">
        <f>DB463+DC463</f>
        <v>129.85</v>
      </c>
      <c r="DE463" s="121"/>
      <c r="DF463" s="120">
        <f t="shared" ref="DF463:DF474" si="1">+DD463-DA463</f>
        <v>-1134.94</v>
      </c>
    </row>
    <row r="464" spans="97:110" x14ac:dyDescent="0.25">
      <c r="CS464" s="104"/>
      <c r="CT464" s="105"/>
      <c r="CU464" s="93"/>
      <c r="CV464" s="105"/>
      <c r="CW464" s="60"/>
      <c r="CX464" s="116" t="s">
        <v>38</v>
      </c>
      <c r="CY464" s="107"/>
      <c r="CZ464" s="117"/>
      <c r="DA464" s="109">
        <f t="shared" si="0"/>
        <v>0</v>
      </c>
      <c r="DB464" s="118"/>
      <c r="DC464" s="119"/>
      <c r="DD464" s="110">
        <f t="shared" ref="DD464:DD474" si="2">DB464+DC464</f>
        <v>0</v>
      </c>
      <c r="DE464" s="111"/>
      <c r="DF464" s="120">
        <f t="shared" si="1"/>
        <v>0</v>
      </c>
    </row>
    <row r="465" spans="97:110" x14ac:dyDescent="0.25">
      <c r="CS465" s="104" t="s">
        <v>39</v>
      </c>
      <c r="CT465" s="105">
        <f>+DF475</f>
        <v>117640.67000000013</v>
      </c>
      <c r="CU465" s="93"/>
      <c r="CV465" s="105">
        <v>122341</v>
      </c>
      <c r="CW465" s="127"/>
      <c r="CX465" s="116" t="s">
        <v>40</v>
      </c>
      <c r="CY465" s="107">
        <f>1379.85+122.05+114.9+244.1+236.2+244.1+240.15+122.05+118.1+122.05+88.95+114.9+122.05+118.1+122.05+118.1</f>
        <v>3627.7000000000003</v>
      </c>
      <c r="CZ465" s="108"/>
      <c r="DA465" s="109">
        <f t="shared" si="0"/>
        <v>3627.7000000000003</v>
      </c>
      <c r="DB465" s="118">
        <f>1372.95+117.4+110.5+117.4+113.6+113.6+117.4+117.4+117.4+113.6+117.4+117.4+110+113.6</f>
        <v>2869.65</v>
      </c>
      <c r="DC465" s="119"/>
      <c r="DD465" s="110">
        <f t="shared" si="2"/>
        <v>2869.65</v>
      </c>
      <c r="DE465" s="111"/>
      <c r="DF465" s="120">
        <f t="shared" si="1"/>
        <v>-758.05000000000018</v>
      </c>
    </row>
    <row r="466" spans="97:110" x14ac:dyDescent="0.25">
      <c r="CS466" s="104" t="s">
        <v>41</v>
      </c>
      <c r="CT466" s="105">
        <f>(-DD475+863.5)*0.2</f>
        <v>-413224.21800000011</v>
      </c>
      <c r="CU466" s="93"/>
      <c r="CV466" s="105">
        <v>-408841</v>
      </c>
      <c r="CW466" s="127"/>
      <c r="CX466" s="128" t="s">
        <v>42</v>
      </c>
      <c r="CY466" s="107">
        <v>-7550.65</v>
      </c>
      <c r="CZ466" s="108"/>
      <c r="DA466" s="109">
        <f t="shared" si="0"/>
        <v>-7550.65</v>
      </c>
      <c r="DB466" s="118"/>
      <c r="DC466" s="119"/>
      <c r="DD466" s="110">
        <f t="shared" si="2"/>
        <v>0</v>
      </c>
      <c r="DE466" s="111"/>
      <c r="DF466" s="120">
        <f t="shared" si="1"/>
        <v>7550.65</v>
      </c>
    </row>
    <row r="467" spans="97:110" x14ac:dyDescent="0.25">
      <c r="CS467" s="104" t="s">
        <v>43</v>
      </c>
      <c r="CT467" s="105">
        <f>CT447*CV435</f>
        <v>10181.883</v>
      </c>
      <c r="CU467" s="93"/>
      <c r="CV467" s="105">
        <v>10055</v>
      </c>
      <c r="CW467" s="127"/>
      <c r="CX467" s="128" t="s">
        <v>44</v>
      </c>
      <c r="CY467" s="107"/>
      <c r="CZ467" s="108"/>
      <c r="DA467" s="109">
        <f t="shared" si="0"/>
        <v>0</v>
      </c>
      <c r="DB467" s="118">
        <f>534+923.2+993.5+1423+2934.55+922.9+193.05+98.5+1423+43</f>
        <v>9488.7000000000007</v>
      </c>
      <c r="DC467" s="119"/>
      <c r="DD467" s="110">
        <f t="shared" si="2"/>
        <v>9488.7000000000007</v>
      </c>
      <c r="DE467" s="129"/>
      <c r="DF467" s="120">
        <f t="shared" si="1"/>
        <v>9488.7000000000007</v>
      </c>
    </row>
    <row r="468" spans="97:110" x14ac:dyDescent="0.25">
      <c r="CS468" s="104"/>
      <c r="CT468" s="105"/>
      <c r="CU468" s="93"/>
      <c r="CV468" s="105"/>
      <c r="CW468" s="127"/>
      <c r="CX468" s="128" t="s">
        <v>45</v>
      </c>
      <c r="CY468" s="107">
        <f>13552.5+159.35+1134.95+129.85+610.73+390</f>
        <v>15977.380000000001</v>
      </c>
      <c r="CZ468" s="108"/>
      <c r="DA468" s="109">
        <f t="shared" si="0"/>
        <v>15977.380000000001</v>
      </c>
      <c r="DB468" s="130">
        <f>5894.7+643.45+1292.2+1256.05+43.2+610.73</f>
        <v>9740.33</v>
      </c>
      <c r="DC468" s="119"/>
      <c r="DD468" s="110">
        <f>DB468+DC468</f>
        <v>9740.33</v>
      </c>
      <c r="DE468" s="111"/>
      <c r="DF468" s="120">
        <f t="shared" si="1"/>
        <v>-6237.0500000000011</v>
      </c>
    </row>
    <row r="469" spans="97:110" x14ac:dyDescent="0.25">
      <c r="CS469" s="104"/>
      <c r="CT469" s="105"/>
      <c r="CU469" s="93"/>
      <c r="CV469" s="105"/>
      <c r="CW469" s="127"/>
      <c r="CX469" s="128" t="s">
        <v>46</v>
      </c>
      <c r="CY469" s="107">
        <f>80030.65-80190-0.76</f>
        <v>-160.11000000000581</v>
      </c>
      <c r="CZ469" s="108"/>
      <c r="DA469" s="109">
        <f t="shared" si="0"/>
        <v>-160.11000000000581</v>
      </c>
      <c r="DB469" s="131"/>
      <c r="DC469" s="119"/>
      <c r="DD469" s="110">
        <f t="shared" si="2"/>
        <v>0</v>
      </c>
      <c r="DE469" s="111"/>
      <c r="DF469" s="120">
        <f>+DD469-DA469</f>
        <v>160.11000000000581</v>
      </c>
    </row>
    <row r="470" spans="97:110" x14ac:dyDescent="0.25">
      <c r="CS470" s="132" t="s">
        <v>47</v>
      </c>
      <c r="CT470" s="133">
        <f>SUM(CT465:CT468)</f>
        <v>-285401.66499999998</v>
      </c>
      <c r="CU470" s="93"/>
      <c r="CV470" s="133">
        <f>SUM(CV465:CV467)-1</f>
        <v>-276446</v>
      </c>
      <c r="CW470" s="134"/>
      <c r="CX470" s="135" t="s">
        <v>48</v>
      </c>
      <c r="CY470" s="107">
        <f>-37.3-4.35-61-4.7-4.7-18.85-11.8-12.5-4.7-1134.95-122.35</f>
        <v>-1417.2</v>
      </c>
      <c r="CZ470" s="136"/>
      <c r="DA470" s="109">
        <f t="shared" si="0"/>
        <v>-1417.2</v>
      </c>
      <c r="DB470" s="118"/>
      <c r="DC470" s="119"/>
      <c r="DD470" s="110">
        <f t="shared" si="2"/>
        <v>0</v>
      </c>
      <c r="DE470" s="129"/>
      <c r="DF470" s="120">
        <f t="shared" si="1"/>
        <v>1417.2</v>
      </c>
    </row>
    <row r="471" spans="97:110" x14ac:dyDescent="0.25">
      <c r="CS471" s="137" t="s">
        <v>23</v>
      </c>
      <c r="CT471" s="138"/>
      <c r="CU471" s="93"/>
      <c r="CV471" s="139"/>
      <c r="CW471" s="127"/>
      <c r="CX471" s="128" t="s">
        <v>49</v>
      </c>
      <c r="CY471" s="140"/>
      <c r="CZ471" s="141"/>
      <c r="DA471" s="109">
        <f t="shared" si="0"/>
        <v>0</v>
      </c>
      <c r="DB471" s="118"/>
      <c r="DC471" s="142"/>
      <c r="DD471" s="110">
        <f t="shared" si="2"/>
        <v>0</v>
      </c>
      <c r="DE471" s="129"/>
      <c r="DF471" s="120">
        <f t="shared" si="1"/>
        <v>0</v>
      </c>
    </row>
    <row r="472" spans="97:110" x14ac:dyDescent="0.25">
      <c r="CS472" s="143" t="s">
        <v>50</v>
      </c>
      <c r="CT472" s="105"/>
      <c r="CU472" s="93"/>
      <c r="CV472" s="105"/>
      <c r="CW472" s="127"/>
      <c r="CX472" s="135" t="s">
        <v>51</v>
      </c>
      <c r="CY472" s="144">
        <f>-575346+573846-252.82</f>
        <v>-1752.82</v>
      </c>
      <c r="CZ472" s="145"/>
      <c r="DA472" s="146">
        <f t="shared" si="0"/>
        <v>-1752.82</v>
      </c>
      <c r="DB472" s="147">
        <f>-196.2-679.8-2339.25-822.6-1004.95+1710+2+283.4-566.8-15.63</f>
        <v>-3629.83</v>
      </c>
      <c r="DC472" s="148"/>
      <c r="DD472" s="149">
        <f t="shared" si="2"/>
        <v>-3629.83</v>
      </c>
      <c r="DE472" s="111"/>
      <c r="DF472" s="120">
        <f t="shared" si="1"/>
        <v>-1877.01</v>
      </c>
    </row>
    <row r="473" spans="97:110" x14ac:dyDescent="0.25">
      <c r="CS473" s="104"/>
      <c r="CT473" s="150"/>
      <c r="CU473" s="93"/>
      <c r="CV473" s="150"/>
      <c r="CW473" s="127"/>
      <c r="CX473" s="128" t="s">
        <v>52</v>
      </c>
      <c r="CY473" s="140">
        <v>3843.3</v>
      </c>
      <c r="CZ473" s="151">
        <f>-2745.2-1098.1</f>
        <v>-3843.2999999999997</v>
      </c>
      <c r="DA473" s="109">
        <f t="shared" si="0"/>
        <v>0</v>
      </c>
      <c r="DB473" s="118"/>
      <c r="DC473" s="119"/>
      <c r="DD473" s="110">
        <f t="shared" si="2"/>
        <v>0</v>
      </c>
      <c r="DE473" s="129"/>
      <c r="DF473" s="120">
        <f t="shared" si="1"/>
        <v>0</v>
      </c>
    </row>
    <row r="474" spans="97:110" ht="15.75" thickBot="1" x14ac:dyDescent="0.3">
      <c r="CS474" s="152" t="s">
        <v>53</v>
      </c>
      <c r="CT474" s="153" t="e">
        <f>+CT461+CT470+CT471</f>
        <v>#REF!</v>
      </c>
      <c r="CU474" s="93"/>
      <c r="CV474" s="153" t="e">
        <f>+CV461+CV470+CV471</f>
        <v>#REF!</v>
      </c>
      <c r="CW474" s="134"/>
      <c r="CX474" s="154" t="s">
        <v>54</v>
      </c>
      <c r="CY474" s="155">
        <v>14000</v>
      </c>
      <c r="CZ474" s="156"/>
      <c r="DA474" s="109">
        <f t="shared" si="0"/>
        <v>14000</v>
      </c>
      <c r="DB474" s="157"/>
      <c r="DC474" s="158"/>
      <c r="DD474" s="110">
        <f t="shared" si="2"/>
        <v>0</v>
      </c>
      <c r="DE474" s="111"/>
      <c r="DF474" s="120">
        <f t="shared" si="1"/>
        <v>-14000</v>
      </c>
    </row>
    <row r="475" spans="97:110" ht="16.5" thickTop="1" thickBot="1" x14ac:dyDescent="0.3">
      <c r="CS475" s="60"/>
      <c r="CT475" s="159" t="e">
        <f>+CT474/CT457</f>
        <v>#REF!</v>
      </c>
      <c r="CU475" s="60"/>
      <c r="CV475" s="160" t="e">
        <f>+CV474/CV457</f>
        <v>#REF!</v>
      </c>
      <c r="CW475" s="60"/>
      <c r="CX475" s="161" t="s">
        <v>55</v>
      </c>
      <c r="CY475" s="162">
        <f>SUM(CY458:CY474)</f>
        <v>1953187.22</v>
      </c>
      <c r="CZ475" s="163">
        <f>SUM(CZ458:CZ474)</f>
        <v>-3843.2999999999997</v>
      </c>
      <c r="DA475" s="162">
        <f>SUM(DA458:DA474)</f>
        <v>1949343.92</v>
      </c>
      <c r="DB475" s="164">
        <f>SUM(DB459:DB474)</f>
        <v>2050126.1900000002</v>
      </c>
      <c r="DC475" s="162">
        <f>SUM(DC459:DC473)</f>
        <v>16858.400000000001</v>
      </c>
      <c r="DD475" s="163">
        <f>SUM(DD459:DD474)</f>
        <v>2066984.5900000003</v>
      </c>
      <c r="DE475" s="163">
        <f>SUM(DE459:DE474)</f>
        <v>0</v>
      </c>
      <c r="DF475" s="162">
        <f>SUM(DF459:DF474)</f>
        <v>117640.67000000013</v>
      </c>
    </row>
    <row r="476" spans="97:110" ht="16.5" thickTop="1" thickBot="1" x14ac:dyDescent="0.3">
      <c r="CS476" s="165"/>
      <c r="CT476" s="166"/>
      <c r="CU476" s="165"/>
      <c r="CV476" s="67"/>
      <c r="CW476" s="60"/>
      <c r="CX476" s="60"/>
      <c r="CY476" s="74"/>
      <c r="CZ476" s="167"/>
      <c r="DA476" s="68"/>
      <c r="DB476" s="74"/>
      <c r="DC476" s="74"/>
      <c r="DD476" s="68"/>
      <c r="DE476" s="68"/>
      <c r="DF476" s="68"/>
    </row>
    <row r="477" spans="97:110" ht="15.75" thickBot="1" x14ac:dyDescent="0.3">
      <c r="CS477" s="60"/>
      <c r="CT477" s="168"/>
      <c r="CU477" s="67"/>
      <c r="CV477" s="60"/>
      <c r="CW477" s="60"/>
      <c r="CX477" s="60"/>
      <c r="CY477" s="169">
        <f>DF475</f>
        <v>117640.67000000013</v>
      </c>
      <c r="CZ477" s="68"/>
      <c r="DA477" s="68"/>
      <c r="DB477" s="68"/>
      <c r="DC477" s="68"/>
      <c r="DD477" s="68"/>
      <c r="DE477" s="68"/>
      <c r="DF477" s="68"/>
    </row>
    <row r="478" spans="97:110" x14ac:dyDescent="0.25">
      <c r="CS478" s="60"/>
      <c r="CT478" s="170"/>
      <c r="CU478" s="67"/>
      <c r="CV478" s="60"/>
      <c r="CW478" s="60"/>
      <c r="CX478" s="2"/>
      <c r="CY478" s="171"/>
      <c r="CZ478" s="2"/>
      <c r="DA478" s="2"/>
      <c r="DB478" s="2"/>
      <c r="DC478" s="2"/>
      <c r="DD478" s="172"/>
      <c r="DE478" s="2"/>
      <c r="DF478" s="2"/>
    </row>
    <row r="479" spans="97:110" x14ac:dyDescent="0.25">
      <c r="CS479" s="60"/>
      <c r="CT479" s="166"/>
      <c r="CU479" s="67"/>
      <c r="CV479" s="60"/>
      <c r="CW479" s="60"/>
      <c r="CX479" s="60"/>
      <c r="CY479" s="173"/>
      <c r="CZ479" s="60"/>
      <c r="DA479" s="60"/>
      <c r="DB479" s="60"/>
      <c r="DC479" s="60"/>
      <c r="DD479" s="174"/>
      <c r="DE479" s="60"/>
      <c r="DF479" s="175"/>
    </row>
    <row r="480" spans="97:110" ht="15.75" thickBot="1" x14ac:dyDescent="0.3">
      <c r="CS480" s="60"/>
      <c r="CT480" s="166"/>
      <c r="CU480" s="60"/>
      <c r="CV480" s="60"/>
      <c r="CW480" s="60"/>
      <c r="CX480" s="60"/>
      <c r="CY480" s="60"/>
      <c r="CZ480" s="60"/>
      <c r="DA480" s="60"/>
      <c r="DB480" s="60"/>
      <c r="DC480" s="60"/>
      <c r="DD480" s="60"/>
      <c r="DE480" s="60"/>
      <c r="DF480" s="60"/>
    </row>
    <row r="481" spans="97:110" x14ac:dyDescent="0.25">
      <c r="CS481" s="60"/>
      <c r="CT481" s="166"/>
      <c r="CU481" s="67"/>
      <c r="CV481" s="60"/>
      <c r="CW481" s="60"/>
      <c r="CX481" s="176"/>
      <c r="CY481" s="177" t="s">
        <v>29</v>
      </c>
      <c r="CZ481" s="178"/>
      <c r="DA481" s="178"/>
      <c r="DB481" s="178"/>
      <c r="DC481" s="178"/>
      <c r="DD481" s="178"/>
      <c r="DE481" s="178"/>
      <c r="DF481" s="178"/>
    </row>
    <row r="482" spans="97:110" x14ac:dyDescent="0.25">
      <c r="CS482" s="60"/>
      <c r="CT482" s="166"/>
      <c r="CU482" s="60"/>
      <c r="CV482" s="60"/>
      <c r="CW482" s="63"/>
      <c r="CX482" s="176"/>
      <c r="CY482" s="179" t="s">
        <v>30</v>
      </c>
      <c r="CZ482" s="178"/>
      <c r="DA482" s="178"/>
      <c r="DB482" s="178"/>
      <c r="DC482" s="178"/>
      <c r="DD482" s="178"/>
      <c r="DE482" s="178"/>
      <c r="DF482" s="178"/>
    </row>
  </sheetData>
  <mergeCells count="6">
    <mergeCell ref="DC456:DC457"/>
    <mergeCell ref="CT428:CU428"/>
    <mergeCell ref="CT429:CU429"/>
    <mergeCell ref="CY456:CY457"/>
    <mergeCell ref="CZ456:CZ457"/>
    <mergeCell ref="DB456:DB457"/>
  </mergeCells>
  <pageMargins left="0.7" right="0.7" top="0.75" bottom="0.75" header="0.51180555555555496" footer="0.51180555555555496"/>
  <pageSetup paperSize="9" firstPageNumber="0" orientation="portrait" horizontalDpi="300" verticalDpi="300" r:id="rId1"/>
  <ignoredErrors>
    <ignoredError sqref="C4" unlocked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Feuil2</vt:lpstr>
      <vt:lpstr>Feuil2!Consortium</vt:lpstr>
      <vt:lpstr>Consortium</vt:lpstr>
      <vt:lpstr>Feuil2!Total1</vt:lpstr>
      <vt:lpstr>Total1</vt:lpstr>
      <vt:lpstr>Feuil2!Total2</vt:lpstr>
      <vt:lpstr>Total2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2020-12-11T13:56:32Z</dcterms:created>
  <dcterms:modified xsi:type="dcterms:W3CDTF">2020-12-11T16:22:33Z</dcterms:modified>
</cp:coreProperties>
</file>