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in\Documents\Gestion\Excel\"/>
    </mc:Choice>
  </mc:AlternateContent>
  <xr:revisionPtr revIDLastSave="0" documentId="13_ncr:1_{7E87A733-EF2D-4302-ACDA-B3BFD2257829}" xr6:coauthVersionLast="47" xr6:coauthVersionMax="47" xr10:uidLastSave="{00000000-0000-0000-0000-000000000000}"/>
  <bookViews>
    <workbookView xWindow="-108" yWindow="-108" windowWidth="23256" windowHeight="12576" xr2:uid="{130076E4-96C6-4B26-A3DA-3B90103FAB33}"/>
  </bookViews>
  <sheets>
    <sheet name="Fiche de Paie" sheetId="3" r:id="rId1"/>
    <sheet name="DONNEES" sheetId="4" r:id="rId2"/>
  </sheets>
  <definedNames>
    <definedName name="_10_ans_d_ancienneté">DONNEES!$F$8:$F$13</definedName>
    <definedName name="_15_ans_d_ancienneté">DONNEES!$G$8:$G$13</definedName>
    <definedName name="_2_ans_d_ancienneté">DONNEES!$D$8:$D$13</definedName>
    <definedName name="_5_ans_d_ancienneté">DONNEES!$E$8:$E$13</definedName>
    <definedName name="A_l_embauche">DONNEES!$C$8:$C$13</definedName>
    <definedName name="Coefficient">DONNEES!$B$8:$B$13</definedName>
    <definedName name="z">DONNEES!$B$7:$G$7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3" l="1"/>
  <c r="D22" i="4"/>
  <c r="D23" i="4"/>
  <c r="D24" i="4"/>
  <c r="D25" i="4"/>
  <c r="D26" i="4"/>
  <c r="B7" i="3"/>
  <c r="C23" i="4"/>
  <c r="C24" i="4"/>
  <c r="C25" i="4"/>
  <c r="C26" i="4"/>
  <c r="C22" i="4"/>
  <c r="D17" i="4"/>
  <c r="C17" i="4"/>
  <c r="A17" i="4"/>
  <c r="B27" i="4"/>
  <c r="A19" i="4"/>
  <c r="B4" i="3"/>
  <c r="B17" i="4"/>
  <c r="I4" i="3"/>
  <c r="D4" i="3" s="1"/>
  <c r="E9" i="4"/>
  <c r="F9" i="4" s="1"/>
  <c r="G9" i="4" s="1"/>
  <c r="E13" i="4"/>
  <c r="F13" i="4" s="1"/>
  <c r="G13" i="4" s="1"/>
  <c r="D8" i="4"/>
  <c r="E8" i="4" s="1"/>
  <c r="F8" i="4" s="1"/>
  <c r="G8" i="4" s="1"/>
  <c r="D11" i="4"/>
  <c r="E11" i="4" s="1"/>
  <c r="F11" i="4" s="1"/>
  <c r="G11" i="4" s="1"/>
  <c r="D10" i="4"/>
  <c r="E10" i="4" s="1"/>
  <c r="F10" i="4" s="1"/>
  <c r="G10" i="4" s="1"/>
  <c r="D9" i="4"/>
  <c r="D13" i="4"/>
  <c r="D12" i="4"/>
  <c r="E12" i="4" s="1"/>
  <c r="F12" i="4" s="1"/>
  <c r="G12" i="4" s="1"/>
  <c r="K10" i="3"/>
  <c r="B8" i="3" s="1"/>
  <c r="I10" i="3"/>
  <c r="B12" i="3"/>
  <c r="K19" i="3"/>
  <c r="K18" i="3"/>
  <c r="K17" i="3"/>
  <c r="K16" i="3"/>
  <c r="K15" i="3"/>
  <c r="K14" i="3"/>
  <c r="K13" i="3"/>
  <c r="I8" i="3"/>
  <c r="I7" i="3"/>
  <c r="B11" i="3" s="1"/>
  <c r="C27" i="4" l="1"/>
  <c r="B19" i="4"/>
  <c r="B6" i="3" s="1"/>
  <c r="D5" i="3"/>
  <c r="K20" i="3"/>
  <c r="B19" i="3" s="1"/>
  <c r="D8" i="3"/>
  <c r="K7" i="3"/>
  <c r="D6" i="3" l="1"/>
  <c r="D7" i="3"/>
  <c r="K8" i="3"/>
  <c r="B14" i="3" l="1"/>
  <c r="B22" i="3" l="1"/>
  <c r="B23" i="3" s="1"/>
  <c r="B24" i="3" s="1"/>
  <c r="B16" i="3"/>
  <c r="B17" i="3" s="1"/>
  <c r="B20" i="3" s="1"/>
</calcChain>
</file>

<file path=xl/sharedStrings.xml><?xml version="1.0" encoding="utf-8"?>
<sst xmlns="http://schemas.openxmlformats.org/spreadsheetml/2006/main" count="90" uniqueCount="79">
  <si>
    <t>Taux Horaire</t>
  </si>
  <si>
    <t>CSS</t>
  </si>
  <si>
    <t>Salaire Brut</t>
  </si>
  <si>
    <t>Salaire Net</t>
  </si>
  <si>
    <t>TH</t>
  </si>
  <si>
    <t>Prime</t>
  </si>
  <si>
    <t>Frais de route</t>
  </si>
  <si>
    <t>Salaire Net à Payer</t>
  </si>
  <si>
    <t>Groupe</t>
  </si>
  <si>
    <t>Coefficient</t>
  </si>
  <si>
    <t>A l'embauche</t>
  </si>
  <si>
    <t>2 ans d'ancienneté</t>
  </si>
  <si>
    <t>10 ans d'ancienneté</t>
  </si>
  <si>
    <t>15 ans d'ancienneté</t>
  </si>
  <si>
    <t>5 ans d'ancienneté</t>
  </si>
  <si>
    <t>3-bis</t>
  </si>
  <si>
    <t>115 M</t>
  </si>
  <si>
    <t>118 M</t>
  </si>
  <si>
    <t>120 M</t>
  </si>
  <si>
    <t>128 M</t>
  </si>
  <si>
    <t>138 M</t>
  </si>
  <si>
    <t>150 M</t>
  </si>
  <si>
    <t>Taux horaires / Personnel roulant</t>
  </si>
  <si>
    <t>GMA</t>
  </si>
  <si>
    <t>Indemnité de repas</t>
  </si>
  <si>
    <t>Indemnité de repas unique</t>
  </si>
  <si>
    <t>Indemnité de repas unique de nuit</t>
  </si>
  <si>
    <t>Indemnité spéciale</t>
  </si>
  <si>
    <t>Indemnité de casse-croûte</t>
  </si>
  <si>
    <t>Grand déplacement 1 repas + 1 découcher</t>
  </si>
  <si>
    <t>Grand déplacement 2 repas + 1 découcher</t>
  </si>
  <si>
    <t>INDEMNITES</t>
  </si>
  <si>
    <t>NOMBRE</t>
  </si>
  <si>
    <t>TOTAL</t>
  </si>
  <si>
    <t>FICHE DE PAIE</t>
  </si>
  <si>
    <t>HN - 100%</t>
  </si>
  <si>
    <t>HE - 125%</t>
  </si>
  <si>
    <t>GMA - 150%</t>
  </si>
  <si>
    <t>Prime de Nuit</t>
  </si>
  <si>
    <t>CSP</t>
  </si>
  <si>
    <t>Coût Employeur</t>
  </si>
  <si>
    <r>
      <t>HS</t>
    </r>
    <r>
      <rPr>
        <b/>
        <i/>
        <sz val="11"/>
        <color theme="1"/>
        <rFont val="Calibri"/>
        <family val="2"/>
        <scheme val="minor"/>
      </rPr>
      <t>1</t>
    </r>
    <r>
      <rPr>
        <b/>
        <sz val="11"/>
        <color theme="1"/>
        <rFont val="Calibri"/>
        <family val="2"/>
        <scheme val="minor"/>
      </rPr>
      <t xml:space="preserve"> - 125%</t>
    </r>
  </si>
  <si>
    <r>
      <t>HS</t>
    </r>
    <r>
      <rPr>
        <b/>
        <i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 xml:space="preserve"> - 150%</t>
    </r>
  </si>
  <si>
    <t>DONNEES</t>
  </si>
  <si>
    <t>Temps de service</t>
  </si>
  <si>
    <t>MAJORE DE 18% EN CAS DE DEPLACEMENT A L'ETRANGER</t>
  </si>
  <si>
    <t>Heures de Nuit</t>
  </si>
  <si>
    <t>Amplitude</t>
  </si>
  <si>
    <t>Type Conducteur</t>
  </si>
  <si>
    <t>Type de Conducteur</t>
  </si>
  <si>
    <t>Messagerie</t>
  </si>
  <si>
    <t>Courte Distance</t>
  </si>
  <si>
    <t>Grand Routier</t>
  </si>
  <si>
    <t>Prime de nuit 25%(&lt;40H)</t>
  </si>
  <si>
    <t>Prime de nuit 20%(&gt;40H)</t>
  </si>
  <si>
    <t>Taux Majorée Nuit 20%</t>
  </si>
  <si>
    <t>Taux Majorée Nuit 25%</t>
  </si>
  <si>
    <t>Repos compensateur de Nuit</t>
  </si>
  <si>
    <t>Payés</t>
  </si>
  <si>
    <t>Non Payés</t>
  </si>
  <si>
    <t>Repos compensateur de nuit</t>
  </si>
  <si>
    <t>RC nuit</t>
  </si>
  <si>
    <t>Ancienneté</t>
  </si>
  <si>
    <t>Heures Normales</t>
  </si>
  <si>
    <t>HS</t>
  </si>
  <si>
    <t>Ecart HN et HS</t>
  </si>
  <si>
    <t>Ecart HN et 169</t>
  </si>
  <si>
    <t>Semaine 1</t>
  </si>
  <si>
    <t>Semaine 2</t>
  </si>
  <si>
    <t>Semaine 3</t>
  </si>
  <si>
    <t>Semaine 4</t>
  </si>
  <si>
    <t>Semaine 5</t>
  </si>
  <si>
    <t>Nombre d'Heures</t>
  </si>
  <si>
    <t>HN</t>
  </si>
  <si>
    <t>HE</t>
  </si>
  <si>
    <t>HS1</t>
  </si>
  <si>
    <t>HS2</t>
  </si>
  <si>
    <t>Total</t>
  </si>
  <si>
    <t>Ecart HN et 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</si>
</sst>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&quot; H&quot;"/>
    <numFmt numFmtId="165" formatCode="0.0"/>
    <numFmt numFmtId="166" formatCode="#,##0.00&quot; H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" xfId="1" applyNumberFormat="1" applyFont="1" applyBorder="1" applyAlignment="1">
      <alignment horizontal="center" vertical="center"/>
    </xf>
    <xf numFmtId="44" fontId="2" fillId="0" borderId="1" xfId="1" applyFont="1" applyBorder="1"/>
    <xf numFmtId="44" fontId="0" fillId="0" borderId="1" xfId="0" applyNumberFormat="1" applyBorder="1" applyAlignment="1">
      <alignment horizontal="center" vertical="center"/>
    </xf>
    <xf numFmtId="44" fontId="0" fillId="0" borderId="3" xfId="0" applyNumberFormat="1" applyBorder="1" applyAlignment="1">
      <alignment horizontal="center" vertical="center"/>
    </xf>
    <xf numFmtId="0" fontId="0" fillId="0" borderId="0" xfId="0" applyAlignment="1"/>
    <xf numFmtId="0" fontId="2" fillId="0" borderId="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44" fontId="6" fillId="0" borderId="2" xfId="0" applyNumberFormat="1" applyFont="1" applyBorder="1"/>
    <xf numFmtId="0" fontId="2" fillId="3" borderId="0" xfId="0" applyFont="1" applyFill="1"/>
    <xf numFmtId="0" fontId="0" fillId="3" borderId="0" xfId="0" applyFill="1"/>
    <xf numFmtId="0" fontId="0" fillId="0" borderId="11" xfId="0" applyFont="1" applyBorder="1" applyAlignment="1">
      <alignment horizontal="left" vertical="center"/>
    </xf>
    <xf numFmtId="0" fontId="0" fillId="2" borderId="11" xfId="0" applyFill="1" applyBorder="1" applyAlignment="1">
      <alignment horizontal="center" vertical="center"/>
    </xf>
    <xf numFmtId="44" fontId="0" fillId="2" borderId="1" xfId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2" borderId="1" xfId="2" applyFont="1" applyFill="1" applyBorder="1"/>
    <xf numFmtId="0" fontId="5" fillId="3" borderId="0" xfId="0" applyFont="1" applyFill="1" applyAlignment="1">
      <alignment vertical="center"/>
    </xf>
    <xf numFmtId="0" fontId="0" fillId="3" borderId="0" xfId="0" applyFill="1" applyAlignment="1"/>
    <xf numFmtId="44" fontId="0" fillId="3" borderId="0" xfId="1" applyFont="1" applyFill="1" applyAlignment="1"/>
    <xf numFmtId="164" fontId="0" fillId="3" borderId="0" xfId="0" applyNumberFormat="1" applyFill="1"/>
    <xf numFmtId="0" fontId="2" fillId="0" borderId="2" xfId="0" applyFont="1" applyBorder="1" applyAlignment="1">
      <alignment horizontal="center" vertical="center"/>
    </xf>
    <xf numFmtId="2" fontId="0" fillId="0" borderId="0" xfId="0" applyNumberFormat="1"/>
    <xf numFmtId="0" fontId="2" fillId="0" borderId="1" xfId="0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Fill="1" applyBorder="1"/>
    <xf numFmtId="164" fontId="0" fillId="3" borderId="1" xfId="1" applyNumberFormat="1" applyFont="1" applyFill="1" applyBorder="1" applyAlignment="1">
      <alignment horizontal="center"/>
    </xf>
    <xf numFmtId="164" fontId="0" fillId="3" borderId="1" xfId="1" applyNumberFormat="1" applyFont="1" applyFill="1" applyBorder="1" applyAlignment="1">
      <alignment horizontal="center" vertical="center"/>
    </xf>
    <xf numFmtId="166" fontId="0" fillId="3" borderId="1" xfId="1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4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44" fontId="0" fillId="3" borderId="0" xfId="1" applyFont="1" applyFill="1" applyBorder="1" applyAlignment="1">
      <alignment horizontal="right" vertical="center"/>
    </xf>
    <xf numFmtId="166" fontId="0" fillId="3" borderId="0" xfId="0" applyNumberFormat="1" applyFill="1" applyBorder="1" applyAlignment="1">
      <alignment horizontal="center"/>
    </xf>
    <xf numFmtId="166" fontId="0" fillId="3" borderId="0" xfId="1" applyNumberFormat="1" applyFont="1" applyFill="1" applyAlignment="1">
      <alignment horizontal="center"/>
    </xf>
    <xf numFmtId="44" fontId="0" fillId="3" borderId="0" xfId="1" applyFont="1" applyFill="1" applyAlignment="1">
      <alignment horizontal="right"/>
    </xf>
    <xf numFmtId="164" fontId="0" fillId="3" borderId="0" xfId="1" applyNumberFormat="1" applyFont="1" applyFill="1" applyAlignment="1">
      <alignment horizontal="center"/>
    </xf>
    <xf numFmtId="44" fontId="0" fillId="3" borderId="0" xfId="1" applyFont="1" applyFill="1" applyAlignment="1">
      <alignment horizontal="center"/>
    </xf>
    <xf numFmtId="44" fontId="1" fillId="3" borderId="0" xfId="1" applyFont="1" applyFill="1" applyAlignment="1">
      <alignment horizontal="right" vertical="center"/>
    </xf>
    <xf numFmtId="44" fontId="1" fillId="3" borderId="0" xfId="1" applyFont="1" applyFill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44" fontId="0" fillId="3" borderId="0" xfId="1" applyFont="1" applyFill="1" applyAlignment="1">
      <alignment horizontal="right" vertical="center"/>
    </xf>
    <xf numFmtId="0" fontId="2" fillId="0" borderId="12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05DB92-A1EB-4175-94A3-A6E6BEFEBA11}">
  <dimension ref="A1:N32"/>
  <sheetViews>
    <sheetView tabSelected="1" workbookViewId="0">
      <selection activeCell="F9" sqref="F9"/>
    </sheetView>
  </sheetViews>
  <sheetFormatPr baseColWidth="10" defaultRowHeight="14.4" x14ac:dyDescent="0.3"/>
  <cols>
    <col min="1" max="1" width="16.44140625" bestFit="1" customWidth="1"/>
    <col min="6" max="6" width="24.5546875" customWidth="1"/>
    <col min="8" max="8" width="35.5546875" bestFit="1" customWidth="1"/>
    <col min="9" max="9" width="10.77734375" customWidth="1"/>
    <col min="10" max="10" width="20.109375" bestFit="1" customWidth="1"/>
    <col min="11" max="11" width="10.77734375" customWidth="1"/>
    <col min="13" max="13" width="17.21875" bestFit="1" customWidth="1"/>
  </cols>
  <sheetData>
    <row r="1" spans="1:14" ht="14.4" customHeight="1" x14ac:dyDescent="0.3">
      <c r="A1" s="65" t="s">
        <v>34</v>
      </c>
      <c r="B1" s="65"/>
      <c r="C1" s="65"/>
      <c r="D1" s="65"/>
      <c r="E1" s="65"/>
      <c r="F1" s="21"/>
      <c r="G1" s="22"/>
      <c r="H1" s="49" t="s">
        <v>43</v>
      </c>
      <c r="I1" s="50"/>
      <c r="J1" s="50"/>
      <c r="K1" s="51"/>
      <c r="L1" s="38" t="s">
        <v>9</v>
      </c>
      <c r="M1" s="40" t="s">
        <v>62</v>
      </c>
      <c r="N1" s="14"/>
    </row>
    <row r="2" spans="1:14" ht="14.4" customHeight="1" thickBot="1" x14ac:dyDescent="0.35">
      <c r="A2" s="65"/>
      <c r="B2" s="65"/>
      <c r="C2" s="65"/>
      <c r="D2" s="65"/>
      <c r="E2" s="65"/>
      <c r="F2" s="21"/>
      <c r="G2" s="22"/>
      <c r="H2" s="52"/>
      <c r="I2" s="53"/>
      <c r="J2" s="53"/>
      <c r="K2" s="54"/>
      <c r="L2" s="39"/>
      <c r="M2" s="41"/>
      <c r="N2" s="14"/>
    </row>
    <row r="3" spans="1:14" ht="14.4" customHeight="1" x14ac:dyDescent="0.3">
      <c r="A3" s="65"/>
      <c r="B3" s="65"/>
      <c r="C3" s="65"/>
      <c r="D3" s="65"/>
      <c r="E3" s="65"/>
      <c r="F3" s="21"/>
      <c r="G3" s="22"/>
      <c r="H3" s="15" t="s">
        <v>48</v>
      </c>
      <c r="I3" s="42" t="s">
        <v>52</v>
      </c>
      <c r="J3" s="42"/>
      <c r="K3" s="43"/>
      <c r="L3" s="16" t="s">
        <v>21</v>
      </c>
      <c r="M3" s="16" t="s">
        <v>11</v>
      </c>
      <c r="N3" s="14"/>
    </row>
    <row r="4" spans="1:14" x14ac:dyDescent="0.3">
      <c r="A4" s="13" t="s">
        <v>35</v>
      </c>
      <c r="B4" s="58">
        <f>IF(K4&gt;DONNEES!A17,DONNEES!A17,K4)</f>
        <v>151.66666666666666</v>
      </c>
      <c r="C4" s="58"/>
      <c r="D4" s="57">
        <f>IF(K4&gt;DONNEES!A17,DONNEES!A17*I4,K4*I4)</f>
        <v>1622.8029999999999</v>
      </c>
      <c r="E4" s="57"/>
      <c r="F4" s="14"/>
      <c r="G4" s="22"/>
      <c r="H4" s="1" t="s">
        <v>0</v>
      </c>
      <c r="I4" s="17">
        <f>INDEX(DONNEES!$B$7:$G$13,MATCH(L3,DONNEES!$B$7:$B$13,0),MATCH(M3,DONNEES!$B$7:$G$7,0))</f>
        <v>10.6998</v>
      </c>
      <c r="J4" s="1" t="s">
        <v>44</v>
      </c>
      <c r="K4" s="18">
        <v>191</v>
      </c>
      <c r="L4" s="14"/>
      <c r="M4" s="14"/>
      <c r="N4" s="14"/>
    </row>
    <row r="5" spans="1:14" x14ac:dyDescent="0.3">
      <c r="A5" s="13" t="s">
        <v>36</v>
      </c>
      <c r="B5" s="59">
        <f>IF(I3="Courte distance",MIN(K4-DONNEES!A17,DONNEES!B19),IF(I3="Grand routier",MIN(K4-DONNEES!A17,DONNEES!A19),"-"))</f>
        <v>34.666666666666657</v>
      </c>
      <c r="C5" s="59"/>
      <c r="D5" s="60">
        <f>IFERROR(B5*(I4*1.25),"-")</f>
        <v>463.65799999999984</v>
      </c>
      <c r="E5" s="60"/>
      <c r="F5" s="14"/>
      <c r="G5" s="22"/>
      <c r="H5" s="1" t="s">
        <v>5</v>
      </c>
      <c r="I5" s="17"/>
      <c r="J5" s="1" t="s">
        <v>6</v>
      </c>
      <c r="K5" s="3"/>
      <c r="L5" s="14"/>
      <c r="M5" s="14"/>
      <c r="N5" s="14"/>
    </row>
    <row r="6" spans="1:14" x14ac:dyDescent="0.3">
      <c r="A6" s="13" t="s">
        <v>41</v>
      </c>
      <c r="B6" s="61" t="str">
        <f>IF(I3="Messagerie",MIN(K4-DONNEES!A17,DONNEES!A19),IF(I3="Courte distance",MIN(K4-169,DONNEES!B19),"-"))</f>
        <v>-</v>
      </c>
      <c r="C6" s="61"/>
      <c r="D6" s="60" t="str">
        <f>IFERROR(IF(I6=0,10.25*B6*1.25,IF(J9="Payés",K8*B6*1.25,K7*B6*1.25)),"-")</f>
        <v>-</v>
      </c>
      <c r="E6" s="60"/>
      <c r="F6" s="23"/>
      <c r="G6" s="23"/>
      <c r="H6" s="1" t="s">
        <v>46</v>
      </c>
      <c r="I6" s="18">
        <v>0</v>
      </c>
      <c r="J6" s="1" t="s">
        <v>47</v>
      </c>
      <c r="K6" s="18">
        <v>246</v>
      </c>
      <c r="L6" s="14"/>
      <c r="M6" s="14"/>
      <c r="N6" s="14"/>
    </row>
    <row r="7" spans="1:14" x14ac:dyDescent="0.3">
      <c r="A7" s="13" t="s">
        <v>42</v>
      </c>
      <c r="B7" s="59">
        <f>IF(OR(I3="Messagerie",I3="Courte distance",I3="Grand Routier"),IF(K4-DONNEES!B17&gt;0,MIN(K4-DONNEES!B17,500),"-"))</f>
        <v>4.6666666666666856</v>
      </c>
      <c r="C7" s="59"/>
      <c r="D7" s="60">
        <f>IFERROR(IF(I6=0,10.25*B7*1.5,IF(J9="Payés",K8*B7*1.5,K7*B7*1.5)),"-")</f>
        <v>71.750000000000284</v>
      </c>
      <c r="E7" s="60"/>
      <c r="F7" s="14"/>
      <c r="G7" s="14"/>
      <c r="H7" s="1" t="s">
        <v>54</v>
      </c>
      <c r="I7" s="3">
        <f>(10.49*0.2)*I6</f>
        <v>0</v>
      </c>
      <c r="J7" s="1" t="s">
        <v>55</v>
      </c>
      <c r="K7" s="6">
        <f>((B4*I4)+I7)/B4</f>
        <v>10.6998</v>
      </c>
      <c r="L7" s="14"/>
      <c r="M7" s="14"/>
      <c r="N7" s="14"/>
    </row>
    <row r="8" spans="1:14" x14ac:dyDescent="0.3">
      <c r="A8" s="13" t="s">
        <v>37</v>
      </c>
      <c r="B8" s="59" t="str">
        <f>IF(I3="Grand Routier",IF(K6-(K10+K4)&gt;0,K6-(K10+K4),"-"),"-")</f>
        <v>-</v>
      </c>
      <c r="C8" s="59"/>
      <c r="D8" s="66" t="str">
        <f>IFERROR(B8*(I4*1.5),"-")</f>
        <v>-</v>
      </c>
      <c r="E8" s="66"/>
      <c r="F8" s="14"/>
      <c r="G8" s="14"/>
      <c r="H8" s="1" t="s">
        <v>53</v>
      </c>
      <c r="I8" s="3">
        <f>(10.49*0.25)*I6</f>
        <v>0</v>
      </c>
      <c r="J8" s="1" t="s">
        <v>56</v>
      </c>
      <c r="K8" s="6">
        <f>((B4*I4)+I8)/B4</f>
        <v>10.6998</v>
      </c>
      <c r="L8" s="14"/>
      <c r="M8" s="14"/>
      <c r="N8" s="14"/>
    </row>
    <row r="9" spans="1:14" x14ac:dyDescent="0.3">
      <c r="A9" s="13"/>
      <c r="B9" s="61"/>
      <c r="C9" s="61"/>
      <c r="D9" s="62"/>
      <c r="E9" s="62"/>
      <c r="F9" s="14"/>
      <c r="G9" s="14"/>
      <c r="H9" s="47" t="s">
        <v>60</v>
      </c>
      <c r="I9" s="47"/>
      <c r="J9" s="48" t="s">
        <v>59</v>
      </c>
      <c r="K9" s="48"/>
      <c r="L9" s="14"/>
      <c r="M9" s="14"/>
      <c r="N9" s="14"/>
    </row>
    <row r="10" spans="1:14" x14ac:dyDescent="0.3">
      <c r="A10" s="13"/>
      <c r="B10" s="14"/>
      <c r="C10" s="14"/>
      <c r="D10" s="14"/>
      <c r="E10" s="14"/>
      <c r="F10" s="14"/>
      <c r="G10" s="14"/>
      <c r="H10" s="1" t="s">
        <v>61</v>
      </c>
      <c r="I10" s="2" t="str">
        <f>IF(I6&lt;50,"0",I6*0.05)</f>
        <v>0</v>
      </c>
      <c r="J10" s="1" t="s">
        <v>23</v>
      </c>
      <c r="K10" s="2">
        <f>IF((K6*0.25)&gt;=63,63,IF((K6*0.25)&lt;63,(K6*0.25),""))</f>
        <v>61.5</v>
      </c>
      <c r="L10" s="14"/>
      <c r="M10" s="14"/>
      <c r="N10" s="14"/>
    </row>
    <row r="11" spans="1:14" x14ac:dyDescent="0.3">
      <c r="A11" s="13" t="s">
        <v>38</v>
      </c>
      <c r="B11" s="66" t="str">
        <f>IFERROR(IF(I6=0,"-",IF(J9="Payés",I8,I7)),"-")</f>
        <v>-</v>
      </c>
      <c r="C11" s="66"/>
      <c r="D11" s="66"/>
      <c r="E11" s="66"/>
      <c r="F11" s="14"/>
      <c r="G11" s="14"/>
      <c r="H11" s="1" t="s">
        <v>1</v>
      </c>
      <c r="I11" s="20">
        <v>0.23</v>
      </c>
      <c r="J11" s="1" t="s">
        <v>39</v>
      </c>
      <c r="K11" s="20">
        <v>0.47</v>
      </c>
      <c r="L11" s="14"/>
      <c r="M11" s="14"/>
      <c r="N11" s="14"/>
    </row>
    <row r="12" spans="1:14" x14ac:dyDescent="0.3">
      <c r="A12" s="13" t="s">
        <v>5</v>
      </c>
      <c r="B12" s="60" t="str">
        <f>IF(I5&gt;0,I5,"-")</f>
        <v>-</v>
      </c>
      <c r="C12" s="60"/>
      <c r="D12" s="60"/>
      <c r="E12" s="60"/>
      <c r="F12" s="23"/>
      <c r="G12" s="14"/>
      <c r="H12" s="44" t="s">
        <v>31</v>
      </c>
      <c r="I12" s="44"/>
      <c r="J12" s="9" t="s">
        <v>32</v>
      </c>
      <c r="K12" s="9" t="s">
        <v>33</v>
      </c>
      <c r="L12" s="14"/>
      <c r="M12" s="14"/>
      <c r="N12" s="14"/>
    </row>
    <row r="13" spans="1:14" x14ac:dyDescent="0.3">
      <c r="A13" s="13"/>
      <c r="B13" s="14"/>
      <c r="C13" s="14"/>
      <c r="D13" s="14"/>
      <c r="E13" s="14"/>
      <c r="F13" s="14"/>
      <c r="G13" s="14"/>
      <c r="H13" s="1" t="s">
        <v>24</v>
      </c>
      <c r="I13" s="5">
        <v>13.92</v>
      </c>
      <c r="J13" s="19"/>
      <c r="K13" s="6">
        <f>I13*J13</f>
        <v>0</v>
      </c>
      <c r="L13" s="14"/>
      <c r="M13" s="14"/>
      <c r="N13" s="14"/>
    </row>
    <row r="14" spans="1:14" x14ac:dyDescent="0.3">
      <c r="A14" s="13" t="s">
        <v>2</v>
      </c>
      <c r="B14" s="63">
        <f>SUM(D4:E7,D8,D9,B11,B12)</f>
        <v>2158.2110000000002</v>
      </c>
      <c r="C14" s="63"/>
      <c r="D14" s="63"/>
      <c r="E14" s="63"/>
      <c r="F14" s="24"/>
      <c r="G14" s="14"/>
      <c r="H14" s="1" t="s">
        <v>25</v>
      </c>
      <c r="I14" s="5">
        <v>8.56</v>
      </c>
      <c r="J14" s="19"/>
      <c r="K14" s="6">
        <f t="shared" ref="K14:K19" si="0">I14*J14</f>
        <v>0</v>
      </c>
      <c r="L14" s="14"/>
      <c r="M14" s="14"/>
      <c r="N14" s="14"/>
    </row>
    <row r="15" spans="1:14" x14ac:dyDescent="0.3">
      <c r="A15" s="13"/>
      <c r="B15" s="14"/>
      <c r="C15" s="14"/>
      <c r="D15" s="14"/>
      <c r="E15" s="14"/>
      <c r="F15" s="14"/>
      <c r="G15" s="14"/>
      <c r="H15" s="1" t="s">
        <v>26</v>
      </c>
      <c r="I15" s="5">
        <v>8.34</v>
      </c>
      <c r="J15" s="19"/>
      <c r="K15" s="6">
        <f t="shared" si="0"/>
        <v>0</v>
      </c>
      <c r="L15" s="14"/>
      <c r="M15" s="14"/>
      <c r="N15" s="14"/>
    </row>
    <row r="16" spans="1:14" x14ac:dyDescent="0.3">
      <c r="A16" s="13" t="s">
        <v>1</v>
      </c>
      <c r="B16" s="62">
        <f>B14*I11</f>
        <v>496.38853000000006</v>
      </c>
      <c r="C16" s="62"/>
      <c r="D16" s="62"/>
      <c r="E16" s="62"/>
      <c r="F16" s="14"/>
      <c r="G16" s="14"/>
      <c r="H16" s="1" t="s">
        <v>27</v>
      </c>
      <c r="I16" s="5">
        <v>3.77</v>
      </c>
      <c r="J16" s="19"/>
      <c r="K16" s="6">
        <f t="shared" si="0"/>
        <v>0</v>
      </c>
      <c r="L16" s="14"/>
      <c r="M16" s="14"/>
      <c r="N16" s="14"/>
    </row>
    <row r="17" spans="1:14" x14ac:dyDescent="0.3">
      <c r="A17" s="13" t="s">
        <v>3</v>
      </c>
      <c r="B17" s="62">
        <f>B14-B16</f>
        <v>1661.8224700000001</v>
      </c>
      <c r="C17" s="62"/>
      <c r="D17" s="62"/>
      <c r="E17" s="62"/>
      <c r="F17" s="14"/>
      <c r="G17" s="14"/>
      <c r="H17" s="1" t="s">
        <v>28</v>
      </c>
      <c r="I17" s="5">
        <v>7.54</v>
      </c>
      <c r="J17" s="19"/>
      <c r="K17" s="6">
        <f t="shared" si="0"/>
        <v>0</v>
      </c>
      <c r="L17" s="14"/>
      <c r="M17" s="14"/>
      <c r="N17" s="14"/>
    </row>
    <row r="18" spans="1:14" x14ac:dyDescent="0.3">
      <c r="A18" s="13"/>
      <c r="B18" s="14"/>
      <c r="C18" s="14"/>
      <c r="D18" s="14"/>
      <c r="E18" s="14"/>
      <c r="F18" s="14"/>
      <c r="G18" s="14"/>
      <c r="H18" s="1" t="s">
        <v>29</v>
      </c>
      <c r="I18" s="5">
        <v>44.5</v>
      </c>
      <c r="J18" s="19"/>
      <c r="K18" s="6">
        <f t="shared" si="0"/>
        <v>0</v>
      </c>
      <c r="L18" s="14"/>
      <c r="M18" s="14"/>
      <c r="N18" s="14"/>
    </row>
    <row r="19" spans="1:14" ht="15" thickBot="1" x14ac:dyDescent="0.35">
      <c r="A19" s="13" t="s">
        <v>6</v>
      </c>
      <c r="B19" s="62">
        <f>K5</f>
        <v>0</v>
      </c>
      <c r="C19" s="62"/>
      <c r="D19" s="62"/>
      <c r="E19" s="62"/>
      <c r="F19" s="14"/>
      <c r="G19" s="14"/>
      <c r="H19" s="1" t="s">
        <v>30</v>
      </c>
      <c r="I19" s="5">
        <v>58.42</v>
      </c>
      <c r="J19" s="19"/>
      <c r="K19" s="7">
        <f t="shared" si="0"/>
        <v>0</v>
      </c>
      <c r="L19" s="14"/>
      <c r="M19" s="14"/>
      <c r="N19" s="14"/>
    </row>
    <row r="20" spans="1:14" ht="15" thickBot="1" x14ac:dyDescent="0.35">
      <c r="A20" s="13" t="s">
        <v>7</v>
      </c>
      <c r="B20" s="64">
        <f>B17+B19</f>
        <v>1661.8224700000001</v>
      </c>
      <c r="C20" s="64"/>
      <c r="D20" s="64"/>
      <c r="E20" s="64"/>
      <c r="F20" s="14"/>
      <c r="G20" s="14"/>
      <c r="H20" s="45" t="s">
        <v>45</v>
      </c>
      <c r="I20" s="45"/>
      <c r="J20" s="46"/>
      <c r="K20" s="12">
        <f>SUM(K13:K19)</f>
        <v>0</v>
      </c>
      <c r="L20" s="14"/>
      <c r="M20" s="14"/>
      <c r="N20" s="14"/>
    </row>
    <row r="21" spans="1:14" x14ac:dyDescent="0.3">
      <c r="A21" s="13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</row>
    <row r="22" spans="1:14" x14ac:dyDescent="0.3">
      <c r="A22" s="13" t="s">
        <v>39</v>
      </c>
      <c r="B22" s="62">
        <f>B14*K11</f>
        <v>1014.3591700000001</v>
      </c>
      <c r="C22" s="62"/>
      <c r="D22" s="62"/>
      <c r="E22" s="62"/>
      <c r="F22" s="14"/>
      <c r="G22" s="14"/>
      <c r="H22" s="14"/>
      <c r="I22" s="14"/>
      <c r="J22" s="14"/>
      <c r="K22" s="14"/>
      <c r="L22" s="14"/>
      <c r="M22" s="14"/>
      <c r="N22" s="14"/>
    </row>
    <row r="23" spans="1:14" x14ac:dyDescent="0.3">
      <c r="A23" s="13" t="s">
        <v>40</v>
      </c>
      <c r="B23" s="62">
        <f>B22+B14</f>
        <v>3172.5701700000004</v>
      </c>
      <c r="C23" s="62"/>
      <c r="D23" s="62"/>
      <c r="E23" s="62"/>
      <c r="F23" s="14"/>
      <c r="G23" s="14"/>
      <c r="H23" s="14"/>
      <c r="I23" s="14"/>
      <c r="J23" s="14"/>
      <c r="K23" s="14"/>
      <c r="L23" s="14"/>
      <c r="M23" s="14"/>
      <c r="N23" s="14"/>
    </row>
    <row r="24" spans="1:14" x14ac:dyDescent="0.3">
      <c r="A24" s="13" t="s">
        <v>4</v>
      </c>
      <c r="B24" s="55">
        <f>B23/K4</f>
        <v>16.610315026178014</v>
      </c>
      <c r="C24" s="56"/>
      <c r="D24" s="56"/>
      <c r="E24" s="56"/>
      <c r="F24" s="14"/>
      <c r="G24" s="14"/>
      <c r="H24" s="14"/>
      <c r="I24" s="14"/>
      <c r="J24" s="14"/>
      <c r="K24" s="14"/>
      <c r="L24" s="14"/>
      <c r="M24" s="14"/>
      <c r="N24" s="14"/>
    </row>
    <row r="25" spans="1:14" x14ac:dyDescent="0.3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</row>
    <row r="26" spans="1:14" x14ac:dyDescent="0.3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</row>
    <row r="27" spans="1:14" x14ac:dyDescent="0.3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</row>
    <row r="28" spans="1:14" x14ac:dyDescent="0.3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</row>
    <row r="29" spans="1:14" x14ac:dyDescent="0.3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</row>
    <row r="30" spans="1:14" x14ac:dyDescent="0.3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</row>
    <row r="31" spans="1:14" x14ac:dyDescent="0.3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</row>
    <row r="32" spans="1:14" x14ac:dyDescent="0.3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</row>
  </sheetData>
  <protectedRanges>
    <protectedRange sqref="L3:M3 K4 I3:I6 K6 I11 K11 J13:J19 J9" name="Plage1"/>
  </protectedRanges>
  <mergeCells count="32">
    <mergeCell ref="A1:E2"/>
    <mergeCell ref="D7:E7"/>
    <mergeCell ref="D9:E9"/>
    <mergeCell ref="B11:E11"/>
    <mergeCell ref="B8:C8"/>
    <mergeCell ref="D8:E8"/>
    <mergeCell ref="B9:C9"/>
    <mergeCell ref="A3:E3"/>
    <mergeCell ref="B24:E24"/>
    <mergeCell ref="D4:E4"/>
    <mergeCell ref="B4:C4"/>
    <mergeCell ref="B5:C5"/>
    <mergeCell ref="D5:E5"/>
    <mergeCell ref="B6:C6"/>
    <mergeCell ref="D6:E6"/>
    <mergeCell ref="B7:C7"/>
    <mergeCell ref="B22:E22"/>
    <mergeCell ref="B23:E23"/>
    <mergeCell ref="B14:E14"/>
    <mergeCell ref="B16:E16"/>
    <mergeCell ref="B17:E17"/>
    <mergeCell ref="B19:E19"/>
    <mergeCell ref="B20:E20"/>
    <mergeCell ref="B12:E12"/>
    <mergeCell ref="L1:L2"/>
    <mergeCell ref="M1:M2"/>
    <mergeCell ref="I3:K3"/>
    <mergeCell ref="H12:I12"/>
    <mergeCell ref="H20:J20"/>
    <mergeCell ref="H9:I9"/>
    <mergeCell ref="J9:K9"/>
    <mergeCell ref="H1:K2"/>
  </mergeCells>
  <dataValidations count="1">
    <dataValidation type="list" allowBlank="1" showInputMessage="1" showErrorMessage="1" sqref="L3" xr:uid="{D792A5A4-F79E-4844-AD86-C473AC0B465C}">
      <formula1>Coefficient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6C556D5-12F3-4E0E-9998-CA0C147F7FFC}">
          <x14:formula1>
            <xm:f>DONNEES!$A$2:$A$4</xm:f>
          </x14:formula1>
          <xm:sqref>I3:K3</xm:sqref>
        </x14:dataValidation>
        <x14:dataValidation type="list" allowBlank="1" showInputMessage="1" showErrorMessage="1" xr:uid="{2AC71D9E-7FBB-42BC-ABDC-83113AE94D8B}">
          <x14:formula1>
            <xm:f>DONNEES!$B$2:$B$3</xm:f>
          </x14:formula1>
          <xm:sqref>J9:K9</xm:sqref>
        </x14:dataValidation>
        <x14:dataValidation type="list" allowBlank="1" showInputMessage="1" showErrorMessage="1" xr:uid="{D6FFDB41-D1B3-48DA-ABB3-DC1FE87D34EB}">
          <x14:formula1>
            <xm:f>DONNEES!$C$7:$G$7</xm:f>
          </x14:formula1>
          <xm:sqref>M3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0C286-38E4-497D-B583-F38332AE8CB0}">
  <dimension ref="A1:G30"/>
  <sheetViews>
    <sheetView topLeftCell="A15" workbookViewId="0">
      <selection activeCell="B33" sqref="B33"/>
    </sheetView>
  </sheetViews>
  <sheetFormatPr baseColWidth="10" defaultRowHeight="14.4" x14ac:dyDescent="0.3"/>
  <cols>
    <col min="1" max="1" width="23" customWidth="1"/>
    <col min="2" max="2" width="24.6640625" bestFit="1" customWidth="1"/>
    <col min="3" max="3" width="11.88671875" bestFit="1" customWidth="1"/>
    <col min="4" max="5" width="16.21875" bestFit="1" customWidth="1"/>
    <col min="6" max="7" width="17.21875" bestFit="1" customWidth="1"/>
  </cols>
  <sheetData>
    <row r="1" spans="1:7" ht="15" thickBot="1" x14ac:dyDescent="0.35">
      <c r="A1" s="11" t="s">
        <v>49</v>
      </c>
      <c r="B1" s="25" t="s">
        <v>57</v>
      </c>
      <c r="C1" s="8"/>
    </row>
    <row r="2" spans="1:7" x14ac:dyDescent="0.3">
      <c r="A2" s="10" t="s">
        <v>50</v>
      </c>
      <c r="B2" s="10" t="s">
        <v>58</v>
      </c>
    </row>
    <row r="3" spans="1:7" x14ac:dyDescent="0.3">
      <c r="A3" s="2" t="s">
        <v>51</v>
      </c>
      <c r="B3" s="2" t="s">
        <v>59</v>
      </c>
    </row>
    <row r="4" spans="1:7" x14ac:dyDescent="0.3">
      <c r="A4" s="2" t="s">
        <v>52</v>
      </c>
    </row>
    <row r="5" spans="1:7" ht="15" thickBot="1" x14ac:dyDescent="0.35"/>
    <row r="6" spans="1:7" ht="15" thickBot="1" x14ac:dyDescent="0.35">
      <c r="A6" s="67" t="s">
        <v>22</v>
      </c>
      <c r="B6" s="68"/>
      <c r="C6" s="68"/>
      <c r="D6" s="68"/>
      <c r="E6" s="68"/>
      <c r="F6" s="68"/>
      <c r="G6" s="69"/>
    </row>
    <row r="7" spans="1:7" x14ac:dyDescent="0.3">
      <c r="A7" s="10" t="s">
        <v>8</v>
      </c>
      <c r="B7" s="10" t="s">
        <v>9</v>
      </c>
      <c r="C7" s="10" t="s">
        <v>10</v>
      </c>
      <c r="D7" s="10" t="s">
        <v>11</v>
      </c>
      <c r="E7" s="10" t="s">
        <v>14</v>
      </c>
      <c r="F7" s="10" t="s">
        <v>12</v>
      </c>
      <c r="G7" s="10" t="s">
        <v>13</v>
      </c>
    </row>
    <row r="8" spans="1:7" x14ac:dyDescent="0.3">
      <c r="A8" s="2">
        <v>3</v>
      </c>
      <c r="B8" s="2" t="s">
        <v>16</v>
      </c>
      <c r="C8" s="3">
        <v>10.25</v>
      </c>
      <c r="D8" s="3">
        <f>10.2*1.02</f>
        <v>10.404</v>
      </c>
      <c r="E8" s="4">
        <f>D8*1.02</f>
        <v>10.612080000000001</v>
      </c>
      <c r="F8" s="4">
        <f>E8*1.02</f>
        <v>10.824321600000001</v>
      </c>
      <c r="G8" s="3">
        <f>F8*1.02</f>
        <v>11.040808032000001</v>
      </c>
    </row>
    <row r="9" spans="1:7" x14ac:dyDescent="0.3">
      <c r="A9" s="2" t="s">
        <v>15</v>
      </c>
      <c r="B9" s="2" t="s">
        <v>17</v>
      </c>
      <c r="C9" s="3">
        <v>10.25</v>
      </c>
      <c r="D9" s="3">
        <f>10.2*1.02</f>
        <v>10.404</v>
      </c>
      <c r="E9" s="4">
        <f t="shared" ref="E9:G13" si="0">D9*1.02</f>
        <v>10.612080000000001</v>
      </c>
      <c r="F9" s="4">
        <f t="shared" si="0"/>
        <v>10.824321600000001</v>
      </c>
      <c r="G9" s="3">
        <f t="shared" si="0"/>
        <v>11.040808032000001</v>
      </c>
    </row>
    <row r="10" spans="1:7" x14ac:dyDescent="0.3">
      <c r="A10" s="2">
        <v>4</v>
      </c>
      <c r="B10" s="2" t="s">
        <v>18</v>
      </c>
      <c r="C10" s="3">
        <v>10.25</v>
      </c>
      <c r="D10" s="3">
        <f>10.2*1.02</f>
        <v>10.404</v>
      </c>
      <c r="E10" s="4">
        <f t="shared" si="0"/>
        <v>10.612080000000001</v>
      </c>
      <c r="F10" s="4">
        <f t="shared" si="0"/>
        <v>10.824321600000001</v>
      </c>
      <c r="G10" s="3">
        <f t="shared" si="0"/>
        <v>11.040808032000001</v>
      </c>
    </row>
    <row r="11" spans="1:7" x14ac:dyDescent="0.3">
      <c r="A11" s="2">
        <v>5</v>
      </c>
      <c r="B11" s="2" t="s">
        <v>19</v>
      </c>
      <c r="C11" s="3">
        <v>10.25</v>
      </c>
      <c r="D11" s="3">
        <f>10.23*1.02</f>
        <v>10.434600000000001</v>
      </c>
      <c r="E11" s="4">
        <f t="shared" si="0"/>
        <v>10.643292000000002</v>
      </c>
      <c r="F11" s="4">
        <f t="shared" si="0"/>
        <v>10.856157840000003</v>
      </c>
      <c r="G11" s="3">
        <f t="shared" si="0"/>
        <v>11.073280996800003</v>
      </c>
    </row>
    <row r="12" spans="1:7" x14ac:dyDescent="0.3">
      <c r="A12" s="2">
        <v>6</v>
      </c>
      <c r="B12" s="2" t="s">
        <v>20</v>
      </c>
      <c r="C12" s="3">
        <v>10.25</v>
      </c>
      <c r="D12" s="3">
        <f>C12*1.02</f>
        <v>10.455</v>
      </c>
      <c r="E12" s="4">
        <f t="shared" si="0"/>
        <v>10.664099999999999</v>
      </c>
      <c r="F12" s="4">
        <f t="shared" si="0"/>
        <v>10.877381999999999</v>
      </c>
      <c r="G12" s="3">
        <f t="shared" si="0"/>
        <v>11.094929639999998</v>
      </c>
    </row>
    <row r="13" spans="1:7" x14ac:dyDescent="0.3">
      <c r="A13" s="2">
        <v>7</v>
      </c>
      <c r="B13" s="2" t="s">
        <v>21</v>
      </c>
      <c r="C13" s="3">
        <v>10.49</v>
      </c>
      <c r="D13" s="3">
        <f>C13*1.02</f>
        <v>10.6998</v>
      </c>
      <c r="E13" s="4">
        <f t="shared" si="0"/>
        <v>10.913796</v>
      </c>
      <c r="F13" s="4">
        <f t="shared" si="0"/>
        <v>11.13207192</v>
      </c>
      <c r="G13" s="3">
        <f t="shared" si="0"/>
        <v>11.3547133584</v>
      </c>
    </row>
    <row r="16" spans="1:7" x14ac:dyDescent="0.3">
      <c r="A16" s="9" t="s">
        <v>63</v>
      </c>
      <c r="B16" s="27" t="s">
        <v>64</v>
      </c>
      <c r="C16" s="9" t="s">
        <v>73</v>
      </c>
      <c r="D16" s="27" t="s">
        <v>78</v>
      </c>
    </row>
    <row r="17" spans="1:6" x14ac:dyDescent="0.3">
      <c r="A17" s="28">
        <f>35*(52/12)</f>
        <v>151.66666666666666</v>
      </c>
      <c r="B17" s="28">
        <f>43*(52/12)</f>
        <v>186.33333333333331</v>
      </c>
      <c r="C17" s="2">
        <f>39*(52/12)</f>
        <v>169</v>
      </c>
      <c r="D17" s="33">
        <f>C19-35</f>
        <v>4</v>
      </c>
    </row>
    <row r="18" spans="1:6" x14ac:dyDescent="0.3">
      <c r="A18" s="29" t="s">
        <v>65</v>
      </c>
      <c r="B18" s="9" t="s">
        <v>66</v>
      </c>
      <c r="C18" s="9" t="s">
        <v>74</v>
      </c>
      <c r="D18" s="2"/>
    </row>
    <row r="19" spans="1:6" x14ac:dyDescent="0.3">
      <c r="A19" s="28">
        <f>B17-A17</f>
        <v>34.666666666666657</v>
      </c>
      <c r="B19" s="28">
        <f>169-A17</f>
        <v>17.333333333333343</v>
      </c>
      <c r="C19" s="2">
        <v>39</v>
      </c>
      <c r="D19" s="2"/>
    </row>
    <row r="20" spans="1:6" x14ac:dyDescent="0.3">
      <c r="A20" s="30"/>
      <c r="B20" s="30"/>
    </row>
    <row r="21" spans="1:6" x14ac:dyDescent="0.3">
      <c r="A21" s="26"/>
      <c r="B21" s="32" t="s">
        <v>72</v>
      </c>
      <c r="C21" s="2" t="s">
        <v>73</v>
      </c>
      <c r="D21" s="2" t="s">
        <v>74</v>
      </c>
      <c r="E21" s="2" t="s">
        <v>75</v>
      </c>
      <c r="F21" s="2" t="s">
        <v>76</v>
      </c>
    </row>
    <row r="22" spans="1:6" x14ac:dyDescent="0.3">
      <c r="A22" s="1" t="s">
        <v>67</v>
      </c>
      <c r="B22" s="35">
        <v>38.24</v>
      </c>
      <c r="C22" s="37">
        <f>IF(B22&gt;35,35,B22)</f>
        <v>35</v>
      </c>
      <c r="D22" s="37">
        <f>IF('Fiche de Paie'!$I$3="Courte distance",MIN(B22-DONNEES!$C$19,DONNEES!$D$17),IF('Fiche de Paie'!$I$3="Grand Routier",MIN(B22-DONNEES!$C$19,DONNEES!$D$17),"-"))</f>
        <v>-0.75999999999999801</v>
      </c>
      <c r="E22" s="36"/>
      <c r="F22" s="36"/>
    </row>
    <row r="23" spans="1:6" x14ac:dyDescent="0.3">
      <c r="A23" s="1" t="s">
        <v>68</v>
      </c>
      <c r="B23" s="35">
        <v>44</v>
      </c>
      <c r="C23" s="37">
        <f t="shared" ref="C23:C26" si="1">IF(B23&gt;35,35,B23)</f>
        <v>35</v>
      </c>
      <c r="D23" s="37">
        <f>IF('Fiche de Paie'!$I$3="Courte distance",MIN(B23-DONNEES!$C$19,DONNEES!$D$17),IF('Fiche de Paie'!$I$3="Grand Routier",MIN(B23-DONNEES!$C$19,DONNEES!$D$17),"-"))</f>
        <v>4</v>
      </c>
      <c r="E23" s="36"/>
      <c r="F23" s="36"/>
    </row>
    <row r="24" spans="1:6" x14ac:dyDescent="0.3">
      <c r="A24" s="1" t="s">
        <v>69</v>
      </c>
      <c r="B24" s="35">
        <v>47</v>
      </c>
      <c r="C24" s="37">
        <f t="shared" si="1"/>
        <v>35</v>
      </c>
      <c r="D24" s="37">
        <f>IF('Fiche de Paie'!$I$3="Courte distance",MIN(B24-DONNEES!$C$19,DONNEES!$D$17),IF('Fiche de Paie'!$I$3="Grand Routier",MIN(B24-DONNEES!$C$19,DONNEES!$D$17),"-"))</f>
        <v>4</v>
      </c>
      <c r="E24" s="36"/>
      <c r="F24" s="36"/>
    </row>
    <row r="25" spans="1:6" x14ac:dyDescent="0.3">
      <c r="A25" s="1" t="s">
        <v>70</v>
      </c>
      <c r="B25" s="35">
        <v>42</v>
      </c>
      <c r="C25" s="37">
        <f t="shared" si="1"/>
        <v>35</v>
      </c>
      <c r="D25" s="37">
        <f>IF('Fiche de Paie'!$I$3="Courte distance",MIN(B25-DONNEES!$C$19,DONNEES!$D$17),IF('Fiche de Paie'!$I$3="Grand Routier",MIN(B25-DONNEES!$C$19,DONNEES!$D$17),"-"))</f>
        <v>3</v>
      </c>
      <c r="E25" s="36"/>
      <c r="F25" s="36"/>
    </row>
    <row r="26" spans="1:6" x14ac:dyDescent="0.3">
      <c r="A26" s="1" t="s">
        <v>71</v>
      </c>
      <c r="B26" s="35">
        <v>23.4</v>
      </c>
      <c r="C26" s="37">
        <f t="shared" si="1"/>
        <v>23.4</v>
      </c>
      <c r="D26" s="37">
        <f>IF('Fiche de Paie'!$I$3="Courte distance",MIN(B26-DONNEES!$C$19,DONNEES!$D$17),IF('Fiche de Paie'!$I$3="Grand Routier",MIN(B26-DONNEES!$C$19,DONNEES!$D$17),"-"))</f>
        <v>-15.600000000000001</v>
      </c>
      <c r="E26" s="36"/>
      <c r="F26" s="36"/>
    </row>
    <row r="27" spans="1:6" x14ac:dyDescent="0.3">
      <c r="A27" s="34" t="s">
        <v>77</v>
      </c>
      <c r="B27" s="35">
        <f>SUM(B22:B26)</f>
        <v>194.64000000000001</v>
      </c>
      <c r="C27" s="6">
        <f>SUM(C22:C26)*'Fiche de Paie'!I4</f>
        <v>1748.3473200000001</v>
      </c>
      <c r="D27" s="2"/>
      <c r="E27" s="2"/>
      <c r="F27" s="2"/>
    </row>
    <row r="28" spans="1:6" x14ac:dyDescent="0.3">
      <c r="D28" s="31"/>
      <c r="E28" s="31"/>
      <c r="F28" s="31"/>
    </row>
    <row r="30" spans="1:6" x14ac:dyDescent="0.3">
      <c r="C30" s="61"/>
      <c r="D30" s="61"/>
    </row>
  </sheetData>
  <mergeCells count="2">
    <mergeCell ref="C30:D30"/>
    <mergeCell ref="A6:G6"/>
  </mergeCells>
  <phoneticPr fontId="7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6743DD-369D-4D18-8477-608B1271D3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Fiche de Paie</vt:lpstr>
      <vt:lpstr>DONNEES</vt:lpstr>
      <vt:lpstr>_10_ans_d_ancienneté</vt:lpstr>
      <vt:lpstr>_15_ans_d_ancienneté</vt:lpstr>
      <vt:lpstr>_2_ans_d_ancienneté</vt:lpstr>
      <vt:lpstr>_5_ans_d_ancienneté</vt:lpstr>
      <vt:lpstr>A_l_embauche</vt:lpstr>
      <vt:lpstr>Coefficient</vt:lpstr>
      <vt:lpstr>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donnard</dc:creator>
  <cp:lastModifiedBy>robin donnard</cp:lastModifiedBy>
  <dcterms:created xsi:type="dcterms:W3CDTF">2021-05-03T07:26:06Z</dcterms:created>
  <dcterms:modified xsi:type="dcterms:W3CDTF">2021-06-04T12:04:32Z</dcterms:modified>
</cp:coreProperties>
</file>