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in\Documents\Gestion\Excel\"/>
    </mc:Choice>
  </mc:AlternateContent>
  <xr:revisionPtr revIDLastSave="0" documentId="13_ncr:1_{29694428-1AB3-46CE-97AA-2CC19F15B31B}" xr6:coauthVersionLast="46" xr6:coauthVersionMax="46" xr10:uidLastSave="{00000000-0000-0000-0000-000000000000}"/>
  <bookViews>
    <workbookView xWindow="-108" yWindow="-108" windowWidth="23256" windowHeight="12576" xr2:uid="{130076E4-96C6-4B26-A3DA-3B90103FAB33}"/>
  </bookViews>
  <sheets>
    <sheet name="Fiche de Paie" sheetId="3" r:id="rId1"/>
    <sheet name="DONNEES" sheetId="4" r:id="rId2"/>
  </sheets>
  <definedNames>
    <definedName name="_10_ans_d_ancienneté">DONNEES!$F$8:$F$13</definedName>
    <definedName name="_15_ans_d_ancienneté">DONNEES!$G$8:$G$13</definedName>
    <definedName name="_2_ans_d_ancienneté">DONNEES!$D$8:$D$13</definedName>
    <definedName name="_5_ans_d_ancienneté">DONNEES!$E$8:$E$13</definedName>
    <definedName name="A_l_embauche">DONNEES!$C$8:$C$13</definedName>
    <definedName name="Coefficient">DONNEES!$B$8:$B$13</definedName>
    <definedName name="z">DONNEES!$B$7:$G$7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4" l="1"/>
  <c r="G10" i="4"/>
  <c r="G11" i="4"/>
  <c r="G12" i="4"/>
  <c r="G13" i="4"/>
  <c r="G8" i="4"/>
  <c r="F9" i="4"/>
  <c r="F10" i="4"/>
  <c r="F11" i="4"/>
  <c r="F12" i="4"/>
  <c r="F13" i="4"/>
  <c r="F8" i="4"/>
  <c r="E9" i="4"/>
  <c r="E10" i="4"/>
  <c r="E11" i="4"/>
  <c r="E12" i="4"/>
  <c r="E13" i="4"/>
  <c r="E8" i="4"/>
  <c r="D8" i="4"/>
  <c r="D11" i="4"/>
  <c r="D10" i="4"/>
  <c r="D9" i="4"/>
  <c r="D13" i="4"/>
  <c r="D12" i="4"/>
  <c r="B8" i="3"/>
  <c r="B7" i="3"/>
  <c r="B5" i="3"/>
  <c r="D5" i="3" s="1"/>
  <c r="B6" i="3"/>
  <c r="K10" i="3"/>
  <c r="I10" i="3"/>
  <c r="B12" i="3"/>
  <c r="D4" i="3"/>
  <c r="K19" i="3"/>
  <c r="K18" i="3"/>
  <c r="K17" i="3"/>
  <c r="K16" i="3"/>
  <c r="K15" i="3"/>
  <c r="K14" i="3"/>
  <c r="K13" i="3"/>
  <c r="I8" i="3"/>
  <c r="I7" i="3"/>
  <c r="B11" i="3" s="1"/>
  <c r="K20" i="3" l="1"/>
  <c r="K5" i="3" s="1"/>
  <c r="B19" i="3" s="1"/>
  <c r="D8" i="3"/>
  <c r="B4" i="3"/>
  <c r="K7" i="3" s="1"/>
  <c r="D6" i="3" s="1"/>
  <c r="D7" i="3" l="1"/>
  <c r="K8" i="3"/>
  <c r="B14" i="3" l="1"/>
  <c r="B22" i="3" l="1"/>
  <c r="B23" i="3" s="1"/>
  <c r="B24" i="3" s="1"/>
  <c r="B16" i="3"/>
  <c r="B17" i="3" s="1"/>
  <c r="B20" i="3" s="1"/>
</calcChain>
</file>

<file path=xl/sharedStrings.xml><?xml version="1.0" encoding="utf-8"?>
<sst xmlns="http://schemas.openxmlformats.org/spreadsheetml/2006/main" count="72" uniqueCount="63">
  <si>
    <t>Taux Horaire</t>
  </si>
  <si>
    <t>CSS</t>
  </si>
  <si>
    <t>Salaire Brut</t>
  </si>
  <si>
    <t>Salaire Net</t>
  </si>
  <si>
    <t>TH</t>
  </si>
  <si>
    <t>Prime</t>
  </si>
  <si>
    <t>Frais de route</t>
  </si>
  <si>
    <t>Salaire Net à Payer</t>
  </si>
  <si>
    <t>Groupe</t>
  </si>
  <si>
    <t>Coefficient</t>
  </si>
  <si>
    <t>A l'embauche</t>
  </si>
  <si>
    <t>2 ans d'ancienneté</t>
  </si>
  <si>
    <t>10 ans d'ancienneté</t>
  </si>
  <si>
    <t>15 ans d'ancienneté</t>
  </si>
  <si>
    <t>5 ans d'ancienneté</t>
  </si>
  <si>
    <t>3-bis</t>
  </si>
  <si>
    <t>115 M</t>
  </si>
  <si>
    <t>118 M</t>
  </si>
  <si>
    <t>120 M</t>
  </si>
  <si>
    <t>128 M</t>
  </si>
  <si>
    <t>138 M</t>
  </si>
  <si>
    <t>150 M</t>
  </si>
  <si>
    <t>Taux horaires / Personnel roulant</t>
  </si>
  <si>
    <t>GMA</t>
  </si>
  <si>
    <t>Indemnité de repas</t>
  </si>
  <si>
    <t>Indemnité de repas unique</t>
  </si>
  <si>
    <t>Indemnité de repas unique de nuit</t>
  </si>
  <si>
    <t>Indemnité spéciale</t>
  </si>
  <si>
    <t>Indemnité de casse-croûte</t>
  </si>
  <si>
    <t>Grand déplacement 1 repas + 1 découcher</t>
  </si>
  <si>
    <t>Grand déplacement 2 repas + 1 découcher</t>
  </si>
  <si>
    <t>INDEMNITES</t>
  </si>
  <si>
    <t>NOMBRE</t>
  </si>
  <si>
    <t>TOTAL</t>
  </si>
  <si>
    <t>FICHE DE PAIE</t>
  </si>
  <si>
    <t>HN - 100%</t>
  </si>
  <si>
    <t>HE - 125%</t>
  </si>
  <si>
    <t>GMA - 150%</t>
  </si>
  <si>
    <t>Prime de Nuit</t>
  </si>
  <si>
    <t>CSP</t>
  </si>
  <si>
    <t>Coût Employeur</t>
  </si>
  <si>
    <r>
      <t>HS</t>
    </r>
    <r>
      <rPr>
        <b/>
        <i/>
        <sz val="11"/>
        <color theme="1"/>
        <rFont val="Calibri"/>
        <family val="2"/>
        <scheme val="minor"/>
      </rPr>
      <t>1</t>
    </r>
    <r>
      <rPr>
        <b/>
        <sz val="11"/>
        <color theme="1"/>
        <rFont val="Calibri"/>
        <family val="2"/>
        <scheme val="minor"/>
      </rPr>
      <t xml:space="preserve"> - 125%</t>
    </r>
  </si>
  <si>
    <r>
      <t>HS</t>
    </r>
    <r>
      <rPr>
        <b/>
        <i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 xml:space="preserve"> - 150%</t>
    </r>
  </si>
  <si>
    <t>DONNEES</t>
  </si>
  <si>
    <t>Temps de service</t>
  </si>
  <si>
    <t>MAJORE DE 18% EN CAS DE DEPLACEMENT A L'ETRANGER</t>
  </si>
  <si>
    <t>Heures de Nuit</t>
  </si>
  <si>
    <t>Amplitude</t>
  </si>
  <si>
    <t>Type Conducteur</t>
  </si>
  <si>
    <t>Type de Conducteur</t>
  </si>
  <si>
    <t>Messagerie</t>
  </si>
  <si>
    <t>Courte Distance</t>
  </si>
  <si>
    <t>Grand Routier</t>
  </si>
  <si>
    <t>Prime de nuit 25%(&lt;40H)</t>
  </si>
  <si>
    <t>Prime de nuit 20%(&gt;40H)</t>
  </si>
  <si>
    <t>Taux Majorée Nuit 20%</t>
  </si>
  <si>
    <t>Taux Majorée Nuit 25%</t>
  </si>
  <si>
    <t>Repos compensateur de Nuit</t>
  </si>
  <si>
    <t>Payés</t>
  </si>
  <si>
    <t>Non Payés</t>
  </si>
  <si>
    <t>Repos compensateur de nuit</t>
  </si>
  <si>
    <t>RC nuit</t>
  </si>
  <si>
    <t>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</si>
</sst>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&quot; H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1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44" fontId="2" fillId="0" borderId="1" xfId="1" applyFont="1" applyBorder="1"/>
    <xf numFmtId="44" fontId="0" fillId="0" borderId="1" xfId="0" applyNumberFormat="1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/>
    <xf numFmtId="0" fontId="2" fillId="0" borderId="1" xfId="0" applyFont="1" applyBorder="1" applyAlignment="1">
      <alignment horizontal="center" vertical="center"/>
    </xf>
    <xf numFmtId="44" fontId="0" fillId="0" borderId="0" xfId="1" applyFont="1" applyAlignment="1"/>
    <xf numFmtId="0" fontId="0" fillId="0" borderId="12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44" fontId="6" fillId="0" borderId="3" xfId="0" applyNumberFormat="1" applyFont="1" applyBorder="1"/>
    <xf numFmtId="44" fontId="0" fillId="2" borderId="0" xfId="1" applyFont="1" applyFill="1" applyAlignment="1">
      <alignment horizontal="right"/>
    </xf>
    <xf numFmtId="0" fontId="2" fillId="2" borderId="0" xfId="0" applyFont="1" applyFill="1"/>
    <xf numFmtId="164" fontId="0" fillId="2" borderId="0" xfId="0" applyNumberFormat="1" applyFill="1" applyBorder="1" applyAlignment="1">
      <alignment horizontal="center"/>
    </xf>
    <xf numFmtId="44" fontId="0" fillId="2" borderId="0" xfId="1" applyFont="1" applyFill="1" applyBorder="1" applyAlignment="1">
      <alignment horizontal="right" vertical="center"/>
    </xf>
    <xf numFmtId="164" fontId="0" fillId="2" borderId="0" xfId="1" applyNumberFormat="1" applyFont="1" applyFill="1" applyAlignment="1">
      <alignment horizontal="center"/>
    </xf>
    <xf numFmtId="44" fontId="0" fillId="2" borderId="0" xfId="1" applyFont="1" applyFill="1" applyAlignment="1">
      <alignment horizontal="center"/>
    </xf>
    <xf numFmtId="0" fontId="0" fillId="2" borderId="0" xfId="0" applyFill="1"/>
    <xf numFmtId="44" fontId="0" fillId="2" borderId="0" xfId="1" applyFont="1" applyFill="1" applyAlignment="1">
      <alignment horizontal="right" vertical="center"/>
    </xf>
    <xf numFmtId="44" fontId="1" fillId="2" borderId="0" xfId="1" applyFont="1" applyFill="1" applyAlignment="1">
      <alignment horizontal="right" vertical="center"/>
    </xf>
    <xf numFmtId="44" fontId="2" fillId="2" borderId="0" xfId="1" applyFont="1" applyFill="1" applyAlignment="1">
      <alignment horizontal="center"/>
    </xf>
    <xf numFmtId="4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9" fontId="0" fillId="0" borderId="1" xfId="2" applyFont="1" applyBorder="1"/>
    <xf numFmtId="0" fontId="0" fillId="0" borderId="12" xfId="0" applyFont="1" applyBorder="1" applyAlignment="1">
      <alignment horizontal="left" vertical="center"/>
    </xf>
    <xf numFmtId="0" fontId="0" fillId="0" borderId="1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5DB92-A1EB-4175-94A3-A6E6BEFEBA11}">
  <dimension ref="A1:M24"/>
  <sheetViews>
    <sheetView tabSelected="1" workbookViewId="0">
      <selection activeCell="M3" sqref="M3"/>
    </sheetView>
  </sheetViews>
  <sheetFormatPr baseColWidth="10" defaultRowHeight="14.4" x14ac:dyDescent="0.3"/>
  <cols>
    <col min="1" max="1" width="16.44140625" bestFit="1" customWidth="1"/>
    <col min="6" max="6" width="24.5546875" customWidth="1"/>
    <col min="8" max="8" width="35.5546875" bestFit="1" customWidth="1"/>
    <col min="9" max="9" width="10.77734375" customWidth="1"/>
    <col min="10" max="10" width="20.109375" bestFit="1" customWidth="1"/>
    <col min="11" max="11" width="10.77734375" customWidth="1"/>
    <col min="13" max="13" width="17.21875" bestFit="1" customWidth="1"/>
  </cols>
  <sheetData>
    <row r="1" spans="1:13" ht="14.4" customHeight="1" x14ac:dyDescent="0.3">
      <c r="A1" s="40" t="s">
        <v>34</v>
      </c>
      <c r="B1" s="40"/>
      <c r="C1" s="40"/>
      <c r="D1" s="40"/>
      <c r="E1" s="40"/>
      <c r="F1" s="9"/>
      <c r="G1" s="10"/>
      <c r="H1" s="16" t="s">
        <v>43</v>
      </c>
      <c r="I1" s="17"/>
      <c r="J1" s="17"/>
      <c r="K1" s="18"/>
      <c r="L1" s="48" t="s">
        <v>9</v>
      </c>
      <c r="M1" s="46" t="s">
        <v>62</v>
      </c>
    </row>
    <row r="2" spans="1:13" ht="14.4" customHeight="1" thickBot="1" x14ac:dyDescent="0.35">
      <c r="A2" s="40"/>
      <c r="B2" s="40"/>
      <c r="C2" s="40"/>
      <c r="D2" s="40"/>
      <c r="E2" s="40"/>
      <c r="F2" s="9"/>
      <c r="G2" s="10"/>
      <c r="H2" s="19"/>
      <c r="I2" s="20"/>
      <c r="J2" s="20"/>
      <c r="K2" s="21"/>
      <c r="L2" s="49"/>
      <c r="M2" s="47"/>
    </row>
    <row r="3" spans="1:13" ht="14.4" customHeight="1" x14ac:dyDescent="0.3">
      <c r="A3" s="40"/>
      <c r="B3" s="40"/>
      <c r="C3" s="40"/>
      <c r="D3" s="40"/>
      <c r="E3" s="40"/>
      <c r="F3" s="9"/>
      <c r="G3" s="10"/>
      <c r="H3" s="44" t="s">
        <v>48</v>
      </c>
      <c r="I3" s="45" t="s">
        <v>52</v>
      </c>
      <c r="J3" s="45"/>
      <c r="K3" s="50"/>
      <c r="L3" s="13" t="s">
        <v>21</v>
      </c>
      <c r="M3" s="13" t="s">
        <v>11</v>
      </c>
    </row>
    <row r="4" spans="1:13" x14ac:dyDescent="0.3">
      <c r="A4" s="29" t="s">
        <v>35</v>
      </c>
      <c r="B4" s="30">
        <f>IF(K4&gt;152,152,K4)</f>
        <v>152</v>
      </c>
      <c r="C4" s="30"/>
      <c r="D4" s="31">
        <f>IF(K4&gt;152,152*I4,K4*I4)</f>
        <v>1626.3999999999999</v>
      </c>
      <c r="E4" s="31"/>
      <c r="G4" s="10"/>
      <c r="H4" s="2" t="s">
        <v>0</v>
      </c>
      <c r="I4" s="4">
        <v>10.7</v>
      </c>
      <c r="J4" s="2" t="s">
        <v>44</v>
      </c>
      <c r="K4" s="41">
        <v>206</v>
      </c>
    </row>
    <row r="5" spans="1:13" x14ac:dyDescent="0.3">
      <c r="A5" s="29" t="s">
        <v>36</v>
      </c>
      <c r="B5" s="32">
        <f>IF(I3="Courte distance",MIN(K4-152,17),IF(I3="Grand routier",MIN(K4-152,34),"-"))</f>
        <v>34</v>
      </c>
      <c r="C5" s="32"/>
      <c r="D5" s="28">
        <f>IFERROR(B5*(I4*1.25),"-")</f>
        <v>454.75</v>
      </c>
      <c r="E5" s="28"/>
      <c r="G5" s="10"/>
      <c r="H5" s="2" t="s">
        <v>5</v>
      </c>
      <c r="I5" s="4"/>
      <c r="J5" s="2" t="s">
        <v>6</v>
      </c>
      <c r="K5" s="4">
        <f>K20</f>
        <v>702.68</v>
      </c>
    </row>
    <row r="6" spans="1:13" x14ac:dyDescent="0.3">
      <c r="A6" s="29" t="s">
        <v>41</v>
      </c>
      <c r="B6" s="32" t="str">
        <f>IF(I3="Messagerie",MIN(K4-152,34),IF(I3="Courte distance",MIN(K4-169,17),"-"))</f>
        <v>-</v>
      </c>
      <c r="C6" s="32"/>
      <c r="D6" s="28" t="str">
        <f>IFERROR(IF(I6=0,10.25*B6*1.25,IF(J9="Payés",K8*B6*1.25,K7*B6*1.25)),"-")</f>
        <v>-</v>
      </c>
      <c r="E6" s="28"/>
      <c r="F6" s="12"/>
      <c r="G6" s="12"/>
      <c r="H6" s="2" t="s">
        <v>46</v>
      </c>
      <c r="I6" s="41">
        <v>35</v>
      </c>
      <c r="J6" s="2" t="s">
        <v>47</v>
      </c>
      <c r="K6" s="41">
        <v>270</v>
      </c>
    </row>
    <row r="7" spans="1:13" x14ac:dyDescent="0.3">
      <c r="A7" s="29" t="s">
        <v>42</v>
      </c>
      <c r="B7" s="32">
        <f>IF(I3="Messagerie",MIN(K4-186,500),IF(I3="Courte distance",MIN(K4-186,500),IF(I3="Grand Routier",MIN(K4-186,500),"-")))</f>
        <v>20</v>
      </c>
      <c r="C7" s="32"/>
      <c r="D7" s="28">
        <f>IFERROR(IF(I6=0,10.25*B7*1.5,IF(J9="Payés",K8*B7*1.5,K7*B7*1.5)),"-")</f>
        <v>335.49276315789473</v>
      </c>
      <c r="E7" s="28"/>
      <c r="H7" s="2" t="s">
        <v>54</v>
      </c>
      <c r="I7" s="4">
        <f>(10.49*0.2)*I6</f>
        <v>73.430000000000007</v>
      </c>
      <c r="J7" s="2" t="s">
        <v>55</v>
      </c>
      <c r="K7" s="7">
        <f>((B4*I4)+I7)/B4</f>
        <v>11.183092105263157</v>
      </c>
    </row>
    <row r="8" spans="1:13" x14ac:dyDescent="0.3">
      <c r="A8" s="29" t="s">
        <v>37</v>
      </c>
      <c r="B8" s="32">
        <f>IF(I3="Grand Routier",IF(K6-(K10+K4)&gt;0,K6-(K10+K4),"-"),"-")</f>
        <v>1</v>
      </c>
      <c r="C8" s="32"/>
      <c r="D8" s="35">
        <f>IFERROR(B8*(I4*1.5),"-")</f>
        <v>16.049999999999997</v>
      </c>
      <c r="E8" s="35"/>
      <c r="H8" s="2" t="s">
        <v>53</v>
      </c>
      <c r="I8" s="4">
        <f>(10.49*0.25)*I6</f>
        <v>91.787500000000009</v>
      </c>
      <c r="J8" s="2" t="s">
        <v>56</v>
      </c>
      <c r="K8" s="7">
        <f>((B4*I4)+I8)/B4</f>
        <v>11.303865131578945</v>
      </c>
    </row>
    <row r="9" spans="1:13" x14ac:dyDescent="0.3">
      <c r="A9" s="29"/>
      <c r="B9" s="32"/>
      <c r="C9" s="32"/>
      <c r="D9" s="33"/>
      <c r="E9" s="33"/>
      <c r="H9" s="42" t="s">
        <v>60</v>
      </c>
      <c r="I9" s="42"/>
      <c r="J9" s="26" t="s">
        <v>59</v>
      </c>
      <c r="K9" s="26"/>
    </row>
    <row r="10" spans="1:13" x14ac:dyDescent="0.3">
      <c r="A10" s="29"/>
      <c r="B10" s="34"/>
      <c r="C10" s="34"/>
      <c r="D10" s="34"/>
      <c r="E10" s="34"/>
      <c r="H10" s="2" t="s">
        <v>61</v>
      </c>
      <c r="I10" s="3" t="str">
        <f>IF(I6&lt;50,"0",I6*0.05)</f>
        <v>0</v>
      </c>
      <c r="J10" s="2" t="s">
        <v>23</v>
      </c>
      <c r="K10" s="3">
        <f>IF((K6*0.25)&gt;=63,63,IF((K6*0.25)&lt;63,(K6*0.25),""))</f>
        <v>63</v>
      </c>
    </row>
    <row r="11" spans="1:13" x14ac:dyDescent="0.3">
      <c r="A11" s="29" t="s">
        <v>38</v>
      </c>
      <c r="B11" s="35">
        <f>IFERROR(IF(I6=0,"-",IF(J9="Payés",I8,I7)),"-")</f>
        <v>73.430000000000007</v>
      </c>
      <c r="C11" s="35"/>
      <c r="D11" s="35"/>
      <c r="E11" s="35"/>
      <c r="H11" s="2" t="s">
        <v>1</v>
      </c>
      <c r="I11" s="43">
        <v>0.23</v>
      </c>
      <c r="J11" s="2" t="s">
        <v>39</v>
      </c>
      <c r="K11" s="43">
        <v>0.47</v>
      </c>
    </row>
    <row r="12" spans="1:13" x14ac:dyDescent="0.3">
      <c r="A12" s="29" t="s">
        <v>5</v>
      </c>
      <c r="B12" s="28" t="str">
        <f>IF(I5&gt;0,I5,"-")</f>
        <v>-</v>
      </c>
      <c r="C12" s="28"/>
      <c r="D12" s="28"/>
      <c r="E12" s="28"/>
      <c r="F12" s="12"/>
      <c r="H12" s="22" t="s">
        <v>31</v>
      </c>
      <c r="I12" s="22"/>
      <c r="J12" s="11" t="s">
        <v>32</v>
      </c>
      <c r="K12" s="11" t="s">
        <v>33</v>
      </c>
    </row>
    <row r="13" spans="1:13" x14ac:dyDescent="0.3">
      <c r="A13" s="29"/>
      <c r="B13" s="34"/>
      <c r="C13" s="34"/>
      <c r="D13" s="34"/>
      <c r="E13" s="34"/>
      <c r="H13" s="2" t="s">
        <v>24</v>
      </c>
      <c r="I13" s="6">
        <v>13.92</v>
      </c>
      <c r="J13" s="3">
        <v>10</v>
      </c>
      <c r="K13" s="7">
        <f>I13*J13</f>
        <v>139.19999999999999</v>
      </c>
    </row>
    <row r="14" spans="1:13" x14ac:dyDescent="0.3">
      <c r="A14" s="29" t="s">
        <v>2</v>
      </c>
      <c r="B14" s="36">
        <f>SUM(D4:E7,D8,D9,B11,B12)</f>
        <v>2506.1227631578945</v>
      </c>
      <c r="C14" s="36"/>
      <c r="D14" s="36"/>
      <c r="E14" s="36"/>
      <c r="F14" s="1"/>
      <c r="H14" s="2" t="s">
        <v>25</v>
      </c>
      <c r="I14" s="6">
        <v>8.56</v>
      </c>
      <c r="J14" s="3"/>
      <c r="K14" s="7">
        <f t="shared" ref="K14:K19" si="0">I14*J14</f>
        <v>0</v>
      </c>
    </row>
    <row r="15" spans="1:13" x14ac:dyDescent="0.3">
      <c r="A15" s="29"/>
      <c r="B15" s="34"/>
      <c r="C15" s="34"/>
      <c r="D15" s="34"/>
      <c r="E15" s="34"/>
      <c r="H15" s="2" t="s">
        <v>26</v>
      </c>
      <c r="I15" s="6">
        <v>8.34</v>
      </c>
      <c r="J15" s="3"/>
      <c r="K15" s="7">
        <f t="shared" si="0"/>
        <v>0</v>
      </c>
    </row>
    <row r="16" spans="1:13" x14ac:dyDescent="0.3">
      <c r="A16" s="29" t="s">
        <v>1</v>
      </c>
      <c r="B16" s="33">
        <f>B14*I11</f>
        <v>576.40823552631571</v>
      </c>
      <c r="C16" s="33"/>
      <c r="D16" s="33"/>
      <c r="E16" s="33"/>
      <c r="H16" s="2" t="s">
        <v>27</v>
      </c>
      <c r="I16" s="6">
        <v>3.77</v>
      </c>
      <c r="J16" s="3"/>
      <c r="K16" s="7">
        <f t="shared" si="0"/>
        <v>0</v>
      </c>
    </row>
    <row r="17" spans="1:11" x14ac:dyDescent="0.3">
      <c r="A17" s="29" t="s">
        <v>3</v>
      </c>
      <c r="B17" s="33">
        <f>B14-B16</f>
        <v>1929.7145276315787</v>
      </c>
      <c r="C17" s="33"/>
      <c r="D17" s="33"/>
      <c r="E17" s="33"/>
      <c r="H17" s="2" t="s">
        <v>28</v>
      </c>
      <c r="I17" s="6">
        <v>7.54</v>
      </c>
      <c r="J17" s="3">
        <v>5</v>
      </c>
      <c r="K17" s="7">
        <f t="shared" si="0"/>
        <v>37.700000000000003</v>
      </c>
    </row>
    <row r="18" spans="1:11" x14ac:dyDescent="0.3">
      <c r="A18" s="29"/>
      <c r="B18" s="34"/>
      <c r="C18" s="34"/>
      <c r="D18" s="34"/>
      <c r="E18" s="34"/>
      <c r="H18" s="2" t="s">
        <v>29</v>
      </c>
      <c r="I18" s="6">
        <v>44.5</v>
      </c>
      <c r="J18" s="3"/>
      <c r="K18" s="7">
        <f t="shared" si="0"/>
        <v>0</v>
      </c>
    </row>
    <row r="19" spans="1:11" ht="15" thickBot="1" x14ac:dyDescent="0.35">
      <c r="A19" s="29" t="s">
        <v>6</v>
      </c>
      <c r="B19" s="33">
        <f>K5</f>
        <v>702.68</v>
      </c>
      <c r="C19" s="33"/>
      <c r="D19" s="33"/>
      <c r="E19" s="33"/>
      <c r="H19" s="2" t="s">
        <v>30</v>
      </c>
      <c r="I19" s="6">
        <v>58.42</v>
      </c>
      <c r="J19" s="3">
        <v>9</v>
      </c>
      <c r="K19" s="8">
        <f t="shared" si="0"/>
        <v>525.78</v>
      </c>
    </row>
    <row r="20" spans="1:11" ht="15" thickBot="1" x14ac:dyDescent="0.35">
      <c r="A20" s="29" t="s">
        <v>7</v>
      </c>
      <c r="B20" s="37">
        <f>B17+B19</f>
        <v>2632.3945276315785</v>
      </c>
      <c r="C20" s="37"/>
      <c r="D20" s="37"/>
      <c r="E20" s="37"/>
      <c r="H20" s="23" t="s">
        <v>45</v>
      </c>
      <c r="I20" s="23"/>
      <c r="J20" s="24"/>
      <c r="K20" s="27">
        <f>SUM(K13:K19)</f>
        <v>702.68</v>
      </c>
    </row>
    <row r="21" spans="1:11" x14ac:dyDescent="0.3">
      <c r="A21" s="29"/>
      <c r="B21" s="34"/>
      <c r="C21" s="34"/>
      <c r="D21" s="34"/>
      <c r="E21" s="34"/>
    </row>
    <row r="22" spans="1:11" x14ac:dyDescent="0.3">
      <c r="A22" s="29" t="s">
        <v>39</v>
      </c>
      <c r="B22" s="33">
        <f>B14*K11</f>
        <v>1177.8776986842104</v>
      </c>
      <c r="C22" s="33"/>
      <c r="D22" s="33"/>
      <c r="E22" s="33"/>
    </row>
    <row r="23" spans="1:11" x14ac:dyDescent="0.3">
      <c r="A23" s="29" t="s">
        <v>40</v>
      </c>
      <c r="B23" s="33">
        <f>B22+B14</f>
        <v>3684.0004618421049</v>
      </c>
      <c r="C23" s="33"/>
      <c r="D23" s="33"/>
      <c r="E23" s="33"/>
    </row>
    <row r="24" spans="1:11" x14ac:dyDescent="0.3">
      <c r="A24" s="29" t="s">
        <v>4</v>
      </c>
      <c r="B24" s="38">
        <f>B23/K4</f>
        <v>17.883497387583034</v>
      </c>
      <c r="C24" s="39"/>
      <c r="D24" s="39"/>
      <c r="E24" s="39"/>
    </row>
  </sheetData>
  <mergeCells count="32">
    <mergeCell ref="L1:L2"/>
    <mergeCell ref="M1:M2"/>
    <mergeCell ref="I3:K3"/>
    <mergeCell ref="H12:I12"/>
    <mergeCell ref="H20:J20"/>
    <mergeCell ref="H9:I9"/>
    <mergeCell ref="J9:K9"/>
    <mergeCell ref="H1:K2"/>
    <mergeCell ref="B24:E24"/>
    <mergeCell ref="D4:E4"/>
    <mergeCell ref="B4:C4"/>
    <mergeCell ref="B5:C5"/>
    <mergeCell ref="D5:E5"/>
    <mergeCell ref="B6:C6"/>
    <mergeCell ref="D6:E6"/>
    <mergeCell ref="B7:C7"/>
    <mergeCell ref="B22:E22"/>
    <mergeCell ref="B23:E23"/>
    <mergeCell ref="B14:E14"/>
    <mergeCell ref="B16:E16"/>
    <mergeCell ref="B17:E17"/>
    <mergeCell ref="B19:E19"/>
    <mergeCell ref="B20:E20"/>
    <mergeCell ref="B12:E12"/>
    <mergeCell ref="A1:E2"/>
    <mergeCell ref="D7:E7"/>
    <mergeCell ref="D9:E9"/>
    <mergeCell ref="B11:E11"/>
    <mergeCell ref="B8:C8"/>
    <mergeCell ref="D8:E8"/>
    <mergeCell ref="B9:C9"/>
    <mergeCell ref="A3:E3"/>
  </mergeCells>
  <dataValidations count="1">
    <dataValidation type="list" allowBlank="1" showInputMessage="1" showErrorMessage="1" sqref="L3" xr:uid="{D792A5A4-F79E-4844-AD86-C473AC0B465C}">
      <formula1>Coefficient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6C556D5-12F3-4E0E-9998-CA0C147F7FFC}">
          <x14:formula1>
            <xm:f>DONNEES!$A$2:$A$4</xm:f>
          </x14:formula1>
          <xm:sqref>I3:K3</xm:sqref>
        </x14:dataValidation>
        <x14:dataValidation type="list" allowBlank="1" showInputMessage="1" showErrorMessage="1" xr:uid="{2AC71D9E-7FBB-42BC-ABDC-83113AE94D8B}">
          <x14:formula1>
            <xm:f>DONNEES!$B$2:$B$3</xm:f>
          </x14:formula1>
          <xm:sqref>J9:K9</xm:sqref>
        </x14:dataValidation>
        <x14:dataValidation type="list" allowBlank="1" showInputMessage="1" showErrorMessage="1" xr:uid="{D6FFDB41-D1B3-48DA-ABB3-DC1FE87D34EB}">
          <x14:formula1>
            <xm:f>DONNEES!$C$7:$G$7</xm:f>
          </x14:formula1>
          <xm:sqref>M3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0C286-38E4-497D-B583-F38332AE8CB0}">
  <dimension ref="A1:G13"/>
  <sheetViews>
    <sheetView workbookViewId="0">
      <selection activeCell="H12" sqref="H12"/>
    </sheetView>
  </sheetViews>
  <sheetFormatPr baseColWidth="10" defaultRowHeight="14.4" x14ac:dyDescent="0.3"/>
  <cols>
    <col min="1" max="1" width="23" customWidth="1"/>
    <col min="2" max="2" width="24.6640625" bestFit="1" customWidth="1"/>
    <col min="3" max="3" width="11.88671875" bestFit="1" customWidth="1"/>
    <col min="4" max="5" width="16.21875" bestFit="1" customWidth="1"/>
    <col min="6" max="7" width="17.21875" bestFit="1" customWidth="1"/>
  </cols>
  <sheetData>
    <row r="1" spans="1:7" ht="15" thickBot="1" x14ac:dyDescent="0.35">
      <c r="A1" s="14" t="s">
        <v>49</v>
      </c>
      <c r="B1" s="15" t="s">
        <v>57</v>
      </c>
      <c r="C1" s="10"/>
    </row>
    <row r="2" spans="1:7" x14ac:dyDescent="0.3">
      <c r="A2" s="13" t="s">
        <v>50</v>
      </c>
      <c r="B2" s="13" t="s">
        <v>58</v>
      </c>
    </row>
    <row r="3" spans="1:7" x14ac:dyDescent="0.3">
      <c r="A3" s="3" t="s">
        <v>51</v>
      </c>
      <c r="B3" s="3" t="s">
        <v>59</v>
      </c>
    </row>
    <row r="4" spans="1:7" x14ac:dyDescent="0.3">
      <c r="A4" s="3" t="s">
        <v>52</v>
      </c>
    </row>
    <row r="6" spans="1:7" x14ac:dyDescent="0.3">
      <c r="A6" s="25" t="s">
        <v>22</v>
      </c>
      <c r="B6" s="25"/>
      <c r="C6" s="25"/>
      <c r="D6" s="25"/>
      <c r="E6" s="25"/>
      <c r="F6" s="25"/>
      <c r="G6" s="25"/>
    </row>
    <row r="7" spans="1:7" x14ac:dyDescent="0.3">
      <c r="A7" s="3" t="s">
        <v>8</v>
      </c>
      <c r="B7" s="3" t="s">
        <v>9</v>
      </c>
      <c r="C7" s="3" t="s">
        <v>10</v>
      </c>
      <c r="D7" s="3" t="s">
        <v>11</v>
      </c>
      <c r="E7" s="3" t="s">
        <v>14</v>
      </c>
      <c r="F7" s="3" t="s">
        <v>12</v>
      </c>
      <c r="G7" s="3" t="s">
        <v>13</v>
      </c>
    </row>
    <row r="8" spans="1:7" x14ac:dyDescent="0.3">
      <c r="A8" s="3">
        <v>3</v>
      </c>
      <c r="B8" s="3" t="s">
        <v>16</v>
      </c>
      <c r="C8" s="4">
        <v>10.199999999999999</v>
      </c>
      <c r="D8" s="4">
        <f>10.2*1.02</f>
        <v>10.404</v>
      </c>
      <c r="E8" s="5">
        <f>D8*1.02</f>
        <v>10.612080000000001</v>
      </c>
      <c r="F8" s="5">
        <f>E8*1.02</f>
        <v>10.824321600000001</v>
      </c>
      <c r="G8" s="4">
        <f>F8*1.02</f>
        <v>11.040808032000001</v>
      </c>
    </row>
    <row r="9" spans="1:7" x14ac:dyDescent="0.3">
      <c r="A9" s="3" t="s">
        <v>15</v>
      </c>
      <c r="B9" s="3" t="s">
        <v>17</v>
      </c>
      <c r="C9" s="4">
        <v>10.199999999999999</v>
      </c>
      <c r="D9" s="4">
        <f>10.2*1.02</f>
        <v>10.404</v>
      </c>
      <c r="E9" s="5">
        <f t="shared" ref="E9:G13" si="0">D9*1.02</f>
        <v>10.612080000000001</v>
      </c>
      <c r="F9" s="5">
        <f t="shared" si="0"/>
        <v>10.824321600000001</v>
      </c>
      <c r="G9" s="4">
        <f t="shared" si="0"/>
        <v>11.040808032000001</v>
      </c>
    </row>
    <row r="10" spans="1:7" x14ac:dyDescent="0.3">
      <c r="A10" s="3">
        <v>4</v>
      </c>
      <c r="B10" s="3" t="s">
        <v>18</v>
      </c>
      <c r="C10" s="4">
        <v>10.199999999999999</v>
      </c>
      <c r="D10" s="4">
        <f>10.2*1.02</f>
        <v>10.404</v>
      </c>
      <c r="E10" s="5">
        <f t="shared" si="0"/>
        <v>10.612080000000001</v>
      </c>
      <c r="F10" s="5">
        <f t="shared" si="0"/>
        <v>10.824321600000001</v>
      </c>
      <c r="G10" s="4">
        <f t="shared" si="0"/>
        <v>11.040808032000001</v>
      </c>
    </row>
    <row r="11" spans="1:7" x14ac:dyDescent="0.3">
      <c r="A11" s="3">
        <v>5</v>
      </c>
      <c r="B11" s="3" t="s">
        <v>19</v>
      </c>
      <c r="C11" s="4">
        <v>10.23</v>
      </c>
      <c r="D11" s="4">
        <f>10.23*1.02</f>
        <v>10.434600000000001</v>
      </c>
      <c r="E11" s="5">
        <f t="shared" si="0"/>
        <v>10.643292000000002</v>
      </c>
      <c r="F11" s="5">
        <f t="shared" si="0"/>
        <v>10.856157840000003</v>
      </c>
      <c r="G11" s="4">
        <f t="shared" si="0"/>
        <v>11.073280996800003</v>
      </c>
    </row>
    <row r="12" spans="1:7" x14ac:dyDescent="0.3">
      <c r="A12" s="3">
        <v>6</v>
      </c>
      <c r="B12" s="3" t="s">
        <v>20</v>
      </c>
      <c r="C12" s="4">
        <v>10.25</v>
      </c>
      <c r="D12" s="4">
        <f>C12*1.02</f>
        <v>10.455</v>
      </c>
      <c r="E12" s="5">
        <f t="shared" si="0"/>
        <v>10.664099999999999</v>
      </c>
      <c r="F12" s="5">
        <f t="shared" si="0"/>
        <v>10.877381999999999</v>
      </c>
      <c r="G12" s="4">
        <f t="shared" si="0"/>
        <v>11.094929639999998</v>
      </c>
    </row>
    <row r="13" spans="1:7" x14ac:dyDescent="0.3">
      <c r="A13" s="3">
        <v>7</v>
      </c>
      <c r="B13" s="3" t="s">
        <v>21</v>
      </c>
      <c r="C13" s="4">
        <v>10.49</v>
      </c>
      <c r="D13" s="4">
        <f>C13*1.02</f>
        <v>10.6998</v>
      </c>
      <c r="E13" s="5">
        <f t="shared" si="0"/>
        <v>10.913796</v>
      </c>
      <c r="F13" s="5">
        <f t="shared" si="0"/>
        <v>11.13207192</v>
      </c>
      <c r="G13" s="4">
        <f t="shared" si="0"/>
        <v>11.3547133584</v>
      </c>
    </row>
  </sheetData>
  <mergeCells count="1">
    <mergeCell ref="A6:G6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6743DD-369D-4D18-8477-608B1271D3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Fiche de Paie</vt:lpstr>
      <vt:lpstr>DONNEES</vt:lpstr>
      <vt:lpstr>_10_ans_d_ancienneté</vt:lpstr>
      <vt:lpstr>_15_ans_d_ancienneté</vt:lpstr>
      <vt:lpstr>_2_ans_d_ancienneté</vt:lpstr>
      <vt:lpstr>_5_ans_d_ancienneté</vt:lpstr>
      <vt:lpstr>A_l_embauche</vt:lpstr>
      <vt:lpstr>Coefficient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donnard</dc:creator>
  <cp:lastModifiedBy>robin donnard</cp:lastModifiedBy>
  <dcterms:created xsi:type="dcterms:W3CDTF">2021-05-03T07:26:06Z</dcterms:created>
  <dcterms:modified xsi:type="dcterms:W3CDTF">2021-05-22T16:49:52Z</dcterms:modified>
</cp:coreProperties>
</file>