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ocuments\Gestion\Excel\"/>
    </mc:Choice>
  </mc:AlternateContent>
  <xr:revisionPtr revIDLastSave="0" documentId="13_ncr:1_{103CE9F2-50CC-4B3C-88FE-414FCA530A17}" xr6:coauthVersionLast="46" xr6:coauthVersionMax="46" xr10:uidLastSave="{00000000-0000-0000-0000-000000000000}"/>
  <bookViews>
    <workbookView xWindow="-108" yWindow="-108" windowWidth="23256" windowHeight="12576" xr2:uid="{130076E4-96C6-4B26-A3DA-3B90103FAB33}"/>
  </bookViews>
  <sheets>
    <sheet name="Fiche" sheetId="3" r:id="rId1"/>
    <sheet name="Fiche de Paie" sheetId="1" r:id="rId2"/>
    <sheet name="DONNEES" sheetId="4" r:id="rId3"/>
    <sheet name="TX HORRAIRE" sheetId="2" r:id="rId4"/>
  </sheets>
  <definedNames>
    <definedName name="_10_ans_d_ancienneté">'Fiche de Paie'!$G$29:$G$34</definedName>
    <definedName name="_15_ans_d_ancienneté">'Fiche de Paie'!$H$29:$H$34</definedName>
    <definedName name="_2_ans_d_ancienneté">'Fiche de Paie'!$E$29:$E$34</definedName>
    <definedName name="_5_ans_d_ancienneté">'Fiche de Paie'!$F$29:$F$34</definedName>
    <definedName name="_xlnm._FilterDatabase" localSheetId="3" hidden="1">'TX HORRAIRE'!$A$2:$G$8</definedName>
    <definedName name="A_l_embauche">'Fiche de Paie'!$D$29:$D$34</definedName>
    <definedName name="Coefficient">'Fiche de Paie'!$C$29:$C$34</definedName>
    <definedName name="z">'Fiche de Paie'!$C$28:$H$28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3" l="1"/>
  <c r="C8" i="1" l="1"/>
  <c r="B4" i="3"/>
  <c r="D4" i="3"/>
  <c r="D8" i="1"/>
  <c r="G39" i="3"/>
  <c r="B29" i="3" s="1"/>
  <c r="C29" i="3" s="1"/>
  <c r="G35" i="3"/>
  <c r="G34" i="3" s="1"/>
  <c r="G33" i="3"/>
  <c r="G30" i="3"/>
  <c r="G32" i="3" s="1"/>
  <c r="G28" i="3"/>
  <c r="C28" i="3"/>
  <c r="C27" i="3"/>
  <c r="C26" i="3"/>
  <c r="C25" i="3"/>
  <c r="N3" i="1"/>
  <c r="N4" i="1"/>
  <c r="N5" i="1"/>
  <c r="N6" i="1"/>
  <c r="N7" i="1"/>
  <c r="N8" i="1"/>
  <c r="N2" i="1"/>
  <c r="G17" i="1"/>
  <c r="B7" i="1" s="1"/>
  <c r="C7" i="1" s="1"/>
  <c r="D20" i="1"/>
  <c r="G8" i="1"/>
  <c r="G10" i="1" s="1"/>
  <c r="H34" i="1"/>
  <c r="G34" i="1"/>
  <c r="F34" i="1"/>
  <c r="E34" i="1"/>
  <c r="H33" i="1"/>
  <c r="G33" i="1"/>
  <c r="F33" i="1"/>
  <c r="E33" i="1"/>
  <c r="H32" i="1"/>
  <c r="G32" i="1"/>
  <c r="F32" i="1"/>
  <c r="E32" i="1"/>
  <c r="H31" i="1"/>
  <c r="G31" i="1"/>
  <c r="F31" i="1"/>
  <c r="E31" i="1"/>
  <c r="H30" i="1"/>
  <c r="G30" i="1"/>
  <c r="F30" i="1"/>
  <c r="E30" i="1"/>
  <c r="H29" i="1"/>
  <c r="G29" i="1"/>
  <c r="F29" i="1"/>
  <c r="E29" i="1"/>
  <c r="G4" i="2"/>
  <c r="G5" i="2"/>
  <c r="G6" i="2"/>
  <c r="G7" i="2"/>
  <c r="G8" i="2"/>
  <c r="G3" i="2"/>
  <c r="E4" i="2"/>
  <c r="E5" i="2"/>
  <c r="E6" i="2"/>
  <c r="E7" i="2"/>
  <c r="E8" i="2"/>
  <c r="E3" i="2"/>
  <c r="F4" i="2"/>
  <c r="F5" i="2"/>
  <c r="F6" i="2"/>
  <c r="F7" i="2"/>
  <c r="F8" i="2"/>
  <c r="F3" i="2"/>
  <c r="D4" i="2"/>
  <c r="D5" i="2"/>
  <c r="D6" i="2"/>
  <c r="D7" i="2"/>
  <c r="D8" i="2"/>
  <c r="D3" i="2"/>
  <c r="G13" i="1"/>
  <c r="G12" i="1" s="1"/>
  <c r="G11" i="1"/>
  <c r="C30" i="3" l="1"/>
  <c r="C32" i="3" s="1"/>
  <c r="G37" i="3"/>
  <c r="D28" i="3" s="1"/>
  <c r="G36" i="3"/>
  <c r="N9" i="1"/>
  <c r="G6" i="1" s="1"/>
  <c r="C6" i="1"/>
  <c r="C5" i="1"/>
  <c r="C4" i="1"/>
  <c r="C3" i="1"/>
  <c r="C31" i="3" l="1"/>
  <c r="D27" i="3"/>
  <c r="D30" i="3" s="1"/>
  <c r="C33" i="3"/>
  <c r="C34" i="3" s="1"/>
  <c r="C9" i="1"/>
  <c r="G15" i="1"/>
  <c r="G14" i="1"/>
  <c r="C11" i="1" l="1"/>
  <c r="C12" i="1" s="1"/>
  <c r="C10" i="1"/>
  <c r="D5" i="1"/>
  <c r="D6" i="1"/>
</calcChain>
</file>

<file path=xl/sharedStrings.xml><?xml version="1.0" encoding="utf-8"?>
<sst xmlns="http://schemas.openxmlformats.org/spreadsheetml/2006/main" count="123" uniqueCount="71">
  <si>
    <t>CP</t>
  </si>
  <si>
    <t>Taux Horaire</t>
  </si>
  <si>
    <t>CSS</t>
  </si>
  <si>
    <t>Salaire Brut</t>
  </si>
  <si>
    <t>Salaire Net</t>
  </si>
  <si>
    <t>Employeur</t>
  </si>
  <si>
    <t>TH</t>
  </si>
  <si>
    <t>Prime</t>
  </si>
  <si>
    <t>Frais de route</t>
  </si>
  <si>
    <t>HS2 150%</t>
  </si>
  <si>
    <t>HS 125%</t>
  </si>
  <si>
    <t>HE 125%</t>
  </si>
  <si>
    <t>HN 100%</t>
  </si>
  <si>
    <t>Salaire Net à Payer</t>
  </si>
  <si>
    <t>Nbr Heure de nuit</t>
  </si>
  <si>
    <t>RC de nuit</t>
  </si>
  <si>
    <t>Prime de nuit 20% (40H&lt;)</t>
  </si>
  <si>
    <t>Taux Horaire de nuit 20%</t>
  </si>
  <si>
    <t>Groupe</t>
  </si>
  <si>
    <t>Coefficient</t>
  </si>
  <si>
    <t>A l'embauche</t>
  </si>
  <si>
    <t>2 ans d'ancienneté</t>
  </si>
  <si>
    <t>10 ans d'ancienneté</t>
  </si>
  <si>
    <t>15 ans d'ancienneté</t>
  </si>
  <si>
    <t>5 ans d'ancienneté</t>
  </si>
  <si>
    <t>3-bis</t>
  </si>
  <si>
    <t>115 M</t>
  </si>
  <si>
    <t>118 M</t>
  </si>
  <si>
    <t>120 M</t>
  </si>
  <si>
    <t>128 M</t>
  </si>
  <si>
    <t>138 M</t>
  </si>
  <si>
    <t>150 M</t>
  </si>
  <si>
    <t>Taux horaires / Personnel roulant</t>
  </si>
  <si>
    <t>SMIC 2021 10,25€</t>
  </si>
  <si>
    <t>Prime de nuit 25% (&lt;40H)</t>
  </si>
  <si>
    <t>Taux majoré de nuit HS 20%</t>
  </si>
  <si>
    <t>Taux majoré de nuit HS 25%</t>
  </si>
  <si>
    <t xml:space="preserve">GMA </t>
  </si>
  <si>
    <t>Temps service</t>
  </si>
  <si>
    <t>GMA</t>
  </si>
  <si>
    <t>Temps amplitude</t>
  </si>
  <si>
    <t>Indemnité de repas</t>
  </si>
  <si>
    <t>Indemnité de repas unique</t>
  </si>
  <si>
    <t>Indemnité de repas unique de nuit</t>
  </si>
  <si>
    <t>Indemnité spéciale</t>
  </si>
  <si>
    <t>Indemnité de casse-croûte</t>
  </si>
  <si>
    <t>Grand déplacement 1 repas + 1 découcher</t>
  </si>
  <si>
    <t>Grand déplacement 2 repas + 1 découcher</t>
  </si>
  <si>
    <t>INDEMNITES</t>
  </si>
  <si>
    <t>NOMBRE</t>
  </si>
  <si>
    <t>TOTAL</t>
  </si>
  <si>
    <t>FICHE DE PAIE</t>
  </si>
  <si>
    <t>HN - 100%</t>
  </si>
  <si>
    <t>HE - 125%</t>
  </si>
  <si>
    <t>GMA - 125%</t>
  </si>
  <si>
    <t>GMA - 150%</t>
  </si>
  <si>
    <t>Prime de Nuit</t>
  </si>
  <si>
    <t>CSP</t>
  </si>
  <si>
    <t>Coût Employeur</t>
  </si>
  <si>
    <r>
      <t>HS</t>
    </r>
    <r>
      <rPr>
        <b/>
        <i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- 125%</t>
    </r>
  </si>
  <si>
    <r>
      <t>HS</t>
    </r>
    <r>
      <rPr>
        <b/>
        <i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- 150%</t>
    </r>
  </si>
  <si>
    <t>DONNEES</t>
  </si>
  <si>
    <t>Temps de service</t>
  </si>
  <si>
    <t>MAJORE DE 18% EN CAS DE DEPLACEMENT A L'ETRANGER</t>
  </si>
  <si>
    <t>Heures de Nuit</t>
  </si>
  <si>
    <t>Amplitude</t>
  </si>
  <si>
    <t>Type Conducteur</t>
  </si>
  <si>
    <t>Type de Conducteur</t>
  </si>
  <si>
    <t>Messagerie</t>
  </si>
  <si>
    <t>Courte Distance</t>
  </si>
  <si>
    <t>Grand Routier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</si>
</sst>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&quot; H&quot;"/>
    <numFmt numFmtId="165" formatCode="0.00&quot; €/H&quot;"/>
    <numFmt numFmtId="166" formatCode="0.00&quot; €/h&quot;"/>
    <numFmt numFmtId="167" formatCode="0.00&quot; H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44" fontId="0" fillId="0" borderId="0" xfId="1" applyFont="1"/>
    <xf numFmtId="164" fontId="0" fillId="0" borderId="0" xfId="0" applyNumberFormat="1"/>
    <xf numFmtId="0" fontId="0" fillId="0" borderId="1" xfId="0" applyBorder="1"/>
    <xf numFmtId="166" fontId="0" fillId="0" borderId="1" xfId="0" applyNumberFormat="1" applyBorder="1"/>
    <xf numFmtId="9" fontId="0" fillId="0" borderId="1" xfId="0" applyNumberFormat="1" applyBorder="1"/>
    <xf numFmtId="164" fontId="0" fillId="0" borderId="1" xfId="0" applyNumberFormat="1" applyBorder="1"/>
    <xf numFmtId="44" fontId="0" fillId="0" borderId="1" xfId="1" applyFont="1" applyBorder="1"/>
    <xf numFmtId="44" fontId="0" fillId="0" borderId="1" xfId="0" applyNumberFormat="1" applyBorder="1"/>
    <xf numFmtId="44" fontId="0" fillId="0" borderId="2" xfId="0" applyNumberFormat="1" applyBorder="1"/>
    <xf numFmtId="44" fontId="2" fillId="0" borderId="4" xfId="0" applyNumberFormat="1" applyFont="1" applyBorder="1"/>
    <xf numFmtId="165" fontId="0" fillId="0" borderId="7" xfId="0" applyNumberFormat="1" applyBorder="1"/>
    <xf numFmtId="44" fontId="0" fillId="0" borderId="8" xfId="0" applyNumberFormat="1" applyBorder="1"/>
    <xf numFmtId="0" fontId="0" fillId="0" borderId="1" xfId="0" applyFill="1" applyBorder="1"/>
    <xf numFmtId="165" fontId="0" fillId="0" borderId="1" xfId="1" applyNumberFormat="1" applyFont="1" applyBorder="1"/>
    <xf numFmtId="167" fontId="0" fillId="0" borderId="1" xfId="0" applyNumberFormat="1" applyBorder="1"/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1" applyNumberFormat="1" applyFont="1" applyBorder="1" applyAlignment="1">
      <alignment horizontal="center" vertical="center"/>
    </xf>
    <xf numFmtId="44" fontId="0" fillId="0" borderId="0" xfId="0" applyNumberFormat="1"/>
    <xf numFmtId="0" fontId="0" fillId="0" borderId="0" xfId="0" applyFill="1" applyBorder="1"/>
    <xf numFmtId="0" fontId="2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44" fontId="2" fillId="0" borderId="1" xfId="1" applyFont="1" applyBorder="1"/>
    <xf numFmtId="0" fontId="2" fillId="0" borderId="1" xfId="0" applyFont="1" applyBorder="1" applyAlignment="1">
      <alignment horizontal="center"/>
    </xf>
    <xf numFmtId="44" fontId="0" fillId="0" borderId="1" xfId="0" applyNumberFormat="1" applyBorder="1" applyAlignment="1">
      <alignment horizontal="center" vertical="center"/>
    </xf>
    <xf numFmtId="44" fontId="0" fillId="0" borderId="15" xfId="0" applyNumberFormat="1" applyBorder="1" applyAlignment="1">
      <alignment horizontal="center" vertical="center"/>
    </xf>
    <xf numFmtId="44" fontId="4" fillId="0" borderId="14" xfId="0" applyNumberFormat="1" applyFont="1" applyBorder="1"/>
    <xf numFmtId="0" fontId="7" fillId="0" borderId="0" xfId="0" applyFont="1" applyAlignment="1">
      <alignment vertical="center"/>
    </xf>
    <xf numFmtId="0" fontId="2" fillId="0" borderId="0" xfId="0" applyFont="1"/>
    <xf numFmtId="44" fontId="0" fillId="0" borderId="0" xfId="1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0" fillId="0" borderId="23" xfId="1" applyFon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Border="1" applyAlignment="1">
      <alignment horizontal="center"/>
    </xf>
    <xf numFmtId="44" fontId="0" fillId="0" borderId="0" xfId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5DB92-A1EB-4175-94A3-A6E6BEFEBA11}">
  <dimension ref="A1:N39"/>
  <sheetViews>
    <sheetView tabSelected="1" workbookViewId="0">
      <selection activeCell="D10" sqref="D10"/>
    </sheetView>
  </sheetViews>
  <sheetFormatPr baseColWidth="10" defaultRowHeight="14.4" x14ac:dyDescent="0.3"/>
  <cols>
    <col min="1" max="1" width="16.44140625" bestFit="1" customWidth="1"/>
    <col min="6" max="6" width="24.5546875" customWidth="1"/>
    <col min="11" max="11" width="15.77734375" customWidth="1"/>
    <col min="12" max="12" width="10.77734375" customWidth="1"/>
    <col min="13" max="13" width="15.77734375" customWidth="1"/>
    <col min="14" max="14" width="10.77734375" customWidth="1"/>
  </cols>
  <sheetData>
    <row r="1" spans="1:14" ht="14.4" customHeight="1" x14ac:dyDescent="0.3">
      <c r="A1" s="40" t="s">
        <v>51</v>
      </c>
      <c r="B1" s="41"/>
      <c r="C1" s="41"/>
      <c r="D1" s="41"/>
      <c r="E1" s="42"/>
      <c r="F1" s="35"/>
      <c r="G1" s="38"/>
      <c r="H1" s="38"/>
      <c r="K1" s="40" t="s">
        <v>61</v>
      </c>
      <c r="L1" s="41"/>
      <c r="M1" s="41"/>
      <c r="N1" s="42"/>
    </row>
    <row r="2" spans="1:14" ht="14.4" customHeight="1" thickBot="1" x14ac:dyDescent="0.35">
      <c r="A2" s="43"/>
      <c r="B2" s="44"/>
      <c r="C2" s="44"/>
      <c r="D2" s="44"/>
      <c r="E2" s="45"/>
      <c r="F2" s="35"/>
      <c r="G2" s="38"/>
      <c r="H2" s="38"/>
      <c r="K2" s="43"/>
      <c r="L2" s="44"/>
      <c r="M2" s="44"/>
      <c r="N2" s="45"/>
    </row>
    <row r="3" spans="1:14" ht="14.4" customHeight="1" x14ac:dyDescent="0.3">
      <c r="A3" s="41"/>
      <c r="B3" s="41"/>
      <c r="C3" s="41"/>
      <c r="D3" s="41"/>
      <c r="E3" s="41"/>
      <c r="F3" s="35"/>
      <c r="G3" s="38"/>
      <c r="H3" s="38"/>
      <c r="K3" s="55" t="s">
        <v>66</v>
      </c>
      <c r="L3" s="58" t="s">
        <v>69</v>
      </c>
      <c r="M3" s="58"/>
      <c r="N3" s="58"/>
    </row>
    <row r="4" spans="1:14" x14ac:dyDescent="0.3">
      <c r="A4" s="36" t="s">
        <v>52</v>
      </c>
      <c r="B4" s="53">
        <f>IF(N4&gt;152,152,N4)</f>
        <v>152</v>
      </c>
      <c r="C4" s="53"/>
      <c r="D4" s="54">
        <f>IF(Fiche!N4&gt;152,152*Fiche!L4,Fiche!N4*Fiche!L4)</f>
        <v>1558</v>
      </c>
      <c r="E4" s="54"/>
      <c r="G4" s="38"/>
      <c r="H4" s="38"/>
      <c r="K4" t="s">
        <v>1</v>
      </c>
      <c r="L4" s="51">
        <v>10.25</v>
      </c>
      <c r="M4" t="s">
        <v>62</v>
      </c>
      <c r="N4" s="50">
        <v>202</v>
      </c>
    </row>
    <row r="5" spans="1:14" x14ac:dyDescent="0.3">
      <c r="A5" s="36" t="s">
        <v>53</v>
      </c>
      <c r="B5" s="52" t="e">
        <f>IF(L3="Courte Distance",IF(N4-B4&gt;17,17,N4-B4)),IF(L3="Messagerie",0,IF(L3="Grand Routier",IF(N4-B4&gt;34,34,N4-B4)))</f>
        <v>#VALUE!</v>
      </c>
      <c r="C5" s="52"/>
      <c r="D5" s="37"/>
      <c r="E5" s="37"/>
      <c r="G5" s="38"/>
      <c r="H5" s="38"/>
      <c r="K5" t="s">
        <v>7</v>
      </c>
      <c r="L5" s="51"/>
      <c r="M5" t="s">
        <v>8</v>
      </c>
      <c r="N5" s="51"/>
    </row>
    <row r="6" spans="1:14" x14ac:dyDescent="0.3">
      <c r="A6" s="36" t="s">
        <v>59</v>
      </c>
      <c r="B6" s="52"/>
      <c r="C6" s="52"/>
      <c r="D6" s="37"/>
      <c r="E6" s="37"/>
      <c r="K6" t="s">
        <v>64</v>
      </c>
      <c r="L6" s="50">
        <v>60</v>
      </c>
      <c r="M6" t="s">
        <v>65</v>
      </c>
      <c r="N6" s="50">
        <v>235</v>
      </c>
    </row>
    <row r="7" spans="1:14" x14ac:dyDescent="0.3">
      <c r="A7" s="36" t="s">
        <v>60</v>
      </c>
      <c r="B7" s="52"/>
      <c r="C7" s="52"/>
      <c r="D7" s="37"/>
      <c r="E7" s="37"/>
      <c r="L7" s="39"/>
      <c r="N7" s="39"/>
    </row>
    <row r="8" spans="1:14" x14ac:dyDescent="0.3">
      <c r="A8" s="36" t="s">
        <v>54</v>
      </c>
      <c r="B8" s="52"/>
      <c r="C8" s="52"/>
      <c r="D8" s="37"/>
      <c r="E8" s="37"/>
      <c r="L8" s="39"/>
      <c r="N8" s="39"/>
    </row>
    <row r="9" spans="1:14" x14ac:dyDescent="0.3">
      <c r="A9" s="36" t="s">
        <v>55</v>
      </c>
      <c r="B9" s="52"/>
      <c r="C9" s="52"/>
      <c r="D9" s="37"/>
      <c r="E9" s="37"/>
      <c r="L9" s="39"/>
      <c r="N9" s="39"/>
    </row>
    <row r="10" spans="1:14" x14ac:dyDescent="0.3">
      <c r="A10" s="36"/>
      <c r="L10" s="39"/>
      <c r="N10" s="39"/>
    </row>
    <row r="11" spans="1:14" x14ac:dyDescent="0.3">
      <c r="A11" s="36" t="s">
        <v>56</v>
      </c>
      <c r="B11" s="37"/>
      <c r="C11" s="37"/>
      <c r="D11" s="37"/>
      <c r="E11" s="37"/>
    </row>
    <row r="12" spans="1:14" x14ac:dyDescent="0.3">
      <c r="A12" s="36" t="s">
        <v>7</v>
      </c>
      <c r="B12" s="37"/>
      <c r="C12" s="37"/>
      <c r="D12" s="37"/>
      <c r="E12" s="37"/>
    </row>
    <row r="13" spans="1:14" x14ac:dyDescent="0.3">
      <c r="A13" s="36"/>
    </row>
    <row r="14" spans="1:14" x14ac:dyDescent="0.3">
      <c r="A14" s="36" t="s">
        <v>3</v>
      </c>
      <c r="B14" s="37"/>
      <c r="C14" s="37"/>
      <c r="D14" s="37"/>
      <c r="E14" s="37"/>
    </row>
    <row r="15" spans="1:14" x14ac:dyDescent="0.3">
      <c r="A15" s="36"/>
    </row>
    <row r="16" spans="1:14" x14ac:dyDescent="0.3">
      <c r="A16" s="36" t="s">
        <v>2</v>
      </c>
      <c r="B16" s="37"/>
      <c r="C16" s="37"/>
      <c r="D16" s="37"/>
      <c r="E16" s="37"/>
    </row>
    <row r="17" spans="1:7" x14ac:dyDescent="0.3">
      <c r="A17" s="36" t="s">
        <v>4</v>
      </c>
      <c r="B17" s="37"/>
      <c r="C17" s="37"/>
      <c r="D17" s="37"/>
      <c r="E17" s="37"/>
    </row>
    <row r="18" spans="1:7" x14ac:dyDescent="0.3">
      <c r="A18" s="36"/>
    </row>
    <row r="19" spans="1:7" x14ac:dyDescent="0.3">
      <c r="A19" s="36" t="s">
        <v>8</v>
      </c>
      <c r="B19" s="37"/>
      <c r="C19" s="37"/>
      <c r="D19" s="37"/>
      <c r="E19" s="37"/>
    </row>
    <row r="20" spans="1:7" x14ac:dyDescent="0.3">
      <c r="A20" s="36" t="s">
        <v>13</v>
      </c>
      <c r="B20" s="37"/>
      <c r="C20" s="37"/>
      <c r="D20" s="37"/>
      <c r="E20" s="37"/>
    </row>
    <row r="21" spans="1:7" x14ac:dyDescent="0.3">
      <c r="A21" s="36"/>
    </row>
    <row r="22" spans="1:7" x14ac:dyDescent="0.3">
      <c r="A22" s="36" t="s">
        <v>57</v>
      </c>
      <c r="B22" s="37"/>
      <c r="C22" s="37"/>
      <c r="D22" s="37"/>
      <c r="E22" s="37"/>
    </row>
    <row r="23" spans="1:7" x14ac:dyDescent="0.3">
      <c r="A23" s="36" t="s">
        <v>58</v>
      </c>
      <c r="B23" s="37"/>
      <c r="C23" s="37"/>
      <c r="D23" s="37"/>
      <c r="E23" s="37"/>
      <c r="F23" s="3" t="s">
        <v>1</v>
      </c>
      <c r="G23" s="4">
        <v>10.7</v>
      </c>
    </row>
    <row r="24" spans="1:7" x14ac:dyDescent="0.3">
      <c r="A24" s="36" t="s">
        <v>6</v>
      </c>
      <c r="B24" s="37"/>
      <c r="C24" s="37"/>
      <c r="D24" s="37"/>
      <c r="E24" s="49"/>
      <c r="F24" s="3"/>
      <c r="G24" s="4"/>
    </row>
    <row r="25" spans="1:7" x14ac:dyDescent="0.3">
      <c r="A25" s="3">
        <v>3</v>
      </c>
      <c r="B25" s="6">
        <v>152</v>
      </c>
      <c r="C25" s="7">
        <f>B25*G23</f>
        <v>1626.3999999999999</v>
      </c>
      <c r="F25" s="3" t="s">
        <v>2</v>
      </c>
      <c r="G25" s="5">
        <v>0.23</v>
      </c>
    </row>
    <row r="26" spans="1:7" x14ac:dyDescent="0.3">
      <c r="A26" s="3" t="s">
        <v>11</v>
      </c>
      <c r="B26" s="6">
        <v>32</v>
      </c>
      <c r="C26" s="7">
        <f>B26*(G23*1.25)</f>
        <v>428</v>
      </c>
      <c r="F26" s="3" t="s">
        <v>0</v>
      </c>
      <c r="G26" s="5">
        <v>0.47</v>
      </c>
    </row>
    <row r="27" spans="1:7" x14ac:dyDescent="0.3">
      <c r="A27" s="3" t="s">
        <v>10</v>
      </c>
      <c r="B27" s="6"/>
      <c r="C27" s="7">
        <f>B27*(G23*1.25)</f>
        <v>0</v>
      </c>
      <c r="D27" s="19">
        <f>(G37*1.25)*B27</f>
        <v>0</v>
      </c>
      <c r="F27" s="3" t="s">
        <v>7</v>
      </c>
      <c r="G27" s="7">
        <v>75</v>
      </c>
    </row>
    <row r="28" spans="1:7" x14ac:dyDescent="0.3">
      <c r="A28" s="3" t="s">
        <v>9</v>
      </c>
      <c r="B28" s="6"/>
      <c r="C28" s="7">
        <f>B28*(G23*1.5)</f>
        <v>0</v>
      </c>
      <c r="D28" s="19">
        <f>(G37*1.5)*B28</f>
        <v>0</v>
      </c>
      <c r="F28" s="3" t="s">
        <v>8</v>
      </c>
      <c r="G28" s="8">
        <f>N31</f>
        <v>0</v>
      </c>
    </row>
    <row r="29" spans="1:7" ht="15" thickBot="1" x14ac:dyDescent="0.35">
      <c r="A29" s="20" t="s">
        <v>37</v>
      </c>
      <c r="B29" s="2">
        <f>(G38-G39)-G29</f>
        <v>20</v>
      </c>
      <c r="C29" s="1">
        <f>(G23*1.5)*B29</f>
        <v>320.99999999999994</v>
      </c>
      <c r="F29" s="3" t="s">
        <v>38</v>
      </c>
      <c r="G29" s="3">
        <v>184</v>
      </c>
    </row>
    <row r="30" spans="1:7" x14ac:dyDescent="0.3">
      <c r="A30" s="22" t="s">
        <v>3</v>
      </c>
      <c r="B30" s="23"/>
      <c r="C30" s="9">
        <f>SUM(C25:C28)+G27+C29</f>
        <v>2450.3999999999996</v>
      </c>
      <c r="D30" s="19">
        <f>C25+C26+D27+D28+G27+G32+C29</f>
        <v>2549.0059999999999</v>
      </c>
      <c r="F30" s="13" t="s">
        <v>17</v>
      </c>
      <c r="G30" s="14">
        <f>10.49*20%</f>
        <v>2.0980000000000003</v>
      </c>
    </row>
    <row r="31" spans="1:7" x14ac:dyDescent="0.3">
      <c r="A31" s="28" t="s">
        <v>4</v>
      </c>
      <c r="B31" s="29"/>
      <c r="C31" s="12">
        <f>(C30-(C30*G25)+G28)</f>
        <v>1886.8079999999995</v>
      </c>
      <c r="F31" s="13" t="s">
        <v>14</v>
      </c>
      <c r="G31" s="15">
        <v>47</v>
      </c>
    </row>
    <row r="32" spans="1:7" x14ac:dyDescent="0.3">
      <c r="A32" s="24" t="s">
        <v>13</v>
      </c>
      <c r="B32" s="25"/>
      <c r="C32" s="10">
        <f>(C30-(C30*G25))+G28</f>
        <v>1886.8079999999995</v>
      </c>
      <c r="F32" s="13" t="s">
        <v>16</v>
      </c>
      <c r="G32" s="8">
        <f>G31*G30</f>
        <v>98.606000000000009</v>
      </c>
    </row>
    <row r="33" spans="1:7" x14ac:dyDescent="0.3">
      <c r="A33" s="24" t="s">
        <v>5</v>
      </c>
      <c r="B33" s="25"/>
      <c r="C33" s="10">
        <f>C30+(C30*G26)+G28</f>
        <v>3602.0879999999997</v>
      </c>
      <c r="F33" s="13" t="s">
        <v>15</v>
      </c>
      <c r="G33" s="15">
        <f>G31*5%</f>
        <v>2.35</v>
      </c>
    </row>
    <row r="34" spans="1:7" ht="15" thickBot="1" x14ac:dyDescent="0.35">
      <c r="A34" s="26" t="s">
        <v>6</v>
      </c>
      <c r="B34" s="27"/>
      <c r="C34" s="11">
        <f>C33/(SUM(B25:B28))</f>
        <v>19.576565217391302</v>
      </c>
      <c r="F34" s="13" t="s">
        <v>34</v>
      </c>
      <c r="G34" s="7">
        <f>G31*G35</f>
        <v>123.25750000000001</v>
      </c>
    </row>
    <row r="35" spans="1:7" x14ac:dyDescent="0.3">
      <c r="F35" s="13" t="s">
        <v>17</v>
      </c>
      <c r="G35" s="14">
        <f>10.49*25%</f>
        <v>2.6225000000000001</v>
      </c>
    </row>
    <row r="36" spans="1:7" x14ac:dyDescent="0.3">
      <c r="F36" s="13" t="s">
        <v>35</v>
      </c>
      <c r="G36" s="8">
        <f>(C25+G32)/B25</f>
        <v>11.348723684210526</v>
      </c>
    </row>
    <row r="37" spans="1:7" x14ac:dyDescent="0.3">
      <c r="F37" s="13" t="s">
        <v>36</v>
      </c>
      <c r="G37" s="8">
        <f>(C25+G34)/B25</f>
        <v>11.510904605263157</v>
      </c>
    </row>
    <row r="38" spans="1:7" x14ac:dyDescent="0.3">
      <c r="F38" s="13" t="s">
        <v>40</v>
      </c>
      <c r="G38" s="3">
        <v>267</v>
      </c>
    </row>
    <row r="39" spans="1:7" x14ac:dyDescent="0.3">
      <c r="F39" s="13" t="s">
        <v>39</v>
      </c>
      <c r="G39" s="3">
        <f>IF((G38*0.25)&gt;=63,63,IF((G38*0.25)&lt;63,(G38*0.25),""))</f>
        <v>63</v>
      </c>
    </row>
  </sheetData>
  <mergeCells count="31">
    <mergeCell ref="B8:C8"/>
    <mergeCell ref="D8:E8"/>
    <mergeCell ref="B9:C9"/>
    <mergeCell ref="D9:E9"/>
    <mergeCell ref="A3:E3"/>
    <mergeCell ref="L3:N3"/>
    <mergeCell ref="K1:N2"/>
    <mergeCell ref="B24:E24"/>
    <mergeCell ref="D4:E4"/>
    <mergeCell ref="B4:C4"/>
    <mergeCell ref="B5:C5"/>
    <mergeCell ref="D5:E5"/>
    <mergeCell ref="B6:C6"/>
    <mergeCell ref="D6:E6"/>
    <mergeCell ref="B7:C7"/>
    <mergeCell ref="D7:E7"/>
    <mergeCell ref="B22:E22"/>
    <mergeCell ref="B23:E23"/>
    <mergeCell ref="B12:E12"/>
    <mergeCell ref="B14:E14"/>
    <mergeCell ref="B16:E16"/>
    <mergeCell ref="B17:E17"/>
    <mergeCell ref="B19:E19"/>
    <mergeCell ref="B20:E20"/>
    <mergeCell ref="A1:E2"/>
    <mergeCell ref="A30:B30"/>
    <mergeCell ref="A31:B31"/>
    <mergeCell ref="A32:B32"/>
    <mergeCell ref="A33:B33"/>
    <mergeCell ref="A34:B34"/>
    <mergeCell ref="B11:E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C556D5-12F3-4E0E-9998-CA0C147F7FFC}">
          <x14:formula1>
            <xm:f>DONNEES!$A$2:$A$4</xm:f>
          </x14:formula1>
          <xm:sqref>L3:N3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19AB6-6702-4741-9A1A-6BB80C9FD1A6}">
  <dimension ref="A1:N34"/>
  <sheetViews>
    <sheetView workbookViewId="0">
      <selection activeCell="I15" sqref="I15"/>
    </sheetView>
  </sheetViews>
  <sheetFormatPr baseColWidth="10" defaultRowHeight="14.4" x14ac:dyDescent="0.3"/>
  <cols>
    <col min="6" max="6" width="23.77734375" bestFit="1" customWidth="1"/>
    <col min="11" max="11" width="35.5546875" bestFit="1" customWidth="1"/>
  </cols>
  <sheetData>
    <row r="1" spans="1:14" x14ac:dyDescent="0.3">
      <c r="K1" s="31" t="s">
        <v>48</v>
      </c>
      <c r="L1" s="31"/>
      <c r="M1" s="48" t="s">
        <v>49</v>
      </c>
      <c r="N1" s="48" t="s">
        <v>50</v>
      </c>
    </row>
    <row r="2" spans="1:14" x14ac:dyDescent="0.3">
      <c r="F2" s="3" t="s">
        <v>1</v>
      </c>
      <c r="G2" s="4">
        <v>10.25</v>
      </c>
      <c r="K2" s="3" t="s">
        <v>41</v>
      </c>
      <c r="L2" s="30">
        <v>13.92</v>
      </c>
      <c r="M2" s="16">
        <v>11</v>
      </c>
      <c r="N2" s="32">
        <f>L2*M2</f>
        <v>153.12</v>
      </c>
    </row>
    <row r="3" spans="1:14" x14ac:dyDescent="0.3">
      <c r="A3" s="3" t="s">
        <v>12</v>
      </c>
      <c r="B3" s="6">
        <v>152</v>
      </c>
      <c r="C3" s="7">
        <f>B3*G2</f>
        <v>1558</v>
      </c>
      <c r="F3" s="3" t="s">
        <v>2</v>
      </c>
      <c r="G3" s="5">
        <v>0.23</v>
      </c>
      <c r="K3" s="3" t="s">
        <v>42</v>
      </c>
      <c r="L3" s="30">
        <v>8.56</v>
      </c>
      <c r="M3" s="16"/>
      <c r="N3" s="32">
        <f t="shared" ref="N3:N8" si="0">L3*M3</f>
        <v>0</v>
      </c>
    </row>
    <row r="4" spans="1:14" x14ac:dyDescent="0.3">
      <c r="A4" s="3" t="s">
        <v>11</v>
      </c>
      <c r="B4" s="6">
        <v>34</v>
      </c>
      <c r="C4" s="7">
        <f>B4*(G2*1.25)</f>
        <v>435.625</v>
      </c>
      <c r="F4" s="3" t="s">
        <v>0</v>
      </c>
      <c r="G4" s="5">
        <v>0.47</v>
      </c>
      <c r="K4" s="3" t="s">
        <v>43</v>
      </c>
      <c r="L4" s="30">
        <v>8.34</v>
      </c>
      <c r="M4" s="16"/>
      <c r="N4" s="32">
        <f t="shared" si="0"/>
        <v>0</v>
      </c>
    </row>
    <row r="5" spans="1:14" x14ac:dyDescent="0.3">
      <c r="A5" s="3" t="s">
        <v>10</v>
      </c>
      <c r="B5" s="6"/>
      <c r="C5" s="7">
        <f>B5*(G2*1.25)</f>
        <v>0</v>
      </c>
      <c r="D5" s="19">
        <f>(G15*1.25)*B5</f>
        <v>0</v>
      </c>
      <c r="F5" s="3" t="s">
        <v>7</v>
      </c>
      <c r="G5" s="7">
        <v>75</v>
      </c>
      <c r="K5" s="3" t="s">
        <v>44</v>
      </c>
      <c r="L5" s="30">
        <v>3.77</v>
      </c>
      <c r="M5" s="16"/>
      <c r="N5" s="32">
        <f t="shared" si="0"/>
        <v>0</v>
      </c>
    </row>
    <row r="6" spans="1:14" x14ac:dyDescent="0.3">
      <c r="A6" s="3" t="s">
        <v>9</v>
      </c>
      <c r="B6" s="6">
        <v>16</v>
      </c>
      <c r="C6" s="7">
        <f>B6*(G2*1.5)</f>
        <v>246</v>
      </c>
      <c r="D6" s="19">
        <f>(G15*1.5)*B6</f>
        <v>270.84473684210525</v>
      </c>
      <c r="F6" s="3" t="s">
        <v>8</v>
      </c>
      <c r="G6" s="8">
        <f>N9</f>
        <v>899.4</v>
      </c>
      <c r="K6" s="3" t="s">
        <v>45</v>
      </c>
      <c r="L6" s="30">
        <v>7.54</v>
      </c>
      <c r="M6" s="16">
        <v>6</v>
      </c>
      <c r="N6" s="32">
        <f t="shared" si="0"/>
        <v>45.24</v>
      </c>
    </row>
    <row r="7" spans="1:14" ht="15" thickBot="1" x14ac:dyDescent="0.35">
      <c r="A7" s="20" t="s">
        <v>37</v>
      </c>
      <c r="B7" s="2">
        <f>(G16-G17)-G7</f>
        <v>-25.75</v>
      </c>
      <c r="C7" s="1">
        <f>(G2*1.5)*B7</f>
        <v>-395.90625</v>
      </c>
      <c r="F7" s="3" t="s">
        <v>38</v>
      </c>
      <c r="G7" s="3">
        <v>202</v>
      </c>
      <c r="K7" s="3" t="s">
        <v>46</v>
      </c>
      <c r="L7" s="30">
        <v>44.5</v>
      </c>
      <c r="M7" s="16"/>
      <c r="N7" s="32">
        <f t="shared" si="0"/>
        <v>0</v>
      </c>
    </row>
    <row r="8" spans="1:14" ht="15" thickBot="1" x14ac:dyDescent="0.35">
      <c r="A8" s="22" t="s">
        <v>3</v>
      </c>
      <c r="B8" s="23"/>
      <c r="C8" s="9">
        <f>SUM(C3:C6)+G5+G10</f>
        <v>2440.5050000000001</v>
      </c>
      <c r="D8" s="19">
        <f>C3+C4+D5+D6+G5+G12</f>
        <v>2496.8197368421052</v>
      </c>
      <c r="F8" s="13" t="s">
        <v>17</v>
      </c>
      <c r="G8" s="14">
        <f>10.49*20%</f>
        <v>2.0980000000000003</v>
      </c>
      <c r="K8" s="3" t="s">
        <v>47</v>
      </c>
      <c r="L8" s="30">
        <v>58.42</v>
      </c>
      <c r="M8" s="16">
        <v>12</v>
      </c>
      <c r="N8" s="33">
        <f t="shared" si="0"/>
        <v>701.04</v>
      </c>
    </row>
    <row r="9" spans="1:14" ht="15" thickBot="1" x14ac:dyDescent="0.35">
      <c r="A9" s="28" t="s">
        <v>4</v>
      </c>
      <c r="B9" s="29"/>
      <c r="C9" s="12">
        <f>(C8-(C8*G3)+G6)</f>
        <v>2778.5888500000001</v>
      </c>
      <c r="F9" s="13" t="s">
        <v>14</v>
      </c>
      <c r="G9" s="15">
        <v>60</v>
      </c>
      <c r="K9" s="46" t="s">
        <v>63</v>
      </c>
      <c r="L9" s="46"/>
      <c r="M9" s="47"/>
      <c r="N9" s="34">
        <f>SUM(N2:N8)</f>
        <v>899.4</v>
      </c>
    </row>
    <row r="10" spans="1:14" x14ac:dyDescent="0.3">
      <c r="A10" s="24" t="s">
        <v>13</v>
      </c>
      <c r="B10" s="25"/>
      <c r="C10" s="10">
        <f>(C8-(C8*G3))+G6</f>
        <v>2778.5888500000001</v>
      </c>
      <c r="F10" s="13" t="s">
        <v>16</v>
      </c>
      <c r="G10" s="8">
        <f>G9*G8</f>
        <v>125.88000000000002</v>
      </c>
    </row>
    <row r="11" spans="1:14" x14ac:dyDescent="0.3">
      <c r="A11" s="24" t="s">
        <v>5</v>
      </c>
      <c r="B11" s="25"/>
      <c r="C11" s="10">
        <f>C8+(C8*G4)+G6</f>
        <v>4486.9423500000003</v>
      </c>
      <c r="F11" s="13" t="s">
        <v>15</v>
      </c>
      <c r="G11" s="15">
        <f>G9*5%</f>
        <v>3</v>
      </c>
    </row>
    <row r="12" spans="1:14" ht="15" thickBot="1" x14ac:dyDescent="0.35">
      <c r="A12" s="26" t="s">
        <v>6</v>
      </c>
      <c r="B12" s="27"/>
      <c r="C12" s="11">
        <f>C11/(SUM(B3:B6))</f>
        <v>22.212585891089109</v>
      </c>
      <c r="F12" s="13" t="s">
        <v>34</v>
      </c>
      <c r="G12" s="7">
        <f>G9*G13</f>
        <v>157.35</v>
      </c>
    </row>
    <row r="13" spans="1:14" x14ac:dyDescent="0.3">
      <c r="F13" s="13" t="s">
        <v>17</v>
      </c>
      <c r="G13" s="14">
        <f>10.49*25%</f>
        <v>2.6225000000000001</v>
      </c>
    </row>
    <row r="14" spans="1:14" x14ac:dyDescent="0.3">
      <c r="F14" s="13" t="s">
        <v>35</v>
      </c>
      <c r="G14" s="8">
        <f>(C3+G10)/B3</f>
        <v>11.078157894736842</v>
      </c>
    </row>
    <row r="15" spans="1:14" x14ac:dyDescent="0.3">
      <c r="F15" s="13" t="s">
        <v>36</v>
      </c>
      <c r="G15" s="8">
        <f>(C3+G12)/B3</f>
        <v>11.285197368421052</v>
      </c>
    </row>
    <row r="16" spans="1:14" x14ac:dyDescent="0.3">
      <c r="F16" s="13" t="s">
        <v>40</v>
      </c>
      <c r="G16" s="3">
        <v>235</v>
      </c>
    </row>
    <row r="17" spans="2:8" x14ac:dyDescent="0.3">
      <c r="F17" s="13" t="s">
        <v>39</v>
      </c>
      <c r="G17" s="3">
        <f>IF((G16*0.25)&gt;=63,63,IF((G16*0.25)&lt;63,(G16*0.25),""))</f>
        <v>58.75</v>
      </c>
    </row>
    <row r="20" spans="2:8" x14ac:dyDescent="0.3">
      <c r="D20" t="str">
        <f>IF(C17&gt;=63,63,"")</f>
        <v/>
      </c>
    </row>
    <row r="27" spans="2:8" x14ac:dyDescent="0.3">
      <c r="B27" s="21" t="s">
        <v>32</v>
      </c>
      <c r="C27" s="21"/>
      <c r="D27" s="21"/>
      <c r="E27" s="21"/>
      <c r="F27" s="21"/>
      <c r="G27" s="21"/>
      <c r="H27" s="21"/>
    </row>
    <row r="28" spans="2:8" x14ac:dyDescent="0.3">
      <c r="B28" s="16" t="s">
        <v>18</v>
      </c>
      <c r="C28" s="16" t="s">
        <v>19</v>
      </c>
      <c r="D28" s="16" t="s">
        <v>20</v>
      </c>
      <c r="E28" s="16" t="s">
        <v>21</v>
      </c>
      <c r="F28" s="16" t="s">
        <v>24</v>
      </c>
      <c r="G28" s="16" t="s">
        <v>22</v>
      </c>
      <c r="H28" s="16" t="s">
        <v>23</v>
      </c>
    </row>
    <row r="29" spans="2:8" x14ac:dyDescent="0.3">
      <c r="B29" s="16">
        <v>3</v>
      </c>
      <c r="C29" s="16" t="s">
        <v>26</v>
      </c>
      <c r="D29" s="16">
        <v>10.199999999999999</v>
      </c>
      <c r="E29" s="17">
        <f>D29*1.02</f>
        <v>10.404</v>
      </c>
      <c r="F29" s="18">
        <f>D29*1.04</f>
        <v>10.607999999999999</v>
      </c>
      <c r="G29" s="18">
        <f>D29*1.06</f>
        <v>10.811999999999999</v>
      </c>
      <c r="H29" s="17">
        <f>D29*1.08</f>
        <v>11.016</v>
      </c>
    </row>
    <row r="30" spans="2:8" x14ac:dyDescent="0.3">
      <c r="B30" s="16" t="s">
        <v>25</v>
      </c>
      <c r="C30" s="16" t="s">
        <v>27</v>
      </c>
      <c r="D30" s="16">
        <v>10.199999999999999</v>
      </c>
      <c r="E30" s="17">
        <f t="shared" ref="E30:E34" si="1">D30*1.02</f>
        <v>10.404</v>
      </c>
      <c r="F30" s="18">
        <f t="shared" ref="F30:F34" si="2">D30*1.04</f>
        <v>10.607999999999999</v>
      </c>
      <c r="G30" s="18">
        <f t="shared" ref="G30:G34" si="3">D30*1.06</f>
        <v>10.811999999999999</v>
      </c>
      <c r="H30" s="17">
        <f t="shared" ref="H30:H34" si="4">D30*1.08</f>
        <v>11.016</v>
      </c>
    </row>
    <row r="31" spans="2:8" x14ac:dyDescent="0.3">
      <c r="B31" s="16">
        <v>4</v>
      </c>
      <c r="C31" s="16" t="s">
        <v>28</v>
      </c>
      <c r="D31" s="16">
        <v>10.199999999999999</v>
      </c>
      <c r="E31" s="17">
        <f t="shared" si="1"/>
        <v>10.404</v>
      </c>
      <c r="F31" s="18">
        <f t="shared" si="2"/>
        <v>10.607999999999999</v>
      </c>
      <c r="G31" s="18">
        <f t="shared" si="3"/>
        <v>10.811999999999999</v>
      </c>
      <c r="H31" s="17">
        <f t="shared" si="4"/>
        <v>11.016</v>
      </c>
    </row>
    <row r="32" spans="2:8" x14ac:dyDescent="0.3">
      <c r="B32" s="16">
        <v>5</v>
      </c>
      <c r="C32" s="16" t="s">
        <v>29</v>
      </c>
      <c r="D32" s="16">
        <v>10.23</v>
      </c>
      <c r="E32" s="17">
        <f t="shared" si="1"/>
        <v>10.434600000000001</v>
      </c>
      <c r="F32" s="18">
        <f t="shared" si="2"/>
        <v>10.639200000000001</v>
      </c>
      <c r="G32" s="18">
        <f t="shared" si="3"/>
        <v>10.843800000000002</v>
      </c>
      <c r="H32" s="17">
        <f t="shared" si="4"/>
        <v>11.048400000000001</v>
      </c>
    </row>
    <row r="33" spans="2:8" x14ac:dyDescent="0.3">
      <c r="B33" s="16">
        <v>6</v>
      </c>
      <c r="C33" s="16" t="s">
        <v>30</v>
      </c>
      <c r="D33" s="16">
        <v>10.25</v>
      </c>
      <c r="E33" s="17">
        <f t="shared" si="1"/>
        <v>10.455</v>
      </c>
      <c r="F33" s="18">
        <f t="shared" si="2"/>
        <v>10.66</v>
      </c>
      <c r="G33" s="18">
        <f t="shared" si="3"/>
        <v>10.865</v>
      </c>
      <c r="H33" s="17">
        <f t="shared" si="4"/>
        <v>11.07</v>
      </c>
    </row>
    <row r="34" spans="2:8" x14ac:dyDescent="0.3">
      <c r="B34" s="16">
        <v>7</v>
      </c>
      <c r="C34" s="16" t="s">
        <v>31</v>
      </c>
      <c r="D34" s="16">
        <v>10.49</v>
      </c>
      <c r="E34" s="17">
        <f t="shared" si="1"/>
        <v>10.6998</v>
      </c>
      <c r="F34" s="18">
        <f t="shared" si="2"/>
        <v>10.909600000000001</v>
      </c>
      <c r="G34" s="18">
        <f t="shared" si="3"/>
        <v>11.119400000000001</v>
      </c>
      <c r="H34" s="17">
        <f t="shared" si="4"/>
        <v>11.3292</v>
      </c>
    </row>
  </sheetData>
  <mergeCells count="8">
    <mergeCell ref="K1:L1"/>
    <mergeCell ref="K9:M9"/>
    <mergeCell ref="B27:H27"/>
    <mergeCell ref="A8:B8"/>
    <mergeCell ref="A10:B10"/>
    <mergeCell ref="A11:B11"/>
    <mergeCell ref="A12:B12"/>
    <mergeCell ref="A9:B9"/>
  </mergeCells>
  <dataValidations disablePrompts="1" count="2">
    <dataValidation type="list" allowBlank="1" showInputMessage="1" showErrorMessage="1" sqref="H19" xr:uid="{A95BC205-88C3-4BF6-BEB5-CBAA9F49A549}">
      <formula1>z</formula1>
    </dataValidation>
    <dataValidation type="list" allowBlank="1" showInputMessage="1" showErrorMessage="1" sqref="I19" xr:uid="{6653E7F7-B680-4AE6-B1FE-A23905413369}">
      <formula1>INDIRECT(C28)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0C286-38E4-497D-B583-F38332AE8CB0}">
  <dimension ref="A1:A4"/>
  <sheetViews>
    <sheetView workbookViewId="0">
      <selection activeCell="A2" sqref="A2"/>
    </sheetView>
  </sheetViews>
  <sheetFormatPr baseColWidth="10" defaultRowHeight="14.4" x14ac:dyDescent="0.3"/>
  <cols>
    <col min="1" max="1" width="23" customWidth="1"/>
  </cols>
  <sheetData>
    <row r="1" spans="1:1" ht="15" thickBot="1" x14ac:dyDescent="0.35">
      <c r="A1" s="56" t="s">
        <v>67</v>
      </c>
    </row>
    <row r="2" spans="1:1" x14ac:dyDescent="0.3">
      <c r="A2" s="57" t="s">
        <v>68</v>
      </c>
    </row>
    <row r="3" spans="1:1" x14ac:dyDescent="0.3">
      <c r="A3" s="16" t="s">
        <v>69</v>
      </c>
    </row>
    <row r="4" spans="1:1" x14ac:dyDescent="0.3">
      <c r="A4" s="16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6A6B7-A022-4894-A93D-9CD3A03D87CB}">
  <dimension ref="A1:G10"/>
  <sheetViews>
    <sheetView workbookViewId="0">
      <selection activeCell="D17" sqref="D17"/>
    </sheetView>
  </sheetViews>
  <sheetFormatPr baseColWidth="10" defaultRowHeight="14.4" x14ac:dyDescent="0.3"/>
  <cols>
    <col min="4" max="5" width="16.21875" bestFit="1" customWidth="1"/>
    <col min="6" max="7" width="17.21875" bestFit="1" customWidth="1"/>
  </cols>
  <sheetData>
    <row r="1" spans="1:7" x14ac:dyDescent="0.3">
      <c r="A1" s="21" t="s">
        <v>32</v>
      </c>
      <c r="B1" s="21"/>
      <c r="C1" s="21"/>
      <c r="D1" s="21"/>
      <c r="E1" s="21"/>
      <c r="F1" s="21"/>
      <c r="G1" s="21"/>
    </row>
    <row r="2" spans="1:7" x14ac:dyDescent="0.3">
      <c r="A2" s="16" t="s">
        <v>18</v>
      </c>
      <c r="B2" s="16" t="s">
        <v>19</v>
      </c>
      <c r="C2" s="16" t="s">
        <v>20</v>
      </c>
      <c r="D2" s="16" t="s">
        <v>21</v>
      </c>
      <c r="E2" s="16" t="s">
        <v>24</v>
      </c>
      <c r="F2" s="16" t="s">
        <v>22</v>
      </c>
      <c r="G2" s="16" t="s">
        <v>23</v>
      </c>
    </row>
    <row r="3" spans="1:7" x14ac:dyDescent="0.3">
      <c r="A3" s="16">
        <v>3</v>
      </c>
      <c r="B3" s="16" t="s">
        <v>26</v>
      </c>
      <c r="C3" s="16">
        <v>10.199999999999999</v>
      </c>
      <c r="D3" s="17">
        <f>C3*1.02</f>
        <v>10.404</v>
      </c>
      <c r="E3" s="18">
        <f>C3*1.04</f>
        <v>10.607999999999999</v>
      </c>
      <c r="F3" s="18">
        <f>C3*1.06</f>
        <v>10.811999999999999</v>
      </c>
      <c r="G3" s="17">
        <f>C3*1.08</f>
        <v>11.016</v>
      </c>
    </row>
    <row r="4" spans="1:7" x14ac:dyDescent="0.3">
      <c r="A4" s="16" t="s">
        <v>25</v>
      </c>
      <c r="B4" s="16" t="s">
        <v>27</v>
      </c>
      <c r="C4" s="16">
        <v>10.199999999999999</v>
      </c>
      <c r="D4" s="17">
        <f t="shared" ref="D4:D8" si="0">C4*1.02</f>
        <v>10.404</v>
      </c>
      <c r="E4" s="18">
        <f t="shared" ref="E4:E8" si="1">C4*1.04</f>
        <v>10.607999999999999</v>
      </c>
      <c r="F4" s="18">
        <f t="shared" ref="F4:F8" si="2">C4*1.06</f>
        <v>10.811999999999999</v>
      </c>
      <c r="G4" s="17">
        <f t="shared" ref="G4:G8" si="3">C4*1.08</f>
        <v>11.016</v>
      </c>
    </row>
    <row r="5" spans="1:7" x14ac:dyDescent="0.3">
      <c r="A5" s="16">
        <v>4</v>
      </c>
      <c r="B5" s="16" t="s">
        <v>28</v>
      </c>
      <c r="C5" s="16">
        <v>10.199999999999999</v>
      </c>
      <c r="D5" s="17">
        <f t="shared" si="0"/>
        <v>10.404</v>
      </c>
      <c r="E5" s="18">
        <f t="shared" si="1"/>
        <v>10.607999999999999</v>
      </c>
      <c r="F5" s="18">
        <f t="shared" si="2"/>
        <v>10.811999999999999</v>
      </c>
      <c r="G5" s="17">
        <f t="shared" si="3"/>
        <v>11.016</v>
      </c>
    </row>
    <row r="6" spans="1:7" x14ac:dyDescent="0.3">
      <c r="A6" s="16">
        <v>5</v>
      </c>
      <c r="B6" s="16" t="s">
        <v>29</v>
      </c>
      <c r="C6" s="16">
        <v>10.23</v>
      </c>
      <c r="D6" s="17">
        <f t="shared" si="0"/>
        <v>10.434600000000001</v>
      </c>
      <c r="E6" s="18">
        <f t="shared" si="1"/>
        <v>10.639200000000001</v>
      </c>
      <c r="F6" s="18">
        <f t="shared" si="2"/>
        <v>10.843800000000002</v>
      </c>
      <c r="G6" s="17">
        <f t="shared" si="3"/>
        <v>11.048400000000001</v>
      </c>
    </row>
    <row r="7" spans="1:7" x14ac:dyDescent="0.3">
      <c r="A7" s="16">
        <v>6</v>
      </c>
      <c r="B7" s="16" t="s">
        <v>30</v>
      </c>
      <c r="C7" s="16">
        <v>10.25</v>
      </c>
      <c r="D7" s="17">
        <f t="shared" si="0"/>
        <v>10.455</v>
      </c>
      <c r="E7" s="18">
        <f t="shared" si="1"/>
        <v>10.66</v>
      </c>
      <c r="F7" s="18">
        <f t="shared" si="2"/>
        <v>10.865</v>
      </c>
      <c r="G7" s="17">
        <f t="shared" si="3"/>
        <v>11.07</v>
      </c>
    </row>
    <row r="8" spans="1:7" x14ac:dyDescent="0.3">
      <c r="A8" s="16">
        <v>7</v>
      </c>
      <c r="B8" s="16" t="s">
        <v>31</v>
      </c>
      <c r="C8" s="16">
        <v>10.49</v>
      </c>
      <c r="D8" s="17">
        <f t="shared" si="0"/>
        <v>10.6998</v>
      </c>
      <c r="E8" s="18">
        <f t="shared" si="1"/>
        <v>10.909600000000001</v>
      </c>
      <c r="F8" s="18">
        <f t="shared" si="2"/>
        <v>11.119400000000001</v>
      </c>
      <c r="G8" s="17">
        <f t="shared" si="3"/>
        <v>11.3292</v>
      </c>
    </row>
    <row r="10" spans="1:7" x14ac:dyDescent="0.3">
      <c r="D10" s="25" t="s">
        <v>33</v>
      </c>
      <c r="E10" s="25"/>
    </row>
  </sheetData>
  <autoFilter ref="A2:G8" xr:uid="{C530084E-C8E6-4BD2-9C59-20238793CB0E}"/>
  <mergeCells count="2">
    <mergeCell ref="A1:G1"/>
    <mergeCell ref="D10:E10"/>
  </mergeCell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6743DD-369D-4D18-8477-608B1271D3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Fiche</vt:lpstr>
      <vt:lpstr>Fiche de Paie</vt:lpstr>
      <vt:lpstr>DONNEES</vt:lpstr>
      <vt:lpstr>TX HORRAIRE</vt:lpstr>
      <vt:lpstr>_10_ans_d_ancienneté</vt:lpstr>
      <vt:lpstr>_15_ans_d_ancienneté</vt:lpstr>
      <vt:lpstr>_2_ans_d_ancienneté</vt:lpstr>
      <vt:lpstr>_5_ans_d_ancienneté</vt:lpstr>
      <vt:lpstr>A_l_embauche</vt:lpstr>
      <vt:lpstr>Coefficient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donnard</dc:creator>
  <cp:lastModifiedBy>robin donnard</cp:lastModifiedBy>
  <dcterms:created xsi:type="dcterms:W3CDTF">2021-05-03T07:26:06Z</dcterms:created>
  <dcterms:modified xsi:type="dcterms:W3CDTF">2021-05-07T11:44:07Z</dcterms:modified>
</cp:coreProperties>
</file>