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Vincent\Documents\Maîtrise Fédéral\Eps-G5 Organisation du mandat\"/>
    </mc:Choice>
  </mc:AlternateContent>
  <xr:revisionPtr revIDLastSave="0" documentId="13_ncr:1_{E6320B4E-CEAF-4997-9115-B13430C014E0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Base de donnée" sheetId="1" r:id="rId1"/>
    <sheet name="Feuille machine" sheetId="12" r:id="rId2"/>
    <sheet name="Jours feriés" sheetId="11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5" i="12" l="1"/>
  <c r="D15" i="12" l="1"/>
  <c r="D18" i="12" l="1"/>
  <c r="D17" i="12"/>
  <c r="C16" i="12"/>
  <c r="E15" i="12" s="1"/>
  <c r="F2" i="1"/>
  <c r="F5" i="1"/>
  <c r="F10" i="1"/>
  <c r="F14" i="1"/>
  <c r="F16" i="1"/>
  <c r="F25" i="1"/>
  <c r="F26" i="1"/>
  <c r="F30" i="1"/>
  <c r="F36" i="1"/>
  <c r="F38" i="1"/>
  <c r="F45" i="1"/>
  <c r="F48" i="1"/>
  <c r="F58" i="1"/>
  <c r="E18" i="12" l="1"/>
  <c r="F15" i="12"/>
  <c r="E17" i="12"/>
  <c r="F17" i="12" l="1"/>
  <c r="F18" i="12"/>
  <c r="G15" i="12"/>
  <c r="K2" i="1"/>
  <c r="H15" i="12" l="1"/>
  <c r="H19" i="12" s="1" a="1"/>
  <c r="H19" i="12" s="1"/>
  <c r="G17" i="12"/>
  <c r="G18" i="12"/>
  <c r="I15" i="12" l="1"/>
  <c r="I19" i="12" s="1" a="1"/>
  <c r="I19" i="12" s="1"/>
  <c r="H17" i="12"/>
  <c r="H18" i="12"/>
  <c r="I2" i="1"/>
  <c r="K5" i="1"/>
  <c r="I5" i="1" s="1"/>
  <c r="L5" i="1" s="1"/>
  <c r="J5" i="1" s="1"/>
  <c r="K14" i="1"/>
  <c r="I14" i="1" s="1"/>
  <c r="K26" i="1"/>
  <c r="I26" i="1" s="1"/>
  <c r="K36" i="1"/>
  <c r="I36" i="1" s="1"/>
  <c r="K45" i="1"/>
  <c r="I45" i="1" s="1"/>
  <c r="L45" i="1" s="1"/>
  <c r="J45" i="1" s="1"/>
  <c r="H45" i="1"/>
  <c r="F46" i="1" s="1"/>
  <c r="H2" i="1"/>
  <c r="F3" i="1" s="1"/>
  <c r="H5" i="1"/>
  <c r="F6" i="1" s="1"/>
  <c r="H14" i="1"/>
  <c r="F15" i="1" s="1"/>
  <c r="H26" i="1"/>
  <c r="F27" i="1" s="1"/>
  <c r="H36" i="1"/>
  <c r="F37" i="1" s="1"/>
  <c r="J15" i="12" l="1"/>
  <c r="J19" i="12" s="1" a="1"/>
  <c r="J19" i="12" s="1"/>
  <c r="I18" i="12"/>
  <c r="I17" i="12"/>
  <c r="K46" i="1"/>
  <c r="I46" i="1" s="1"/>
  <c r="L46" i="1" s="1"/>
  <c r="J46" i="1" s="1"/>
  <c r="K6" i="1"/>
  <c r="I6" i="1" s="1"/>
  <c r="L6" i="1" s="1"/>
  <c r="J6" i="1" s="1"/>
  <c r="L36" i="1"/>
  <c r="J36" i="1" s="1"/>
  <c r="L26" i="1"/>
  <c r="J26" i="1" s="1"/>
  <c r="L14" i="1"/>
  <c r="J14" i="1" s="1"/>
  <c r="L2" i="1"/>
  <c r="J2" i="1" s="1"/>
  <c r="K15" i="12" l="1"/>
  <c r="K19" i="12" s="1" a="1"/>
  <c r="K19" i="12" s="1"/>
  <c r="J18" i="12"/>
  <c r="J17" i="12"/>
  <c r="H6" i="1"/>
  <c r="F7" i="1" s="1"/>
  <c r="H7" i="1" s="1"/>
  <c r="F8" i="1" s="1"/>
  <c r="H37" i="1"/>
  <c r="H27" i="1"/>
  <c r="H46" i="1"/>
  <c r="F47" i="1" s="1"/>
  <c r="K15" i="1"/>
  <c r="I15" i="1" s="1"/>
  <c r="L15" i="1" s="1"/>
  <c r="J15" i="1" s="1"/>
  <c r="K37" i="1"/>
  <c r="I37" i="1" s="1"/>
  <c r="L37" i="1" s="1"/>
  <c r="J37" i="1" s="1"/>
  <c r="K3" i="1"/>
  <c r="I3" i="1" s="1"/>
  <c r="L3" i="1" s="1"/>
  <c r="J3" i="1" s="1"/>
  <c r="H15" i="1"/>
  <c r="H3" i="1"/>
  <c r="F4" i="1" s="1"/>
  <c r="K27" i="1"/>
  <c r="I27" i="1" s="1"/>
  <c r="L27" i="1" s="1"/>
  <c r="J27" i="1" s="1"/>
  <c r="K10" i="1"/>
  <c r="I10" i="1" s="1"/>
  <c r="L10" i="1" s="1"/>
  <c r="J10" i="1" s="1"/>
  <c r="H10" i="1"/>
  <c r="F11" i="1" s="1"/>
  <c r="L15" i="12" l="1"/>
  <c r="K17" i="12"/>
  <c r="K18" i="12"/>
  <c r="K7" i="1"/>
  <c r="I7" i="1" s="1"/>
  <c r="L7" i="1" s="1"/>
  <c r="J7" i="1" s="1"/>
  <c r="F28" i="1"/>
  <c r="K28" i="1" s="1"/>
  <c r="I28" i="1" s="1"/>
  <c r="L28" i="1" s="1"/>
  <c r="J28" i="1" s="1"/>
  <c r="H4" i="1"/>
  <c r="K8" i="1"/>
  <c r="I8" i="1" s="1"/>
  <c r="L8" i="1" s="1"/>
  <c r="J8" i="1" s="1"/>
  <c r="H11" i="1"/>
  <c r="F12" i="1" s="1"/>
  <c r="K11" i="1"/>
  <c r="I11" i="1" s="1"/>
  <c r="L11" i="1" s="1"/>
  <c r="J11" i="1" s="1"/>
  <c r="M15" i="12" l="1"/>
  <c r="L17" i="12"/>
  <c r="L18" i="12"/>
  <c r="H28" i="1"/>
  <c r="Y4" i="1"/>
  <c r="Y2" i="1"/>
  <c r="K4" i="1"/>
  <c r="I4" i="1" s="1"/>
  <c r="L4" i="1" s="1"/>
  <c r="J4" i="1" s="1"/>
  <c r="Y3" i="1"/>
  <c r="H47" i="1"/>
  <c r="K47" i="1"/>
  <c r="I47" i="1" s="1"/>
  <c r="L47" i="1" s="1"/>
  <c r="J47" i="1" s="1"/>
  <c r="K16" i="1"/>
  <c r="I16" i="1" s="1"/>
  <c r="L16" i="1" s="1"/>
  <c r="J16" i="1" s="1"/>
  <c r="H16" i="1"/>
  <c r="F17" i="1" s="1"/>
  <c r="X4" i="1"/>
  <c r="AB4" i="1" s="1"/>
  <c r="AC4" i="1" s="1"/>
  <c r="X3" i="1"/>
  <c r="X2" i="1"/>
  <c r="K38" i="1"/>
  <c r="I38" i="1" s="1"/>
  <c r="L38" i="1" s="1"/>
  <c r="J38" i="1" s="1"/>
  <c r="H38" i="1"/>
  <c r="F39" i="1" s="1"/>
  <c r="K30" i="1"/>
  <c r="I30" i="1" s="1"/>
  <c r="L30" i="1" s="1"/>
  <c r="J30" i="1" s="1"/>
  <c r="H30" i="1"/>
  <c r="F31" i="1" s="1"/>
  <c r="H8" i="1"/>
  <c r="F9" i="1" s="1"/>
  <c r="AB3" i="1" l="1"/>
  <c r="AC3" i="1" s="1"/>
  <c r="AB2" i="1"/>
  <c r="AC2" i="1" s="1"/>
  <c r="M19" i="12" a="1"/>
  <c r="M19" i="12" s="1"/>
  <c r="N15" i="12"/>
  <c r="M18" i="12"/>
  <c r="M17" i="12"/>
  <c r="F29" i="1"/>
  <c r="H29" i="1" s="1"/>
  <c r="H9" i="1"/>
  <c r="K31" i="1"/>
  <c r="I31" i="1" s="1"/>
  <c r="L31" i="1" s="1"/>
  <c r="J31" i="1" s="1"/>
  <c r="K12" i="1"/>
  <c r="I12" i="1" s="1"/>
  <c r="L12" i="1" s="1"/>
  <c r="J12" i="1" s="1"/>
  <c r="H12" i="1"/>
  <c r="F13" i="1" s="1"/>
  <c r="O15" i="12" l="1"/>
  <c r="N17" i="12"/>
  <c r="N18" i="12"/>
  <c r="K29" i="1"/>
  <c r="I29" i="1" s="1"/>
  <c r="L29" i="1" s="1"/>
  <c r="J29" i="1" s="1"/>
  <c r="H31" i="1"/>
  <c r="F32" i="1" s="1"/>
  <c r="H32" i="1" s="1"/>
  <c r="F33" i="1" s="1"/>
  <c r="Y5" i="1"/>
  <c r="H48" i="1"/>
  <c r="F49" i="1" s="1"/>
  <c r="K48" i="1"/>
  <c r="I48" i="1" s="1"/>
  <c r="L48" i="1" s="1"/>
  <c r="J48" i="1" s="1"/>
  <c r="Y7" i="1"/>
  <c r="Y6" i="1"/>
  <c r="H13" i="1"/>
  <c r="Y10" i="1" s="1"/>
  <c r="H17" i="1"/>
  <c r="F18" i="1" s="1"/>
  <c r="K17" i="1"/>
  <c r="I17" i="1" s="1"/>
  <c r="L17" i="1" s="1"/>
  <c r="J17" i="1" s="1"/>
  <c r="X7" i="1"/>
  <c r="AB7" i="1" s="1"/>
  <c r="X6" i="1"/>
  <c r="X5" i="1"/>
  <c r="K39" i="1"/>
  <c r="I39" i="1" s="1"/>
  <c r="L39" i="1" s="1"/>
  <c r="J39" i="1" s="1"/>
  <c r="H39" i="1"/>
  <c r="F40" i="1" s="1"/>
  <c r="K32" i="1"/>
  <c r="I32" i="1" s="1"/>
  <c r="L32" i="1" s="1"/>
  <c r="J32" i="1" s="1"/>
  <c r="K9" i="1"/>
  <c r="I9" i="1" s="1"/>
  <c r="L9" i="1" s="1"/>
  <c r="J9" i="1" s="1"/>
  <c r="AC6" i="1" l="1"/>
  <c r="AC5" i="1"/>
  <c r="AC7" i="1"/>
  <c r="AB5" i="1"/>
  <c r="AB6" i="1"/>
  <c r="P15" i="12"/>
  <c r="O17" i="12"/>
  <c r="O18" i="12"/>
  <c r="K13" i="1"/>
  <c r="I13" i="1" s="1"/>
  <c r="L13" i="1" s="1"/>
  <c r="J13" i="1" s="1"/>
  <c r="Y8" i="1"/>
  <c r="X9" i="1"/>
  <c r="X10" i="1"/>
  <c r="AB10" i="1" s="1"/>
  <c r="AC10" i="1" s="1"/>
  <c r="X8" i="1"/>
  <c r="Y9" i="1"/>
  <c r="H33" i="1"/>
  <c r="F34" i="1" s="1"/>
  <c r="K33" i="1"/>
  <c r="I33" i="1" s="1"/>
  <c r="L33" i="1" s="1"/>
  <c r="J33" i="1" s="1"/>
  <c r="AB8" i="1" l="1"/>
  <c r="AC8" i="1" s="1"/>
  <c r="AB9" i="1"/>
  <c r="AC9" i="1" s="1"/>
  <c r="Q15" i="12"/>
  <c r="Q19" i="12" s="1" a="1"/>
  <c r="Q19" i="12" s="1"/>
  <c r="P17" i="12"/>
  <c r="P18" i="12"/>
  <c r="K40" i="1"/>
  <c r="I40" i="1" s="1"/>
  <c r="L40" i="1" s="1"/>
  <c r="J40" i="1" s="1"/>
  <c r="H40" i="1"/>
  <c r="F41" i="1" s="1"/>
  <c r="K49" i="1"/>
  <c r="I49" i="1" s="1"/>
  <c r="L49" i="1" s="1"/>
  <c r="J49" i="1" s="1"/>
  <c r="H49" i="1"/>
  <c r="F50" i="1" s="1"/>
  <c r="K18" i="1"/>
  <c r="I18" i="1" s="1"/>
  <c r="L18" i="1" s="1"/>
  <c r="J18" i="1" s="1"/>
  <c r="H18" i="1"/>
  <c r="F19" i="1" s="1"/>
  <c r="H34" i="1"/>
  <c r="F35" i="1" s="1"/>
  <c r="K34" i="1"/>
  <c r="I34" i="1" s="1"/>
  <c r="L34" i="1" s="1"/>
  <c r="J34" i="1" s="1"/>
  <c r="R15" i="12" l="1"/>
  <c r="R19" i="12" s="1" a="1"/>
  <c r="R19" i="12" s="1"/>
  <c r="Q18" i="12"/>
  <c r="Q17" i="12"/>
  <c r="K35" i="1"/>
  <c r="I35" i="1" s="1"/>
  <c r="L35" i="1" s="1"/>
  <c r="J35" i="1" s="1"/>
  <c r="H35" i="1"/>
  <c r="S15" i="12" l="1"/>
  <c r="S19" i="12" s="1" a="1"/>
  <c r="S19" i="12" s="1"/>
  <c r="R18" i="12"/>
  <c r="R17" i="12"/>
  <c r="K41" i="1"/>
  <c r="I41" i="1" s="1"/>
  <c r="L41" i="1" s="1"/>
  <c r="J41" i="1" s="1"/>
  <c r="H41" i="1"/>
  <c r="F42" i="1" s="1"/>
  <c r="K50" i="1"/>
  <c r="I50" i="1" s="1"/>
  <c r="L50" i="1" s="1"/>
  <c r="J50" i="1" s="1"/>
  <c r="H50" i="1"/>
  <c r="F51" i="1" s="1"/>
  <c r="K19" i="1"/>
  <c r="I19" i="1" s="1"/>
  <c r="L19" i="1" s="1"/>
  <c r="J19" i="1" s="1"/>
  <c r="H19" i="1"/>
  <c r="F20" i="1" s="1"/>
  <c r="T15" i="12" l="1"/>
  <c r="T19" i="12" s="1" a="1"/>
  <c r="T19" i="12" s="1"/>
  <c r="S17" i="12"/>
  <c r="S18" i="12"/>
  <c r="K51" i="1"/>
  <c r="I51" i="1" s="1"/>
  <c r="L51" i="1" s="1"/>
  <c r="J51" i="1" s="1"/>
  <c r="H51" i="1"/>
  <c r="F52" i="1" s="1"/>
  <c r="H20" i="1"/>
  <c r="F21" i="1" s="1"/>
  <c r="K20" i="1"/>
  <c r="I20" i="1" s="1"/>
  <c r="L20" i="1" s="1"/>
  <c r="J20" i="1" s="1"/>
  <c r="H42" i="1"/>
  <c r="F43" i="1" s="1"/>
  <c r="K42" i="1"/>
  <c r="I42" i="1" s="1"/>
  <c r="L42" i="1" s="1"/>
  <c r="J42" i="1" s="1"/>
  <c r="U15" i="12" l="1"/>
  <c r="T17" i="12"/>
  <c r="T18" i="12"/>
  <c r="H21" i="1"/>
  <c r="F22" i="1" s="1"/>
  <c r="K21" i="1"/>
  <c r="I21" i="1" s="1"/>
  <c r="L21" i="1" s="1"/>
  <c r="J21" i="1" s="1"/>
  <c r="H52" i="1"/>
  <c r="F53" i="1" s="1"/>
  <c r="K52" i="1"/>
  <c r="I52" i="1" s="1"/>
  <c r="L52" i="1" s="1"/>
  <c r="J52" i="1" s="1"/>
  <c r="K43" i="1"/>
  <c r="I43" i="1" s="1"/>
  <c r="L43" i="1" s="1"/>
  <c r="J43" i="1" s="1"/>
  <c r="H43" i="1"/>
  <c r="F44" i="1" s="1"/>
  <c r="V15" i="12" l="1"/>
  <c r="U18" i="12"/>
  <c r="U17" i="12"/>
  <c r="H53" i="1"/>
  <c r="F54" i="1" s="1"/>
  <c r="K53" i="1"/>
  <c r="I53" i="1" s="1"/>
  <c r="L53" i="1" s="1"/>
  <c r="J53" i="1" s="1"/>
  <c r="H44" i="1"/>
  <c r="K44" i="1"/>
  <c r="I44" i="1" s="1"/>
  <c r="L44" i="1" s="1"/>
  <c r="J44" i="1" s="1"/>
  <c r="H22" i="1"/>
  <c r="F23" i="1" s="1"/>
  <c r="K22" i="1"/>
  <c r="I22" i="1" s="1"/>
  <c r="L22" i="1" s="1"/>
  <c r="J22" i="1" s="1"/>
  <c r="W15" i="12" l="1"/>
  <c r="V17" i="12"/>
  <c r="V18" i="12"/>
  <c r="K23" i="1"/>
  <c r="I23" i="1" s="1"/>
  <c r="L23" i="1" s="1"/>
  <c r="J23" i="1" s="1"/>
  <c r="H23" i="1"/>
  <c r="F24" i="1" s="1"/>
  <c r="K54" i="1"/>
  <c r="I54" i="1" s="1"/>
  <c r="L54" i="1" s="1"/>
  <c r="J54" i="1" s="1"/>
  <c r="H54" i="1"/>
  <c r="F55" i="1" s="1"/>
  <c r="X15" i="12" l="1"/>
  <c r="W17" i="12"/>
  <c r="W18" i="12"/>
  <c r="K55" i="1"/>
  <c r="I55" i="1" s="1"/>
  <c r="L55" i="1" s="1"/>
  <c r="J55" i="1" s="1"/>
  <c r="H55" i="1"/>
  <c r="F56" i="1" s="1"/>
  <c r="H24" i="1"/>
  <c r="K24" i="1"/>
  <c r="I24" i="1" s="1"/>
  <c r="L24" i="1" s="1"/>
  <c r="J24" i="1" s="1"/>
  <c r="Y15" i="12" l="1"/>
  <c r="X17" i="12"/>
  <c r="X18" i="12"/>
  <c r="H25" i="1"/>
  <c r="K25" i="1"/>
  <c r="I25" i="1" s="1"/>
  <c r="L25" i="1" s="1"/>
  <c r="J25" i="1" s="1"/>
  <c r="K56" i="1"/>
  <c r="I56" i="1" s="1"/>
  <c r="L56" i="1" s="1"/>
  <c r="J56" i="1" s="1"/>
  <c r="H56" i="1"/>
  <c r="F57" i="1" s="1"/>
  <c r="Z15" i="12" l="1"/>
  <c r="Z19" i="12" s="1" a="1"/>
  <c r="Z19" i="12" s="1"/>
  <c r="Y18" i="12"/>
  <c r="Y17" i="12"/>
  <c r="H57" i="1"/>
  <c r="K57" i="1"/>
  <c r="I57" i="1" s="1"/>
  <c r="L57" i="1" s="1"/>
  <c r="J57" i="1" s="1"/>
  <c r="AA15" i="12" l="1"/>
  <c r="AA19" i="12" s="1" a="1"/>
  <c r="AA19" i="12" s="1"/>
  <c r="Z18" i="12"/>
  <c r="Z17" i="12"/>
  <c r="X15" i="1"/>
  <c r="X11" i="1"/>
  <c r="X14" i="1"/>
  <c r="X19" i="1"/>
  <c r="X13" i="1"/>
  <c r="X20" i="1"/>
  <c r="X18" i="1"/>
  <c r="X16" i="1"/>
  <c r="X12" i="1"/>
  <c r="X17" i="1"/>
  <c r="K58" i="1"/>
  <c r="I58" i="1" s="1"/>
  <c r="L58" i="1" s="1"/>
  <c r="J58" i="1" s="1"/>
  <c r="H58" i="1"/>
  <c r="L19" i="12" l="1" a="1"/>
  <c r="L19" i="12" s="1"/>
  <c r="F19" i="12" a="1"/>
  <c r="F19" i="12" s="1"/>
  <c r="O19" i="12" a="1"/>
  <c r="O19" i="12" s="1"/>
  <c r="U19" i="12" a="1"/>
  <c r="U19" i="12" s="1"/>
  <c r="X19" i="12" a="1"/>
  <c r="X19" i="12" s="1"/>
  <c r="AB15" i="12"/>
  <c r="AB19" i="12" s="1" a="1"/>
  <c r="AB19" i="12" s="1"/>
  <c r="AA17" i="12"/>
  <c r="AA18" i="12"/>
  <c r="Y14" i="1"/>
  <c r="Y19" i="1"/>
  <c r="Y20" i="1"/>
  <c r="Y12" i="1"/>
  <c r="Y16" i="1"/>
  <c r="AC16" i="1" s="1"/>
  <c r="Y17" i="1"/>
  <c r="Y13" i="1"/>
  <c r="Y15" i="1"/>
  <c r="Y18" i="1"/>
  <c r="Y11" i="1"/>
  <c r="V19" i="12" s="1" a="1"/>
  <c r="V19" i="12" s="1"/>
  <c r="AB19" i="1" l="1"/>
  <c r="AC19" i="1"/>
  <c r="AB15" i="1"/>
  <c r="AC15" i="1"/>
  <c r="AB12" i="1"/>
  <c r="AC12" i="1"/>
  <c r="AC11" i="1"/>
  <c r="N19" i="12" a="1"/>
  <c r="N19" i="12" s="1"/>
  <c r="G19" i="12" a="1"/>
  <c r="G19" i="12" s="1"/>
  <c r="E19" i="12" a="1"/>
  <c r="E19" i="12" s="1"/>
  <c r="P19" i="12" a="1"/>
  <c r="P19" i="12" s="1"/>
  <c r="W19" i="12" a="1"/>
  <c r="W19" i="12" s="1"/>
  <c r="Y19" i="12" a="1"/>
  <c r="Y19" i="12" s="1"/>
  <c r="AB17" i="1"/>
  <c r="AC17" i="1"/>
  <c r="AB18" i="1"/>
  <c r="AI3" i="1" s="1"/>
  <c r="AC18" i="1"/>
  <c r="AB14" i="1"/>
  <c r="AC14" i="1"/>
  <c r="D19" i="12" a="1"/>
  <c r="D19" i="12" s="1"/>
  <c r="AB13" i="1"/>
  <c r="AC13" i="1"/>
  <c r="AB20" i="1"/>
  <c r="AC20" i="1"/>
  <c r="AB11" i="1"/>
  <c r="AB16" i="1"/>
  <c r="AC15" i="12"/>
  <c r="AC19" i="12" s="1" a="1"/>
  <c r="AC19" i="12" s="1"/>
  <c r="AB17" i="12"/>
  <c r="AB18" i="12"/>
  <c r="AD15" i="12" l="1"/>
  <c r="AD19" i="12" s="1" a="1"/>
  <c r="AD19" i="12" s="1"/>
  <c r="AC18" i="12"/>
  <c r="AC17" i="12"/>
  <c r="AE15" i="12" l="1"/>
  <c r="AE19" i="12" s="1" a="1"/>
  <c r="AE19" i="12" s="1"/>
  <c r="AD18" i="12"/>
  <c r="AD17" i="12"/>
  <c r="AF15" i="12" l="1"/>
  <c r="AF19" i="12" s="1" a="1"/>
  <c r="AF19" i="12" s="1"/>
  <c r="AE17" i="12"/>
  <c r="AE18" i="12"/>
  <c r="AG15" i="12" l="1"/>
  <c r="AG19" i="12" s="1" a="1"/>
  <c r="AG19" i="12" s="1"/>
  <c r="AF17" i="12"/>
  <c r="AF18" i="12"/>
  <c r="AH15" i="12" l="1"/>
  <c r="AH19" i="12" s="1" a="1"/>
  <c r="AH19" i="12" s="1"/>
  <c r="AG18" i="12"/>
  <c r="AG17" i="12"/>
  <c r="AI19" i="12" l="1"/>
  <c r="AH18" i="12"/>
  <c r="AH17" i="12"/>
  <c r="AK19" i="12" l="1"/>
  <c r="AJ19" i="1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<sst xmlns="http://schemas.openxmlformats.org/spreadsheetml/2006/main" count="426" uniqueCount="300">
  <si>
    <t>Chantier</t>
  </si>
  <si>
    <t>N° Tâche</t>
  </si>
  <si>
    <t>Description</t>
  </si>
  <si>
    <t>Début</t>
  </si>
  <si>
    <t>Durée</t>
  </si>
  <si>
    <t>Fin</t>
  </si>
  <si>
    <t>Progression</t>
  </si>
  <si>
    <t>J. Achevés</t>
  </si>
  <si>
    <t>Responsable</t>
  </si>
  <si>
    <t>J. Restants</t>
  </si>
  <si>
    <t>teste</t>
  </si>
  <si>
    <t>N°</t>
  </si>
  <si>
    <t>Machines</t>
  </si>
  <si>
    <t>Machines + Véhicules</t>
  </si>
  <si>
    <t xml:space="preserve">N° C. </t>
  </si>
  <si>
    <t>Chantiers</t>
  </si>
  <si>
    <t>Responsables</t>
  </si>
  <si>
    <t>N° M.</t>
  </si>
  <si>
    <t>Pelle Mécanique 2,5t.</t>
  </si>
  <si>
    <t>Pelle Mécanique 4t.</t>
  </si>
  <si>
    <t>Tombereaux Chenille 500l.</t>
  </si>
  <si>
    <t>tombereaux Pneu 1000l.</t>
  </si>
  <si>
    <t>Camionette max 3,5t.</t>
  </si>
  <si>
    <t>camionette max 3,5t.</t>
  </si>
  <si>
    <t>Date de Début</t>
  </si>
  <si>
    <t>1.01</t>
  </si>
  <si>
    <t>2.01</t>
  </si>
  <si>
    <t>3.01</t>
  </si>
  <si>
    <t>4.01</t>
  </si>
  <si>
    <t>4.02</t>
  </si>
  <si>
    <t>4.03</t>
  </si>
  <si>
    <t>4.04</t>
  </si>
  <si>
    <t>5.01</t>
  </si>
  <si>
    <t>5.02</t>
  </si>
  <si>
    <t>5.03</t>
  </si>
  <si>
    <t>5.04</t>
  </si>
  <si>
    <t>5.05</t>
  </si>
  <si>
    <t>7.01</t>
  </si>
  <si>
    <t>7.02</t>
  </si>
  <si>
    <t>7.03</t>
  </si>
  <si>
    <t>6.01</t>
  </si>
  <si>
    <t>6.02</t>
  </si>
  <si>
    <t>6.03</t>
  </si>
  <si>
    <t>6.04</t>
  </si>
  <si>
    <t>6.05</t>
  </si>
  <si>
    <t>Jours feriés</t>
  </si>
  <si>
    <t>Date:</t>
  </si>
  <si>
    <t>Nom</t>
  </si>
  <si>
    <t>noel</t>
  </si>
  <si>
    <t>veille de l'an</t>
  </si>
  <si>
    <t>jour de l'an</t>
  </si>
  <si>
    <t>vendrdi saint</t>
  </si>
  <si>
    <t>lundi de pâques</t>
  </si>
  <si>
    <t>ascension</t>
  </si>
  <si>
    <t>pont</t>
  </si>
  <si>
    <t>fete national</t>
  </si>
  <si>
    <t>jeune genevois</t>
  </si>
  <si>
    <t>pantecote</t>
  </si>
  <si>
    <t>réf.</t>
  </si>
  <si>
    <t>Réf.</t>
  </si>
  <si>
    <t>Symbol</t>
  </si>
  <si>
    <t>O</t>
  </si>
  <si>
    <t>Start</t>
  </si>
  <si>
    <t>Stop</t>
  </si>
  <si>
    <t>Occuppé</t>
  </si>
  <si>
    <t>Disponible</t>
  </si>
  <si>
    <t>NB-J-M</t>
  </si>
  <si>
    <t>Durée prévu</t>
  </si>
  <si>
    <t>durée effectué</t>
  </si>
  <si>
    <t>novembre</t>
  </si>
  <si>
    <t>L</t>
  </si>
  <si>
    <t>Tgofhe</t>
  </si>
  <si>
    <t>Urfasu</t>
  </si>
  <si>
    <t>Pfheqt</t>
  </si>
  <si>
    <t>Lhrnyp</t>
  </si>
  <si>
    <t>Srpcuf</t>
  </si>
  <si>
    <t>Xssusd</t>
  </si>
  <si>
    <t>Kpvtbp</t>
  </si>
  <si>
    <t>Lhoalb</t>
  </si>
  <si>
    <t>Ghqkpg</t>
  </si>
  <si>
    <t>Rvtsfa</t>
  </si>
  <si>
    <t>Xmdynf</t>
  </si>
  <si>
    <t>Kxvfdx</t>
  </si>
  <si>
    <t>Vxazait</t>
  </si>
  <si>
    <t>Aappek</t>
  </si>
  <si>
    <t>Ikifoqc</t>
  </si>
  <si>
    <t>Oeqybj</t>
  </si>
  <si>
    <t>Ouqvffm</t>
  </si>
  <si>
    <t>Npmfrc</t>
  </si>
  <si>
    <t>Ewxqdq</t>
  </si>
  <si>
    <t>Ajdjsp</t>
  </si>
  <si>
    <t>Atliyl</t>
  </si>
  <si>
    <t>Iboczj</t>
  </si>
  <si>
    <t>Keozrm</t>
  </si>
  <si>
    <t>Ijvfpt</t>
  </si>
  <si>
    <t>Xcenok</t>
  </si>
  <si>
    <t>Rkpsow</t>
  </si>
  <si>
    <t>Yekznj</t>
  </si>
  <si>
    <t>Wodhyg</t>
  </si>
  <si>
    <t>Mxnmfs</t>
  </si>
  <si>
    <t>Weicjj</t>
  </si>
  <si>
    <t>Xmnfga</t>
  </si>
  <si>
    <t>Tqvmus</t>
  </si>
  <si>
    <t>Eizusa</t>
  </si>
  <si>
    <t>Hdggbl</t>
  </si>
  <si>
    <t>Befqov</t>
  </si>
  <si>
    <t>Tridzd</t>
  </si>
  <si>
    <t>Orwbvo</t>
  </si>
  <si>
    <t>Kfbzhv</t>
  </si>
  <si>
    <t>Dophba</t>
  </si>
  <si>
    <t>Wjaxkm</t>
  </si>
  <si>
    <t>Pyastxr</t>
  </si>
  <si>
    <t>Suqefp</t>
  </si>
  <si>
    <t>Ojmjym</t>
  </si>
  <si>
    <t>Swmtov</t>
  </si>
  <si>
    <t>Tetyxp</t>
  </si>
  <si>
    <t>Pflgvu</t>
  </si>
  <si>
    <t>Htxzdp</t>
  </si>
  <si>
    <t>Hdimfj</t>
  </si>
  <si>
    <t>Hirldz</t>
  </si>
  <si>
    <t>Kmfvzm</t>
  </si>
  <si>
    <t>Ziehgx</t>
  </si>
  <si>
    <t>Henbkj</t>
  </si>
  <si>
    <t>Axmust</t>
  </si>
  <si>
    <t>Pazdeh</t>
  </si>
  <si>
    <t>Yjfnzk</t>
  </si>
  <si>
    <t>Kxtgvn</t>
  </si>
  <si>
    <t>Vwtozi</t>
  </si>
  <si>
    <t>Iwytuv</t>
  </si>
  <si>
    <t>Pvbnkq</t>
  </si>
  <si>
    <t>Jexfho</t>
  </si>
  <si>
    <t>Aejzgl</t>
  </si>
  <si>
    <t>Nqmgtb</t>
  </si>
  <si>
    <t>Okwqvg</t>
  </si>
  <si>
    <t>Hgkqzd</t>
  </si>
  <si>
    <t>Xgyqpy</t>
  </si>
  <si>
    <t>Ighfpz</t>
  </si>
  <si>
    <t>Hzjbtx</t>
  </si>
  <si>
    <t>Yizsar</t>
  </si>
  <si>
    <t>Vhtjkf</t>
  </si>
  <si>
    <t>Huxdtn</t>
  </si>
  <si>
    <t>Vhubgc</t>
  </si>
  <si>
    <t>Anecnp</t>
  </si>
  <si>
    <t>Aagpwk</t>
  </si>
  <si>
    <t>Sdlgpv</t>
  </si>
  <si>
    <t>Dinucex</t>
  </si>
  <si>
    <t>Vyomgb</t>
  </si>
  <si>
    <t>Qrpqlba</t>
  </si>
  <si>
    <t>Pwtvmc</t>
  </si>
  <si>
    <t>Eeoatqt</t>
  </si>
  <si>
    <t>Vveqoc</t>
  </si>
  <si>
    <t>Qpqealo</t>
  </si>
  <si>
    <t>Awrljq</t>
  </si>
  <si>
    <t>Gdigsz</t>
  </si>
  <si>
    <t>Aaakobeqnf</t>
  </si>
  <si>
    <t>Qtysec</t>
  </si>
  <si>
    <t>Ymaearobqc</t>
  </si>
  <si>
    <t>Togsim</t>
  </si>
  <si>
    <t>Etcosa</t>
  </si>
  <si>
    <t>Eonzne</t>
  </si>
  <si>
    <t>Dhexzs</t>
  </si>
  <si>
    <t>Wxsqbt</t>
  </si>
  <si>
    <t>Vqtlzj</t>
  </si>
  <si>
    <t>Bxbmqw</t>
  </si>
  <si>
    <t>Slhmob</t>
  </si>
  <si>
    <t>Ngcjcm</t>
  </si>
  <si>
    <t>Mtkzpf</t>
  </si>
  <si>
    <t>Poxxoc</t>
  </si>
  <si>
    <t>Zahntw</t>
  </si>
  <si>
    <t>Xsrung</t>
  </si>
  <si>
    <t>Qfpife</t>
  </si>
  <si>
    <t>Qqimbm</t>
  </si>
  <si>
    <t>Rlcsrb</t>
  </si>
  <si>
    <t>Dwldmf</t>
  </si>
  <si>
    <t>Hjbrit</t>
  </si>
  <si>
    <t>Kgwgmp</t>
  </si>
  <si>
    <t>Atrkyi</t>
  </si>
  <si>
    <t>Xtutpx</t>
  </si>
  <si>
    <t>Vyxlrbojip</t>
  </si>
  <si>
    <t>Oeqtem</t>
  </si>
  <si>
    <t>Aayjmnbpfb</t>
  </si>
  <si>
    <t>Xvljyx</t>
  </si>
  <si>
    <t>Hmfzjxyvif</t>
  </si>
  <si>
    <t>Acmcmb</t>
  </si>
  <si>
    <t>Iuqvxomgct</t>
  </si>
  <si>
    <t>Rnebdb</t>
  </si>
  <si>
    <t>Aeixll</t>
  </si>
  <si>
    <t>Qdpcfp</t>
  </si>
  <si>
    <t>Fjwsfl</t>
  </si>
  <si>
    <t>Xpwrjq</t>
  </si>
  <si>
    <t>Pucdvx</t>
  </si>
  <si>
    <t>Rvaerd</t>
  </si>
  <si>
    <t>Bcuzsk</t>
  </si>
  <si>
    <t>Emzuyc</t>
  </si>
  <si>
    <t>Ppwshn</t>
  </si>
  <si>
    <t>Dinccp</t>
  </si>
  <si>
    <t>Wymclb</t>
  </si>
  <si>
    <t>Nktkpd</t>
  </si>
  <si>
    <t>Dzkjchahsm</t>
  </si>
  <si>
    <t>Izjfzj</t>
  </si>
  <si>
    <t>Exzagsyafk</t>
  </si>
  <si>
    <t>Mjyfzk</t>
  </si>
  <si>
    <t>Lllydf</t>
  </si>
  <si>
    <t>Eahvvc</t>
  </si>
  <si>
    <t>Eafyzf</t>
  </si>
  <si>
    <t>Gnfrax</t>
  </si>
  <si>
    <t>Tcvvbx</t>
  </si>
  <si>
    <t>Bsapyg</t>
  </si>
  <si>
    <t>Rpuujd</t>
  </si>
  <si>
    <t>Cnwhle</t>
  </si>
  <si>
    <t>Xfztqk</t>
  </si>
  <si>
    <t>Wwythk</t>
  </si>
  <si>
    <t>Kezsrv</t>
  </si>
  <si>
    <t>Ucxxkw</t>
  </si>
  <si>
    <t>Xszqyq</t>
  </si>
  <si>
    <t>Mrtcel</t>
  </si>
  <si>
    <t>Freahffgni</t>
  </si>
  <si>
    <t>Bcbeac</t>
  </si>
  <si>
    <t>Hjznwqxhgr</t>
  </si>
  <si>
    <t>Czjflx</t>
  </si>
  <si>
    <t>Zgfstfumrd</t>
  </si>
  <si>
    <t>Otezne</t>
  </si>
  <si>
    <t>Bkyqpc</t>
  </si>
  <si>
    <t>Wufxif</t>
  </si>
  <si>
    <t>Pfvnie</t>
  </si>
  <si>
    <t>Ibmeuw</t>
  </si>
  <si>
    <t>Hmgebn</t>
  </si>
  <si>
    <t>Ptzzvo</t>
  </si>
  <si>
    <t>Yahsqc</t>
  </si>
  <si>
    <t>Uibuat</t>
  </si>
  <si>
    <t>Lhmoie</t>
  </si>
  <si>
    <t>Xkszrw</t>
  </si>
  <si>
    <t>Myqeoh</t>
  </si>
  <si>
    <t>Iggoun</t>
  </si>
  <si>
    <t>Xzdavs</t>
  </si>
  <si>
    <t>Cejlof</t>
  </si>
  <si>
    <t>Eivuao</t>
  </si>
  <si>
    <t>Scnpwj</t>
  </si>
  <si>
    <t>Mgdyqr</t>
  </si>
  <si>
    <t>Dvaxci</t>
  </si>
  <si>
    <t>Ptlach</t>
  </si>
  <si>
    <t>Lkobtg</t>
  </si>
  <si>
    <t>Shaobo</t>
  </si>
  <si>
    <t>Jkemjbrgaoi</t>
  </si>
  <si>
    <t>Frgjfhbhdzf</t>
  </si>
  <si>
    <t>Snycayxsw</t>
  </si>
  <si>
    <t>Osybeauglueff + Evgnsponfojg</t>
  </si>
  <si>
    <t>Ecl + Pnnpnitg</t>
  </si>
  <si>
    <t>Ylnictcbmwz</t>
  </si>
  <si>
    <t>Mdzzdcjturx</t>
  </si>
  <si>
    <t>Ugvvbzuuf + Dkboagqdm</t>
  </si>
  <si>
    <t>Kpkhwcgoqsp</t>
  </si>
  <si>
    <t>Zudqhvsu</t>
  </si>
  <si>
    <t>Uedneilroxq</t>
  </si>
  <si>
    <t>Klktrrlzg + Pmchsdybm</t>
  </si>
  <si>
    <t>Fbomewml fzz Lolwpi Hbjj</t>
  </si>
  <si>
    <t>Fzxgbmsq Qblaomzeh Tonpgh</t>
  </si>
  <si>
    <t>Syoyohhbuucu Pbhmgldd</t>
  </si>
  <si>
    <t>Cxjcjmr fmkxxcoivzqs</t>
  </si>
  <si>
    <t>Wobbxhrrcycv</t>
  </si>
  <si>
    <t>Ibqqvpzvje + Nwhwxvnobyjus</t>
  </si>
  <si>
    <t>Tmwqd X.2 + Zlbkfzjmy Ugwjtm Gtzz</t>
  </si>
  <si>
    <t>Fevnnusdacrh Kzkqhx Uhzv</t>
  </si>
  <si>
    <t>Kgrwraictnj + Hshxfjxv</t>
  </si>
  <si>
    <t>Ukierccnlqa</t>
  </si>
  <si>
    <t>Zlcybvchf + Splrijmng</t>
  </si>
  <si>
    <t>Zbwwldjwdsixx (Nq fwysy)</t>
  </si>
  <si>
    <t>Myawpgis Zpbcfk atcjhy</t>
  </si>
  <si>
    <t>Wophizod Gwathtioq</t>
  </si>
  <si>
    <t>Bkwxiycz Igrp + Wjirtw</t>
  </si>
  <si>
    <t>Bztfcqkw Ljxyndnk Mwpxh</t>
  </si>
  <si>
    <t>Kwjbqnxlayrz Tihsmfwu + F.1</t>
  </si>
  <si>
    <t>Cpqqlbuian gt tafrps + Q.6</t>
  </si>
  <si>
    <t>Wezbojobxtdh</t>
  </si>
  <si>
    <t>Sskdzdrccej</t>
  </si>
  <si>
    <t>Aqsvimfosil Kgqs + Etjeo</t>
  </si>
  <si>
    <t>Kplzjzake + Opruboaoz</t>
  </si>
  <si>
    <t>Wuqfxdhs Ezfybeanm</t>
  </si>
  <si>
    <t>Lujxfjft Aowsahrtd Xpcgdx</t>
  </si>
  <si>
    <t>Eqyqjjwttgff Dnpfocsx</t>
  </si>
  <si>
    <t>Qichobjhxpb</t>
  </si>
  <si>
    <t>Kxhbbwcdx Kdxebykt Bxgq.</t>
  </si>
  <si>
    <t>Zpiqhhxfqtez Znkfypzv</t>
  </si>
  <si>
    <t>Hbdobwmj + Clqodaaggfrw</t>
  </si>
  <si>
    <t>Ebyzkqylhve</t>
  </si>
  <si>
    <t>Rbnywsczo + Usoqsftot</t>
  </si>
  <si>
    <t>Gjtohzrr Prlshlehprem + Rqugunet</t>
  </si>
  <si>
    <t>Aoldsbkv Ujpgpqhay Oitcvj</t>
  </si>
  <si>
    <t>Brgiejor Ohlpxxrrhj Cwbvyloppnj</t>
  </si>
  <si>
    <t>Tbkzcivdlkor Qxnhocqz</t>
  </si>
  <si>
    <t>Ctzlwddoenjk</t>
  </si>
  <si>
    <t>Guljrfycehsf Wubsfuq Olltcwlouf</t>
  </si>
  <si>
    <t>Pqqn Nhneh FYWX</t>
  </si>
  <si>
    <t>Vupre. Nqstvtkyewih + Fpgggsws + N0</t>
  </si>
  <si>
    <t>Byjsdhiwwwrl +Xexjfynn</t>
  </si>
  <si>
    <t>Czrgtnuwcpal Vzjbcrymurg + Vyh H.6</t>
  </si>
  <si>
    <t>Eslluuacfom</t>
  </si>
  <si>
    <t>Oeqtvrfffo ns guehefr</t>
  </si>
  <si>
    <t>Wjvcmelyb + Slqhucscg</t>
  </si>
  <si>
    <t>Fpisr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</si>
</sst>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;[Red]0"/>
    <numFmt numFmtId="165" formatCode="dd\.mm\.yy;@"/>
    <numFmt numFmtId="167" formatCode="ddd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4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2">
    <xf numFmtId="0" fontId="0" fillId="0" borderId="0" xfId="0"/>
    <xf numFmtId="9" fontId="0" fillId="0" borderId="0" xfId="1" applyFont="1"/>
    <xf numFmtId="14" fontId="0" fillId="0" borderId="0" xfId="0" applyNumberFormat="1"/>
    <xf numFmtId="1" fontId="0" fillId="0" borderId="0" xfId="0" applyNumberFormat="1"/>
    <xf numFmtId="14" fontId="0" fillId="0" borderId="0" xfId="0" applyNumberFormat="1" applyProtection="1">
      <protection hidden="1"/>
    </xf>
    <xf numFmtId="1" fontId="0" fillId="0" borderId="0" xfId="0" quotePrefix="1" applyNumberFormat="1" applyAlignment="1">
      <alignment horizontal="right"/>
    </xf>
    <xf numFmtId="9" fontId="0" fillId="0" borderId="0" xfId="1" applyNumberFormat="1" applyFont="1"/>
    <xf numFmtId="0" fontId="0" fillId="0" borderId="0" xfId="0" applyAlignment="1">
      <alignment horizontal="left"/>
    </xf>
    <xf numFmtId="165" fontId="0" fillId="0" borderId="0" xfId="0" applyNumberFormat="1"/>
    <xf numFmtId="165" fontId="0" fillId="0" borderId="0" xfId="0" applyNumberFormat="1" applyProtection="1">
      <protection hidden="1"/>
    </xf>
    <xf numFmtId="164" fontId="2" fillId="0" borderId="0" xfId="0" applyNumberFormat="1" applyFont="1"/>
    <xf numFmtId="165" fontId="0" fillId="0" borderId="0" xfId="0" applyNumberFormat="1" applyAlignment="1">
      <alignment textRotation="90"/>
    </xf>
    <xf numFmtId="14" fontId="0" fillId="0" borderId="0" xfId="0" applyNumberFormat="1" applyAlignment="1">
      <alignment textRotation="90"/>
    </xf>
    <xf numFmtId="0" fontId="0" fillId="0" borderId="0" xfId="0" quotePrefix="1"/>
    <xf numFmtId="1" fontId="0" fillId="0" borderId="0" xfId="0" quotePrefix="1" applyNumberFormat="1"/>
    <xf numFmtId="16" fontId="0" fillId="0" borderId="0" xfId="0" quotePrefix="1" applyNumberFormat="1"/>
    <xf numFmtId="0" fontId="0" fillId="0" borderId="0" xfId="0" quotePrefix="1" applyAlignment="1">
      <alignment horizontal="left"/>
    </xf>
    <xf numFmtId="16" fontId="0" fillId="0" borderId="0" xfId="0" quotePrefix="1" applyNumberFormat="1" applyAlignment="1">
      <alignment horizontal="left"/>
    </xf>
    <xf numFmtId="0" fontId="0" fillId="0" borderId="1" xfId="0" applyBorder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7" fontId="0" fillId="0" borderId="5" xfId="0" applyNumberFormat="1" applyBorder="1" applyAlignment="1">
      <alignment horizontal="center" vertical="center"/>
    </xf>
    <xf numFmtId="167" fontId="0" fillId="0" borderId="6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2" borderId="0" xfId="0" applyFill="1"/>
    <xf numFmtId="0" fontId="2" fillId="3" borderId="0" xfId="0" applyFont="1" applyFill="1"/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/>
    <xf numFmtId="0" fontId="6" fillId="4" borderId="0" xfId="0" applyFont="1" applyFill="1" applyAlignment="1">
      <alignment horizontal="center" vertical="center"/>
    </xf>
    <xf numFmtId="0" fontId="5" fillId="4" borderId="0" xfId="0" applyFont="1" applyFill="1" applyAlignment="1">
      <alignment horizontal="center"/>
    </xf>
    <xf numFmtId="0" fontId="6" fillId="4" borderId="0" xfId="0" applyFont="1" applyFill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17">
    <dxf>
      <fill>
        <patternFill>
          <bgColor theme="0" tint="-0.499984740745262"/>
        </patternFill>
      </fill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65" formatCode="dd\.mm\.yy;@"/>
    </dxf>
    <dxf>
      <numFmt numFmtId="165" formatCode="dd\.mm\.yy;@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" formatCode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</dxf>
    <dxf>
      <numFmt numFmtId="1" formatCode="0"/>
    </dxf>
    <dxf>
      <numFmt numFmtId="165" formatCode="dd\.mm\.yy;@"/>
      <protection locked="1" hidden="1"/>
    </dxf>
    <dxf>
      <numFmt numFmtId="1" formatCode="0"/>
    </dxf>
    <dxf>
      <numFmt numFmtId="165" formatCode="dd\.mm\.yy;@"/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20877</xdr:colOff>
      <xdr:row>0</xdr:row>
      <xdr:rowOff>31317</xdr:rowOff>
    </xdr:from>
    <xdr:to>
      <xdr:col>12</xdr:col>
      <xdr:colOff>93945</xdr:colOff>
      <xdr:row>2</xdr:row>
      <xdr:rowOff>177454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1BB4C9F7-F3AE-4A00-8A81-9D126813251E}"/>
            </a:ext>
          </a:extLst>
        </xdr:cNvPr>
        <xdr:cNvSpPr/>
      </xdr:nvSpPr>
      <xdr:spPr>
        <a:xfrm>
          <a:off x="302713" y="31317"/>
          <a:ext cx="5104355" cy="521918"/>
        </a:xfrm>
        <a:prstGeom prst="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2800" b="1">
              <a:solidFill>
                <a:schemeClr val="tx1"/>
              </a:solidFill>
            </a:rPr>
            <a:t>Fiche Machine personnalisé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L58" totalsRowShown="0">
  <autoFilter ref="A1:L58" xr:uid="{00000000-0009-0000-0100-000002000000}"/>
  <tableColumns count="12">
    <tableColumn id="12" xr3:uid="{00000000-0010-0000-0000-00000C000000}" name="N°"/>
    <tableColumn id="1" xr3:uid="{00000000-0010-0000-0000-000001000000}" name="Chantier"/>
    <tableColumn id="2" xr3:uid="{00000000-0010-0000-0000-000002000000}" name="Responsable"/>
    <tableColumn id="3" xr3:uid="{00000000-0010-0000-0000-000003000000}" name="N° Tâche" dataDxfId="16"/>
    <tableColumn id="4" xr3:uid="{00000000-0010-0000-0000-000004000000}" name="Description"/>
    <tableColumn id="5" xr3:uid="{00000000-0010-0000-0000-000005000000}" name="Début" dataDxfId="15">
      <calculatedColumnFormula>IF(A1=A2,WORKDAY.INTL(H1,1),VLOOKUP(A2,N$2:P$28,3))</calculatedColumnFormula>
    </tableColumn>
    <tableColumn id="6" xr3:uid="{00000000-0010-0000-0000-000006000000}" name="Durée" dataDxfId="14"/>
    <tableColumn id="7" xr3:uid="{00000000-0010-0000-0000-000007000000}" name="Fin" dataDxfId="13">
      <calculatedColumnFormula>WORKDAY(Tableau2[[#This Row],[Début]],Tableau2[[#This Row],[Durée]]-1)</calculatedColumnFormula>
    </tableColumn>
    <tableColumn id="8" xr3:uid="{00000000-0010-0000-0000-000008000000}" name="J. Restants" dataDxfId="12">
      <calculatedColumnFormula>MAX(Tableau2[[#This Row],[teste]],0)</calculatedColumnFormula>
    </tableColumn>
    <tableColumn id="9" xr3:uid="{00000000-0010-0000-0000-000009000000}" name="Progression" dataDxfId="11" dataCellStyle="Pourcentage">
      <calculatedColumnFormula>Tableau2[[#This Row],[J. Achevés]]/Tableau2[[#This Row],[Durée]]</calculatedColumnFormula>
    </tableColumn>
    <tableColumn id="10" xr3:uid="{00000000-0010-0000-0000-00000A000000}" name="teste" dataDxfId="10">
      <calculatedColumnFormula>IF(OR(TODAY()=Tableau2[[#This Row],[Début]],TODAY()&lt;Tableau2[[#This Row],[Début]]),Tableau2[[#This Row],[Durée]],Tableau2[[#This Row],[Durée]]-NETWORKDAYS(Tableau2[[#This Row],[Début]],TODAY())+1)</calculatedColumnFormula>
    </tableColumn>
    <tableColumn id="11" xr3:uid="{00000000-0010-0000-0000-00000B000000}" name="J. Achevés" dataDxfId="9">
      <calculatedColumnFormula>IF(Tableau2[[#This Row],[J. Restants]]=0,Tableau2[[#This Row],[Durée]],Tableau2[[#This Row],[Durée]]-Tableau2[[#This Row],[J. Restants]])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650FB78-9948-4FA3-A7FF-8C47E88E6875}" name="Tableau14" displayName="Tableau14" ref="S1:AC20" totalsRowShown="0">
  <autoFilter ref="S1:AC20" xr:uid="{CB984C96-48D1-4C9E-B6A3-AA6D69E9A73C}"/>
  <tableColumns count="11">
    <tableColumn id="1" xr3:uid="{4F5DF5F4-35B2-4BA4-B605-2A8F32CBA8D9}" name="N° C. " dataDxfId="8"/>
    <tableColumn id="2" xr3:uid="{C8CF1C89-B52A-470C-A358-73BD5B751F81}" name="Chantiers"/>
    <tableColumn id="3" xr3:uid="{87AF365D-7CDE-42FE-8ACD-94CD73E99887}" name="Responsables" dataDxfId="7"/>
    <tableColumn id="4" xr3:uid="{8D929055-3349-400F-A6B9-376801B42956}" name="Machines"/>
    <tableColumn id="5" xr3:uid="{B5755D95-95A7-459D-A1F2-BC822943339B}" name="N° M."/>
    <tableColumn id="6" xr3:uid="{24BF936A-2673-47A8-AD96-F86DADB2A497}" name="Début" dataDxfId="6">
      <calculatedColumnFormula>_xlfn.MINIFS(F$2:F$86,A$2:A$86,S2)</calculatedColumnFormula>
    </tableColumn>
    <tableColumn id="7" xr3:uid="{1DD64F9E-BA69-48FA-B47E-E593B0C0E126}" name="Fin" dataDxfId="5">
      <calculatedColumnFormula>_xlfn.MAXIFS(H$2:H$87,A$2:A$87,S2)</calculatedColumnFormula>
    </tableColumn>
    <tableColumn id="8" xr3:uid="{D739C955-0B12-41FC-80D7-900B4D3175FD}" name="Réf." dataDxfId="4"/>
    <tableColumn id="9" xr3:uid="{AF99A290-60E1-470F-8C08-F89384FCED50}" name="Symbol" dataDxfId="3"/>
    <tableColumn id="10" xr3:uid="{9C0EEAAB-2019-4727-89C9-1267563B15C0}" name="Durée prévu" dataDxfId="2">
      <calculatedColumnFormula>NETWORKDAYS(X2,Y2,'Jours feriés'!$A$5:$A$23)</calculatedColumnFormula>
    </tableColumn>
    <tableColumn id="11" xr3:uid="{A16DBD55-3913-4156-9BD9-09AA51769F90}" name="durée effectué" dataDxfId="1">
      <calculatedColumnFormula>IF(Tableau14[[#This Row],[Fin]]&lt;TODAY(),Tableau14[[#This Row],[Durée prévu]],IF(Tableau14[[#This Row],[Début]]&gt;TODAY(),0,NETWORKDAYS(Tableau14[[#This Row],[Début]],TODAY(),'Jours feriés'!$A$5:$A$23)))</calculatedColumnFormula>
    </tableColumn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I69"/>
  <sheetViews>
    <sheetView tabSelected="1" topLeftCell="H1" zoomScale="97" zoomScaleNormal="97" workbookViewId="0">
      <selection activeCell="AC20" sqref="AC20"/>
    </sheetView>
  </sheetViews>
  <sheetFormatPr baseColWidth="10" defaultRowHeight="14.4" x14ac:dyDescent="0.3"/>
  <cols>
    <col min="1" max="1" width="8" customWidth="1"/>
    <col min="2" max="2" width="10.33203125" bestFit="1" customWidth="1"/>
    <col min="3" max="3" width="13.77734375" bestFit="1" customWidth="1"/>
    <col min="4" max="4" width="10.6640625" bestFit="1" customWidth="1"/>
    <col min="5" max="5" width="31.44140625" bestFit="1" customWidth="1"/>
    <col min="6" max="6" width="8.33203125" bestFit="1" customWidth="1"/>
    <col min="7" max="7" width="8.21875" bestFit="1" customWidth="1"/>
    <col min="8" max="8" width="8.109375" bestFit="1" customWidth="1"/>
    <col min="9" max="9" width="12" bestFit="1" customWidth="1"/>
    <col min="10" max="10" width="13" bestFit="1" customWidth="1"/>
    <col min="11" max="11" width="7.33203125" bestFit="1" customWidth="1"/>
    <col min="12" max="12" width="11.88671875" bestFit="1" customWidth="1"/>
    <col min="13" max="13" width="11.88671875" customWidth="1"/>
    <col min="14" max="14" width="6.88671875" customWidth="1"/>
    <col min="15" max="15" width="11.88671875" customWidth="1"/>
    <col min="16" max="16" width="12.77734375" style="2" bestFit="1" customWidth="1"/>
    <col min="22" max="22" width="23.44140625" bestFit="1" customWidth="1"/>
    <col min="23" max="23" width="8.21875" bestFit="1" customWidth="1"/>
    <col min="24" max="24" width="8.33203125" bestFit="1" customWidth="1"/>
    <col min="26" max="26" width="11.5546875" style="3"/>
    <col min="27" max="27" width="6.77734375" style="3" customWidth="1"/>
    <col min="28" max="28" width="12.109375" style="3" customWidth="1"/>
    <col min="29" max="29" width="14.77734375" style="3" customWidth="1"/>
    <col min="31" max="31" width="3.109375" bestFit="1" customWidth="1"/>
    <col min="32" max="32" width="23.44140625" bestFit="1" customWidth="1"/>
  </cols>
  <sheetData>
    <row r="1" spans="1:35" x14ac:dyDescent="0.3">
      <c r="A1" t="s">
        <v>11</v>
      </c>
      <c r="B1" t="s">
        <v>0</v>
      </c>
      <c r="C1" t="s">
        <v>8</v>
      </c>
      <c r="D1" s="3" t="s">
        <v>1</v>
      </c>
      <c r="E1" t="s">
        <v>2</v>
      </c>
      <c r="F1" s="2" t="s">
        <v>3</v>
      </c>
      <c r="G1" s="3" t="s">
        <v>4</v>
      </c>
      <c r="H1" s="4" t="s">
        <v>5</v>
      </c>
      <c r="I1" s="10" t="s">
        <v>9</v>
      </c>
      <c r="J1" s="1" t="s">
        <v>6</v>
      </c>
      <c r="K1" t="s">
        <v>10</v>
      </c>
      <c r="L1" t="s">
        <v>7</v>
      </c>
      <c r="N1" t="s">
        <v>11</v>
      </c>
      <c r="O1" t="s">
        <v>0</v>
      </c>
      <c r="P1" s="2" t="s">
        <v>24</v>
      </c>
      <c r="S1" s="7" t="s">
        <v>14</v>
      </c>
      <c r="T1" t="s">
        <v>15</v>
      </c>
      <c r="U1" s="7" t="s">
        <v>16</v>
      </c>
      <c r="V1" t="s">
        <v>12</v>
      </c>
      <c r="W1" t="s">
        <v>17</v>
      </c>
      <c r="X1" s="2" t="s">
        <v>3</v>
      </c>
      <c r="Y1" s="2" t="s">
        <v>5</v>
      </c>
      <c r="Z1" s="3" t="s">
        <v>59</v>
      </c>
      <c r="AA1" s="3" t="s">
        <v>60</v>
      </c>
      <c r="AB1" s="3" t="s">
        <v>67</v>
      </c>
      <c r="AC1" s="3" t="s">
        <v>68</v>
      </c>
      <c r="AE1" s="7" t="s">
        <v>11</v>
      </c>
      <c r="AF1" t="s">
        <v>13</v>
      </c>
      <c r="AG1" t="s">
        <v>58</v>
      </c>
    </row>
    <row r="2" spans="1:35" x14ac:dyDescent="0.3">
      <c r="A2" s="13" t="s">
        <v>25</v>
      </c>
      <c r="B2" t="s">
        <v>129</v>
      </c>
      <c r="C2" t="s">
        <v>130</v>
      </c>
      <c r="D2" s="3">
        <v>1</v>
      </c>
      <c r="E2" t="s">
        <v>243</v>
      </c>
      <c r="F2" s="8">
        <f>IF(A1=A2,WORKDAY.INTL(H1,1),VLOOKUP(A2,N$2:P$28,3))</f>
        <v>44137</v>
      </c>
      <c r="G2" s="3">
        <v>4</v>
      </c>
      <c r="H2" s="9">
        <f>WORKDAY(Tableau2[[#This Row],[Début]],Tableau2[[#This Row],[Durée]]-1)</f>
        <v>44140</v>
      </c>
      <c r="I2" s="3">
        <f ca="1">MAX(Tableau2[[#This Row],[teste]],0)</f>
        <v>0</v>
      </c>
      <c r="J2" s="6">
        <f ca="1">Tableau2[[#This Row],[J. Achevés]]/Tableau2[[#This Row],[Durée]]</f>
        <v>1</v>
      </c>
      <c r="K2">
        <f ca="1">IF(OR(TODAY()=Tableau2[[#This Row],[Début]],TODAY()&lt;Tableau2[[#This Row],[Début]]),Tableau2[[#This Row],[Durée]],Tableau2[[#This Row],[Durée]]-NETWORKDAYS(Tableau2[[#This Row],[Début]],TODAY())+1)</f>
        <v>-8</v>
      </c>
      <c r="L2" s="3">
        <f ca="1">IF(Tableau2[[#This Row],[J. Restants]]=0,Tableau2[[#This Row],[Durée]],Tableau2[[#This Row],[Durée]]-Tableau2[[#This Row],[J. Restants]])</f>
        <v>4</v>
      </c>
      <c r="M2" s="3"/>
      <c r="N2" s="14" t="s">
        <v>25</v>
      </c>
      <c r="O2" s="3" t="s">
        <v>109</v>
      </c>
      <c r="P2" s="2">
        <v>44137</v>
      </c>
      <c r="S2" s="16" t="s">
        <v>25</v>
      </c>
      <c r="T2" t="s">
        <v>71</v>
      </c>
      <c r="U2" s="7" t="s">
        <v>72</v>
      </c>
      <c r="V2" t="s">
        <v>18</v>
      </c>
      <c r="W2">
        <v>1</v>
      </c>
      <c r="X2" s="8">
        <f>_xlfn.MINIFS(F$2:F$86,A$2:A$86,S2)</f>
        <v>44137</v>
      </c>
      <c r="Y2" s="8">
        <f>_xlfn.MAXIFS(H$2:H$87,A$2:A$87,S2)</f>
        <v>44145</v>
      </c>
      <c r="Z2" s="3">
        <v>1</v>
      </c>
      <c r="AA2" s="3" t="s">
        <v>61</v>
      </c>
      <c r="AB2" s="3">
        <f>NETWORKDAYS(X2,Y2,'Jours feriés'!$A$5:$A$23)</f>
        <v>7</v>
      </c>
      <c r="AC2" s="3">
        <f ca="1">IF(Tableau14[[#This Row],[Fin]]&lt;TODAY(),Tableau14[[#This Row],[Durée prévu]],IF(Tableau14[[#This Row],[Début]]&gt;TODAY(),0,NETWORKDAYS(Tableau14[[#This Row],[Début]],TODAY(),'Jours feriés'!$A$5:$A$23)))</f>
        <v>7</v>
      </c>
      <c r="AE2" s="7">
        <v>1</v>
      </c>
      <c r="AF2" t="s">
        <v>18</v>
      </c>
      <c r="AG2">
        <v>1</v>
      </c>
    </row>
    <row r="3" spans="1:35" x14ac:dyDescent="0.3">
      <c r="A3" s="13" t="s">
        <v>25</v>
      </c>
      <c r="B3" t="s">
        <v>131</v>
      </c>
      <c r="C3" t="s">
        <v>132</v>
      </c>
      <c r="D3" s="3">
        <v>2</v>
      </c>
      <c r="E3" t="s">
        <v>244</v>
      </c>
      <c r="F3" s="8">
        <f>IF(A2=A3,WORKDAY.INTL(H2,1),VLOOKUP(A3,N$2:P$28,3))</f>
        <v>44141</v>
      </c>
      <c r="G3" s="3">
        <v>2</v>
      </c>
      <c r="H3" s="9">
        <f>WORKDAY(Tableau2[[#This Row],[Début]],Tableau2[[#This Row],[Durée]]-1)</f>
        <v>44144</v>
      </c>
      <c r="I3" s="3">
        <f ca="1">MAX(Tableau2[[#This Row],[teste]],0)</f>
        <v>0</v>
      </c>
      <c r="J3" s="6">
        <f ca="1">Tableau2[[#This Row],[J. Achevés]]/Tableau2[[#This Row],[Durée]]</f>
        <v>1</v>
      </c>
      <c r="K3">
        <f ca="1">IF(OR(TODAY()=Tableau2[[#This Row],[Début]],TODAY()&lt;Tableau2[[#This Row],[Début]]),Tableau2[[#This Row],[Durée]],Tableau2[[#This Row],[Durée]]-NETWORKDAYS(Tableau2[[#This Row],[Début]],TODAY())+1)</f>
        <v>-6</v>
      </c>
      <c r="L3" s="3">
        <f ca="1">IF(Tableau2[[#This Row],[J. Restants]]=0,Tableau2[[#This Row],[Durée]],Tableau2[[#This Row],[Durée]]-Tableau2[[#This Row],[J. Restants]])</f>
        <v>2</v>
      </c>
      <c r="M3" s="3"/>
      <c r="N3" s="14" t="s">
        <v>26</v>
      </c>
      <c r="O3" s="3" t="s">
        <v>110</v>
      </c>
      <c r="P3" s="2">
        <v>44137</v>
      </c>
      <c r="S3" s="16" t="s">
        <v>25</v>
      </c>
      <c r="T3" t="s">
        <v>73</v>
      </c>
      <c r="U3" s="7" t="s">
        <v>74</v>
      </c>
      <c r="V3" t="s">
        <v>20</v>
      </c>
      <c r="W3">
        <v>1</v>
      </c>
      <c r="X3" s="8">
        <f t="shared" ref="X3:X20" si="0">_xlfn.MINIFS(F$2:F$86,A$2:A$86,S3)</f>
        <v>44137</v>
      </c>
      <c r="Y3" s="8">
        <f t="shared" ref="Y3:Y20" si="1">_xlfn.MAXIFS(H$2:H$87,A$2:A$87,S3)</f>
        <v>44145</v>
      </c>
      <c r="Z3" s="3">
        <v>4</v>
      </c>
      <c r="AA3" s="3" t="s">
        <v>61</v>
      </c>
      <c r="AB3" s="3">
        <f>NETWORKDAYS(X3,Y3,'Jours feriés'!$A$5:$A$23)</f>
        <v>7</v>
      </c>
      <c r="AC3" s="3">
        <f ca="1">IF(Tableau14[[#This Row],[Fin]]&lt;TODAY(),Tableau14[[#This Row],[Durée prévu]],IF(Tableau14[[#This Row],[Début]]&gt;TODAY(),0,NETWORKDAYS(Tableau14[[#This Row],[Début]],TODAY(),'Jours feriés'!$A$5:$A$23)))</f>
        <v>7</v>
      </c>
      <c r="AE3" s="7">
        <v>2</v>
      </c>
      <c r="AF3" t="s">
        <v>18</v>
      </c>
      <c r="AG3">
        <v>2</v>
      </c>
      <c r="AI3">
        <f>SUMIFS(Tableau14[Durée prévu],Tableau14[Réf.],AG3)</f>
        <v>17</v>
      </c>
    </row>
    <row r="4" spans="1:35" x14ac:dyDescent="0.3">
      <c r="A4" s="13" t="s">
        <v>25</v>
      </c>
      <c r="B4" t="s">
        <v>133</v>
      </c>
      <c r="C4" t="s">
        <v>134</v>
      </c>
      <c r="D4" s="3">
        <v>3</v>
      </c>
      <c r="E4" t="s">
        <v>245</v>
      </c>
      <c r="F4" s="8">
        <f t="shared" ref="F4:F33" si="2">IF(A3=A4,WORKDAY.INTL(H3,1),VLOOKUP(A4,N$2:P$28,3))</f>
        <v>44145</v>
      </c>
      <c r="G4" s="3">
        <v>1</v>
      </c>
      <c r="H4" s="9">
        <f>WORKDAY(Tableau2[[#This Row],[Début]],Tableau2[[#This Row],[Durée]]-1)</f>
        <v>44145</v>
      </c>
      <c r="I4" s="3">
        <f ca="1">MAX(Tableau2[[#This Row],[teste]],0)</f>
        <v>0</v>
      </c>
      <c r="J4" s="6">
        <f ca="1">Tableau2[[#This Row],[J. Achevés]]/Tableau2[[#This Row],[Durée]]</f>
        <v>1</v>
      </c>
      <c r="K4">
        <f ca="1">IF(OR(TODAY()=Tableau2[[#This Row],[Début]],TODAY()&lt;Tableau2[[#This Row],[Début]]),Tableau2[[#This Row],[Durée]],Tableau2[[#This Row],[Durée]]-NETWORKDAYS(Tableau2[[#This Row],[Début]],TODAY())+1)</f>
        <v>-5</v>
      </c>
      <c r="L4" s="3">
        <f ca="1">IF(Tableau2[[#This Row],[J. Restants]]=0,Tableau2[[#This Row],[Durée]],Tableau2[[#This Row],[Durée]]-Tableau2[[#This Row],[J. Restants]])</f>
        <v>1</v>
      </c>
      <c r="M4" s="3"/>
      <c r="N4" s="14" t="s">
        <v>27</v>
      </c>
      <c r="O4" s="3" t="s">
        <v>111</v>
      </c>
      <c r="P4" s="2">
        <v>44137</v>
      </c>
      <c r="S4" s="16" t="s">
        <v>25</v>
      </c>
      <c r="T4" t="s">
        <v>75</v>
      </c>
      <c r="U4" s="7" t="s">
        <v>76</v>
      </c>
      <c r="V4" t="s">
        <v>22</v>
      </c>
      <c r="W4">
        <v>1</v>
      </c>
      <c r="X4" s="8">
        <f t="shared" si="0"/>
        <v>44137</v>
      </c>
      <c r="Y4" s="8">
        <f t="shared" si="1"/>
        <v>44145</v>
      </c>
      <c r="Z4" s="3">
        <v>7</v>
      </c>
      <c r="AA4" s="3" t="s">
        <v>61</v>
      </c>
      <c r="AB4" s="3">
        <f>NETWORKDAYS(X4,Y4,'Jours feriés'!$A$5:$A$23)</f>
        <v>7</v>
      </c>
      <c r="AC4" s="3">
        <f ca="1">IF(Tableau14[[#This Row],[Fin]]&lt;TODAY(),Tableau14[[#This Row],[Durée prévu]],IF(Tableau14[[#This Row],[Début]]&gt;TODAY(),0,NETWORKDAYS(Tableau14[[#This Row],[Début]],TODAY(),'Jours feriés'!$A$5:$A$23)))</f>
        <v>7</v>
      </c>
      <c r="AE4" s="7">
        <v>1</v>
      </c>
      <c r="AF4" t="s">
        <v>19</v>
      </c>
      <c r="AG4">
        <v>3</v>
      </c>
    </row>
    <row r="5" spans="1:35" x14ac:dyDescent="0.3">
      <c r="A5" s="13" t="s">
        <v>26</v>
      </c>
      <c r="B5" t="s">
        <v>135</v>
      </c>
      <c r="C5" t="s">
        <v>136</v>
      </c>
      <c r="D5" s="3">
        <v>1</v>
      </c>
      <c r="E5" t="s">
        <v>246</v>
      </c>
      <c r="F5" s="8">
        <f t="shared" si="2"/>
        <v>44137</v>
      </c>
      <c r="G5" s="3">
        <v>2</v>
      </c>
      <c r="H5" s="9">
        <f>WORKDAY(Tableau2[[#This Row],[Début]],Tableau2[[#This Row],[Durée]]-1)</f>
        <v>44138</v>
      </c>
      <c r="I5" s="3">
        <f ca="1">MAX(Tableau2[[#This Row],[teste]],0)</f>
        <v>0</v>
      </c>
      <c r="J5" s="6">
        <f ca="1">Tableau2[[#This Row],[J. Achevés]]/Tableau2[[#This Row],[Durée]]</f>
        <v>1</v>
      </c>
      <c r="K5">
        <f ca="1">IF(OR(TODAY()=Tableau2[[#This Row],[Début]],TODAY()&lt;Tableau2[[#This Row],[Début]]),Tableau2[[#This Row],[Durée]],Tableau2[[#This Row],[Durée]]-NETWORKDAYS(Tableau2[[#This Row],[Début]],TODAY())+1)</f>
        <v>-10</v>
      </c>
      <c r="L5" s="3">
        <f ca="1">IF(Tableau2[[#This Row],[J. Restants]]=0,Tableau2[[#This Row],[Durée]],Tableau2[[#This Row],[Durée]]-Tableau2[[#This Row],[J. Restants]])</f>
        <v>2</v>
      </c>
      <c r="M5" s="3"/>
      <c r="N5" s="14" t="s">
        <v>28</v>
      </c>
      <c r="O5" s="3" t="s">
        <v>112</v>
      </c>
      <c r="P5" s="2">
        <v>44131</v>
      </c>
      <c r="S5" s="16" t="s">
        <v>26</v>
      </c>
      <c r="T5" t="s">
        <v>77</v>
      </c>
      <c r="U5" s="7" t="s">
        <v>78</v>
      </c>
      <c r="V5" t="s">
        <v>19</v>
      </c>
      <c r="W5">
        <v>1</v>
      </c>
      <c r="X5" s="8">
        <f t="shared" si="0"/>
        <v>44137</v>
      </c>
      <c r="Y5" s="8">
        <f t="shared" si="1"/>
        <v>44161</v>
      </c>
      <c r="Z5" s="3">
        <v>3</v>
      </c>
      <c r="AA5" s="3" t="s">
        <v>61</v>
      </c>
      <c r="AB5" s="3">
        <f>NETWORKDAYS(X5,Y5,'Jours feriés'!$A$5:$A$23)</f>
        <v>19</v>
      </c>
      <c r="AC5" s="3">
        <f ca="1">IF(Tableau14[[#This Row],[Fin]]&lt;TODAY(),Tableau14[[#This Row],[Durée prévu]],IF(Tableau14[[#This Row],[Début]]&gt;TODAY(),0,NETWORKDAYS(Tableau14[[#This Row],[Début]],TODAY(),'Jours feriés'!$A$5:$A$23)))</f>
        <v>13</v>
      </c>
      <c r="AE5" s="7">
        <v>1</v>
      </c>
      <c r="AF5" t="s">
        <v>20</v>
      </c>
      <c r="AG5">
        <v>4</v>
      </c>
    </row>
    <row r="6" spans="1:35" x14ac:dyDescent="0.3">
      <c r="A6" s="13" t="s">
        <v>26</v>
      </c>
      <c r="B6" t="s">
        <v>137</v>
      </c>
      <c r="C6" t="s">
        <v>138</v>
      </c>
      <c r="D6" s="3">
        <v>2</v>
      </c>
      <c r="E6" t="s">
        <v>247</v>
      </c>
      <c r="F6" s="8">
        <f t="shared" si="2"/>
        <v>44139</v>
      </c>
      <c r="G6" s="3">
        <v>7</v>
      </c>
      <c r="H6" s="9">
        <f>WORKDAY(Tableau2[[#This Row],[Début]],Tableau2[[#This Row],[Durée]]-1)</f>
        <v>44147</v>
      </c>
      <c r="I6" s="3">
        <f ca="1">MAX(Tableau2[[#This Row],[teste]],0)</f>
        <v>0</v>
      </c>
      <c r="J6" s="6">
        <f ca="1">Tableau2[[#This Row],[J. Achevés]]/Tableau2[[#This Row],[Durée]]</f>
        <v>1</v>
      </c>
      <c r="K6">
        <f ca="1">IF(OR(TODAY()=Tableau2[[#This Row],[Début]],TODAY()&lt;Tableau2[[#This Row],[Début]]),Tableau2[[#This Row],[Durée]],Tableau2[[#This Row],[Durée]]-NETWORKDAYS(Tableau2[[#This Row],[Début]],TODAY())+1)</f>
        <v>-3</v>
      </c>
      <c r="L6" s="3">
        <f ca="1">IF(Tableau2[[#This Row],[J. Restants]]=0,Tableau2[[#This Row],[Durée]],Tableau2[[#This Row],[Durée]]-Tableau2[[#This Row],[J. Restants]])</f>
        <v>7</v>
      </c>
      <c r="M6" s="3"/>
      <c r="N6" s="14" t="s">
        <v>29</v>
      </c>
      <c r="O6" s="3" t="s">
        <v>113</v>
      </c>
      <c r="P6" s="2">
        <v>44131</v>
      </c>
      <c r="S6" s="16" t="s">
        <v>26</v>
      </c>
      <c r="T6" t="s">
        <v>79</v>
      </c>
      <c r="U6" s="7" t="s">
        <v>80</v>
      </c>
      <c r="V6" t="s">
        <v>21</v>
      </c>
      <c r="W6">
        <v>1</v>
      </c>
      <c r="X6" s="8">
        <f t="shared" si="0"/>
        <v>44137</v>
      </c>
      <c r="Y6" s="8">
        <f t="shared" si="1"/>
        <v>44161</v>
      </c>
      <c r="Z6" s="3">
        <v>6</v>
      </c>
      <c r="AA6" s="3" t="s">
        <v>61</v>
      </c>
      <c r="AB6" s="3">
        <f>NETWORKDAYS(X6,Y6,'Jours feriés'!$A$5:$A$23)</f>
        <v>19</v>
      </c>
      <c r="AC6" s="3">
        <f ca="1">IF(Tableau14[[#This Row],[Fin]]&lt;TODAY(),Tableau14[[#This Row],[Durée prévu]],IF(Tableau14[[#This Row],[Début]]&gt;TODAY(),0,NETWORKDAYS(Tableau14[[#This Row],[Début]],TODAY(),'Jours feriés'!$A$5:$A$23)))</f>
        <v>13</v>
      </c>
      <c r="AE6" s="7">
        <v>2</v>
      </c>
      <c r="AF6" t="s">
        <v>20</v>
      </c>
      <c r="AG6">
        <v>5</v>
      </c>
    </row>
    <row r="7" spans="1:35" x14ac:dyDescent="0.3">
      <c r="A7" s="13" t="s">
        <v>26</v>
      </c>
      <c r="B7" t="s">
        <v>139</v>
      </c>
      <c r="C7" t="s">
        <v>140</v>
      </c>
      <c r="D7" s="3">
        <v>3</v>
      </c>
      <c r="E7" t="s">
        <v>248</v>
      </c>
      <c r="F7" s="8">
        <f t="shared" si="2"/>
        <v>44148</v>
      </c>
      <c r="G7" s="3">
        <v>6</v>
      </c>
      <c r="H7" s="9">
        <f>WORKDAY(Tableau2[[#This Row],[Début]],Tableau2[[#This Row],[Durée]]-1)</f>
        <v>44155</v>
      </c>
      <c r="I7" s="3">
        <f ca="1">MAX(Tableau2[[#This Row],[teste]],0)</f>
        <v>3</v>
      </c>
      <c r="J7" s="6">
        <f ca="1">Tableau2[[#This Row],[J. Achevés]]/Tableau2[[#This Row],[Durée]]</f>
        <v>0.5</v>
      </c>
      <c r="K7">
        <f ca="1">IF(OR(TODAY()=Tableau2[[#This Row],[Début]],TODAY()&lt;Tableau2[[#This Row],[Début]]),Tableau2[[#This Row],[Durée]],Tableau2[[#This Row],[Durée]]-NETWORKDAYS(Tableau2[[#This Row],[Début]],TODAY())+1)</f>
        <v>3</v>
      </c>
      <c r="L7" s="3">
        <f ca="1">IF(Tableau2[[#This Row],[J. Restants]]=0,Tableau2[[#This Row],[Durée]],Tableau2[[#This Row],[Durée]]-Tableau2[[#This Row],[J. Restants]])</f>
        <v>3</v>
      </c>
      <c r="M7" s="3"/>
      <c r="N7" s="14" t="s">
        <v>30</v>
      </c>
      <c r="O7" s="3" t="s">
        <v>114</v>
      </c>
      <c r="P7" s="2">
        <v>44145</v>
      </c>
      <c r="S7" s="16" t="s">
        <v>26</v>
      </c>
      <c r="T7" t="s">
        <v>81</v>
      </c>
      <c r="U7" s="7" t="s">
        <v>82</v>
      </c>
      <c r="V7" t="s">
        <v>23</v>
      </c>
      <c r="W7">
        <v>2</v>
      </c>
      <c r="X7" s="8">
        <f t="shared" si="0"/>
        <v>44137</v>
      </c>
      <c r="Y7" s="8">
        <f t="shared" si="1"/>
        <v>44161</v>
      </c>
      <c r="Z7" s="3">
        <v>8</v>
      </c>
      <c r="AA7" s="3" t="s">
        <v>61</v>
      </c>
      <c r="AB7" s="3">
        <f>NETWORKDAYS(X7,Y7,'Jours feriés'!$A$5:$A$23)</f>
        <v>19</v>
      </c>
      <c r="AC7" s="3">
        <f ca="1">IF(Tableau14[[#This Row],[Fin]]&lt;TODAY(),Tableau14[[#This Row],[Durée prévu]],IF(Tableau14[[#This Row],[Début]]&gt;TODAY(),0,NETWORKDAYS(Tableau14[[#This Row],[Début]],TODAY(),'Jours feriés'!$A$5:$A$23)))</f>
        <v>13</v>
      </c>
      <c r="AE7" s="7">
        <v>1</v>
      </c>
      <c r="AF7" t="s">
        <v>21</v>
      </c>
      <c r="AG7">
        <v>6</v>
      </c>
    </row>
    <row r="8" spans="1:35" x14ac:dyDescent="0.3">
      <c r="A8" s="13" t="s">
        <v>26</v>
      </c>
      <c r="B8" t="s">
        <v>141</v>
      </c>
      <c r="C8" t="s">
        <v>142</v>
      </c>
      <c r="D8" s="3">
        <v>4</v>
      </c>
      <c r="E8" t="s">
        <v>249</v>
      </c>
      <c r="F8" s="8">
        <f t="shared" si="2"/>
        <v>44158</v>
      </c>
      <c r="G8" s="3">
        <v>3</v>
      </c>
      <c r="H8" s="9">
        <f>WORKDAY(Tableau2[[#This Row],[Début]],Tableau2[[#This Row],[Durée]]-1)</f>
        <v>44160</v>
      </c>
      <c r="I8" s="3">
        <f ca="1">MAX(Tableau2[[#This Row],[teste]],0)</f>
        <v>3</v>
      </c>
      <c r="J8" s="6">
        <f ca="1">Tableau2[[#This Row],[J. Achevés]]/Tableau2[[#This Row],[Durée]]</f>
        <v>0</v>
      </c>
      <c r="K8">
        <f ca="1">IF(OR(TODAY()=Tableau2[[#This Row],[Début]],TODAY()&lt;Tableau2[[#This Row],[Début]]),Tableau2[[#This Row],[Durée]],Tableau2[[#This Row],[Durée]]-NETWORKDAYS(Tableau2[[#This Row],[Début]],TODAY())+1)</f>
        <v>3</v>
      </c>
      <c r="L8" s="3">
        <f ca="1">IF(Tableau2[[#This Row],[J. Restants]]=0,Tableau2[[#This Row],[Durée]],Tableau2[[#This Row],[Durée]]-Tableau2[[#This Row],[J. Restants]])</f>
        <v>0</v>
      </c>
      <c r="M8" s="3"/>
      <c r="N8" s="14" t="s">
        <v>31</v>
      </c>
      <c r="O8" s="3" t="s">
        <v>115</v>
      </c>
      <c r="P8" s="2">
        <v>44291</v>
      </c>
      <c r="S8" s="16" t="s">
        <v>27</v>
      </c>
      <c r="T8" t="s">
        <v>83</v>
      </c>
      <c r="U8" s="7" t="s">
        <v>84</v>
      </c>
      <c r="V8" t="s">
        <v>18</v>
      </c>
      <c r="W8">
        <v>2</v>
      </c>
      <c r="X8" s="8">
        <f t="shared" si="0"/>
        <v>44137</v>
      </c>
      <c r="Y8" s="8">
        <f t="shared" si="1"/>
        <v>44145</v>
      </c>
      <c r="Z8" s="3">
        <v>2</v>
      </c>
      <c r="AA8" s="3" t="s">
        <v>61</v>
      </c>
      <c r="AB8" s="3">
        <f>NETWORKDAYS(X8,Y8,'Jours feriés'!$A$5:$A$23)</f>
        <v>7</v>
      </c>
      <c r="AC8" s="3">
        <f ca="1">IF(Tableau14[[#This Row],[Fin]]&lt;TODAY(),Tableau14[[#This Row],[Durée prévu]],IF(Tableau14[[#This Row],[Début]]&gt;TODAY(),0,NETWORKDAYS(Tableau14[[#This Row],[Début]],TODAY(),'Jours feriés'!$A$5:$A$23)))</f>
        <v>7</v>
      </c>
      <c r="AE8" s="7">
        <v>1</v>
      </c>
      <c r="AF8" t="s">
        <v>22</v>
      </c>
      <c r="AG8">
        <v>7</v>
      </c>
    </row>
    <row r="9" spans="1:35" x14ac:dyDescent="0.3">
      <c r="A9" s="13" t="s">
        <v>26</v>
      </c>
      <c r="B9" t="s">
        <v>143</v>
      </c>
      <c r="C9" t="s">
        <v>144</v>
      </c>
      <c r="D9" s="3">
        <v>5</v>
      </c>
      <c r="E9" t="s">
        <v>250</v>
      </c>
      <c r="F9" s="8">
        <f t="shared" si="2"/>
        <v>44161</v>
      </c>
      <c r="G9" s="3">
        <v>1</v>
      </c>
      <c r="H9" s="9">
        <f>WORKDAY(Tableau2[[#This Row],[Début]],Tableau2[[#This Row],[Durée]]-1)</f>
        <v>44161</v>
      </c>
      <c r="I9" s="3">
        <f ca="1">MAX(Tableau2[[#This Row],[teste]],0)</f>
        <v>1</v>
      </c>
      <c r="J9" s="6">
        <f ca="1">Tableau2[[#This Row],[J. Achevés]]/Tableau2[[#This Row],[Durée]]</f>
        <v>0</v>
      </c>
      <c r="K9">
        <f ca="1">IF(OR(TODAY()=Tableau2[[#This Row],[Début]],TODAY()&lt;Tableau2[[#This Row],[Début]]),Tableau2[[#This Row],[Durée]],Tableau2[[#This Row],[Durée]]-NETWORKDAYS(Tableau2[[#This Row],[Début]],TODAY())+1)</f>
        <v>1</v>
      </c>
      <c r="L9" s="3">
        <f ca="1">IF(Tableau2[[#This Row],[J. Restants]]=0,Tableau2[[#This Row],[Durée]],Tableau2[[#This Row],[Durée]]-Tableau2[[#This Row],[J. Restants]])</f>
        <v>0</v>
      </c>
      <c r="M9" s="3"/>
      <c r="N9" s="14" t="s">
        <v>32</v>
      </c>
      <c r="O9" s="3" t="s">
        <v>116</v>
      </c>
      <c r="P9" s="2">
        <v>44131</v>
      </c>
      <c r="S9" s="16" t="s">
        <v>27</v>
      </c>
      <c r="T9" t="s">
        <v>85</v>
      </c>
      <c r="U9" s="7" t="s">
        <v>86</v>
      </c>
      <c r="V9" t="s">
        <v>20</v>
      </c>
      <c r="W9">
        <v>2</v>
      </c>
      <c r="X9" s="8">
        <f t="shared" si="0"/>
        <v>44137</v>
      </c>
      <c r="Y9" s="8">
        <f t="shared" si="1"/>
        <v>44145</v>
      </c>
      <c r="Z9" s="3">
        <v>5</v>
      </c>
      <c r="AA9" s="3" t="s">
        <v>61</v>
      </c>
      <c r="AB9" s="3">
        <f>NETWORKDAYS(X9,Y9,'Jours feriés'!$A$5:$A$23)</f>
        <v>7</v>
      </c>
      <c r="AC9" s="3">
        <f ca="1">IF(Tableau14[[#This Row],[Fin]]&lt;TODAY(),Tableau14[[#This Row],[Durée prévu]],IF(Tableau14[[#This Row],[Début]]&gt;TODAY(),0,NETWORKDAYS(Tableau14[[#This Row],[Début]],TODAY(),'Jours feriés'!$A$5:$A$23)))</f>
        <v>7</v>
      </c>
      <c r="AE9" s="7">
        <v>2</v>
      </c>
      <c r="AF9" t="s">
        <v>22</v>
      </c>
      <c r="AG9">
        <v>8</v>
      </c>
    </row>
    <row r="10" spans="1:35" x14ac:dyDescent="0.3">
      <c r="A10" s="13" t="s">
        <v>27</v>
      </c>
      <c r="B10" t="s">
        <v>145</v>
      </c>
      <c r="C10" t="s">
        <v>146</v>
      </c>
      <c r="D10" s="3">
        <v>1</v>
      </c>
      <c r="E10" t="s">
        <v>251</v>
      </c>
      <c r="F10" s="8">
        <f t="shared" si="2"/>
        <v>44137</v>
      </c>
      <c r="G10" s="3">
        <v>2</v>
      </c>
      <c r="H10" s="9">
        <f>WORKDAY(Tableau2[[#This Row],[Début]],Tableau2[[#This Row],[Durée]]-1)</f>
        <v>44138</v>
      </c>
      <c r="I10" s="3">
        <f ca="1">MAX(Tableau2[[#This Row],[teste]],0)</f>
        <v>0</v>
      </c>
      <c r="J10" s="6">
        <f ca="1">Tableau2[[#This Row],[J. Achevés]]/Tableau2[[#This Row],[Durée]]</f>
        <v>1</v>
      </c>
      <c r="K10">
        <f ca="1">IF(OR(TODAY()=Tableau2[[#This Row],[Début]],TODAY()&lt;Tableau2[[#This Row],[Début]]),Tableau2[[#This Row],[Durée]],Tableau2[[#This Row],[Durée]]-NETWORKDAYS(Tableau2[[#This Row],[Début]],TODAY())+1)</f>
        <v>-10</v>
      </c>
      <c r="L10" s="3">
        <f ca="1">IF(Tableau2[[#This Row],[J. Restants]]=0,Tableau2[[#This Row],[Durée]],Tableau2[[#This Row],[Durée]]-Tableau2[[#This Row],[J. Restants]])</f>
        <v>2</v>
      </c>
      <c r="M10" s="3"/>
      <c r="N10" s="14" t="s">
        <v>33</v>
      </c>
      <c r="O10" s="3" t="s">
        <v>117</v>
      </c>
      <c r="P10" s="2">
        <v>44131</v>
      </c>
      <c r="S10" s="16" t="s">
        <v>27</v>
      </c>
      <c r="T10" t="s">
        <v>87</v>
      </c>
      <c r="U10" s="7" t="s">
        <v>88</v>
      </c>
      <c r="V10" t="s">
        <v>22</v>
      </c>
      <c r="W10">
        <v>3</v>
      </c>
      <c r="X10" s="8">
        <f t="shared" si="0"/>
        <v>44137</v>
      </c>
      <c r="Y10" s="8">
        <f t="shared" si="1"/>
        <v>44145</v>
      </c>
      <c r="Z10" s="3">
        <v>9</v>
      </c>
      <c r="AA10" s="3" t="s">
        <v>61</v>
      </c>
      <c r="AB10" s="3">
        <f>NETWORKDAYS(X10,Y10,'Jours feriés'!$A$5:$A$23)</f>
        <v>7</v>
      </c>
      <c r="AC10" s="3">
        <f ca="1">IF(Tableau14[[#This Row],[Fin]]&lt;TODAY(),Tableau14[[#This Row],[Durée prévu]],IF(Tableau14[[#This Row],[Début]]&gt;TODAY(),0,NETWORKDAYS(Tableau14[[#This Row],[Début]],TODAY(),'Jours feriés'!$A$5:$A$23)))</f>
        <v>7</v>
      </c>
      <c r="AE10" s="7">
        <v>3</v>
      </c>
      <c r="AF10" t="s">
        <v>22</v>
      </c>
      <c r="AG10">
        <v>9</v>
      </c>
    </row>
    <row r="11" spans="1:35" x14ac:dyDescent="0.3">
      <c r="A11" s="13" t="s">
        <v>27</v>
      </c>
      <c r="B11" t="s">
        <v>147</v>
      </c>
      <c r="C11" t="s">
        <v>148</v>
      </c>
      <c r="D11" s="3">
        <v>2</v>
      </c>
      <c r="E11" t="s">
        <v>252</v>
      </c>
      <c r="F11" s="8">
        <f t="shared" si="2"/>
        <v>44139</v>
      </c>
      <c r="G11" s="3">
        <v>3</v>
      </c>
      <c r="H11" s="9">
        <f>WORKDAY(Tableau2[[#This Row],[Début]],Tableau2[[#This Row],[Durée]]-1)</f>
        <v>44141</v>
      </c>
      <c r="I11" s="3">
        <f ca="1">MAX(Tableau2[[#This Row],[teste]],0)</f>
        <v>0</v>
      </c>
      <c r="J11" s="6">
        <f ca="1">Tableau2[[#This Row],[J. Achevés]]/Tableau2[[#This Row],[Durée]]</f>
        <v>1</v>
      </c>
      <c r="K11">
        <f ca="1">IF(OR(TODAY()=Tableau2[[#This Row],[Début]],TODAY()&lt;Tableau2[[#This Row],[Début]]),Tableau2[[#This Row],[Durée]],Tableau2[[#This Row],[Durée]]-NETWORKDAYS(Tableau2[[#This Row],[Début]],TODAY())+1)</f>
        <v>-7</v>
      </c>
      <c r="L11" s="3">
        <f ca="1">IF(Tableau2[[#This Row],[J. Restants]]=0,Tableau2[[#This Row],[Durée]],Tableau2[[#This Row],[Durée]]-Tableau2[[#This Row],[J. Restants]])</f>
        <v>3</v>
      </c>
      <c r="M11" s="3"/>
      <c r="N11" s="14" t="s">
        <v>34</v>
      </c>
      <c r="O11" s="3" t="s">
        <v>118</v>
      </c>
      <c r="P11" s="2">
        <v>44131</v>
      </c>
      <c r="S11" s="16" t="s">
        <v>30</v>
      </c>
      <c r="T11" t="s">
        <v>89</v>
      </c>
      <c r="U11" s="7" t="s">
        <v>90</v>
      </c>
      <c r="V11" t="s">
        <v>18</v>
      </c>
      <c r="W11">
        <v>1</v>
      </c>
      <c r="X11" s="8">
        <f t="shared" si="0"/>
        <v>44145</v>
      </c>
      <c r="Y11" s="8">
        <f t="shared" si="1"/>
        <v>44174</v>
      </c>
      <c r="Z11" s="3">
        <v>1</v>
      </c>
      <c r="AA11" s="3" t="s">
        <v>61</v>
      </c>
      <c r="AB11" s="3">
        <f>NETWORKDAYS(X11,Y11,'Jours feriés'!$A$5:$A$23)</f>
        <v>22</v>
      </c>
      <c r="AC11" s="3">
        <f ca="1">IF(Tableau14[[#This Row],[Fin]]&lt;TODAY(),Tableau14[[#This Row],[Durée prévu]],IF(Tableau14[[#This Row],[Début]]&gt;TODAY(),0,NETWORKDAYS(Tableau14[[#This Row],[Début]],TODAY(),'Jours feriés'!$A$5:$A$23)))</f>
        <v>7</v>
      </c>
    </row>
    <row r="12" spans="1:35" x14ac:dyDescent="0.3">
      <c r="A12" s="13" t="s">
        <v>27</v>
      </c>
      <c r="B12" t="s">
        <v>149</v>
      </c>
      <c r="C12" t="s">
        <v>150</v>
      </c>
      <c r="D12" s="3">
        <v>3</v>
      </c>
      <c r="E12" t="s">
        <v>253</v>
      </c>
      <c r="F12" s="8">
        <f t="shared" si="2"/>
        <v>44144</v>
      </c>
      <c r="G12" s="3">
        <v>1</v>
      </c>
      <c r="H12" s="9">
        <f>WORKDAY(Tableau2[[#This Row],[Début]],Tableau2[[#This Row],[Durée]]-1)</f>
        <v>44144</v>
      </c>
      <c r="I12" s="3">
        <f ca="1">MAX(Tableau2[[#This Row],[teste]],0)</f>
        <v>0</v>
      </c>
      <c r="J12" s="6">
        <f ca="1">Tableau2[[#This Row],[J. Achevés]]/Tableau2[[#This Row],[Durée]]</f>
        <v>1</v>
      </c>
      <c r="K12">
        <f ca="1">IF(OR(TODAY()=Tableau2[[#This Row],[Début]],TODAY()&lt;Tableau2[[#This Row],[Début]]),Tableau2[[#This Row],[Durée]],Tableau2[[#This Row],[Durée]]-NETWORKDAYS(Tableau2[[#This Row],[Début]],TODAY())+1)</f>
        <v>-6</v>
      </c>
      <c r="L12" s="3">
        <f ca="1">IF(Tableau2[[#This Row],[J. Restants]]=0,Tableau2[[#This Row],[Durée]],Tableau2[[#This Row],[Durée]]-Tableau2[[#This Row],[J. Restants]])</f>
        <v>1</v>
      </c>
      <c r="M12" s="3"/>
      <c r="N12" s="14" t="s">
        <v>35</v>
      </c>
      <c r="O12" s="3" t="s">
        <v>119</v>
      </c>
      <c r="P12" s="2">
        <v>44131</v>
      </c>
      <c r="S12" s="16" t="s">
        <v>30</v>
      </c>
      <c r="T12" t="s">
        <v>91</v>
      </c>
      <c r="U12" s="7" t="s">
        <v>92</v>
      </c>
      <c r="V12" t="s">
        <v>20</v>
      </c>
      <c r="W12">
        <v>1</v>
      </c>
      <c r="X12" s="8">
        <f t="shared" si="0"/>
        <v>44145</v>
      </c>
      <c r="Y12" s="8">
        <f t="shared" si="1"/>
        <v>44174</v>
      </c>
      <c r="Z12" s="3">
        <v>4</v>
      </c>
      <c r="AA12" s="3" t="s">
        <v>61</v>
      </c>
      <c r="AB12" s="3">
        <f>NETWORKDAYS(X12,Y12,'Jours feriés'!$A$5:$A$23)</f>
        <v>22</v>
      </c>
      <c r="AC12" s="3">
        <f ca="1">IF(Tableau14[[#This Row],[Fin]]&lt;TODAY(),Tableau14[[#This Row],[Durée prévu]],IF(Tableau14[[#This Row],[Début]]&gt;TODAY(),0,NETWORKDAYS(Tableau14[[#This Row],[Début]],TODAY(),'Jours feriés'!$A$5:$A$23)))</f>
        <v>7</v>
      </c>
    </row>
    <row r="13" spans="1:35" x14ac:dyDescent="0.3">
      <c r="A13" s="13" t="s">
        <v>27</v>
      </c>
      <c r="B13" t="s">
        <v>151</v>
      </c>
      <c r="C13" t="s">
        <v>152</v>
      </c>
      <c r="D13" s="3">
        <v>4</v>
      </c>
      <c r="E13" t="s">
        <v>254</v>
      </c>
      <c r="F13" s="8">
        <f t="shared" si="2"/>
        <v>44145</v>
      </c>
      <c r="G13" s="3">
        <v>1</v>
      </c>
      <c r="H13" s="9">
        <f>WORKDAY(Tableau2[[#This Row],[Début]],Tableau2[[#This Row],[Durée]]-1)</f>
        <v>44145</v>
      </c>
      <c r="I13" s="3">
        <f ca="1">MAX(Tableau2[[#This Row],[teste]],0)</f>
        <v>0</v>
      </c>
      <c r="J13" s="6">
        <f ca="1">Tableau2[[#This Row],[J. Achevés]]/Tableau2[[#This Row],[Durée]]</f>
        <v>1</v>
      </c>
      <c r="K13">
        <f ca="1">IF(OR(TODAY()=Tableau2[[#This Row],[Début]],TODAY()&lt;Tableau2[[#This Row],[Début]]),Tableau2[[#This Row],[Durée]],Tableau2[[#This Row],[Durée]]-NETWORKDAYS(Tableau2[[#This Row],[Début]],TODAY())+1)</f>
        <v>-5</v>
      </c>
      <c r="L13" s="3">
        <f ca="1">IF(Tableau2[[#This Row],[J. Restants]]=0,Tableau2[[#This Row],[Durée]],Tableau2[[#This Row],[Durée]]-Tableau2[[#This Row],[J. Restants]])</f>
        <v>1</v>
      </c>
      <c r="M13" s="3"/>
      <c r="N13" s="14" t="s">
        <v>36</v>
      </c>
      <c r="O13" s="3" t="s">
        <v>120</v>
      </c>
      <c r="P13" s="2">
        <v>44146</v>
      </c>
      <c r="S13" s="16" t="s">
        <v>30</v>
      </c>
      <c r="T13" t="s">
        <v>93</v>
      </c>
      <c r="U13" s="7" t="s">
        <v>94</v>
      </c>
      <c r="V13" t="s">
        <v>22</v>
      </c>
      <c r="W13">
        <v>1</v>
      </c>
      <c r="X13" s="8">
        <f t="shared" si="0"/>
        <v>44145</v>
      </c>
      <c r="Y13" s="8">
        <f t="shared" si="1"/>
        <v>44174</v>
      </c>
      <c r="Z13" s="3">
        <v>7</v>
      </c>
      <c r="AA13" s="3" t="s">
        <v>61</v>
      </c>
      <c r="AB13" s="3">
        <f>NETWORKDAYS(X13,Y13,'Jours feriés'!$A$5:$A$23)</f>
        <v>22</v>
      </c>
      <c r="AC13" s="3">
        <f ca="1">IF(Tableau14[[#This Row],[Fin]]&lt;TODAY(),Tableau14[[#This Row],[Durée prévu]],IF(Tableau14[[#This Row],[Début]]&gt;TODAY(),0,NETWORKDAYS(Tableau14[[#This Row],[Début]],TODAY(),'Jours feriés'!$A$5:$A$23)))</f>
        <v>7</v>
      </c>
    </row>
    <row r="14" spans="1:35" x14ac:dyDescent="0.3">
      <c r="A14" s="13" t="s">
        <v>28</v>
      </c>
      <c r="B14" t="s">
        <v>153</v>
      </c>
      <c r="C14" t="s">
        <v>154</v>
      </c>
      <c r="D14" s="3">
        <v>1</v>
      </c>
      <c r="E14" t="s">
        <v>255</v>
      </c>
      <c r="F14" s="8">
        <f t="shared" si="2"/>
        <v>44131</v>
      </c>
      <c r="G14" s="3">
        <v>1</v>
      </c>
      <c r="H14" s="9">
        <f>WORKDAY(Tableau2[[#This Row],[Début]],Tableau2[[#This Row],[Durée]]-1)</f>
        <v>44131</v>
      </c>
      <c r="I14" s="3">
        <f ca="1">MAX(Tableau2[[#This Row],[teste]],0)</f>
        <v>0</v>
      </c>
      <c r="J14" s="6">
        <f ca="1">Tableau2[[#This Row],[J. Achevés]]/Tableau2[[#This Row],[Durée]]</f>
        <v>1</v>
      </c>
      <c r="K14">
        <f ca="1">IF(OR(TODAY()=Tableau2[[#This Row],[Début]],TODAY()&lt;Tableau2[[#This Row],[Début]]),Tableau2[[#This Row],[Durée]],Tableau2[[#This Row],[Durée]]-NETWORKDAYS(Tableau2[[#This Row],[Début]],TODAY())+1)</f>
        <v>-15</v>
      </c>
      <c r="L14" s="3">
        <f ca="1">IF(Tableau2[[#This Row],[J. Restants]]=0,Tableau2[[#This Row],[Durée]],Tableau2[[#This Row],[Durée]]-Tableau2[[#This Row],[J. Restants]])</f>
        <v>1</v>
      </c>
      <c r="M14" s="3"/>
      <c r="N14" s="14" t="s">
        <v>40</v>
      </c>
      <c r="O14" s="3" t="s">
        <v>121</v>
      </c>
      <c r="P14" s="2">
        <v>44148</v>
      </c>
      <c r="S14" s="16" t="s">
        <v>36</v>
      </c>
      <c r="T14" t="s">
        <v>95</v>
      </c>
      <c r="U14" s="7" t="s">
        <v>96</v>
      </c>
      <c r="V14" t="s">
        <v>22</v>
      </c>
      <c r="W14">
        <v>3</v>
      </c>
      <c r="X14" s="8">
        <f t="shared" si="0"/>
        <v>44146</v>
      </c>
      <c r="Y14" s="8">
        <f t="shared" si="1"/>
        <v>44158</v>
      </c>
      <c r="Z14" s="3">
        <v>9</v>
      </c>
      <c r="AA14" s="3" t="s">
        <v>61</v>
      </c>
      <c r="AB14" s="3">
        <f>NETWORKDAYS(X14,Y14,'Jours feriés'!$A$5:$A$23)</f>
        <v>9</v>
      </c>
      <c r="AC14" s="3">
        <f ca="1">IF(Tableau14[[#This Row],[Fin]]&lt;TODAY(),Tableau14[[#This Row],[Durée prévu]],IF(Tableau14[[#This Row],[Début]]&gt;TODAY(),0,NETWORKDAYS(Tableau14[[#This Row],[Début]],TODAY(),'Jours feriés'!$A$5:$A$23)))</f>
        <v>6</v>
      </c>
    </row>
    <row r="15" spans="1:35" x14ac:dyDescent="0.3">
      <c r="A15" s="13" t="s">
        <v>29</v>
      </c>
      <c r="B15" t="s">
        <v>155</v>
      </c>
      <c r="C15" t="s">
        <v>156</v>
      </c>
      <c r="D15" s="3">
        <v>2</v>
      </c>
      <c r="E15" t="s">
        <v>256</v>
      </c>
      <c r="F15" s="8">
        <f t="shared" si="2"/>
        <v>44131</v>
      </c>
      <c r="G15" s="3">
        <v>1</v>
      </c>
      <c r="H15" s="9">
        <f>WORKDAY(Tableau2[[#This Row],[Début]],Tableau2[[#This Row],[Durée]]-1)</f>
        <v>44131</v>
      </c>
      <c r="I15" s="3">
        <f ca="1">MAX(Tableau2[[#This Row],[teste]],0)</f>
        <v>0</v>
      </c>
      <c r="J15" s="6">
        <f ca="1">Tableau2[[#This Row],[J. Achevés]]/Tableau2[[#This Row],[Durée]]</f>
        <v>1</v>
      </c>
      <c r="K15">
        <f ca="1">IF(OR(TODAY()=Tableau2[[#This Row],[Début]],TODAY()&lt;Tableau2[[#This Row],[Début]]),Tableau2[[#This Row],[Durée]],Tableau2[[#This Row],[Durée]]-NETWORKDAYS(Tableau2[[#This Row],[Début]],TODAY())+1)</f>
        <v>-15</v>
      </c>
      <c r="L15" s="3">
        <f ca="1">IF(Tableau2[[#This Row],[J. Restants]]=0,Tableau2[[#This Row],[Durée]],Tableau2[[#This Row],[Durée]]-Tableau2[[#This Row],[J. Restants]])</f>
        <v>1</v>
      </c>
      <c r="M15" s="3"/>
      <c r="N15" s="14" t="s">
        <v>41</v>
      </c>
      <c r="O15" s="3" t="s">
        <v>122</v>
      </c>
      <c r="P15" s="2">
        <v>44148</v>
      </c>
      <c r="S15" s="16" t="s">
        <v>43</v>
      </c>
      <c r="T15" t="s">
        <v>97</v>
      </c>
      <c r="U15" s="7" t="s">
        <v>98</v>
      </c>
      <c r="V15" t="s">
        <v>19</v>
      </c>
      <c r="W15">
        <v>1</v>
      </c>
      <c r="X15" s="8">
        <f t="shared" si="0"/>
        <v>44162</v>
      </c>
      <c r="Y15" s="8">
        <f t="shared" si="1"/>
        <v>44183</v>
      </c>
      <c r="Z15" s="3">
        <v>3</v>
      </c>
      <c r="AA15" s="3" t="s">
        <v>61</v>
      </c>
      <c r="AB15" s="3">
        <f>NETWORKDAYS(X15,Y15,'Jours feriés'!$A$5:$A$23)</f>
        <v>16</v>
      </c>
      <c r="AC15" s="3">
        <f ca="1">IF(Tableau14[[#This Row],[Fin]]&lt;TODAY(),Tableau14[[#This Row],[Durée prévu]],IF(Tableau14[[#This Row],[Début]]&gt;TODAY(),0,NETWORKDAYS(Tableau14[[#This Row],[Début]],TODAY(),'Jours feriés'!$A$5:$A$23)))</f>
        <v>0</v>
      </c>
    </row>
    <row r="16" spans="1:35" x14ac:dyDescent="0.3">
      <c r="A16" s="13" t="s">
        <v>30</v>
      </c>
      <c r="B16" t="s">
        <v>157</v>
      </c>
      <c r="C16" t="s">
        <v>158</v>
      </c>
      <c r="D16" s="3">
        <v>1</v>
      </c>
      <c r="E16" t="s">
        <v>257</v>
      </c>
      <c r="F16" s="8">
        <f t="shared" si="2"/>
        <v>44145</v>
      </c>
      <c r="G16" s="3">
        <v>1</v>
      </c>
      <c r="H16" s="9">
        <f>WORKDAY(Tableau2[[#This Row],[Début]],Tableau2[[#This Row],[Durée]]-1)</f>
        <v>44145</v>
      </c>
      <c r="I16" s="3">
        <f ca="1">MAX(Tableau2[[#This Row],[teste]],0)</f>
        <v>0</v>
      </c>
      <c r="J16" s="6">
        <f ca="1">Tableau2[[#This Row],[J. Achevés]]/Tableau2[[#This Row],[Durée]]</f>
        <v>1</v>
      </c>
      <c r="K16">
        <f ca="1">IF(OR(TODAY()=Tableau2[[#This Row],[Début]],TODAY()&lt;Tableau2[[#This Row],[Début]]),Tableau2[[#This Row],[Durée]],Tableau2[[#This Row],[Durée]]-NETWORKDAYS(Tableau2[[#This Row],[Début]],TODAY())+1)</f>
        <v>-5</v>
      </c>
      <c r="L16" s="3">
        <f ca="1">IF(Tableau2[[#This Row],[J. Restants]]=0,Tableau2[[#This Row],[Durée]],Tableau2[[#This Row],[Durée]]-Tableau2[[#This Row],[J. Restants]])</f>
        <v>1</v>
      </c>
      <c r="M16" s="3"/>
      <c r="N16" s="14" t="s">
        <v>42</v>
      </c>
      <c r="O16" s="3" t="s">
        <v>123</v>
      </c>
      <c r="P16" s="2">
        <v>44148</v>
      </c>
      <c r="S16" s="16" t="s">
        <v>43</v>
      </c>
      <c r="T16" t="s">
        <v>99</v>
      </c>
      <c r="U16" s="7" t="s">
        <v>100</v>
      </c>
      <c r="V16" t="s">
        <v>21</v>
      </c>
      <c r="W16">
        <v>1</v>
      </c>
      <c r="X16" s="8">
        <f t="shared" si="0"/>
        <v>44162</v>
      </c>
      <c r="Y16" s="8">
        <f t="shared" si="1"/>
        <v>44183</v>
      </c>
      <c r="Z16" s="3">
        <v>6</v>
      </c>
      <c r="AA16" s="3" t="s">
        <v>61</v>
      </c>
      <c r="AB16" s="3">
        <f>NETWORKDAYS(X16,Y16,'Jours feriés'!$A$5:$A$23)</f>
        <v>16</v>
      </c>
      <c r="AC16" s="3">
        <f ca="1">IF(Tableau14[[#This Row],[Fin]]&lt;TODAY(),Tableau14[[#This Row],[Durée prévu]],IF(Tableau14[[#This Row],[Début]]&gt;TODAY(),0,NETWORKDAYS(Tableau14[[#This Row],[Début]],TODAY(),'Jours feriés'!$A$5:$A$23)))</f>
        <v>0</v>
      </c>
    </row>
    <row r="17" spans="1:29" x14ac:dyDescent="0.3">
      <c r="A17" s="13" t="s">
        <v>30</v>
      </c>
      <c r="B17" t="s">
        <v>159</v>
      </c>
      <c r="C17" t="s">
        <v>160</v>
      </c>
      <c r="D17" s="3">
        <v>2</v>
      </c>
      <c r="E17" t="s">
        <v>258</v>
      </c>
      <c r="F17" s="8">
        <f t="shared" si="2"/>
        <v>44146</v>
      </c>
      <c r="G17" s="3">
        <v>2</v>
      </c>
      <c r="H17" s="9">
        <f>WORKDAY(Tableau2[[#This Row],[Début]],Tableau2[[#This Row],[Durée]]-1)</f>
        <v>44147</v>
      </c>
      <c r="I17" s="3">
        <f ca="1">MAX(Tableau2[[#This Row],[teste]],0)</f>
        <v>0</v>
      </c>
      <c r="J17" s="6">
        <f ca="1">Tableau2[[#This Row],[J. Achevés]]/Tableau2[[#This Row],[Durée]]</f>
        <v>1</v>
      </c>
      <c r="K17">
        <f ca="1">IF(OR(TODAY()=Tableau2[[#This Row],[Début]],TODAY()&lt;Tableau2[[#This Row],[Début]]),Tableau2[[#This Row],[Durée]],Tableau2[[#This Row],[Durée]]-NETWORKDAYS(Tableau2[[#This Row],[Début]],TODAY())+1)</f>
        <v>-3</v>
      </c>
      <c r="L17" s="3">
        <f ca="1">IF(Tableau2[[#This Row],[J. Restants]]=0,Tableau2[[#This Row],[Durée]],Tableau2[[#This Row],[Durée]]-Tableau2[[#This Row],[J. Restants]])</f>
        <v>2</v>
      </c>
      <c r="M17" s="3"/>
      <c r="N17" s="14" t="s">
        <v>43</v>
      </c>
      <c r="O17" s="3" t="s">
        <v>124</v>
      </c>
      <c r="P17" s="2">
        <v>44162</v>
      </c>
      <c r="S17" s="16" t="s">
        <v>43</v>
      </c>
      <c r="T17" t="s">
        <v>101</v>
      </c>
      <c r="U17" s="7" t="s">
        <v>102</v>
      </c>
      <c r="V17" t="s">
        <v>22</v>
      </c>
      <c r="W17">
        <v>2</v>
      </c>
      <c r="X17" s="8">
        <f t="shared" si="0"/>
        <v>44162</v>
      </c>
      <c r="Y17" s="8">
        <f t="shared" si="1"/>
        <v>44183</v>
      </c>
      <c r="Z17" s="3">
        <v>8</v>
      </c>
      <c r="AA17" s="3" t="s">
        <v>61</v>
      </c>
      <c r="AB17" s="3">
        <f>NETWORKDAYS(X17,Y17,'Jours feriés'!$A$5:$A$23)</f>
        <v>16</v>
      </c>
      <c r="AC17" s="3">
        <f ca="1">IF(Tableau14[[#This Row],[Fin]]&lt;TODAY(),Tableau14[[#This Row],[Durée prévu]],IF(Tableau14[[#This Row],[Début]]&gt;TODAY(),0,NETWORKDAYS(Tableau14[[#This Row],[Début]],TODAY(),'Jours feriés'!$A$5:$A$23)))</f>
        <v>0</v>
      </c>
    </row>
    <row r="18" spans="1:29" x14ac:dyDescent="0.3">
      <c r="A18" s="13" t="s">
        <v>30</v>
      </c>
      <c r="B18" t="s">
        <v>161</v>
      </c>
      <c r="C18" t="s">
        <v>162</v>
      </c>
      <c r="D18" s="3">
        <v>3</v>
      </c>
      <c r="E18" t="s">
        <v>259</v>
      </c>
      <c r="F18" s="8">
        <f t="shared" si="2"/>
        <v>44148</v>
      </c>
      <c r="G18" s="3">
        <v>4</v>
      </c>
      <c r="H18" s="9">
        <f>WORKDAY(Tableau2[[#This Row],[Début]],Tableau2[[#This Row],[Durée]]-1)</f>
        <v>44153</v>
      </c>
      <c r="I18" s="3">
        <f ca="1">MAX(Tableau2[[#This Row],[teste]],0)</f>
        <v>1</v>
      </c>
      <c r="J18" s="6">
        <f ca="1">Tableau2[[#This Row],[J. Achevés]]/Tableau2[[#This Row],[Durée]]</f>
        <v>0.75</v>
      </c>
      <c r="K18">
        <f ca="1">IF(OR(TODAY()=Tableau2[[#This Row],[Début]],TODAY()&lt;Tableau2[[#This Row],[Début]]),Tableau2[[#This Row],[Durée]],Tableau2[[#This Row],[Durée]]-NETWORKDAYS(Tableau2[[#This Row],[Début]],TODAY())+1)</f>
        <v>1</v>
      </c>
      <c r="L18" s="3">
        <f ca="1">IF(Tableau2[[#This Row],[J. Restants]]=0,Tableau2[[#This Row],[Durée]],Tableau2[[#This Row],[Durée]]-Tableau2[[#This Row],[J. Restants]])</f>
        <v>3</v>
      </c>
      <c r="M18" s="3"/>
      <c r="N18" s="14" t="s">
        <v>44</v>
      </c>
      <c r="O18" s="3" t="s">
        <v>125</v>
      </c>
      <c r="P18" s="2">
        <v>44292</v>
      </c>
      <c r="S18" s="16" t="s">
        <v>39</v>
      </c>
      <c r="T18" t="s">
        <v>103</v>
      </c>
      <c r="U18" s="7" t="s">
        <v>104</v>
      </c>
      <c r="V18" t="s">
        <v>18</v>
      </c>
      <c r="W18">
        <v>2</v>
      </c>
      <c r="X18" s="8">
        <f t="shared" si="0"/>
        <v>44159</v>
      </c>
      <c r="Y18" s="8">
        <f t="shared" si="1"/>
        <v>44172</v>
      </c>
      <c r="Z18" s="3">
        <v>2</v>
      </c>
      <c r="AA18" s="3" t="s">
        <v>61</v>
      </c>
      <c r="AB18" s="3">
        <f>NETWORKDAYS(X18,Y18,'Jours feriés'!$A$5:$A$23)</f>
        <v>10</v>
      </c>
      <c r="AC18" s="3">
        <f ca="1">IF(Tableau14[[#This Row],[Fin]]&lt;TODAY(),Tableau14[[#This Row],[Durée prévu]],IF(Tableau14[[#This Row],[Début]]&gt;TODAY(),0,NETWORKDAYS(Tableau14[[#This Row],[Début]],TODAY(),'Jours feriés'!$A$5:$A$23)))</f>
        <v>0</v>
      </c>
    </row>
    <row r="19" spans="1:29" x14ac:dyDescent="0.3">
      <c r="A19" s="13" t="s">
        <v>30</v>
      </c>
      <c r="B19" t="s">
        <v>163</v>
      </c>
      <c r="C19" t="s">
        <v>164</v>
      </c>
      <c r="D19" s="3">
        <v>4</v>
      </c>
      <c r="E19" t="s">
        <v>260</v>
      </c>
      <c r="F19" s="8">
        <f t="shared" si="2"/>
        <v>44154</v>
      </c>
      <c r="G19" s="3">
        <v>1</v>
      </c>
      <c r="H19" s="9">
        <f>WORKDAY(Tableau2[[#This Row],[Début]],Tableau2[[#This Row],[Durée]]-1)</f>
        <v>44154</v>
      </c>
      <c r="I19" s="3">
        <f ca="1">MAX(Tableau2[[#This Row],[teste]],0)</f>
        <v>1</v>
      </c>
      <c r="J19" s="6">
        <f ca="1">Tableau2[[#This Row],[J. Achevés]]/Tableau2[[#This Row],[Durée]]</f>
        <v>0</v>
      </c>
      <c r="K19">
        <f ca="1">IF(OR(TODAY()=Tableau2[[#This Row],[Début]],TODAY()&lt;Tableau2[[#This Row],[Début]]),Tableau2[[#This Row],[Durée]],Tableau2[[#This Row],[Durée]]-NETWORKDAYS(Tableau2[[#This Row],[Début]],TODAY())+1)</f>
        <v>1</v>
      </c>
      <c r="L19" s="3">
        <f ca="1">IF(Tableau2[[#This Row],[J. Restants]]=0,Tableau2[[#This Row],[Durée]],Tableau2[[#This Row],[Durée]]-Tableau2[[#This Row],[J. Restants]])</f>
        <v>0</v>
      </c>
      <c r="M19" s="3"/>
      <c r="N19" s="14" t="s">
        <v>37</v>
      </c>
      <c r="O19" s="3" t="s">
        <v>126</v>
      </c>
      <c r="P19" s="2">
        <v>44145</v>
      </c>
      <c r="S19" s="17" t="s">
        <v>39</v>
      </c>
      <c r="T19" t="s">
        <v>105</v>
      </c>
      <c r="U19" s="7" t="s">
        <v>106</v>
      </c>
      <c r="V19" t="s">
        <v>20</v>
      </c>
      <c r="W19">
        <v>2</v>
      </c>
      <c r="X19" s="8">
        <f t="shared" si="0"/>
        <v>44159</v>
      </c>
      <c r="Y19" s="8">
        <f t="shared" si="1"/>
        <v>44172</v>
      </c>
      <c r="Z19" s="3">
        <v>5</v>
      </c>
      <c r="AA19" s="3" t="s">
        <v>61</v>
      </c>
      <c r="AB19" s="3">
        <f>NETWORKDAYS(X19,Y19,'Jours feriés'!$A$5:$A$23)</f>
        <v>10</v>
      </c>
      <c r="AC19" s="3">
        <f ca="1">IF(Tableau14[[#This Row],[Fin]]&lt;TODAY(),Tableau14[[#This Row],[Durée prévu]],IF(Tableau14[[#This Row],[Début]]&gt;TODAY(),0,NETWORKDAYS(Tableau14[[#This Row],[Début]],TODAY(),'Jours feriés'!$A$5:$A$23)))</f>
        <v>0</v>
      </c>
    </row>
    <row r="20" spans="1:29" x14ac:dyDescent="0.3">
      <c r="A20" s="13" t="s">
        <v>30</v>
      </c>
      <c r="B20" t="s">
        <v>165</v>
      </c>
      <c r="C20" t="s">
        <v>166</v>
      </c>
      <c r="D20" s="3">
        <v>5</v>
      </c>
      <c r="E20" t="s">
        <v>261</v>
      </c>
      <c r="F20" s="8">
        <f t="shared" si="2"/>
        <v>44155</v>
      </c>
      <c r="G20" s="3">
        <v>1</v>
      </c>
      <c r="H20" s="9">
        <f>WORKDAY(Tableau2[[#This Row],[Début]],Tableau2[[#This Row],[Durée]]-1)</f>
        <v>44155</v>
      </c>
      <c r="I20" s="3">
        <f ca="1">MAX(Tableau2[[#This Row],[teste]],0)</f>
        <v>1</v>
      </c>
      <c r="J20" s="6">
        <f ca="1">Tableau2[[#This Row],[J. Achevés]]/Tableau2[[#This Row],[Durée]]</f>
        <v>0</v>
      </c>
      <c r="K20">
        <f ca="1">IF(OR(TODAY()=Tableau2[[#This Row],[Début]],TODAY()&lt;Tableau2[[#This Row],[Début]]),Tableau2[[#This Row],[Durée]],Tableau2[[#This Row],[Durée]]-NETWORKDAYS(Tableau2[[#This Row],[Début]],TODAY())+1)</f>
        <v>1</v>
      </c>
      <c r="L20" s="3">
        <f ca="1">IF(Tableau2[[#This Row],[J. Restants]]=0,Tableau2[[#This Row],[Durée]],Tableau2[[#This Row],[Durée]]-Tableau2[[#This Row],[J. Restants]])</f>
        <v>0</v>
      </c>
      <c r="M20" s="3"/>
      <c r="N20" s="14" t="s">
        <v>38</v>
      </c>
      <c r="O20" s="3" t="s">
        <v>127</v>
      </c>
      <c r="P20" s="2">
        <v>44145</v>
      </c>
      <c r="S20" s="16" t="s">
        <v>39</v>
      </c>
      <c r="T20" t="s">
        <v>107</v>
      </c>
      <c r="U20" s="7" t="s">
        <v>108</v>
      </c>
      <c r="V20" t="s">
        <v>22</v>
      </c>
      <c r="W20">
        <v>3</v>
      </c>
      <c r="X20" s="8">
        <f t="shared" si="0"/>
        <v>44159</v>
      </c>
      <c r="Y20" s="8">
        <f t="shared" si="1"/>
        <v>44172</v>
      </c>
      <c r="Z20" s="3">
        <v>9</v>
      </c>
      <c r="AA20" s="3" t="s">
        <v>61</v>
      </c>
      <c r="AB20" s="3">
        <f>NETWORKDAYS(X20,Y20,'Jours feriés'!$A$5:$A$23)</f>
        <v>10</v>
      </c>
      <c r="AC20" s="3">
        <f ca="1">IF(Tableau14[[#This Row],[Fin]]&lt;TODAY(),Tableau14[[#This Row],[Durée prévu]],IF(Tableau14[[#This Row],[Début]]&gt;TODAY(),0,NETWORKDAYS(Tableau14[[#This Row],[Début]],TODAY(),'Jours feriés'!$A$5:$A$23)))</f>
        <v>0</v>
      </c>
    </row>
    <row r="21" spans="1:29" x14ac:dyDescent="0.3">
      <c r="A21" s="13" t="s">
        <v>30</v>
      </c>
      <c r="B21" t="s">
        <v>167</v>
      </c>
      <c r="C21" t="s">
        <v>168</v>
      </c>
      <c r="D21" s="5">
        <v>6</v>
      </c>
      <c r="E21" t="s">
        <v>262</v>
      </c>
      <c r="F21" s="8">
        <f t="shared" si="2"/>
        <v>44158</v>
      </c>
      <c r="G21" s="3">
        <v>3</v>
      </c>
      <c r="H21" s="9">
        <f>WORKDAY(Tableau2[[#This Row],[Début]],Tableau2[[#This Row],[Durée]]-1)</f>
        <v>44160</v>
      </c>
      <c r="I21" s="3">
        <f ca="1">MAX(Tableau2[[#This Row],[teste]],0)</f>
        <v>3</v>
      </c>
      <c r="J21" s="6">
        <f ca="1">Tableau2[[#This Row],[J. Achevés]]/Tableau2[[#This Row],[Durée]]</f>
        <v>0</v>
      </c>
      <c r="K21">
        <f ca="1">IF(OR(TODAY()=Tableau2[[#This Row],[Début]],TODAY()&lt;Tableau2[[#This Row],[Début]]),Tableau2[[#This Row],[Durée]],Tableau2[[#This Row],[Durée]]-NETWORKDAYS(Tableau2[[#This Row],[Début]],TODAY())+1)</f>
        <v>3</v>
      </c>
      <c r="L21" s="3">
        <f ca="1">IF(Tableau2[[#This Row],[J. Restants]]=0,Tableau2[[#This Row],[Durée]],Tableau2[[#This Row],[Durée]]-Tableau2[[#This Row],[J. Restants]])</f>
        <v>0</v>
      </c>
      <c r="M21" s="3"/>
      <c r="N21" s="14" t="s">
        <v>39</v>
      </c>
      <c r="O21" s="3" t="s">
        <v>128</v>
      </c>
      <c r="P21" s="2">
        <v>44159</v>
      </c>
    </row>
    <row r="22" spans="1:29" x14ac:dyDescent="0.3">
      <c r="A22" s="13" t="s">
        <v>30</v>
      </c>
      <c r="B22" t="s">
        <v>169</v>
      </c>
      <c r="C22" t="s">
        <v>170</v>
      </c>
      <c r="D22" s="3">
        <v>7</v>
      </c>
      <c r="E22" t="s">
        <v>263</v>
      </c>
      <c r="F22" s="8">
        <f t="shared" si="2"/>
        <v>44161</v>
      </c>
      <c r="G22" s="3">
        <v>7</v>
      </c>
      <c r="H22" s="9">
        <f>WORKDAY(Tableau2[[#This Row],[Début]],Tableau2[[#This Row],[Durée]]-1)</f>
        <v>44169</v>
      </c>
      <c r="I22" s="3">
        <f ca="1">MAX(Tableau2[[#This Row],[teste]],0)</f>
        <v>7</v>
      </c>
      <c r="J22" s="6">
        <f ca="1">Tableau2[[#This Row],[J. Achevés]]/Tableau2[[#This Row],[Durée]]</f>
        <v>0</v>
      </c>
      <c r="K22">
        <f ca="1">IF(OR(TODAY()=Tableau2[[#This Row],[Début]],TODAY()&lt;Tableau2[[#This Row],[Début]]),Tableau2[[#This Row],[Durée]],Tableau2[[#This Row],[Durée]]-NETWORKDAYS(Tableau2[[#This Row],[Début]],TODAY())+1)</f>
        <v>7</v>
      </c>
      <c r="L22" s="3">
        <f ca="1">IF(Tableau2[[#This Row],[J. Restants]]=0,Tableau2[[#This Row],[Durée]],Tableau2[[#This Row],[Durée]]-Tableau2[[#This Row],[J. Restants]])</f>
        <v>0</v>
      </c>
      <c r="M22" s="3"/>
      <c r="N22" s="3"/>
      <c r="O22" s="3"/>
    </row>
    <row r="23" spans="1:29" x14ac:dyDescent="0.3">
      <c r="A23" s="13" t="s">
        <v>30</v>
      </c>
      <c r="B23" t="s">
        <v>171</v>
      </c>
      <c r="C23" t="s">
        <v>172</v>
      </c>
      <c r="D23" s="3">
        <v>8</v>
      </c>
      <c r="E23" t="s">
        <v>264</v>
      </c>
      <c r="F23" s="8">
        <f t="shared" si="2"/>
        <v>44172</v>
      </c>
      <c r="G23" s="3">
        <v>1</v>
      </c>
      <c r="H23" s="9">
        <f>WORKDAY(Tableau2[[#This Row],[Début]],Tableau2[[#This Row],[Durée]]-1)</f>
        <v>44172</v>
      </c>
      <c r="I23" s="3">
        <f ca="1">MAX(Tableau2[[#This Row],[teste]],0)</f>
        <v>1</v>
      </c>
      <c r="J23" s="6">
        <f ca="1">Tableau2[[#This Row],[J. Achevés]]/Tableau2[[#This Row],[Durée]]</f>
        <v>0</v>
      </c>
      <c r="K23">
        <f ca="1">IF(OR(TODAY()=Tableau2[[#This Row],[Début]],TODAY()&lt;Tableau2[[#This Row],[Début]]),Tableau2[[#This Row],[Durée]],Tableau2[[#This Row],[Durée]]-NETWORKDAYS(Tableau2[[#This Row],[Début]],TODAY())+1)</f>
        <v>1</v>
      </c>
      <c r="L23" s="3">
        <f ca="1">IF(Tableau2[[#This Row],[J. Restants]]=0,Tableau2[[#This Row],[Durée]],Tableau2[[#This Row],[Durée]]-Tableau2[[#This Row],[J. Restants]])</f>
        <v>0</v>
      </c>
      <c r="M23" s="3"/>
      <c r="N23" s="3"/>
      <c r="O23" s="3"/>
    </row>
    <row r="24" spans="1:29" x14ac:dyDescent="0.3">
      <c r="A24" s="13" t="s">
        <v>30</v>
      </c>
      <c r="B24" t="s">
        <v>173</v>
      </c>
      <c r="C24" t="s">
        <v>174</v>
      </c>
      <c r="D24" s="3">
        <v>9</v>
      </c>
      <c r="E24" t="s">
        <v>265</v>
      </c>
      <c r="F24" s="8">
        <f t="shared" si="2"/>
        <v>44173</v>
      </c>
      <c r="G24" s="3">
        <v>2</v>
      </c>
      <c r="H24" s="9">
        <f>WORKDAY(Tableau2[[#This Row],[Début]],Tableau2[[#This Row],[Durée]]-1)</f>
        <v>44174</v>
      </c>
      <c r="I24" s="3">
        <f ca="1">MAX(Tableau2[[#This Row],[teste]],0)</f>
        <v>2</v>
      </c>
      <c r="J24" s="6">
        <f ca="1">Tableau2[[#This Row],[J. Achevés]]/Tableau2[[#This Row],[Durée]]</f>
        <v>0</v>
      </c>
      <c r="K24">
        <f ca="1">IF(OR(TODAY()=Tableau2[[#This Row],[Début]],TODAY()&lt;Tableau2[[#This Row],[Début]]),Tableau2[[#This Row],[Durée]],Tableau2[[#This Row],[Durée]]-NETWORKDAYS(Tableau2[[#This Row],[Début]],TODAY())+1)</f>
        <v>2</v>
      </c>
      <c r="L24" s="3">
        <f ca="1">IF(Tableau2[[#This Row],[J. Restants]]=0,Tableau2[[#This Row],[Durée]],Tableau2[[#This Row],[Durée]]-Tableau2[[#This Row],[J. Restants]])</f>
        <v>0</v>
      </c>
      <c r="M24" s="3"/>
      <c r="N24" s="3"/>
      <c r="O24" s="3"/>
    </row>
    <row r="25" spans="1:29" x14ac:dyDescent="0.3">
      <c r="A25" s="13" t="s">
        <v>31</v>
      </c>
      <c r="B25" t="s">
        <v>175</v>
      </c>
      <c r="C25" t="s">
        <v>176</v>
      </c>
      <c r="D25" s="3">
        <v>10</v>
      </c>
      <c r="E25" t="s">
        <v>266</v>
      </c>
      <c r="F25" s="8">
        <f t="shared" si="2"/>
        <v>44291</v>
      </c>
      <c r="G25" s="3">
        <v>1</v>
      </c>
      <c r="H25" s="9">
        <f>WORKDAY(Tableau2[[#This Row],[Début]],Tableau2[[#This Row],[Durée]]-1)</f>
        <v>44291</v>
      </c>
      <c r="I25" s="3">
        <f ca="1">MAX(Tableau2[[#This Row],[teste]],0)</f>
        <v>1</v>
      </c>
      <c r="J25" s="6">
        <f ca="1">Tableau2[[#This Row],[J. Achevés]]/Tableau2[[#This Row],[Durée]]</f>
        <v>0</v>
      </c>
      <c r="K25">
        <f ca="1">IF(OR(TODAY()=Tableau2[[#This Row],[Début]],TODAY()&lt;Tableau2[[#This Row],[Début]]),Tableau2[[#This Row],[Durée]],Tableau2[[#This Row],[Durée]]-NETWORKDAYS(Tableau2[[#This Row],[Début]],TODAY())+1)</f>
        <v>1</v>
      </c>
      <c r="L25" s="3">
        <f ca="1">IF(Tableau2[[#This Row],[J. Restants]]=0,Tableau2[[#This Row],[Durée]],Tableau2[[#This Row],[Durée]]-Tableau2[[#This Row],[J. Restants]])</f>
        <v>0</v>
      </c>
      <c r="M25" s="3"/>
      <c r="N25" s="3"/>
      <c r="O25" s="3"/>
    </row>
    <row r="26" spans="1:29" ht="15" customHeight="1" x14ac:dyDescent="0.3">
      <c r="A26" s="13" t="s">
        <v>32</v>
      </c>
      <c r="B26" t="s">
        <v>177</v>
      </c>
      <c r="C26" t="s">
        <v>178</v>
      </c>
      <c r="D26" s="3">
        <v>1</v>
      </c>
      <c r="E26" t="s">
        <v>267</v>
      </c>
      <c r="F26" s="8">
        <f t="shared" si="2"/>
        <v>44131</v>
      </c>
      <c r="G26" s="3">
        <v>1</v>
      </c>
      <c r="H26" s="9">
        <f>WORKDAY(Tableau2[[#This Row],[Début]],Tableau2[[#This Row],[Durée]]-1)</f>
        <v>44131</v>
      </c>
      <c r="I26" s="3">
        <f ca="1">MAX(Tableau2[[#This Row],[teste]],0)</f>
        <v>0</v>
      </c>
      <c r="J26" s="6">
        <f ca="1">Tableau2[[#This Row],[J. Achevés]]/Tableau2[[#This Row],[Durée]]</f>
        <v>1</v>
      </c>
      <c r="K26">
        <f ca="1">IF(OR(TODAY()=Tableau2[[#This Row],[Début]],TODAY()&lt;Tableau2[[#This Row],[Début]]),Tableau2[[#This Row],[Durée]],Tableau2[[#This Row],[Durée]]-NETWORKDAYS(Tableau2[[#This Row],[Début]],TODAY())+1)</f>
        <v>-15</v>
      </c>
      <c r="L26" s="3">
        <f ca="1">IF(Tableau2[[#This Row],[J. Restants]]=0,Tableau2[[#This Row],[Durée]],Tableau2[[#This Row],[Durée]]-Tableau2[[#This Row],[J. Restants]])</f>
        <v>1</v>
      </c>
      <c r="M26" s="3"/>
      <c r="N26" s="3"/>
      <c r="O26" s="3"/>
    </row>
    <row r="27" spans="1:29" x14ac:dyDescent="0.3">
      <c r="A27" s="13" t="s">
        <v>33</v>
      </c>
      <c r="B27" t="s">
        <v>179</v>
      </c>
      <c r="C27" t="s">
        <v>180</v>
      </c>
      <c r="D27" s="3">
        <v>2</v>
      </c>
      <c r="E27" t="s">
        <v>268</v>
      </c>
      <c r="F27" s="8">
        <f t="shared" si="2"/>
        <v>44131</v>
      </c>
      <c r="G27" s="3">
        <v>1</v>
      </c>
      <c r="H27" s="9">
        <f>WORKDAY(Tableau2[[#This Row],[Début]],Tableau2[[#This Row],[Durée]]-1)</f>
        <v>44131</v>
      </c>
      <c r="I27" s="3">
        <f ca="1">MAX(Tableau2[[#This Row],[teste]],0)</f>
        <v>0</v>
      </c>
      <c r="J27" s="6">
        <f ca="1">Tableau2[[#This Row],[J. Achevés]]/Tableau2[[#This Row],[Durée]]</f>
        <v>1</v>
      </c>
      <c r="K27">
        <f ca="1">IF(OR(TODAY()=Tableau2[[#This Row],[Début]],TODAY()&lt;Tableau2[[#This Row],[Début]]),Tableau2[[#This Row],[Durée]],Tableau2[[#This Row],[Durée]]-NETWORKDAYS(Tableau2[[#This Row],[Début]],TODAY())+1)</f>
        <v>-15</v>
      </c>
      <c r="L27" s="3">
        <f ca="1">IF(Tableau2[[#This Row],[J. Restants]]=0,Tableau2[[#This Row],[Durée]],Tableau2[[#This Row],[Durée]]-Tableau2[[#This Row],[J. Restants]])</f>
        <v>1</v>
      </c>
      <c r="M27" s="3"/>
      <c r="N27" s="3"/>
      <c r="O27" s="3"/>
    </row>
    <row r="28" spans="1:29" x14ac:dyDescent="0.3">
      <c r="A28" s="13" t="s">
        <v>34</v>
      </c>
      <c r="B28" t="s">
        <v>181</v>
      </c>
      <c r="C28" t="s">
        <v>182</v>
      </c>
      <c r="D28" s="3">
        <v>3</v>
      </c>
      <c r="E28" t="s">
        <v>269</v>
      </c>
      <c r="F28" s="8">
        <f t="shared" si="2"/>
        <v>44131</v>
      </c>
      <c r="G28" s="3">
        <v>1</v>
      </c>
      <c r="H28" s="9">
        <f>WORKDAY(Tableau2[[#This Row],[Début]],Tableau2[[#This Row],[Durée]]-1)</f>
        <v>44131</v>
      </c>
      <c r="I28" s="3">
        <f ca="1">MAX(Tableau2[[#This Row],[teste]],0)</f>
        <v>0</v>
      </c>
      <c r="J28" s="6">
        <f ca="1">Tableau2[[#This Row],[J. Achevés]]/Tableau2[[#This Row],[Durée]]</f>
        <v>1</v>
      </c>
      <c r="K28">
        <f ca="1">IF(OR(TODAY()=Tableau2[[#This Row],[Début]],TODAY()&lt;Tableau2[[#This Row],[Début]]),Tableau2[[#This Row],[Durée]],Tableau2[[#This Row],[Durée]]-NETWORKDAYS(Tableau2[[#This Row],[Début]],TODAY())+1)</f>
        <v>-15</v>
      </c>
      <c r="L28" s="3">
        <f ca="1">IF(Tableau2[[#This Row],[J. Restants]]=0,Tableau2[[#This Row],[Durée]],Tableau2[[#This Row],[Durée]]-Tableau2[[#This Row],[J. Restants]])</f>
        <v>1</v>
      </c>
      <c r="M28" s="3"/>
      <c r="N28" s="3"/>
      <c r="O28" s="3"/>
    </row>
    <row r="29" spans="1:29" x14ac:dyDescent="0.3">
      <c r="A29" s="15" t="s">
        <v>35</v>
      </c>
      <c r="B29" t="s">
        <v>183</v>
      </c>
      <c r="C29" t="s">
        <v>184</v>
      </c>
      <c r="D29" s="3">
        <v>4</v>
      </c>
      <c r="E29" t="s">
        <v>270</v>
      </c>
      <c r="F29" s="8">
        <f t="shared" si="2"/>
        <v>44131</v>
      </c>
      <c r="G29" s="3">
        <v>1</v>
      </c>
      <c r="H29" s="9">
        <f>WORKDAY(Tableau2[[#This Row],[Début]],Tableau2[[#This Row],[Durée]]-1)</f>
        <v>44131</v>
      </c>
      <c r="I29" s="3">
        <f ca="1">MAX(Tableau2[[#This Row],[teste]],0)</f>
        <v>0</v>
      </c>
      <c r="J29" s="6">
        <f ca="1">Tableau2[[#This Row],[J. Achevés]]/Tableau2[[#This Row],[Durée]]</f>
        <v>1</v>
      </c>
      <c r="K29">
        <f ca="1">IF(OR(TODAY()=Tableau2[[#This Row],[Début]],TODAY()&lt;Tableau2[[#This Row],[Début]]),Tableau2[[#This Row],[Durée]],Tableau2[[#This Row],[Durée]]-NETWORKDAYS(Tableau2[[#This Row],[Début]],TODAY())+1)</f>
        <v>-15</v>
      </c>
      <c r="L29" s="3">
        <f ca="1">IF(Tableau2[[#This Row],[J. Restants]]=0,Tableau2[[#This Row],[Durée]],Tableau2[[#This Row],[Durée]]-Tableau2[[#This Row],[J. Restants]])</f>
        <v>1</v>
      </c>
      <c r="M29" s="3"/>
      <c r="N29" s="3"/>
      <c r="O29" s="3"/>
    </row>
    <row r="30" spans="1:29" x14ac:dyDescent="0.3">
      <c r="A30" s="13" t="s">
        <v>36</v>
      </c>
      <c r="B30" t="s">
        <v>185</v>
      </c>
      <c r="C30" t="s">
        <v>186</v>
      </c>
      <c r="D30" s="3">
        <v>1</v>
      </c>
      <c r="E30" t="s">
        <v>271</v>
      </c>
      <c r="F30" s="8">
        <f t="shared" si="2"/>
        <v>44146</v>
      </c>
      <c r="G30" s="3">
        <v>1</v>
      </c>
      <c r="H30" s="9">
        <f>WORKDAY(Tableau2[[#This Row],[Début]],Tableau2[[#This Row],[Durée]]-1)</f>
        <v>44146</v>
      </c>
      <c r="I30" s="3">
        <f ca="1">MAX(Tableau2[[#This Row],[teste]],0)</f>
        <v>0</v>
      </c>
      <c r="J30" s="6">
        <f ca="1">Tableau2[[#This Row],[J. Achevés]]/Tableau2[[#This Row],[Durée]]</f>
        <v>1</v>
      </c>
      <c r="K30">
        <f ca="1">IF(OR(TODAY()=Tableau2[[#This Row],[Début]],TODAY()&lt;Tableau2[[#This Row],[Début]]),Tableau2[[#This Row],[Durée]],Tableau2[[#This Row],[Durée]]-NETWORKDAYS(Tableau2[[#This Row],[Début]],TODAY())+1)</f>
        <v>-4</v>
      </c>
      <c r="L30" s="3">
        <f ca="1">IF(Tableau2[[#This Row],[J. Restants]]=0,Tableau2[[#This Row],[Durée]],Tableau2[[#This Row],[Durée]]-Tableau2[[#This Row],[J. Restants]])</f>
        <v>1</v>
      </c>
      <c r="M30" s="3"/>
      <c r="N30" s="3"/>
      <c r="O30" s="3"/>
    </row>
    <row r="31" spans="1:29" x14ac:dyDescent="0.3">
      <c r="A31" s="13" t="s">
        <v>36</v>
      </c>
      <c r="B31" t="s">
        <v>187</v>
      </c>
      <c r="C31" t="s">
        <v>188</v>
      </c>
      <c r="D31" s="5">
        <v>2</v>
      </c>
      <c r="E31" t="s">
        <v>272</v>
      </c>
      <c r="F31" s="8">
        <f t="shared" si="2"/>
        <v>44147</v>
      </c>
      <c r="G31" s="3">
        <v>1</v>
      </c>
      <c r="H31" s="9">
        <f>WORKDAY(Tableau2[[#This Row],[Début]],Tableau2[[#This Row],[Durée]]-1)</f>
        <v>44147</v>
      </c>
      <c r="I31" s="3">
        <f ca="1">MAX(Tableau2[[#This Row],[teste]],0)</f>
        <v>0</v>
      </c>
      <c r="J31" s="6">
        <f ca="1">Tableau2[[#This Row],[J. Achevés]]/Tableau2[[#This Row],[Durée]]</f>
        <v>1</v>
      </c>
      <c r="K31">
        <f ca="1">IF(OR(TODAY()=Tableau2[[#This Row],[Début]],TODAY()&lt;Tableau2[[#This Row],[Début]]),Tableau2[[#This Row],[Durée]],Tableau2[[#This Row],[Durée]]-NETWORKDAYS(Tableau2[[#This Row],[Début]],TODAY())+1)</f>
        <v>-3</v>
      </c>
      <c r="L31" s="3">
        <f ca="1">IF(Tableau2[[#This Row],[J. Restants]]=0,Tableau2[[#This Row],[Durée]],Tableau2[[#This Row],[Durée]]-Tableau2[[#This Row],[J. Restants]])</f>
        <v>1</v>
      </c>
      <c r="M31" s="3"/>
      <c r="N31" s="3"/>
      <c r="O31" s="3"/>
    </row>
    <row r="32" spans="1:29" x14ac:dyDescent="0.3">
      <c r="A32" s="13" t="s">
        <v>36</v>
      </c>
      <c r="B32" t="s">
        <v>189</v>
      </c>
      <c r="C32" t="s">
        <v>190</v>
      </c>
      <c r="D32" s="3">
        <v>3</v>
      </c>
      <c r="E32" t="s">
        <v>273</v>
      </c>
      <c r="F32" s="8">
        <f t="shared" si="2"/>
        <v>44148</v>
      </c>
      <c r="G32" s="3">
        <v>1</v>
      </c>
      <c r="H32" s="9">
        <f>WORKDAY(Tableau2[[#This Row],[Début]],Tableau2[[#This Row],[Durée]]-1)</f>
        <v>44148</v>
      </c>
      <c r="I32" s="3">
        <f ca="1">MAX(Tableau2[[#This Row],[teste]],0)</f>
        <v>0</v>
      </c>
      <c r="J32" s="6">
        <f ca="1">Tableau2[[#This Row],[J. Achevés]]/Tableau2[[#This Row],[Durée]]</f>
        <v>1</v>
      </c>
      <c r="K32">
        <f ca="1">IF(OR(TODAY()=Tableau2[[#This Row],[Début]],TODAY()&lt;Tableau2[[#This Row],[Début]]),Tableau2[[#This Row],[Durée]],Tableau2[[#This Row],[Durée]]-NETWORKDAYS(Tableau2[[#This Row],[Début]],TODAY())+1)</f>
        <v>-2</v>
      </c>
      <c r="L32" s="3">
        <f ca="1">IF(Tableau2[[#This Row],[J. Restants]]=0,Tableau2[[#This Row],[Durée]],Tableau2[[#This Row],[Durée]]-Tableau2[[#This Row],[J. Restants]])</f>
        <v>1</v>
      </c>
      <c r="M32" s="3"/>
      <c r="N32" s="3"/>
      <c r="O32" s="3"/>
    </row>
    <row r="33" spans="1:29" x14ac:dyDescent="0.3">
      <c r="A33" s="13" t="s">
        <v>36</v>
      </c>
      <c r="B33" t="s">
        <v>191</v>
      </c>
      <c r="C33" t="s">
        <v>192</v>
      </c>
      <c r="D33" s="3">
        <v>4</v>
      </c>
      <c r="E33" t="s">
        <v>274</v>
      </c>
      <c r="F33" s="8">
        <f t="shared" si="2"/>
        <v>44151</v>
      </c>
      <c r="G33" s="3">
        <v>3</v>
      </c>
      <c r="H33" s="9">
        <f>WORKDAY(Tableau2[[#This Row],[Début]],Tableau2[[#This Row],[Durée]]-1)</f>
        <v>44153</v>
      </c>
      <c r="I33" s="3">
        <f ca="1">MAX(Tableau2[[#This Row],[teste]],0)</f>
        <v>1</v>
      </c>
      <c r="J33" s="6">
        <f ca="1">Tableau2[[#This Row],[J. Achevés]]/Tableau2[[#This Row],[Durée]]</f>
        <v>0.66666666666666663</v>
      </c>
      <c r="K33">
        <f ca="1">IF(OR(TODAY()=Tableau2[[#This Row],[Début]],TODAY()&lt;Tableau2[[#This Row],[Début]]),Tableau2[[#This Row],[Durée]],Tableau2[[#This Row],[Durée]]-NETWORKDAYS(Tableau2[[#This Row],[Début]],TODAY())+1)</f>
        <v>1</v>
      </c>
      <c r="L33" s="3">
        <f ca="1">IF(Tableau2[[#This Row],[J. Restants]]=0,Tableau2[[#This Row],[Durée]],Tableau2[[#This Row],[Durée]]-Tableau2[[#This Row],[J. Restants]])</f>
        <v>2</v>
      </c>
      <c r="M33" s="3"/>
      <c r="N33" s="3"/>
      <c r="O33" s="3"/>
    </row>
    <row r="34" spans="1:29" x14ac:dyDescent="0.3">
      <c r="A34" s="13" t="s">
        <v>36</v>
      </c>
      <c r="B34" t="s">
        <v>193</v>
      </c>
      <c r="C34" t="s">
        <v>194</v>
      </c>
      <c r="D34" s="3">
        <v>5</v>
      </c>
      <c r="E34" t="s">
        <v>275</v>
      </c>
      <c r="F34" s="8">
        <f t="shared" ref="F34:F58" si="3">IF(A33=A34,WORKDAY.INTL(H33,1),VLOOKUP(A34,N$2:P$28,3))</f>
        <v>44154</v>
      </c>
      <c r="G34" s="3">
        <v>2</v>
      </c>
      <c r="H34" s="9">
        <f>WORKDAY(Tableau2[[#This Row],[Début]],Tableau2[[#This Row],[Durée]]-1)</f>
        <v>44155</v>
      </c>
      <c r="I34" s="3">
        <f ca="1">MAX(Tableau2[[#This Row],[teste]],0)</f>
        <v>2</v>
      </c>
      <c r="J34" s="6">
        <f ca="1">Tableau2[[#This Row],[J. Achevés]]/Tableau2[[#This Row],[Durée]]</f>
        <v>0</v>
      </c>
      <c r="K34">
        <f ca="1">IF(OR(TODAY()=Tableau2[[#This Row],[Début]],TODAY()&lt;Tableau2[[#This Row],[Début]]),Tableau2[[#This Row],[Durée]],Tableau2[[#This Row],[Durée]]-NETWORKDAYS(Tableau2[[#This Row],[Début]],TODAY())+1)</f>
        <v>2</v>
      </c>
      <c r="L34" s="3">
        <f ca="1">IF(Tableau2[[#This Row],[J. Restants]]=0,Tableau2[[#This Row],[Durée]],Tableau2[[#This Row],[Durée]]-Tableau2[[#This Row],[J. Restants]])</f>
        <v>0</v>
      </c>
      <c r="M34" s="3"/>
      <c r="N34" s="3"/>
      <c r="O34" s="3"/>
    </row>
    <row r="35" spans="1:29" x14ac:dyDescent="0.3">
      <c r="A35" s="13" t="s">
        <v>36</v>
      </c>
      <c r="B35" t="s">
        <v>195</v>
      </c>
      <c r="C35" t="s">
        <v>196</v>
      </c>
      <c r="D35" s="3">
        <v>6</v>
      </c>
      <c r="E35" t="s">
        <v>276</v>
      </c>
      <c r="F35" s="8">
        <f t="shared" si="3"/>
        <v>44158</v>
      </c>
      <c r="G35" s="3">
        <v>1</v>
      </c>
      <c r="H35" s="9">
        <f>WORKDAY(Tableau2[[#This Row],[Début]],Tableau2[[#This Row],[Durée]]-1)</f>
        <v>44158</v>
      </c>
      <c r="I35" s="3">
        <f ca="1">MAX(Tableau2[[#This Row],[teste]],0)</f>
        <v>1</v>
      </c>
      <c r="J35" s="6">
        <f ca="1">Tableau2[[#This Row],[J. Achevés]]/Tableau2[[#This Row],[Durée]]</f>
        <v>0</v>
      </c>
      <c r="K35">
        <f ca="1">IF(OR(TODAY()=Tableau2[[#This Row],[Début]],TODAY()&lt;Tableau2[[#This Row],[Début]]),Tableau2[[#This Row],[Durée]],Tableau2[[#This Row],[Durée]]-NETWORKDAYS(Tableau2[[#This Row],[Début]],TODAY())+1)</f>
        <v>1</v>
      </c>
      <c r="L35" s="3">
        <f ca="1">IF(Tableau2[[#This Row],[J. Restants]]=0,Tableau2[[#This Row],[Durée]],Tableau2[[#This Row],[Durée]]-Tableau2[[#This Row],[J. Restants]])</f>
        <v>0</v>
      </c>
      <c r="M35" s="3"/>
      <c r="N35" s="3"/>
      <c r="O35" s="3"/>
    </row>
    <row r="36" spans="1:29" x14ac:dyDescent="0.3">
      <c r="A36" s="13" t="s">
        <v>37</v>
      </c>
      <c r="B36" t="s">
        <v>197</v>
      </c>
      <c r="C36" t="s">
        <v>198</v>
      </c>
      <c r="D36" s="3">
        <v>1</v>
      </c>
      <c r="E36" t="s">
        <v>277</v>
      </c>
      <c r="F36" s="8">
        <f t="shared" si="3"/>
        <v>44145</v>
      </c>
      <c r="G36" s="3">
        <v>1</v>
      </c>
      <c r="H36" s="9">
        <f>WORKDAY(Tableau2[[#This Row],[Début]],Tableau2[[#This Row],[Durée]]-1)</f>
        <v>44145</v>
      </c>
      <c r="I36" s="3">
        <f ca="1">MAX(Tableau2[[#This Row],[teste]],0)</f>
        <v>0</v>
      </c>
      <c r="J36" s="6">
        <f ca="1">Tableau2[[#This Row],[J. Achevés]]/Tableau2[[#This Row],[Durée]]</f>
        <v>1</v>
      </c>
      <c r="K36">
        <f ca="1">IF(OR(TODAY()=Tableau2[[#This Row],[Début]],TODAY()&lt;Tableau2[[#This Row],[Début]]),Tableau2[[#This Row],[Durée]],Tableau2[[#This Row],[Durée]]-NETWORKDAYS(Tableau2[[#This Row],[Début]],TODAY())+1)</f>
        <v>-5</v>
      </c>
      <c r="L36" s="3">
        <f ca="1">IF(Tableau2[[#This Row],[J. Restants]]=0,Tableau2[[#This Row],[Durée]],Tableau2[[#This Row],[Durée]]-Tableau2[[#This Row],[J. Restants]])</f>
        <v>1</v>
      </c>
      <c r="M36" s="3"/>
      <c r="N36" s="3"/>
      <c r="O36" s="3"/>
    </row>
    <row r="37" spans="1:29" x14ac:dyDescent="0.3">
      <c r="A37" s="13" t="s">
        <v>38</v>
      </c>
      <c r="B37" t="s">
        <v>199</v>
      </c>
      <c r="C37" t="s">
        <v>200</v>
      </c>
      <c r="D37" s="3">
        <v>2</v>
      </c>
      <c r="E37" t="s">
        <v>278</v>
      </c>
      <c r="F37" s="8">
        <f t="shared" si="3"/>
        <v>44145</v>
      </c>
      <c r="G37" s="3">
        <v>1</v>
      </c>
      <c r="H37" s="9">
        <f>WORKDAY(Tableau2[[#This Row],[Début]],Tableau2[[#This Row],[Durée]]-1)</f>
        <v>44145</v>
      </c>
      <c r="I37" s="3">
        <f ca="1">MAX(Tableau2[[#This Row],[teste]],0)</f>
        <v>0</v>
      </c>
      <c r="J37" s="6">
        <f ca="1">Tableau2[[#This Row],[J. Achevés]]/Tableau2[[#This Row],[Durée]]</f>
        <v>1</v>
      </c>
      <c r="K37">
        <f ca="1">IF(OR(TODAY()=Tableau2[[#This Row],[Début]],TODAY()&lt;Tableau2[[#This Row],[Début]]),Tableau2[[#This Row],[Durée]],Tableau2[[#This Row],[Durée]]-NETWORKDAYS(Tableau2[[#This Row],[Début]],TODAY())+1)</f>
        <v>-5</v>
      </c>
      <c r="L37" s="3">
        <f ca="1">IF(Tableau2[[#This Row],[J. Restants]]=0,Tableau2[[#This Row],[Durée]],Tableau2[[#This Row],[Durée]]-Tableau2[[#This Row],[J. Restants]])</f>
        <v>1</v>
      </c>
      <c r="M37" s="3"/>
      <c r="N37" s="3"/>
      <c r="O37" s="3"/>
    </row>
    <row r="38" spans="1:29" x14ac:dyDescent="0.3">
      <c r="A38" s="13" t="s">
        <v>39</v>
      </c>
      <c r="B38" t="s">
        <v>201</v>
      </c>
      <c r="C38" t="s">
        <v>202</v>
      </c>
      <c r="D38" s="3">
        <v>1</v>
      </c>
      <c r="E38" t="s">
        <v>279</v>
      </c>
      <c r="F38" s="8">
        <f t="shared" si="3"/>
        <v>44159</v>
      </c>
      <c r="G38" s="3">
        <v>1</v>
      </c>
      <c r="H38" s="9">
        <f>WORKDAY(Tableau2[[#This Row],[Début]],Tableau2[[#This Row],[Durée]]-1)</f>
        <v>44159</v>
      </c>
      <c r="I38" s="3">
        <f ca="1">MAX(Tableau2[[#This Row],[teste]],0)</f>
        <v>1</v>
      </c>
      <c r="J38" s="6">
        <f ca="1">Tableau2[[#This Row],[J. Achevés]]/Tableau2[[#This Row],[Durée]]</f>
        <v>0</v>
      </c>
      <c r="K38">
        <f ca="1">IF(OR(TODAY()=Tableau2[[#This Row],[Début]],TODAY()&lt;Tableau2[[#This Row],[Début]]),Tableau2[[#This Row],[Durée]],Tableau2[[#This Row],[Durée]]-NETWORKDAYS(Tableau2[[#This Row],[Début]],TODAY())+1)</f>
        <v>1</v>
      </c>
      <c r="L38" s="3">
        <f ca="1">IF(Tableau2[[#This Row],[J. Restants]]=0,Tableau2[[#This Row],[Durée]],Tableau2[[#This Row],[Durée]]-Tableau2[[#This Row],[J. Restants]])</f>
        <v>0</v>
      </c>
      <c r="M38" s="3"/>
      <c r="N38" s="3"/>
      <c r="O38" s="3"/>
      <c r="X38" s="3"/>
      <c r="Y38" s="3"/>
      <c r="AB38"/>
      <c r="AC38"/>
    </row>
    <row r="39" spans="1:29" x14ac:dyDescent="0.3">
      <c r="A39" s="13" t="s">
        <v>39</v>
      </c>
      <c r="B39" t="s">
        <v>203</v>
      </c>
      <c r="C39" t="s">
        <v>204</v>
      </c>
      <c r="D39" s="3">
        <v>2</v>
      </c>
      <c r="E39" t="s">
        <v>280</v>
      </c>
      <c r="F39" s="8">
        <f t="shared" si="3"/>
        <v>44160</v>
      </c>
      <c r="G39" s="3">
        <v>2</v>
      </c>
      <c r="H39" s="9">
        <f>WORKDAY(Tableau2[[#This Row],[Début]],Tableau2[[#This Row],[Durée]]-1)</f>
        <v>44161</v>
      </c>
      <c r="I39" s="3">
        <f ca="1">MAX(Tableau2[[#This Row],[teste]],0)</f>
        <v>2</v>
      </c>
      <c r="J39" s="6">
        <f ca="1">Tableau2[[#This Row],[J. Achevés]]/Tableau2[[#This Row],[Durée]]</f>
        <v>0</v>
      </c>
      <c r="K39">
        <f ca="1">IF(OR(TODAY()=Tableau2[[#This Row],[Début]],TODAY()&lt;Tableau2[[#This Row],[Début]]),Tableau2[[#This Row],[Durée]],Tableau2[[#This Row],[Durée]]-NETWORKDAYS(Tableau2[[#This Row],[Début]],TODAY())+1)</f>
        <v>2</v>
      </c>
      <c r="L39" s="3">
        <f ca="1">IF(Tableau2[[#This Row],[J. Restants]]=0,Tableau2[[#This Row],[Durée]],Tableau2[[#This Row],[Durée]]-Tableau2[[#This Row],[J. Restants]])</f>
        <v>0</v>
      </c>
      <c r="M39" s="3"/>
      <c r="N39" s="3"/>
      <c r="O39" s="3"/>
      <c r="X39" s="3"/>
      <c r="Y39" s="3"/>
      <c r="AB39"/>
      <c r="AC39"/>
    </row>
    <row r="40" spans="1:29" x14ac:dyDescent="0.3">
      <c r="A40" s="13" t="s">
        <v>39</v>
      </c>
      <c r="B40" t="s">
        <v>205</v>
      </c>
      <c r="C40" t="s">
        <v>206</v>
      </c>
      <c r="D40" s="3">
        <v>3</v>
      </c>
      <c r="E40" t="s">
        <v>281</v>
      </c>
      <c r="F40" s="8">
        <f t="shared" si="3"/>
        <v>44162</v>
      </c>
      <c r="G40" s="3">
        <v>1</v>
      </c>
      <c r="H40" s="9">
        <f>WORKDAY(Tableau2[[#This Row],[Début]],Tableau2[[#This Row],[Durée]]-1)</f>
        <v>44162</v>
      </c>
      <c r="I40" s="3">
        <f ca="1">MAX(Tableau2[[#This Row],[teste]],0)</f>
        <v>1</v>
      </c>
      <c r="J40" s="6">
        <f ca="1">Tableau2[[#This Row],[J. Achevés]]/Tableau2[[#This Row],[Durée]]</f>
        <v>0</v>
      </c>
      <c r="K40">
        <f ca="1">IF(OR(TODAY()=Tableau2[[#This Row],[Début]],TODAY()&lt;Tableau2[[#This Row],[Début]]),Tableau2[[#This Row],[Durée]],Tableau2[[#This Row],[Durée]]-NETWORKDAYS(Tableau2[[#This Row],[Début]],TODAY())+1)</f>
        <v>1</v>
      </c>
      <c r="L40" s="3">
        <f ca="1">IF(Tableau2[[#This Row],[J. Restants]]=0,Tableau2[[#This Row],[Durée]],Tableau2[[#This Row],[Durée]]-Tableau2[[#This Row],[J. Restants]])</f>
        <v>0</v>
      </c>
      <c r="M40" s="3"/>
      <c r="N40" s="3"/>
      <c r="O40" s="3"/>
      <c r="X40" s="3"/>
      <c r="Y40" s="3"/>
      <c r="AB40"/>
      <c r="AC40"/>
    </row>
    <row r="41" spans="1:29" x14ac:dyDescent="0.3">
      <c r="A41" s="13" t="s">
        <v>39</v>
      </c>
      <c r="B41" t="s">
        <v>207</v>
      </c>
      <c r="C41" t="s">
        <v>208</v>
      </c>
      <c r="D41" s="5">
        <v>4</v>
      </c>
      <c r="E41" t="s">
        <v>282</v>
      </c>
      <c r="F41" s="8">
        <f t="shared" si="3"/>
        <v>44165</v>
      </c>
      <c r="G41" s="3">
        <v>3</v>
      </c>
      <c r="H41" s="9">
        <f>WORKDAY(Tableau2[[#This Row],[Début]],Tableau2[[#This Row],[Durée]]-1)</f>
        <v>44167</v>
      </c>
      <c r="I41" s="3">
        <f ca="1">MAX(Tableau2[[#This Row],[teste]],0)</f>
        <v>3</v>
      </c>
      <c r="J41" s="6">
        <f ca="1">Tableau2[[#This Row],[J. Achevés]]/Tableau2[[#This Row],[Durée]]</f>
        <v>0</v>
      </c>
      <c r="K41">
        <f ca="1">IF(OR(TODAY()=Tableau2[[#This Row],[Début]],TODAY()&lt;Tableau2[[#This Row],[Début]]),Tableau2[[#This Row],[Durée]],Tableau2[[#This Row],[Durée]]-NETWORKDAYS(Tableau2[[#This Row],[Début]],TODAY())+1)</f>
        <v>3</v>
      </c>
      <c r="L41" s="3">
        <f ca="1">IF(Tableau2[[#This Row],[J. Restants]]=0,Tableau2[[#This Row],[Durée]],Tableau2[[#This Row],[Durée]]-Tableau2[[#This Row],[J. Restants]])</f>
        <v>0</v>
      </c>
      <c r="M41" s="3"/>
      <c r="N41" s="3"/>
      <c r="O41" s="3"/>
      <c r="X41" s="3"/>
      <c r="Y41" s="3"/>
      <c r="AB41"/>
      <c r="AC41"/>
    </row>
    <row r="42" spans="1:29" x14ac:dyDescent="0.3">
      <c r="A42" s="13" t="s">
        <v>39</v>
      </c>
      <c r="B42" t="s">
        <v>209</v>
      </c>
      <c r="C42" t="s">
        <v>210</v>
      </c>
      <c r="D42" s="3">
        <v>5</v>
      </c>
      <c r="E42" t="s">
        <v>283</v>
      </c>
      <c r="F42" s="8">
        <f t="shared" si="3"/>
        <v>44168</v>
      </c>
      <c r="G42" s="3">
        <v>1</v>
      </c>
      <c r="H42" s="9">
        <f>WORKDAY(Tableau2[[#This Row],[Début]],Tableau2[[#This Row],[Durée]]-1)</f>
        <v>44168</v>
      </c>
      <c r="I42" s="3">
        <f ca="1">MAX(Tableau2[[#This Row],[teste]],0)</f>
        <v>1</v>
      </c>
      <c r="J42" s="6">
        <f ca="1">Tableau2[[#This Row],[J. Achevés]]/Tableau2[[#This Row],[Durée]]</f>
        <v>0</v>
      </c>
      <c r="K42">
        <f ca="1">IF(OR(TODAY()=Tableau2[[#This Row],[Début]],TODAY()&lt;Tableau2[[#This Row],[Début]]),Tableau2[[#This Row],[Durée]],Tableau2[[#This Row],[Durée]]-NETWORKDAYS(Tableau2[[#This Row],[Début]],TODAY())+1)</f>
        <v>1</v>
      </c>
      <c r="L42" s="3">
        <f ca="1">IF(Tableau2[[#This Row],[J. Restants]]=0,Tableau2[[#This Row],[Durée]],Tableau2[[#This Row],[Durée]]-Tableau2[[#This Row],[J. Restants]])</f>
        <v>0</v>
      </c>
      <c r="M42" s="3"/>
      <c r="N42" s="3"/>
      <c r="O42" s="3"/>
      <c r="X42" s="3"/>
      <c r="Y42" s="3"/>
      <c r="AB42"/>
      <c r="AC42"/>
    </row>
    <row r="43" spans="1:29" x14ac:dyDescent="0.3">
      <c r="A43" s="13" t="s">
        <v>39</v>
      </c>
      <c r="B43" t="s">
        <v>211</v>
      </c>
      <c r="C43" t="s">
        <v>212</v>
      </c>
      <c r="D43" s="3">
        <v>6</v>
      </c>
      <c r="E43" t="s">
        <v>284</v>
      </c>
      <c r="F43" s="8">
        <f t="shared" si="3"/>
        <v>44169</v>
      </c>
      <c r="G43" s="3">
        <v>1</v>
      </c>
      <c r="H43" s="9">
        <f>WORKDAY(Tableau2[[#This Row],[Début]],Tableau2[[#This Row],[Durée]]-1)</f>
        <v>44169</v>
      </c>
      <c r="I43" s="3">
        <f ca="1">MAX(Tableau2[[#This Row],[teste]],0)</f>
        <v>1</v>
      </c>
      <c r="J43" s="6">
        <f ca="1">Tableau2[[#This Row],[J. Achevés]]/Tableau2[[#This Row],[Durée]]</f>
        <v>0</v>
      </c>
      <c r="K43">
        <f ca="1">IF(OR(TODAY()=Tableau2[[#This Row],[Début]],TODAY()&lt;Tableau2[[#This Row],[Début]]),Tableau2[[#This Row],[Durée]],Tableau2[[#This Row],[Durée]]-NETWORKDAYS(Tableau2[[#This Row],[Début]],TODAY())+1)</f>
        <v>1</v>
      </c>
      <c r="L43" s="3">
        <f ca="1">IF(Tableau2[[#This Row],[J. Restants]]=0,Tableau2[[#This Row],[Durée]],Tableau2[[#This Row],[Durée]]-Tableau2[[#This Row],[J. Restants]])</f>
        <v>0</v>
      </c>
      <c r="M43" s="3"/>
      <c r="N43" s="3"/>
      <c r="O43" s="3"/>
      <c r="X43" s="3"/>
      <c r="Y43" s="3"/>
      <c r="AB43"/>
      <c r="AC43"/>
    </row>
    <row r="44" spans="1:29" x14ac:dyDescent="0.3">
      <c r="A44" s="13" t="s">
        <v>39</v>
      </c>
      <c r="B44" t="s">
        <v>213</v>
      </c>
      <c r="C44" t="s">
        <v>214</v>
      </c>
      <c r="D44" s="3">
        <v>7</v>
      </c>
      <c r="E44" t="s">
        <v>285</v>
      </c>
      <c r="F44" s="8">
        <f t="shared" si="3"/>
        <v>44172</v>
      </c>
      <c r="G44" s="3">
        <v>1</v>
      </c>
      <c r="H44" s="9">
        <f>WORKDAY(Tableau2[[#This Row],[Début]],Tableau2[[#This Row],[Durée]]-1)</f>
        <v>44172</v>
      </c>
      <c r="I44" s="3">
        <f ca="1">MAX(Tableau2[[#This Row],[teste]],0)</f>
        <v>1</v>
      </c>
      <c r="J44" s="6">
        <f ca="1">Tableau2[[#This Row],[J. Achevés]]/Tableau2[[#This Row],[Durée]]</f>
        <v>0</v>
      </c>
      <c r="K44">
        <f ca="1">IF(OR(TODAY()=Tableau2[[#This Row],[Début]],TODAY()&lt;Tableau2[[#This Row],[Début]]),Tableau2[[#This Row],[Durée]],Tableau2[[#This Row],[Durée]]-NETWORKDAYS(Tableau2[[#This Row],[Début]],TODAY())+1)</f>
        <v>1</v>
      </c>
      <c r="L44" s="3">
        <f ca="1">IF(Tableau2[[#This Row],[J. Restants]]=0,Tableau2[[#This Row],[Durée]],Tableau2[[#This Row],[Durée]]-Tableau2[[#This Row],[J. Restants]])</f>
        <v>0</v>
      </c>
      <c r="M44" s="3"/>
      <c r="N44" s="3"/>
      <c r="O44" s="3"/>
      <c r="X44" s="3"/>
      <c r="Y44" s="3"/>
      <c r="AB44"/>
      <c r="AC44"/>
    </row>
    <row r="45" spans="1:29" x14ac:dyDescent="0.3">
      <c r="A45" s="13" t="s">
        <v>40</v>
      </c>
      <c r="B45" t="s">
        <v>215</v>
      </c>
      <c r="C45" t="s">
        <v>216</v>
      </c>
      <c r="D45" s="3">
        <v>1</v>
      </c>
      <c r="E45" t="s">
        <v>286</v>
      </c>
      <c r="F45" s="8">
        <f t="shared" si="3"/>
        <v>44148</v>
      </c>
      <c r="G45" s="3">
        <v>1</v>
      </c>
      <c r="H45" s="9">
        <f>WORKDAY(Tableau2[[#This Row],[Début]],Tableau2[[#This Row],[Durée]]-1)</f>
        <v>44148</v>
      </c>
      <c r="I45" s="3">
        <f ca="1">MAX(Tableau2[[#This Row],[teste]],0)</f>
        <v>0</v>
      </c>
      <c r="J45" s="6">
        <f ca="1">Tableau2[[#This Row],[J. Achevés]]/Tableau2[[#This Row],[Durée]]</f>
        <v>1</v>
      </c>
      <c r="K45">
        <f ca="1">IF(OR(TODAY()=Tableau2[[#This Row],[Début]],TODAY()&lt;Tableau2[[#This Row],[Début]]),Tableau2[[#This Row],[Durée]],Tableau2[[#This Row],[Durée]]-NETWORKDAYS(Tableau2[[#This Row],[Début]],TODAY())+1)</f>
        <v>-2</v>
      </c>
      <c r="L45" s="3">
        <f ca="1">IF(Tableau2[[#This Row],[J. Restants]]=0,Tableau2[[#This Row],[Durée]],Tableau2[[#This Row],[Durée]]-Tableau2[[#This Row],[J. Restants]])</f>
        <v>1</v>
      </c>
      <c r="M45" s="3"/>
      <c r="N45" s="3"/>
      <c r="O45" s="3"/>
      <c r="X45" s="3"/>
      <c r="Y45" s="3"/>
      <c r="AB45"/>
      <c r="AC45"/>
    </row>
    <row r="46" spans="1:29" x14ac:dyDescent="0.3">
      <c r="A46" s="13" t="s">
        <v>41</v>
      </c>
      <c r="B46" t="s">
        <v>217</v>
      </c>
      <c r="C46" t="s">
        <v>218</v>
      </c>
      <c r="D46" s="3">
        <v>2</v>
      </c>
      <c r="E46" t="s">
        <v>287</v>
      </c>
      <c r="F46" s="8">
        <f t="shared" si="3"/>
        <v>44148</v>
      </c>
      <c r="G46" s="3">
        <v>1</v>
      </c>
      <c r="H46" s="9">
        <f>WORKDAY(Tableau2[[#This Row],[Début]],Tableau2[[#This Row],[Durée]]-1)</f>
        <v>44148</v>
      </c>
      <c r="I46" s="3">
        <f ca="1">MAX(Tableau2[[#This Row],[teste]],0)</f>
        <v>0</v>
      </c>
      <c r="J46" s="6">
        <f ca="1">Tableau2[[#This Row],[J. Achevés]]/Tableau2[[#This Row],[Durée]]</f>
        <v>1</v>
      </c>
      <c r="K46">
        <f ca="1">IF(OR(TODAY()=Tableau2[[#This Row],[Début]],TODAY()&lt;Tableau2[[#This Row],[Début]]),Tableau2[[#This Row],[Durée]],Tableau2[[#This Row],[Durée]]-NETWORKDAYS(Tableau2[[#This Row],[Début]],TODAY())+1)</f>
        <v>-2</v>
      </c>
      <c r="L46" s="3">
        <f ca="1">IF(Tableau2[[#This Row],[J. Restants]]=0,Tableau2[[#This Row],[Durée]],Tableau2[[#This Row],[Durée]]-Tableau2[[#This Row],[J. Restants]])</f>
        <v>1</v>
      </c>
      <c r="M46" s="3"/>
      <c r="N46" s="3"/>
      <c r="O46" s="3"/>
      <c r="X46" s="3"/>
      <c r="Y46" s="3"/>
      <c r="AB46"/>
      <c r="AC46"/>
    </row>
    <row r="47" spans="1:29" x14ac:dyDescent="0.3">
      <c r="A47" s="13" t="s">
        <v>42</v>
      </c>
      <c r="B47" t="s">
        <v>219</v>
      </c>
      <c r="C47" t="s">
        <v>220</v>
      </c>
      <c r="D47" s="3">
        <v>3</v>
      </c>
      <c r="E47" t="s">
        <v>288</v>
      </c>
      <c r="F47" s="8">
        <f t="shared" si="3"/>
        <v>44148</v>
      </c>
      <c r="G47" s="3">
        <v>1</v>
      </c>
      <c r="H47" s="9">
        <f>WORKDAY(Tableau2[[#This Row],[Début]],Tableau2[[#This Row],[Durée]]-1)</f>
        <v>44148</v>
      </c>
      <c r="I47" s="3">
        <f ca="1">MAX(Tableau2[[#This Row],[teste]],0)</f>
        <v>0</v>
      </c>
      <c r="J47" s="6">
        <f ca="1">Tableau2[[#This Row],[J. Achevés]]/Tableau2[[#This Row],[Durée]]</f>
        <v>1</v>
      </c>
      <c r="K47">
        <f ca="1">IF(OR(TODAY()=Tableau2[[#This Row],[Début]],TODAY()&lt;Tableau2[[#This Row],[Début]]),Tableau2[[#This Row],[Durée]],Tableau2[[#This Row],[Durée]]-NETWORKDAYS(Tableau2[[#This Row],[Début]],TODAY())+1)</f>
        <v>-2</v>
      </c>
      <c r="L47" s="3">
        <f ca="1">IF(Tableau2[[#This Row],[J. Restants]]=0,Tableau2[[#This Row],[Durée]],Tableau2[[#This Row],[Durée]]-Tableau2[[#This Row],[J. Restants]])</f>
        <v>1</v>
      </c>
      <c r="M47" s="3"/>
      <c r="N47" s="3"/>
      <c r="O47" s="3"/>
      <c r="X47" s="3"/>
      <c r="Y47" s="3"/>
      <c r="AB47"/>
      <c r="AC47"/>
    </row>
    <row r="48" spans="1:29" x14ac:dyDescent="0.3">
      <c r="A48" s="13" t="s">
        <v>43</v>
      </c>
      <c r="B48" t="s">
        <v>221</v>
      </c>
      <c r="C48" t="s">
        <v>222</v>
      </c>
      <c r="D48" s="3">
        <v>1</v>
      </c>
      <c r="E48" t="s">
        <v>289</v>
      </c>
      <c r="F48" s="8">
        <f t="shared" si="3"/>
        <v>44162</v>
      </c>
      <c r="G48" s="3">
        <v>1</v>
      </c>
      <c r="H48" s="9">
        <f>WORKDAY(Tableau2[[#This Row],[Début]],Tableau2[[#This Row],[Durée]]-1)</f>
        <v>44162</v>
      </c>
      <c r="I48" s="3">
        <f ca="1">MAX(Tableau2[[#This Row],[teste]],0)</f>
        <v>1</v>
      </c>
      <c r="J48" s="6">
        <f ca="1">Tableau2[[#This Row],[J. Achevés]]/Tableau2[[#This Row],[Durée]]</f>
        <v>0</v>
      </c>
      <c r="K48">
        <f ca="1">IF(OR(TODAY()=Tableau2[[#This Row],[Début]],TODAY()&lt;Tableau2[[#This Row],[Début]]),Tableau2[[#This Row],[Durée]],Tableau2[[#This Row],[Durée]]-NETWORKDAYS(Tableau2[[#This Row],[Début]],TODAY())+1)</f>
        <v>1</v>
      </c>
      <c r="L48" s="3">
        <f ca="1">IF(Tableau2[[#This Row],[J. Restants]]=0,Tableau2[[#This Row],[Durée]],Tableau2[[#This Row],[Durée]]-Tableau2[[#This Row],[J. Restants]])</f>
        <v>0</v>
      </c>
      <c r="M48" s="3"/>
      <c r="N48" s="3"/>
      <c r="O48" s="3"/>
      <c r="X48" s="3"/>
      <c r="Y48" s="3"/>
      <c r="AB48"/>
      <c r="AC48"/>
    </row>
    <row r="49" spans="1:29" x14ac:dyDescent="0.3">
      <c r="A49" s="13" t="s">
        <v>43</v>
      </c>
      <c r="B49" t="s">
        <v>223</v>
      </c>
      <c r="C49" t="s">
        <v>224</v>
      </c>
      <c r="D49" s="3">
        <v>2</v>
      </c>
      <c r="E49" t="s">
        <v>290</v>
      </c>
      <c r="F49" s="8">
        <f t="shared" si="3"/>
        <v>44165</v>
      </c>
      <c r="G49" s="3">
        <v>3</v>
      </c>
      <c r="H49" s="9">
        <f>WORKDAY(Tableau2[[#This Row],[Début]],Tableau2[[#This Row],[Durée]]-1)</f>
        <v>44167</v>
      </c>
      <c r="I49" s="3">
        <f ca="1">MAX(Tableau2[[#This Row],[teste]],0)</f>
        <v>3</v>
      </c>
      <c r="J49" s="6">
        <f ca="1">Tableau2[[#This Row],[J. Achevés]]/Tableau2[[#This Row],[Durée]]</f>
        <v>0</v>
      </c>
      <c r="K49">
        <f ca="1">IF(OR(TODAY()=Tableau2[[#This Row],[Début]],TODAY()&lt;Tableau2[[#This Row],[Début]]),Tableau2[[#This Row],[Durée]],Tableau2[[#This Row],[Durée]]-NETWORKDAYS(Tableau2[[#This Row],[Début]],TODAY())+1)</f>
        <v>3</v>
      </c>
      <c r="L49" s="3">
        <f ca="1">IF(Tableau2[[#This Row],[J. Restants]]=0,Tableau2[[#This Row],[Durée]],Tableau2[[#This Row],[Durée]]-Tableau2[[#This Row],[J. Restants]])</f>
        <v>0</v>
      </c>
      <c r="M49" s="3"/>
      <c r="N49" s="3"/>
      <c r="O49" s="3"/>
      <c r="X49" s="3"/>
      <c r="Y49" s="3"/>
      <c r="AB49"/>
      <c r="AC49"/>
    </row>
    <row r="50" spans="1:29" x14ac:dyDescent="0.3">
      <c r="A50" s="13" t="s">
        <v>43</v>
      </c>
      <c r="B50" t="s">
        <v>225</v>
      </c>
      <c r="C50" t="s">
        <v>226</v>
      </c>
      <c r="D50" s="3">
        <v>3</v>
      </c>
      <c r="E50" t="s">
        <v>291</v>
      </c>
      <c r="F50" s="8">
        <f t="shared" si="3"/>
        <v>44168</v>
      </c>
      <c r="G50" s="3">
        <v>2</v>
      </c>
      <c r="H50" s="9">
        <f>WORKDAY(Tableau2[[#This Row],[Début]],Tableau2[[#This Row],[Durée]]-1)</f>
        <v>44169</v>
      </c>
      <c r="I50" s="3">
        <f ca="1">MAX(Tableau2[[#This Row],[teste]],0)</f>
        <v>2</v>
      </c>
      <c r="J50" s="6">
        <f ca="1">Tableau2[[#This Row],[J. Achevés]]/Tableau2[[#This Row],[Durée]]</f>
        <v>0</v>
      </c>
      <c r="K50">
        <f ca="1">IF(OR(TODAY()=Tableau2[[#This Row],[Début]],TODAY()&lt;Tableau2[[#This Row],[Début]]),Tableau2[[#This Row],[Durée]],Tableau2[[#This Row],[Durée]]-NETWORKDAYS(Tableau2[[#This Row],[Début]],TODAY())+1)</f>
        <v>2</v>
      </c>
      <c r="L50" s="3">
        <f ca="1">IF(Tableau2[[#This Row],[J. Restants]]=0,Tableau2[[#This Row],[Durée]],Tableau2[[#This Row],[Durée]]-Tableau2[[#This Row],[J. Restants]])</f>
        <v>0</v>
      </c>
      <c r="M50" s="3"/>
      <c r="N50" s="3"/>
      <c r="O50" s="3"/>
      <c r="X50" s="3"/>
      <c r="Y50" s="3"/>
      <c r="AB50"/>
      <c r="AC50"/>
    </row>
    <row r="51" spans="1:29" x14ac:dyDescent="0.3">
      <c r="A51" s="13" t="s">
        <v>43</v>
      </c>
      <c r="B51" t="s">
        <v>227</v>
      </c>
      <c r="C51" t="s">
        <v>228</v>
      </c>
      <c r="D51" s="3">
        <v>4</v>
      </c>
      <c r="E51" t="s">
        <v>292</v>
      </c>
      <c r="F51" s="8">
        <f t="shared" si="3"/>
        <v>44172</v>
      </c>
      <c r="G51" s="3">
        <v>2</v>
      </c>
      <c r="H51" s="9">
        <f>WORKDAY(Tableau2[[#This Row],[Début]],Tableau2[[#This Row],[Durée]]-1)</f>
        <v>44173</v>
      </c>
      <c r="I51" s="3">
        <f ca="1">MAX(Tableau2[[#This Row],[teste]],0)</f>
        <v>2</v>
      </c>
      <c r="J51" s="6">
        <f ca="1">Tableau2[[#This Row],[J. Achevés]]/Tableau2[[#This Row],[Durée]]</f>
        <v>0</v>
      </c>
      <c r="K51">
        <f ca="1">IF(OR(TODAY()=Tableau2[[#This Row],[Début]],TODAY()&lt;Tableau2[[#This Row],[Début]]),Tableau2[[#This Row],[Durée]],Tableau2[[#This Row],[Durée]]-NETWORKDAYS(Tableau2[[#This Row],[Début]],TODAY())+1)</f>
        <v>2</v>
      </c>
      <c r="L51" s="3">
        <f ca="1">IF(Tableau2[[#This Row],[J. Restants]]=0,Tableau2[[#This Row],[Durée]],Tableau2[[#This Row],[Durée]]-Tableau2[[#This Row],[J. Restants]])</f>
        <v>0</v>
      </c>
      <c r="M51" s="3"/>
      <c r="N51" s="3"/>
      <c r="O51" s="3"/>
      <c r="X51" s="3"/>
      <c r="Y51" s="3"/>
      <c r="AB51"/>
      <c r="AC51"/>
    </row>
    <row r="52" spans="1:29" x14ac:dyDescent="0.3">
      <c r="A52" s="13" t="s">
        <v>43</v>
      </c>
      <c r="B52" t="s">
        <v>229</v>
      </c>
      <c r="C52" t="s">
        <v>230</v>
      </c>
      <c r="D52" s="3">
        <v>5</v>
      </c>
      <c r="E52" t="s">
        <v>293</v>
      </c>
      <c r="F52" s="8">
        <f t="shared" si="3"/>
        <v>44174</v>
      </c>
      <c r="G52" s="3">
        <v>1</v>
      </c>
      <c r="H52" s="9">
        <f>WORKDAY(Tableau2[[#This Row],[Début]],Tableau2[[#This Row],[Durée]]-1)</f>
        <v>44174</v>
      </c>
      <c r="I52" s="3">
        <f ca="1">MAX(Tableau2[[#This Row],[teste]],0)</f>
        <v>1</v>
      </c>
      <c r="J52" s="6">
        <f ca="1">Tableau2[[#This Row],[J. Achevés]]/Tableau2[[#This Row],[Durée]]</f>
        <v>0</v>
      </c>
      <c r="K52">
        <f ca="1">IF(OR(TODAY()=Tableau2[[#This Row],[Début]],TODAY()&lt;Tableau2[[#This Row],[Début]]),Tableau2[[#This Row],[Durée]],Tableau2[[#This Row],[Durée]]-NETWORKDAYS(Tableau2[[#This Row],[Début]],TODAY())+1)</f>
        <v>1</v>
      </c>
      <c r="L52" s="3">
        <f ca="1">IF(Tableau2[[#This Row],[J. Restants]]=0,Tableau2[[#This Row],[Durée]],Tableau2[[#This Row],[Durée]]-Tableau2[[#This Row],[J. Restants]])</f>
        <v>0</v>
      </c>
      <c r="M52" s="3"/>
      <c r="N52" s="3"/>
      <c r="O52" s="3"/>
      <c r="X52" s="3"/>
      <c r="Y52" s="3"/>
      <c r="AB52"/>
      <c r="AC52"/>
    </row>
    <row r="53" spans="1:29" x14ac:dyDescent="0.3">
      <c r="A53" s="13" t="s">
        <v>43</v>
      </c>
      <c r="B53" t="s">
        <v>231</v>
      </c>
      <c r="C53" t="s">
        <v>232</v>
      </c>
      <c r="D53" s="5">
        <v>6</v>
      </c>
      <c r="E53" t="s">
        <v>294</v>
      </c>
      <c r="F53" s="8">
        <f t="shared" si="3"/>
        <v>44175</v>
      </c>
      <c r="G53" s="3">
        <v>2</v>
      </c>
      <c r="H53" s="9">
        <f>WORKDAY(Tableau2[[#This Row],[Début]],Tableau2[[#This Row],[Durée]]-1)</f>
        <v>44176</v>
      </c>
      <c r="I53" s="3">
        <f ca="1">MAX(Tableau2[[#This Row],[teste]],0)</f>
        <v>2</v>
      </c>
      <c r="J53" s="6">
        <f ca="1">Tableau2[[#This Row],[J. Achevés]]/Tableau2[[#This Row],[Durée]]</f>
        <v>0</v>
      </c>
      <c r="K53">
        <f ca="1">IF(OR(TODAY()=Tableau2[[#This Row],[Début]],TODAY()&lt;Tableau2[[#This Row],[Début]]),Tableau2[[#This Row],[Durée]],Tableau2[[#This Row],[Durée]]-NETWORKDAYS(Tableau2[[#This Row],[Début]],TODAY())+1)</f>
        <v>2</v>
      </c>
      <c r="L53" s="3">
        <f ca="1">IF(Tableau2[[#This Row],[J. Restants]]=0,Tableau2[[#This Row],[Durée]],Tableau2[[#This Row],[Durée]]-Tableau2[[#This Row],[J. Restants]])</f>
        <v>0</v>
      </c>
      <c r="M53" s="3"/>
      <c r="N53" s="3"/>
      <c r="O53" s="3"/>
      <c r="X53" s="3"/>
      <c r="Y53" s="3"/>
      <c r="AB53"/>
      <c r="AC53"/>
    </row>
    <row r="54" spans="1:29" x14ac:dyDescent="0.3">
      <c r="A54" s="13" t="s">
        <v>43</v>
      </c>
      <c r="B54" t="s">
        <v>233</v>
      </c>
      <c r="C54" t="s">
        <v>234</v>
      </c>
      <c r="D54" s="3">
        <v>7</v>
      </c>
      <c r="E54" t="s">
        <v>295</v>
      </c>
      <c r="F54" s="8">
        <f t="shared" si="3"/>
        <v>44179</v>
      </c>
      <c r="G54" s="3">
        <v>1</v>
      </c>
      <c r="H54" s="9">
        <f>WORKDAY(Tableau2[[#This Row],[Début]],Tableau2[[#This Row],[Durée]]-1)</f>
        <v>44179</v>
      </c>
      <c r="I54" s="3">
        <f ca="1">MAX(Tableau2[[#This Row],[teste]],0)</f>
        <v>1</v>
      </c>
      <c r="J54" s="6">
        <f ca="1">Tableau2[[#This Row],[J. Achevés]]/Tableau2[[#This Row],[Durée]]</f>
        <v>0</v>
      </c>
      <c r="K54">
        <f ca="1">IF(OR(TODAY()=Tableau2[[#This Row],[Début]],TODAY()&lt;Tableau2[[#This Row],[Début]]),Tableau2[[#This Row],[Durée]],Tableau2[[#This Row],[Durée]]-NETWORKDAYS(Tableau2[[#This Row],[Début]],TODAY())+1)</f>
        <v>1</v>
      </c>
      <c r="L54" s="3">
        <f ca="1">IF(Tableau2[[#This Row],[J. Restants]]=0,Tableau2[[#This Row],[Durée]],Tableau2[[#This Row],[Durée]]-Tableau2[[#This Row],[J. Restants]])</f>
        <v>0</v>
      </c>
      <c r="M54" s="3"/>
      <c r="N54" s="3"/>
      <c r="O54" s="3"/>
      <c r="X54" s="3"/>
      <c r="Y54" s="3"/>
      <c r="AB54"/>
      <c r="AC54"/>
    </row>
    <row r="55" spans="1:29" x14ac:dyDescent="0.3">
      <c r="A55" s="13" t="s">
        <v>43</v>
      </c>
      <c r="B55" t="s">
        <v>235</v>
      </c>
      <c r="C55" t="s">
        <v>236</v>
      </c>
      <c r="D55" s="3">
        <v>8</v>
      </c>
      <c r="E55" t="s">
        <v>296</v>
      </c>
      <c r="F55" s="8">
        <f t="shared" si="3"/>
        <v>44180</v>
      </c>
      <c r="G55" s="3">
        <v>2</v>
      </c>
      <c r="H55" s="9">
        <f>WORKDAY(Tableau2[[#This Row],[Début]],Tableau2[[#This Row],[Durée]]-1)</f>
        <v>44181</v>
      </c>
      <c r="I55" s="3">
        <f ca="1">MAX(Tableau2[[#This Row],[teste]],0)</f>
        <v>2</v>
      </c>
      <c r="J55" s="6">
        <f ca="1">Tableau2[[#This Row],[J. Achevés]]/Tableau2[[#This Row],[Durée]]</f>
        <v>0</v>
      </c>
      <c r="K55">
        <f ca="1">IF(OR(TODAY()=Tableau2[[#This Row],[Début]],TODAY()&lt;Tableau2[[#This Row],[Début]]),Tableau2[[#This Row],[Durée]],Tableau2[[#This Row],[Durée]]-NETWORKDAYS(Tableau2[[#This Row],[Début]],TODAY())+1)</f>
        <v>2</v>
      </c>
      <c r="L55" s="3">
        <f ca="1">IF(Tableau2[[#This Row],[J. Restants]]=0,Tableau2[[#This Row],[Durée]],Tableau2[[#This Row],[Durée]]-Tableau2[[#This Row],[J. Restants]])</f>
        <v>0</v>
      </c>
      <c r="M55" s="3"/>
      <c r="N55" s="3"/>
      <c r="O55" s="3"/>
      <c r="X55" s="3"/>
      <c r="Y55" s="3"/>
      <c r="AB55"/>
      <c r="AC55"/>
    </row>
    <row r="56" spans="1:29" x14ac:dyDescent="0.3">
      <c r="A56" s="13" t="s">
        <v>43</v>
      </c>
      <c r="B56" t="s">
        <v>237</v>
      </c>
      <c r="C56" t="s">
        <v>238</v>
      </c>
      <c r="D56" s="3">
        <v>9</v>
      </c>
      <c r="E56" t="s">
        <v>297</v>
      </c>
      <c r="F56" s="8">
        <f t="shared" si="3"/>
        <v>44182</v>
      </c>
      <c r="G56" s="3">
        <v>1</v>
      </c>
      <c r="H56" s="9">
        <f>WORKDAY(Tableau2[[#This Row],[Début]],Tableau2[[#This Row],[Durée]]-1)</f>
        <v>44182</v>
      </c>
      <c r="I56" s="3">
        <f ca="1">MAX(Tableau2[[#This Row],[teste]],0)</f>
        <v>1</v>
      </c>
      <c r="J56" s="6">
        <f ca="1">Tableau2[[#This Row],[J. Achevés]]/Tableau2[[#This Row],[Durée]]</f>
        <v>0</v>
      </c>
      <c r="K56">
        <f ca="1">IF(OR(TODAY()=Tableau2[[#This Row],[Début]],TODAY()&lt;Tableau2[[#This Row],[Début]]),Tableau2[[#This Row],[Durée]],Tableau2[[#This Row],[Durée]]-NETWORKDAYS(Tableau2[[#This Row],[Début]],TODAY())+1)</f>
        <v>1</v>
      </c>
      <c r="L56" s="3">
        <f ca="1">IF(Tableau2[[#This Row],[J. Restants]]=0,Tableau2[[#This Row],[Durée]],Tableau2[[#This Row],[Durée]]-Tableau2[[#This Row],[J. Restants]])</f>
        <v>0</v>
      </c>
      <c r="M56" s="3"/>
      <c r="N56" s="3"/>
      <c r="O56" s="3"/>
      <c r="X56" s="3"/>
      <c r="Y56" s="3"/>
      <c r="AB56"/>
      <c r="AC56"/>
    </row>
    <row r="57" spans="1:29" x14ac:dyDescent="0.3">
      <c r="A57" s="13" t="s">
        <v>43</v>
      </c>
      <c r="B57" t="s">
        <v>239</v>
      </c>
      <c r="C57" t="s">
        <v>240</v>
      </c>
      <c r="D57" s="3">
        <v>10</v>
      </c>
      <c r="E57" t="s">
        <v>298</v>
      </c>
      <c r="F57" s="8">
        <f t="shared" si="3"/>
        <v>44183</v>
      </c>
      <c r="G57" s="3">
        <v>1</v>
      </c>
      <c r="H57" s="9">
        <f>WORKDAY(Tableau2[[#This Row],[Début]],Tableau2[[#This Row],[Durée]]-1)</f>
        <v>44183</v>
      </c>
      <c r="I57" s="3">
        <f ca="1">MAX(Tableau2[[#This Row],[teste]],0)</f>
        <v>1</v>
      </c>
      <c r="J57" s="6">
        <f ca="1">Tableau2[[#This Row],[J. Achevés]]/Tableau2[[#This Row],[Durée]]</f>
        <v>0</v>
      </c>
      <c r="K57">
        <f ca="1">IF(OR(TODAY()=Tableau2[[#This Row],[Début]],TODAY()&lt;Tableau2[[#This Row],[Début]]),Tableau2[[#This Row],[Durée]],Tableau2[[#This Row],[Durée]]-NETWORKDAYS(Tableau2[[#This Row],[Début]],TODAY())+1)</f>
        <v>1</v>
      </c>
      <c r="L57" s="3">
        <f ca="1">IF(Tableau2[[#This Row],[J. Restants]]=0,Tableau2[[#This Row],[Durée]],Tableau2[[#This Row],[Durée]]-Tableau2[[#This Row],[J. Restants]])</f>
        <v>0</v>
      </c>
      <c r="M57" s="3"/>
      <c r="N57" s="3"/>
      <c r="O57" s="3"/>
    </row>
    <row r="58" spans="1:29" x14ac:dyDescent="0.3">
      <c r="A58" s="13" t="s">
        <v>44</v>
      </c>
      <c r="B58" t="s">
        <v>241</v>
      </c>
      <c r="C58" t="s">
        <v>242</v>
      </c>
      <c r="D58" s="3">
        <v>11</v>
      </c>
      <c r="E58" t="s">
        <v>299</v>
      </c>
      <c r="F58" s="8">
        <f t="shared" si="3"/>
        <v>44292</v>
      </c>
      <c r="G58" s="3">
        <v>1</v>
      </c>
      <c r="H58" s="9">
        <f>WORKDAY(Tableau2[[#This Row],[Début]],Tableau2[[#This Row],[Durée]]-1)</f>
        <v>44292</v>
      </c>
      <c r="I58" s="3">
        <f ca="1">MAX(Tableau2[[#This Row],[teste]],0)</f>
        <v>1</v>
      </c>
      <c r="J58" s="6">
        <f ca="1">Tableau2[[#This Row],[J. Achevés]]/Tableau2[[#This Row],[Durée]]</f>
        <v>0</v>
      </c>
      <c r="K58">
        <f ca="1">IF(OR(TODAY()=Tableau2[[#This Row],[Début]],TODAY()&lt;Tableau2[[#This Row],[Début]]),Tableau2[[#This Row],[Durée]],Tableau2[[#This Row],[Durée]]-NETWORKDAYS(Tableau2[[#This Row],[Début]],TODAY())+1)</f>
        <v>1</v>
      </c>
      <c r="L58" s="3">
        <f ca="1">IF(Tableau2[[#This Row],[J. Restants]]=0,Tableau2[[#This Row],[Durée]],Tableau2[[#This Row],[Durée]]-Tableau2[[#This Row],[J. Restants]])</f>
        <v>0</v>
      </c>
      <c r="M58" s="3"/>
      <c r="N58" s="3"/>
      <c r="O58" s="3"/>
    </row>
    <row r="59" spans="1:29" x14ac:dyDescent="0.3">
      <c r="O59" s="3"/>
    </row>
    <row r="60" spans="1:29" x14ac:dyDescent="0.3">
      <c r="O60" s="3"/>
    </row>
    <row r="61" spans="1:29" x14ac:dyDescent="0.3">
      <c r="O61" s="3"/>
    </row>
    <row r="62" spans="1:29" x14ac:dyDescent="0.3">
      <c r="O62" s="3"/>
    </row>
    <row r="63" spans="1:29" x14ac:dyDescent="0.3">
      <c r="O63" s="3"/>
    </row>
    <row r="64" spans="1:29" x14ac:dyDescent="0.3">
      <c r="O64" s="3"/>
    </row>
    <row r="65" spans="15:15" x14ac:dyDescent="0.3">
      <c r="O65" s="3"/>
    </row>
    <row r="66" spans="15:15" x14ac:dyDescent="0.3">
      <c r="O66" s="3"/>
    </row>
    <row r="67" spans="15:15" x14ac:dyDescent="0.3">
      <c r="O67" s="3"/>
    </row>
    <row r="68" spans="15:15" x14ac:dyDescent="0.3">
      <c r="O68" s="3"/>
    </row>
    <row r="69" spans="15:15" x14ac:dyDescent="0.3">
      <c r="O69" s="3"/>
    </row>
  </sheetData>
  <phoneticPr fontId="3" type="noConversion"/>
  <dataValidations count="2">
    <dataValidation type="list" allowBlank="1" showInputMessage="1" showErrorMessage="1" sqref="B2:B87" xr:uid="{441DED70-5A25-4475-B6EB-4F1B5215CD5E}">
      <formula1>$O$2:$O$22</formula1>
    </dataValidation>
    <dataValidation type="list" allowBlank="1" showInputMessage="1" showErrorMessage="1" sqref="AF2:AF10" xr:uid="{379D843B-B045-46DC-B2E2-449A8A7EF50A}">
      <formula1>$AI$10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58790B-7C08-40EF-B3F2-F5D4CCB7E6C9}">
  <dimension ref="A1:AP19"/>
  <sheetViews>
    <sheetView zoomScale="73" zoomScaleNormal="73" workbookViewId="0">
      <selection activeCell="D15" sqref="D15"/>
    </sheetView>
  </sheetViews>
  <sheetFormatPr baseColWidth="10" defaultRowHeight="14.4" x14ac:dyDescent="0.3"/>
  <cols>
    <col min="1" max="1" width="4.109375" customWidth="1"/>
    <col min="4" max="4" width="5.109375" customWidth="1"/>
    <col min="5" max="14" width="5.5546875" customWidth="1"/>
    <col min="15" max="15" width="5.6640625" customWidth="1"/>
    <col min="16" max="34" width="5.5546875" customWidth="1"/>
    <col min="35" max="35" width="9.21875" bestFit="1" customWidth="1"/>
  </cols>
  <sheetData>
    <row r="1" spans="1:42" x14ac:dyDescent="0.3">
      <c r="A1" s="33"/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  <c r="AB1" s="33"/>
      <c r="AC1" s="33"/>
      <c r="AD1" s="33"/>
      <c r="AE1" s="33"/>
      <c r="AF1" s="33"/>
      <c r="AG1" s="33"/>
      <c r="AH1" s="33"/>
      <c r="AI1" s="33"/>
      <c r="AJ1" s="33"/>
      <c r="AK1" s="33"/>
      <c r="AL1" s="33"/>
      <c r="AM1" s="33"/>
      <c r="AN1" s="33"/>
      <c r="AO1" s="33"/>
      <c r="AP1" s="33"/>
    </row>
    <row r="2" spans="1:42" ht="28.8" customHeight="1" x14ac:dyDescent="0.6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5">
        <v>2020</v>
      </c>
      <c r="O2" s="35"/>
      <c r="P2" s="33"/>
      <c r="Q2" s="36" t="s">
        <v>18</v>
      </c>
      <c r="R2" s="36"/>
      <c r="S2" s="36"/>
      <c r="T2" s="36"/>
      <c r="U2" s="36"/>
      <c r="V2" s="36"/>
      <c r="W2" s="36"/>
      <c r="X2" s="36"/>
      <c r="Y2" s="36"/>
      <c r="Z2" s="34">
        <v>2</v>
      </c>
      <c r="AA2" s="33"/>
      <c r="AB2" s="33"/>
      <c r="AC2" s="33"/>
      <c r="AD2" s="33"/>
      <c r="AE2" s="33"/>
      <c r="AF2" s="33"/>
      <c r="AG2" s="33"/>
      <c r="AH2" s="33"/>
      <c r="AI2" s="33"/>
      <c r="AJ2" s="33"/>
      <c r="AK2" s="33"/>
      <c r="AL2" s="33"/>
      <c r="AM2" s="33"/>
      <c r="AN2" s="33"/>
      <c r="AO2" s="33"/>
      <c r="AP2" s="33"/>
    </row>
    <row r="3" spans="1:42" x14ac:dyDescent="0.3">
      <c r="A3" s="33"/>
      <c r="B3" s="33"/>
      <c r="C3" s="33"/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3"/>
      <c r="AI3" s="33"/>
      <c r="AJ3" s="33"/>
      <c r="AK3" s="33"/>
      <c r="AL3" s="33"/>
      <c r="AM3" s="33"/>
      <c r="AN3" s="33"/>
      <c r="AO3" s="33"/>
      <c r="AP3" s="33"/>
    </row>
    <row r="7" spans="1:42" x14ac:dyDescent="0.3">
      <c r="D7">
        <v>2020</v>
      </c>
    </row>
    <row r="8" spans="1:42" x14ac:dyDescent="0.3">
      <c r="L8" t="s">
        <v>18</v>
      </c>
      <c r="R8">
        <v>2</v>
      </c>
      <c r="W8" s="32" t="s">
        <v>61</v>
      </c>
      <c r="X8" s="41" t="s">
        <v>70</v>
      </c>
    </row>
    <row r="15" spans="1:42" ht="44.4" thickBot="1" x14ac:dyDescent="0.35">
      <c r="B15" t="s">
        <v>62</v>
      </c>
      <c r="C15" s="2">
        <f>DATE(D7,MONTH(1&amp;"/"&amp;D16),1)</f>
        <v>44136</v>
      </c>
      <c r="D15" s="11">
        <f>C15</f>
        <v>44136</v>
      </c>
      <c r="E15" s="11">
        <f>IFERROR(IF(D15+1&gt;$C$16,"",D15+1),"")</f>
        <v>44137</v>
      </c>
      <c r="F15" s="11">
        <f t="shared" ref="F15:AH15" si="0">IFERROR(IF(E15+1&gt;$C$16,"",E15+1),"")</f>
        <v>44138</v>
      </c>
      <c r="G15" s="11">
        <f t="shared" si="0"/>
        <v>44139</v>
      </c>
      <c r="H15" s="11">
        <f t="shared" si="0"/>
        <v>44140</v>
      </c>
      <c r="I15" s="11">
        <f t="shared" si="0"/>
        <v>44141</v>
      </c>
      <c r="J15" s="11">
        <f t="shared" si="0"/>
        <v>44142</v>
      </c>
      <c r="K15" s="11">
        <f t="shared" si="0"/>
        <v>44143</v>
      </c>
      <c r="L15" s="11">
        <f t="shared" si="0"/>
        <v>44144</v>
      </c>
      <c r="M15" s="11">
        <f t="shared" si="0"/>
        <v>44145</v>
      </c>
      <c r="N15" s="11">
        <f t="shared" si="0"/>
        <v>44146</v>
      </c>
      <c r="O15" s="11">
        <f t="shared" si="0"/>
        <v>44147</v>
      </c>
      <c r="P15" s="11">
        <f t="shared" si="0"/>
        <v>44148</v>
      </c>
      <c r="Q15" s="11">
        <f t="shared" si="0"/>
        <v>44149</v>
      </c>
      <c r="R15" s="11">
        <f t="shared" si="0"/>
        <v>44150</v>
      </c>
      <c r="S15" s="11">
        <f t="shared" si="0"/>
        <v>44151</v>
      </c>
      <c r="T15" s="11">
        <f t="shared" si="0"/>
        <v>44152</v>
      </c>
      <c r="U15" s="11">
        <f t="shared" si="0"/>
        <v>44153</v>
      </c>
      <c r="V15" s="11">
        <f t="shared" si="0"/>
        <v>44154</v>
      </c>
      <c r="W15" s="11">
        <f t="shared" si="0"/>
        <v>44155</v>
      </c>
      <c r="X15" s="11">
        <f t="shared" si="0"/>
        <v>44156</v>
      </c>
      <c r="Y15" s="11">
        <f t="shared" si="0"/>
        <v>44157</v>
      </c>
      <c r="Z15" s="11">
        <f t="shared" si="0"/>
        <v>44158</v>
      </c>
      <c r="AA15" s="11">
        <f t="shared" si="0"/>
        <v>44159</v>
      </c>
      <c r="AB15" s="11">
        <f t="shared" si="0"/>
        <v>44160</v>
      </c>
      <c r="AC15" s="11">
        <f t="shared" si="0"/>
        <v>44161</v>
      </c>
      <c r="AD15" s="11">
        <f t="shared" si="0"/>
        <v>44162</v>
      </c>
      <c r="AE15" s="11">
        <f t="shared" si="0"/>
        <v>44163</v>
      </c>
      <c r="AF15" s="11">
        <f t="shared" si="0"/>
        <v>44164</v>
      </c>
      <c r="AG15" s="11">
        <f t="shared" si="0"/>
        <v>44165</v>
      </c>
      <c r="AH15" s="11" t="str">
        <f t="shared" si="0"/>
        <v/>
      </c>
      <c r="AI15" s="11"/>
      <c r="AJ15" s="12"/>
    </row>
    <row r="16" spans="1:42" ht="31.2" x14ac:dyDescent="0.3">
      <c r="B16" t="s">
        <v>63</v>
      </c>
      <c r="C16" s="2">
        <f>EOMONTH(C15,0)</f>
        <v>44165</v>
      </c>
      <c r="D16" s="37" t="s">
        <v>69</v>
      </c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  <c r="AC16" s="38"/>
      <c r="AD16" s="38"/>
      <c r="AE16" s="38"/>
      <c r="AF16" s="38"/>
      <c r="AG16" s="38"/>
      <c r="AH16" s="39"/>
      <c r="AI16" s="29"/>
    </row>
    <row r="17" spans="4:37" x14ac:dyDescent="0.3">
      <c r="D17" s="20">
        <f>IFERROR(DAY(D15),"")</f>
        <v>1</v>
      </c>
      <c r="E17" s="18">
        <f t="shared" ref="E17:AH17" si="1">IFERROR(DAY(E15),"")</f>
        <v>2</v>
      </c>
      <c r="F17" s="18">
        <f t="shared" si="1"/>
        <v>3</v>
      </c>
      <c r="G17" s="18">
        <f t="shared" si="1"/>
        <v>4</v>
      </c>
      <c r="H17" s="18">
        <f t="shared" si="1"/>
        <v>5</v>
      </c>
      <c r="I17" s="18">
        <f t="shared" si="1"/>
        <v>6</v>
      </c>
      <c r="J17" s="18">
        <f t="shared" si="1"/>
        <v>7</v>
      </c>
      <c r="K17" s="18">
        <f t="shared" si="1"/>
        <v>8</v>
      </c>
      <c r="L17" s="18">
        <f t="shared" si="1"/>
        <v>9</v>
      </c>
      <c r="M17" s="18">
        <f t="shared" si="1"/>
        <v>10</v>
      </c>
      <c r="N17" s="18">
        <f t="shared" si="1"/>
        <v>11</v>
      </c>
      <c r="O17" s="18">
        <f t="shared" si="1"/>
        <v>12</v>
      </c>
      <c r="P17" s="18">
        <f t="shared" si="1"/>
        <v>13</v>
      </c>
      <c r="Q17" s="18">
        <f t="shared" si="1"/>
        <v>14</v>
      </c>
      <c r="R17" s="18">
        <f t="shared" si="1"/>
        <v>15</v>
      </c>
      <c r="S17" s="18">
        <f t="shared" si="1"/>
        <v>16</v>
      </c>
      <c r="T17" s="18">
        <f t="shared" si="1"/>
        <v>17</v>
      </c>
      <c r="U17" s="18">
        <f t="shared" si="1"/>
        <v>18</v>
      </c>
      <c r="V17" s="18">
        <f t="shared" si="1"/>
        <v>19</v>
      </c>
      <c r="W17" s="18">
        <f t="shared" si="1"/>
        <v>20</v>
      </c>
      <c r="X17" s="18">
        <f t="shared" si="1"/>
        <v>21</v>
      </c>
      <c r="Y17" s="18">
        <f t="shared" si="1"/>
        <v>22</v>
      </c>
      <c r="Z17" s="18">
        <f t="shared" si="1"/>
        <v>23</v>
      </c>
      <c r="AA17" s="18">
        <f t="shared" si="1"/>
        <v>24</v>
      </c>
      <c r="AB17" s="18">
        <f t="shared" si="1"/>
        <v>25</v>
      </c>
      <c r="AC17" s="18">
        <f t="shared" si="1"/>
        <v>26</v>
      </c>
      <c r="AD17" s="18">
        <f t="shared" si="1"/>
        <v>27</v>
      </c>
      <c r="AE17" s="18">
        <f t="shared" si="1"/>
        <v>28</v>
      </c>
      <c r="AF17" s="18">
        <f t="shared" si="1"/>
        <v>29</v>
      </c>
      <c r="AG17" s="18">
        <f t="shared" si="1"/>
        <v>30</v>
      </c>
      <c r="AH17" s="21" t="str">
        <f t="shared" si="1"/>
        <v/>
      </c>
      <c r="AI17" s="30"/>
    </row>
    <row r="18" spans="4:37" x14ac:dyDescent="0.3">
      <c r="D18" s="22">
        <f>IFERROR(WEEKDAY(D15,1),"")</f>
        <v>1</v>
      </c>
      <c r="E18" s="19">
        <f t="shared" ref="E18:AH18" si="2">IFERROR(WEEKDAY(E15,1),"")</f>
        <v>2</v>
      </c>
      <c r="F18" s="19">
        <f t="shared" si="2"/>
        <v>3</v>
      </c>
      <c r="G18" s="19">
        <f t="shared" si="2"/>
        <v>4</v>
      </c>
      <c r="H18" s="19">
        <f t="shared" si="2"/>
        <v>5</v>
      </c>
      <c r="I18" s="19">
        <f t="shared" si="2"/>
        <v>6</v>
      </c>
      <c r="J18" s="19">
        <f t="shared" si="2"/>
        <v>7</v>
      </c>
      <c r="K18" s="19">
        <f t="shared" si="2"/>
        <v>1</v>
      </c>
      <c r="L18" s="19">
        <f t="shared" si="2"/>
        <v>2</v>
      </c>
      <c r="M18" s="19">
        <f t="shared" si="2"/>
        <v>3</v>
      </c>
      <c r="N18" s="19">
        <f t="shared" si="2"/>
        <v>4</v>
      </c>
      <c r="O18" s="19">
        <f t="shared" si="2"/>
        <v>5</v>
      </c>
      <c r="P18" s="19">
        <f t="shared" si="2"/>
        <v>6</v>
      </c>
      <c r="Q18" s="19">
        <f t="shared" si="2"/>
        <v>7</v>
      </c>
      <c r="R18" s="19">
        <f t="shared" si="2"/>
        <v>1</v>
      </c>
      <c r="S18" s="19">
        <f t="shared" si="2"/>
        <v>2</v>
      </c>
      <c r="T18" s="19">
        <f t="shared" si="2"/>
        <v>3</v>
      </c>
      <c r="U18" s="19">
        <f t="shared" si="2"/>
        <v>4</v>
      </c>
      <c r="V18" s="19">
        <f t="shared" si="2"/>
        <v>5</v>
      </c>
      <c r="W18" s="19">
        <f t="shared" si="2"/>
        <v>6</v>
      </c>
      <c r="X18" s="19">
        <f t="shared" si="2"/>
        <v>7</v>
      </c>
      <c r="Y18" s="19">
        <f t="shared" si="2"/>
        <v>1</v>
      </c>
      <c r="Z18" s="19">
        <f t="shared" si="2"/>
        <v>2</v>
      </c>
      <c r="AA18" s="19">
        <f t="shared" si="2"/>
        <v>3</v>
      </c>
      <c r="AB18" s="19">
        <f t="shared" si="2"/>
        <v>4</v>
      </c>
      <c r="AC18" s="19">
        <f t="shared" si="2"/>
        <v>5</v>
      </c>
      <c r="AD18" s="19">
        <f t="shared" si="2"/>
        <v>6</v>
      </c>
      <c r="AE18" s="19">
        <f t="shared" si="2"/>
        <v>7</v>
      </c>
      <c r="AF18" s="19">
        <f t="shared" si="2"/>
        <v>1</v>
      </c>
      <c r="AG18" s="19">
        <f t="shared" si="2"/>
        <v>2</v>
      </c>
      <c r="AH18" s="23" t="str">
        <f t="shared" si="2"/>
        <v/>
      </c>
      <c r="AI18" s="31" t="s">
        <v>66</v>
      </c>
      <c r="AJ18" s="28" t="s">
        <v>64</v>
      </c>
      <c r="AK18" s="27" t="s">
        <v>65</v>
      </c>
    </row>
    <row r="19" spans="4:37" ht="15" thickBot="1" x14ac:dyDescent="0.35">
      <c r="D19" s="24" t="str" cm="1">
        <f t="array" ref="D19">IFERROR(INDEX(Tableau14[],MATCH(1,('Feuille machine'!D15&gt;=Tableau14[Début])*(Tableau14[Fin]&gt;='Feuille machine'!D15)*(Tableau14[Machines]=$W$8),0),9),"")</f>
        <v/>
      </c>
      <c r="E19" s="25" t="str" cm="1">
        <f t="array" ref="E19">IFERROR(INDEX(Tableau14[],MATCH(1,('Feuille machine'!E15&gt;=Tableau14[Fin])*(Tableau14[Réf.]&gt;='Feuille machine'!E15)*(Tableau14[N° M.]='Feuille machine'!$L$8),0)*1,9),"")</f>
        <v/>
      </c>
      <c r="F19" s="25" t="str" cm="1">
        <f t="array" ref="F19">IFERROR(INDEX(Tableau14[],MATCH(1,('Feuille machine'!F15&gt;=Tableau14[Réf.])*(Tableau14[Symbol]&gt;='Feuille machine'!F15)*(Tableau14[Début]='Feuille machine'!$L$8),0)*1,9),"")</f>
        <v/>
      </c>
      <c r="G19" s="25" t="str" cm="1">
        <f t="array" ref="G19">IFERROR(INDEX(Tableau14[],MATCH(1,('Feuille machine'!G15&gt;=Tableau14[Symbol])*(Tableau14[N° C. ]&gt;='Feuille machine'!G15)*(Tableau14[Fin]='Feuille machine'!$L$8),0)*1,9),"")</f>
        <v/>
      </c>
      <c r="H19" s="25" t="str" cm="1">
        <f t="array" ref="H19">IFERROR(INDEX(Tableau14[],MATCH(1,('Feuille machine'!H15&gt;=Tableau14[N° C. ])*(Tableau14[Chantiers]&gt;='Feuille machine'!H15)*(Tableau14[Réf.]='Feuille machine'!$L$8),0)*1,9),"")</f>
        <v/>
      </c>
      <c r="I19" s="25" t="str" cm="1">
        <f t="array" ref="I19">IFERROR(INDEX(Tableau14[],MATCH(1,('Feuille machine'!I15&gt;=Tableau14[Chantiers])*(Tableau14[Responsables]&gt;='Feuille machine'!I15)*(Tableau14[Symbol]='Feuille machine'!$L$8),0)*1,9),"")</f>
        <v/>
      </c>
      <c r="J19" s="25" t="str" cm="1">
        <f t="array" ref="J19">IFERROR(INDEX(Tableau14[],MATCH(1,('Feuille machine'!J15&gt;=Tableau14[Responsables])*(Tableau14[Machines]&gt;='Feuille machine'!J15)*(Tableau14[N° C. ]='Feuille machine'!$L$8),0)*1,9),"")</f>
        <v/>
      </c>
      <c r="K19" s="25" t="str" cm="1">
        <f t="array" ref="K19">IFERROR(INDEX(Tableau14[],MATCH(1,('Feuille machine'!K15&gt;=Tableau14[Machines])*(Tableau14[N° M.]&gt;='Feuille machine'!K15)*(Tableau14[Chantiers]='Feuille machine'!$L$8),0)*1,9),"")</f>
        <v/>
      </c>
      <c r="L19" s="25" t="str" cm="1">
        <f t="array" ref="L19">IFERROR(INDEX(Tableau14[],MATCH(1,('Feuille machine'!L15&gt;=Tableau14[N° M.])*(Tableau14[Début]&gt;='Feuille machine'!L15)*(Tableau14[Responsables]='Feuille machine'!$L$8),0)*1,9),"")</f>
        <v/>
      </c>
      <c r="M19" s="25" t="str" cm="1">
        <f t="array" ref="M19">IFERROR(INDEX(Tableau14[],MATCH(1,('Feuille machine'!M15&gt;=Tableau14[Début])*(Tableau14[Fin]&gt;='Feuille machine'!M15)*(Tableau14[Machines]='Feuille machine'!$L$8),0)*1,9),"")</f>
        <v>O</v>
      </c>
      <c r="N19" s="25" t="str" cm="1">
        <f t="array" ref="N19">IFERROR(INDEX(Tableau14[],MATCH(1,('Feuille machine'!N15&gt;=Tableau14[Fin])*(Tableau14[Réf.]&gt;='Feuille machine'!N15)*(Tableau14[N° M.]='Feuille machine'!$L$8),0)*1,9),"")</f>
        <v/>
      </c>
      <c r="O19" s="25" t="str" cm="1">
        <f t="array" ref="O19">IFERROR(INDEX(Tableau14[],MATCH(1,('Feuille machine'!O15&gt;=Tableau14[Réf.])*(Tableau14[Symbol]&gt;='Feuille machine'!O15)*(Tableau14[Début]='Feuille machine'!$L$8),0)*1,9),"")</f>
        <v/>
      </c>
      <c r="P19" s="25" t="str" cm="1">
        <f t="array" ref="P19">IFERROR(INDEX(Tableau14[],MATCH(1,('Feuille machine'!P15&gt;=Tableau14[Symbol])*(Tableau14[N° C. ]&gt;='Feuille machine'!P15)*(Tableau14[Fin]='Feuille machine'!$L$8),0)*1,9),"")</f>
        <v/>
      </c>
      <c r="Q19" s="25" t="str" cm="1">
        <f t="array" ref="Q19">IFERROR(INDEX(Tableau14[],MATCH(1,('Feuille machine'!Q15&gt;=Tableau14[N° C. ])*(Tableau14[Chantiers]&gt;='Feuille machine'!Q15)*(Tableau14[Réf.]='Feuille machine'!$L$8),0)*1,9),"")</f>
        <v/>
      </c>
      <c r="R19" s="25" t="str" cm="1">
        <f t="array" ref="R19">IFERROR(INDEX(Tableau14[],MATCH(1,('Feuille machine'!R15&gt;=Tableau14[Chantiers])*(Tableau14[Responsables]&gt;='Feuille machine'!R15)*(Tableau14[Symbol]='Feuille machine'!$L$8),0)*1,9),"")</f>
        <v/>
      </c>
      <c r="S19" s="25" t="str" cm="1">
        <f t="array" ref="S19">IFERROR(INDEX(Tableau14[],MATCH(1,('Feuille machine'!S15&gt;=Tableau14[Responsables])*(Tableau14[Machines]&gt;='Feuille machine'!S15)*(Tableau14[N° C. ]='Feuille machine'!$L$8),0)*1,9),"")</f>
        <v/>
      </c>
      <c r="T19" s="25" t="str" cm="1">
        <f t="array" ref="T19">IFERROR(INDEX(Tableau14[],MATCH(1,('Feuille machine'!T15&gt;=Tableau14[Machines])*(Tableau14[N° M.]&gt;='Feuille machine'!T15)*(Tableau14[Chantiers]='Feuille machine'!$L$8),0)*1,9),"")</f>
        <v/>
      </c>
      <c r="U19" s="25" t="str" cm="1">
        <f t="array" ref="U19">IFERROR(INDEX(Tableau14[],MATCH(1,('Feuille machine'!U15&gt;=Tableau14[N° M.])*(Tableau14[Début]&gt;='Feuille machine'!U15)*(Tableau14[Responsables]='Feuille machine'!$L$8),0)*1,9),"")</f>
        <v/>
      </c>
      <c r="V19" s="25" t="str" cm="1">
        <f t="array" ref="V19">IFERROR(INDEX(Tableau14[],MATCH(1,('Feuille machine'!V15&gt;=Tableau14[Début])*(Tableau14[Fin]&gt;='Feuille machine'!V15)*(Tableau14[Machines]='Feuille machine'!$L$8),0)*1,9),"")</f>
        <v>O</v>
      </c>
      <c r="W19" s="25" t="str" cm="1">
        <f t="array" ref="W19">IFERROR(INDEX(Tableau14[],MATCH(1,('Feuille machine'!W15&gt;=Tableau14[Fin])*(Tableau14[Réf.]&gt;='Feuille machine'!W15)*(Tableau14[N° M.]='Feuille machine'!$L$8),0)*1,9),"")</f>
        <v/>
      </c>
      <c r="X19" s="25" t="str" cm="1">
        <f t="array" ref="X19">IFERROR(INDEX(Tableau14[],MATCH(1,('Feuille machine'!X15&gt;=Tableau14[Réf.])*(Tableau14[Symbol]&gt;='Feuille machine'!X15)*(Tableau14[Début]='Feuille machine'!$L$8),0)*1,9),"")</f>
        <v/>
      </c>
      <c r="Y19" s="25" t="str" cm="1">
        <f t="array" ref="Y19">IFERROR(INDEX(Tableau14[],MATCH(1,('Feuille machine'!Y15&gt;=Tableau14[Symbol])*(Tableau14[N° C. ]&gt;='Feuille machine'!Y15)*(Tableau14[Fin]='Feuille machine'!$L$8),0)*1,9),"")</f>
        <v/>
      </c>
      <c r="Z19" s="25" t="str" cm="1">
        <f t="array" ref="Z19">IFERROR(INDEX(Tableau14[],MATCH(1,('Feuille machine'!Z15&gt;=Tableau14[N° C. ])*(Tableau14[Chantiers]&gt;='Feuille machine'!Z15)*(Tableau14[Réf.]='Feuille machine'!$L$8),0)*1,9),"")</f>
        <v/>
      </c>
      <c r="AA19" s="25" t="str" cm="1">
        <f t="array" ref="AA19">IFERROR(INDEX(Tableau14[],MATCH(1,('Feuille machine'!AA15&gt;=Tableau14[Chantiers])*(Tableau14[Responsables]&gt;='Feuille machine'!AA15)*(Tableau14[Symbol]='Feuille machine'!$L$8),0)*1,9),"")</f>
        <v/>
      </c>
      <c r="AB19" s="25" t="str" cm="1">
        <f t="array" ref="AB19">IFERROR(INDEX(Tableau14[],MATCH(1,('Feuille machine'!AB15&gt;=Tableau14[Responsables])*(Tableau14[Machines]&gt;='Feuille machine'!AB15)*(Tableau14[N° C. ]='Feuille machine'!$L$8),0)*1,9),"")</f>
        <v/>
      </c>
      <c r="AC19" s="25" t="str" cm="1">
        <f t="array" ref="AC19">IFERROR(INDEX(Tableau14[],MATCH(1,('Feuille machine'!AC15&gt;=Tableau14[Machines])*(Tableau14[N° M.]&gt;='Feuille machine'!AC15)*(Tableau14[Chantiers]='Feuille machine'!$L$8),0)*1,9),"")</f>
        <v/>
      </c>
      <c r="AD19" s="25" t="str" cm="1">
        <f t="array" ref="AD19">IFERROR(INDEX(Tableau14[],MATCH(1,('Feuille machine'!AD15&gt;=Tableau14[N° M.])*(Tableau14[Début]&gt;='Feuille machine'!AD15)*(Tableau14[Responsables]='Feuille machine'!$L$8),0)*1,9),"")</f>
        <v/>
      </c>
      <c r="AE19" s="25" t="str" cm="1">
        <f t="array" ref="AE19">IFERROR(INDEX(Tableau14[],MATCH(1,('Feuille machine'!AE15&gt;=Tableau14[Début])*(Tableau14[Fin]&gt;='Feuille machine'!AE15)*(Tableau14[Machines]='Feuille machine'!$L$8),0)*1,9),"")</f>
        <v>O</v>
      </c>
      <c r="AF19" s="25" t="str" cm="1">
        <f t="array" ref="AF19">IFERROR(INDEX(Tableau14[],MATCH(1,('Feuille machine'!AF15&gt;=Tableau14[Fin])*(Tableau14[Réf.]&gt;='Feuille machine'!AF15)*(Tableau14[N° M.]='Feuille machine'!$L$8),0)*1,9),"")</f>
        <v/>
      </c>
      <c r="AG19" s="25" t="str" cm="1">
        <f t="array" ref="AG19">IFERROR(INDEX(Tableau14[],MATCH(1,('Feuille machine'!AG15&gt;=Tableau14[Réf.])*(Tableau14[Symbol]&gt;='Feuille machine'!AG15)*(Tableau14[Début]='Feuille machine'!$L$8),0)*1,9),"")</f>
        <v/>
      </c>
      <c r="AH19" s="26" t="str" cm="1">
        <f t="array" ref="AH19">IFERROR(INDEX(Tableau14[],MATCH(1,('Feuille machine'!AH15&gt;=Tableau14[Symbol])*(Tableau14[N° C. ]&gt;='Feuille machine'!AH15)*(Tableau14[Fin]='Feuille machine'!$L$8),0)*1,9),"")</f>
        <v/>
      </c>
      <c r="AI19" s="30" t="e">
        <f>NETWORKDAYS(D15,AH15,'Jours feriés'!A5:A23)</f>
        <v>#VALUE!</v>
      </c>
      <c r="AJ19">
        <f>COUNTIF(D19:AH19,$W$8)</f>
        <v>3</v>
      </c>
      <c r="AK19">
        <f>COUNTBLANK(D19:AH19)</f>
        <v>28</v>
      </c>
    </row>
  </sheetData>
  <mergeCells count="3">
    <mergeCell ref="N2:O2"/>
    <mergeCell ref="Q2:Y2"/>
    <mergeCell ref="D16:AH16"/>
  </mergeCells>
  <conditionalFormatting sqref="D17:AI18 D19:AH19">
    <cfRule type="expression" dxfId="0" priority="47">
      <formula>OR(D$18=7,D$18=1)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8A59EB1-7A31-4F47-8024-AB4CF6FDB9DC}">
          <x14:formula1>
            <xm:f>'Base de donnée'!$AG$2:$AG$10</xm:f>
          </x14:formula1>
          <xm:sqref>Z2</xm:sqref>
        </x14:dataValidation>
        <x14:dataValidation type="list" allowBlank="1" showInputMessage="1" showErrorMessage="1" xr:uid="{116501E0-C000-4B61-858A-831A2078A9FD}">
          <x14:formula1>
            <xm:f>'Base de donnée'!$AF$2:$AF$10</xm:f>
          </x14:formula1>
          <xm:sqref>Q2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472B69-D905-4883-B4C9-83984C27D0E8}">
  <dimension ref="A3:B23"/>
  <sheetViews>
    <sheetView workbookViewId="0">
      <selection activeCell="G16" sqref="G16"/>
    </sheetView>
  </sheetViews>
  <sheetFormatPr baseColWidth="10" defaultRowHeight="14.4" x14ac:dyDescent="0.3"/>
  <sheetData>
    <row r="3" spans="1:2" x14ac:dyDescent="0.3">
      <c r="A3" s="40" t="s">
        <v>45</v>
      </c>
      <c r="B3" s="40"/>
    </row>
    <row r="4" spans="1:2" x14ac:dyDescent="0.3">
      <c r="A4" t="s">
        <v>46</v>
      </c>
      <c r="B4" t="s">
        <v>47</v>
      </c>
    </row>
    <row r="5" spans="1:2" x14ac:dyDescent="0.3">
      <c r="A5" s="2">
        <v>44190</v>
      </c>
      <c r="B5" t="s">
        <v>48</v>
      </c>
    </row>
    <row r="6" spans="1:2" x14ac:dyDescent="0.3">
      <c r="A6" s="2">
        <v>44196</v>
      </c>
      <c r="B6" t="s">
        <v>49</v>
      </c>
    </row>
    <row r="7" spans="1:2" x14ac:dyDescent="0.3">
      <c r="A7" s="2">
        <v>44197</v>
      </c>
      <c r="B7" t="s">
        <v>50</v>
      </c>
    </row>
    <row r="8" spans="1:2" x14ac:dyDescent="0.3">
      <c r="A8" s="2">
        <v>44288</v>
      </c>
      <c r="B8" t="s">
        <v>51</v>
      </c>
    </row>
    <row r="9" spans="1:2" x14ac:dyDescent="0.3">
      <c r="A9" s="2">
        <v>44291</v>
      </c>
      <c r="B9" t="s">
        <v>52</v>
      </c>
    </row>
    <row r="10" spans="1:2" x14ac:dyDescent="0.3">
      <c r="A10" s="2">
        <v>44329</v>
      </c>
      <c r="B10" t="s">
        <v>53</v>
      </c>
    </row>
    <row r="11" spans="1:2" x14ac:dyDescent="0.3">
      <c r="A11" s="2">
        <v>44330</v>
      </c>
      <c r="B11" t="s">
        <v>54</v>
      </c>
    </row>
    <row r="12" spans="1:2" x14ac:dyDescent="0.3">
      <c r="A12" s="2">
        <v>44340</v>
      </c>
      <c r="B12" t="s">
        <v>57</v>
      </c>
    </row>
    <row r="13" spans="1:2" x14ac:dyDescent="0.3">
      <c r="A13" s="2">
        <v>44410</v>
      </c>
      <c r="B13" t="s">
        <v>55</v>
      </c>
    </row>
    <row r="14" spans="1:2" x14ac:dyDescent="0.3">
      <c r="A14" s="2">
        <v>44448</v>
      </c>
      <c r="B14" t="s">
        <v>56</v>
      </c>
    </row>
    <row r="15" spans="1:2" x14ac:dyDescent="0.3">
      <c r="A15" s="2">
        <v>44449</v>
      </c>
      <c r="B15" t="s">
        <v>54</v>
      </c>
    </row>
    <row r="16" spans="1:2" x14ac:dyDescent="0.3">
      <c r="A16" s="2">
        <v>44561</v>
      </c>
      <c r="B16" t="s">
        <v>49</v>
      </c>
    </row>
    <row r="17" spans="1:1" x14ac:dyDescent="0.3">
      <c r="A17" s="2">
        <v>44186</v>
      </c>
    </row>
    <row r="18" spans="1:1" x14ac:dyDescent="0.3">
      <c r="A18" s="2">
        <v>44187</v>
      </c>
    </row>
    <row r="19" spans="1:1" x14ac:dyDescent="0.3">
      <c r="A19" s="2">
        <v>44188</v>
      </c>
    </row>
    <row r="20" spans="1:1" x14ac:dyDescent="0.3">
      <c r="A20" s="2">
        <v>44189</v>
      </c>
    </row>
    <row r="21" spans="1:1" x14ac:dyDescent="0.3">
      <c r="A21" s="2">
        <v>44193</v>
      </c>
    </row>
    <row r="22" spans="1:1" x14ac:dyDescent="0.3">
      <c r="A22" s="2">
        <v>44194</v>
      </c>
    </row>
    <row r="23" spans="1:1" x14ac:dyDescent="0.3">
      <c r="A23" s="2">
        <v>44195</v>
      </c>
    </row>
  </sheetData>
  <mergeCells count="1">
    <mergeCell ref="A3:B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</vt:lpstr>
      <vt:lpstr>Feuille machine</vt:lpstr>
      <vt:lpstr>Jours feriés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Vincent</cp:lastModifiedBy>
  <cp:lastPrinted>2020-11-13T12:44:15Z</cp:lastPrinted>
  <dcterms:created xsi:type="dcterms:W3CDTF">2020-11-11T04:59:46Z</dcterms:created>
  <dcterms:modified xsi:type="dcterms:W3CDTF">2020-11-18T14:16:47Z</dcterms:modified>
</cp:coreProperties>
</file>