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AF85BB90-BDFB-4BD9-94F0-1825BB65725F}" xr6:coauthVersionLast="47" xr6:coauthVersionMax="47" xr10:uidLastSave="{00000000-0000-0000-0000-000000000000}"/>
  <bookViews>
    <workbookView xWindow="-120" yWindow="-120" windowWidth="29040" windowHeight="15720" activeTab="1" xr2:uid="{DA581AB9-CEF3-451A-8322-ABCA10116B1A}"/>
  </bookViews>
  <sheets>
    <sheet name="listing-produits" sheetId="1" r:id="rId1"/>
    <sheet name="POUR CLIENT" sheetId="3" r:id="rId2"/>
  </sheets>
  <definedNames>
    <definedName name="_xlnm._FilterDatabase" localSheetId="0" hidden="1">'listing-produits'!$A$1:$E$1</definedName>
    <definedName name="_xlcn.WorksheetConnection_listingproduitetgencode.xlsxTableau21" hidden="1">'listing-produits'!$A$1:$E$481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" name="Tableau2" connection="WorksheetConnection_listing produit et gencode.xlsx!Tableau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3" l="1"/>
  <c r="D2" i="3"/>
  <c r="C2" i="3"/>
  <c r="B2" i="3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7" i="1"/>
  <c r="A148" i="1"/>
  <c r="A149" i="1"/>
  <c r="A150" i="1"/>
  <c r="A151" i="1"/>
  <c r="A152" i="1"/>
  <c r="A153" i="1"/>
  <c r="A154" i="1"/>
  <c r="A159" i="1"/>
  <c r="A160" i="1"/>
  <c r="A161" i="1"/>
  <c r="A162" i="1"/>
  <c r="A163" i="1"/>
  <c r="A164" i="1"/>
  <c r="A165" i="1"/>
  <c r="A166" i="1"/>
  <c r="A168" i="1"/>
  <c r="A169" i="1"/>
  <c r="A170" i="1"/>
  <c r="A171" i="1"/>
  <c r="A172" i="1"/>
  <c r="A173" i="1"/>
  <c r="A174" i="1"/>
  <c r="A176" i="1"/>
  <c r="A177" i="1"/>
  <c r="A178" i="1"/>
  <c r="A179" i="1"/>
  <c r="A180" i="1"/>
  <c r="A181" i="1"/>
  <c r="A182" i="1"/>
  <c r="A183" i="1"/>
  <c r="A184" i="1"/>
  <c r="A186" i="1"/>
  <c r="A187" i="1"/>
  <c r="A188" i="1"/>
  <c r="A189" i="1"/>
  <c r="A190" i="1"/>
  <c r="A191" i="1"/>
  <c r="A192" i="1"/>
  <c r="A193" i="1"/>
  <c r="A195" i="1"/>
  <c r="A196" i="1"/>
  <c r="A197" i="1"/>
  <c r="A198" i="1"/>
  <c r="A199" i="1"/>
  <c r="A200" i="1"/>
  <c r="A201" i="1"/>
  <c r="A202" i="1"/>
  <c r="A203" i="1"/>
  <c r="A204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5" i="1"/>
  <c r="A236" i="1"/>
  <c r="A237" i="1"/>
  <c r="A239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5" i="1"/>
  <c r="A276" i="1"/>
  <c r="A277" i="1"/>
  <c r="A278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4" i="1"/>
  <c r="A355" i="1"/>
  <c r="A356" i="1"/>
  <c r="A357" i="1"/>
  <c r="A359" i="1"/>
  <c r="A360" i="1"/>
  <c r="A361" i="1"/>
  <c r="A362" i="1"/>
  <c r="A363" i="1"/>
  <c r="A364" i="1"/>
  <c r="A365" i="1"/>
  <c r="A366" i="1"/>
  <c r="A367" i="1"/>
  <c r="A369" i="1"/>
  <c r="A370" i="1"/>
  <c r="A371" i="1"/>
  <c r="A372" i="1"/>
  <c r="A373" i="1"/>
  <c r="A374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E3" i="3" l="1"/>
  <c r="E15" i="3"/>
  <c r="E27" i="3"/>
  <c r="D9" i="3"/>
  <c r="D21" i="3"/>
  <c r="C4" i="3"/>
  <c r="C16" i="3"/>
  <c r="C28" i="3"/>
  <c r="B11" i="3"/>
  <c r="B23" i="3"/>
  <c r="C29" i="3"/>
  <c r="B24" i="3"/>
  <c r="E19" i="3"/>
  <c r="C8" i="3"/>
  <c r="B27" i="3"/>
  <c r="D28" i="3"/>
  <c r="B30" i="3"/>
  <c r="D29" i="3"/>
  <c r="C13" i="3"/>
  <c r="E25" i="3"/>
  <c r="C26" i="3"/>
  <c r="D20" i="3"/>
  <c r="E4" i="3"/>
  <c r="E16" i="3"/>
  <c r="E28" i="3"/>
  <c r="D10" i="3"/>
  <c r="D22" i="3"/>
  <c r="C5" i="3"/>
  <c r="C17" i="3"/>
  <c r="B12" i="3"/>
  <c r="B13" i="3"/>
  <c r="D13" i="3"/>
  <c r="B3" i="3"/>
  <c r="D4" i="3"/>
  <c r="B6" i="3"/>
  <c r="C12" i="3"/>
  <c r="E24" i="3"/>
  <c r="C25" i="3"/>
  <c r="D19" i="3"/>
  <c r="E14" i="3"/>
  <c r="B10" i="3"/>
  <c r="E5" i="3"/>
  <c r="E17" i="3"/>
  <c r="E29" i="3"/>
  <c r="D11" i="3"/>
  <c r="D23" i="3"/>
  <c r="C6" i="3"/>
  <c r="C18" i="3"/>
  <c r="C30" i="3"/>
  <c r="B25" i="3"/>
  <c r="D25" i="3"/>
  <c r="B15" i="3"/>
  <c r="D16" i="3"/>
  <c r="B18" i="3"/>
  <c r="D17" i="3"/>
  <c r="B19" i="3"/>
  <c r="D30" i="3"/>
  <c r="E13" i="3"/>
  <c r="B9" i="3"/>
  <c r="C3" i="3"/>
  <c r="B22" i="3"/>
  <c r="E6" i="3"/>
  <c r="E18" i="3"/>
  <c r="E30" i="3"/>
  <c r="D12" i="3"/>
  <c r="D24" i="3"/>
  <c r="C7" i="3"/>
  <c r="C19" i="3"/>
  <c r="B14" i="3"/>
  <c r="B26" i="3"/>
  <c r="E7" i="3"/>
  <c r="E31" i="3"/>
  <c r="C20" i="3"/>
  <c r="E22" i="3"/>
  <c r="C23" i="3"/>
  <c r="E23" i="3"/>
  <c r="B7" i="3"/>
  <c r="D6" i="3"/>
  <c r="B20" i="3"/>
  <c r="E26" i="3"/>
  <c r="C27" i="3"/>
  <c r="E8" i="3"/>
  <c r="E20" i="3"/>
  <c r="D14" i="3"/>
  <c r="D26" i="3"/>
  <c r="C9" i="3"/>
  <c r="C21" i="3"/>
  <c r="B4" i="3"/>
  <c r="B16" i="3"/>
  <c r="B28" i="3"/>
  <c r="E9" i="3"/>
  <c r="E21" i="3"/>
  <c r="D3" i="3"/>
  <c r="D15" i="3"/>
  <c r="D27" i="3"/>
  <c r="C10" i="3"/>
  <c r="C22" i="3"/>
  <c r="B5" i="3"/>
  <c r="B17" i="3"/>
  <c r="B29" i="3"/>
  <c r="E10" i="3"/>
  <c r="C11" i="3"/>
  <c r="E11" i="3"/>
  <c r="D5" i="3"/>
  <c r="C24" i="3"/>
  <c r="E12" i="3"/>
  <c r="D18" i="3"/>
  <c r="B8" i="3"/>
  <c r="D7" i="3"/>
  <c r="C14" i="3"/>
  <c r="B21" i="3"/>
  <c r="D8" i="3"/>
  <c r="C1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04F98D-A103-4005-B96C-279DC9BC5281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8CB073D-CD96-4D57-BEE7-95238E8B926E}" name="WorksheetConnection_listing produit et gencode.xlsx!Tableau2" type="102" refreshedVersion="8" minRefreshableVersion="5">
    <extLst>
      <ext xmlns:x15="http://schemas.microsoft.com/office/spreadsheetml/2010/11/main" uri="{DE250136-89BD-433C-8126-D09CA5730AF9}">
        <x15:connection id="Tableau2">
          <x15:rangePr sourceName="_xlcn.WorksheetConnection_listingproduitetgencode.xlsxTableau21"/>
        </x15:connection>
      </ext>
    </extLst>
  </connection>
</connections>
</file>

<file path=xl/sharedStrings.xml><?xml version="1.0" encoding="utf-8"?>
<sst xmlns="http://schemas.openxmlformats.org/spreadsheetml/2006/main" count="1067" uniqueCount="594">
  <si>
    <t>260E</t>
  </si>
  <si>
    <t>276F</t>
  </si>
  <si>
    <t>304A</t>
  </si>
  <si>
    <t>3150P</t>
  </si>
  <si>
    <t>386F</t>
  </si>
  <si>
    <t>719F</t>
  </si>
  <si>
    <t>380F</t>
  </si>
  <si>
    <t>467A</t>
  </si>
  <si>
    <t>35500A</t>
  </si>
  <si>
    <t>35510A</t>
  </si>
  <si>
    <t>Référence article</t>
  </si>
  <si>
    <t>Désignation</t>
  </si>
  <si>
    <t>Unité de vente</t>
  </si>
  <si>
    <t>Kilo</t>
  </si>
  <si>
    <t>Unité</t>
  </si>
  <si>
    <t>DIVERS</t>
  </si>
  <si>
    <t>RIZ LONG BLANC 500G X10</t>
  </si>
  <si>
    <t>RIZ ROUGE ETUVE 500G X10</t>
  </si>
  <si>
    <t>RIZ NOIR ETUVE 500G X10</t>
  </si>
  <si>
    <t>TRIPES PROVENCALE BARQ. 3KG ENV.</t>
  </si>
  <si>
    <t>TRIPES PROVENCALES 500 G</t>
  </si>
  <si>
    <t>Sachet</t>
  </si>
  <si>
    <t>TRIPE PROVENCALE PLAT INOX 5L ENV</t>
  </si>
  <si>
    <t>PATE CABANES BTE 1.580 KG.</t>
  </si>
  <si>
    <t>La Boîte</t>
  </si>
  <si>
    <t>PATE DE FOIE CABANES BTE 130G</t>
  </si>
  <si>
    <t>MOUSSE DE FOIE 1/2 LUNE 1.7KG ENV</t>
  </si>
  <si>
    <t>PATE DE LAPIN TER. GRES 3.4KG</t>
  </si>
  <si>
    <t>PATE CAMPAGNE PAIN RECT S/V</t>
  </si>
  <si>
    <t>PATE OLIVES MED. RECT. 1.5 KG.ENV</t>
  </si>
  <si>
    <t>ASPIC OEUF JAMBON 95G X12</t>
  </si>
  <si>
    <t>BRIOCHE SAUCISSON CUIT 380G X4</t>
  </si>
  <si>
    <t>SAUC.BRIOCHE 120G X 6 S/ATM</t>
  </si>
  <si>
    <t>FEUILLETE JBON CHAMPIGNON/2 280G</t>
  </si>
  <si>
    <t>La barquette</t>
  </si>
  <si>
    <t>FRIAND A LA VIANDE/2 200G.</t>
  </si>
  <si>
    <t>FEUILLETE CHEVRE EPINARDS/2 240G</t>
  </si>
  <si>
    <t>FEUILLETE TOMATE MOZAR./2 260G</t>
  </si>
  <si>
    <t>SOUFFLÉ AU FROMAGE 9X100G</t>
  </si>
  <si>
    <t>TIELLE SETOISE/2 110G</t>
  </si>
  <si>
    <t>TARTE A LA BRANDADE/2 95G</t>
  </si>
  <si>
    <t>PISSALADIERE  2 X 95G</t>
  </si>
  <si>
    <t>SALADE DE POIS CHICHE BQ 400G</t>
  </si>
  <si>
    <t>SALADE LENTILLES BQ 400G</t>
  </si>
  <si>
    <t>TAGLIATELLES SURIMI 2.5KG.</t>
  </si>
  <si>
    <t>TABOULE ORIENTAL HUILE D'OLIVE 2.5KG</t>
  </si>
  <si>
    <t>SALADE ITALIENNE PENNE PESTO 1.5KG</t>
  </si>
  <si>
    <t>SALADE GOURMANDE A L AVOCAT 1.5KG</t>
  </si>
  <si>
    <t>FANTAISIE DES CARAIBES 2KG</t>
  </si>
  <si>
    <t>CREVETTES GAMBAS MANDARINES 2KG</t>
  </si>
  <si>
    <t>HARENG A L'HUILE SEAU 3KG</t>
  </si>
  <si>
    <t>Le seau de 3 kg</t>
  </si>
  <si>
    <t>SALADE DE CALAMARS 2KG</t>
  </si>
  <si>
    <t>SALADE ALASKA 1.5KG</t>
  </si>
  <si>
    <t xml:space="preserve">ROUILLE A LA GRAULENNE 1.6KG </t>
  </si>
  <si>
    <t>1396B</t>
  </si>
  <si>
    <t>ROUILLE A LA GRAULENNE BQ 400G</t>
  </si>
  <si>
    <t>SOUPE POISSON 780G + ROUILLE 90G</t>
  </si>
  <si>
    <t>GRIGNOTONS CHORIZO S.500G ENV</t>
  </si>
  <si>
    <t>GRIGNOTONS NATURE S.500G ENV</t>
  </si>
  <si>
    <t>GRIGNOTONS PARMESAN S.500G ENV</t>
  </si>
  <si>
    <t>GRIGNOTONS POIVRE S. 500G ENV</t>
  </si>
  <si>
    <t>PETIT MINISSON 500G ENV</t>
  </si>
  <si>
    <t>GRIGNOTONS PROVENCAL S.500G.</t>
  </si>
  <si>
    <t>GRIGNOTONS AUX NOIX S.500G</t>
  </si>
  <si>
    <t>CANNELONI 2.5KG ENV</t>
  </si>
  <si>
    <t>LASAGNE BOEUF 3KG</t>
  </si>
  <si>
    <t>ENDIVES AU JAMBON GRATINEES BQ 400G</t>
  </si>
  <si>
    <t>PETITS FARCIS AU PORC BQ 500G</t>
  </si>
  <si>
    <t>MOULES FARCIES A LA PROVENCALE 2.4KG ENV</t>
  </si>
  <si>
    <t>ENCORNET FARCI SETOISE 2KGX2 (4KG)</t>
  </si>
  <si>
    <t>TOMATES FARCIES ARTISANALES BQ 1.9KG ENV</t>
  </si>
  <si>
    <t>CHOUX FARCIS CUIT BQ 2.2 KG ENV</t>
  </si>
  <si>
    <t>PC TRAIT. FLORENTIN 1/2 S/V (NATURE) 2.5KG ENV</t>
  </si>
  <si>
    <t>PC TRAITEUR  SV  2.5KG ENV</t>
  </si>
  <si>
    <t>PC RICHELIEU RESTAURATION (richelieu) TRANCHE VPF</t>
  </si>
  <si>
    <t>PC RICHELIEU 2 TRANCHES (0.200G ENV)</t>
  </si>
  <si>
    <t>PC FRANC COMTOIS MORILLES /CHAMP.NOIRS 100G</t>
  </si>
  <si>
    <t>PC RICHELIEU SUP. PISTACHES/MOUSSE DE CANARD 100G</t>
  </si>
  <si>
    <t>PC MOUSSE FOIE VOL. S/V (RICHELIEU) 2.5KG ENV</t>
  </si>
  <si>
    <t>PC  PINTADE MORILLES CHAMP. 1/2 SV 2.5KG ENV</t>
  </si>
  <si>
    <t xml:space="preserve">F.G. CAND ENTIER BQ 800G MC </t>
  </si>
  <si>
    <t>F.G. CAND 30% MX Bte 400G. SARRADE FR</t>
  </si>
  <si>
    <t>PAELLA ROYALE 800G</t>
  </si>
  <si>
    <t>PAELLA VALENCIANA 6KG ENV</t>
  </si>
  <si>
    <t>PAELLA ROYALE 3KG</t>
  </si>
  <si>
    <t>BRANDADE MORUE NIMOISE 180G/6</t>
  </si>
  <si>
    <t>KIT PAELLA AU POULET  4.720KG</t>
  </si>
  <si>
    <t>Le kit</t>
  </si>
  <si>
    <t>PAUPIETTE SAUMON BEURRE CIT. 1.44KG</t>
  </si>
  <si>
    <t>DOS DE CABILLAUD BEURRE D'AGRUMES 1.1KG</t>
  </si>
  <si>
    <t>DOS DE CABILLAUD SC SAVEURS CRUSTACES 1.8KG</t>
  </si>
  <si>
    <t>COROLLE DE SOLE TROPICALE FARCIE SC EPICES DOUCE 1.8KG</t>
  </si>
  <si>
    <t>NOIX DE ST JACQUES PETITS LEGUMES ET SES GAMBAS 1.8KG</t>
  </si>
  <si>
    <t>QUENELLE BROCHET S. SAFRAN 2.1KG</t>
  </si>
  <si>
    <t>SAUCISSE DE STRASBOURG BA</t>
  </si>
  <si>
    <t>SAUC. A CUIRE DE LYON 350G/4 (1.400KG)</t>
  </si>
  <si>
    <t>SAUC. A CUIRE LYON PISTACHE 350G/4 (1.400KG)</t>
  </si>
  <si>
    <t>SAUCISSE DE FRANCFORT BN S/A</t>
  </si>
  <si>
    <t>CHOUCROUTE CUITE VIN BLANC SEAU 10KG</t>
  </si>
  <si>
    <t>Le seau de 10 kg</t>
  </si>
  <si>
    <t>CHOUCROUTE CUISINEE LABEL ROUGE SEAU 1KG</t>
  </si>
  <si>
    <t>CHOUCROUTE CRUE LABEL ROUGE SEAU 1KG</t>
  </si>
  <si>
    <t>CHOUCROUTE CRUE SEAU DE 10KG.</t>
  </si>
  <si>
    <t>CHOUCROUTE PAYSANNE BOITE 5/1</t>
  </si>
  <si>
    <t xml:space="preserve">CHOUCROUTE GARNIE 1KG </t>
  </si>
  <si>
    <t>KIT CHOUCROUTE GARNIE  4.550KG</t>
  </si>
  <si>
    <t>SAUCISSE DE FRANCFORT B.A.</t>
  </si>
  <si>
    <t>SAUCISSE MORTEAU X 1 IGP 350G.</t>
  </si>
  <si>
    <t>SAUCISSE MORTEAU X 4 SV IGP</t>
  </si>
  <si>
    <t xml:space="preserve">SAUCISSE COUENNES </t>
  </si>
  <si>
    <t>SAUCISSE KNACKS BN S/AT</t>
  </si>
  <si>
    <t>SAUCISSE MONTBELIARD X 10 IGP</t>
  </si>
  <si>
    <t>SAUCISSE MONTBELLIARD IGP SV X2 (300G)</t>
  </si>
  <si>
    <t>CARRE FUME CUIT SANS OS 1/2 SV</t>
  </si>
  <si>
    <t>PALETTE FUMEE 1/2 CUITE S/OS</t>
  </si>
  <si>
    <t>BOUDIN GALABART S/V X1</t>
  </si>
  <si>
    <t>BOUDIN GALABART S/V X5</t>
  </si>
  <si>
    <t>BOUDIN LANGUE 2.5KG ENV.</t>
  </si>
  <si>
    <t>BOUDIN NOIR OIGNONS BRASSE 1.5KG ENV</t>
  </si>
  <si>
    <t>BOUDIN OIGNONS PORTIONS</t>
  </si>
  <si>
    <t>193A</t>
  </si>
  <si>
    <t>BOUDIN OIGNONS CONFITS 600G</t>
  </si>
  <si>
    <t>Portion 600g.</t>
  </si>
  <si>
    <t>BOUDIN AUX CHATAIGNES 1.6KG/2.2KG ENV</t>
  </si>
  <si>
    <t>PATE DES CEVENNES VERRE 136 G</t>
  </si>
  <si>
    <t>F.G. CANARD VERRINE 120G</t>
  </si>
  <si>
    <t>F.G CANARD ENTIER 165G IGP</t>
  </si>
  <si>
    <t>F.G. CANARD ENTIER BOCAL 180G</t>
  </si>
  <si>
    <t>BLOC F.G. CANARD VERRINE 180G</t>
  </si>
  <si>
    <t>TERRINE CAMPAGNE 180G</t>
  </si>
  <si>
    <t>TERRINE JAMBONNEAU 180G.</t>
  </si>
  <si>
    <t>TERRINE FORESTIERE 180 G.</t>
  </si>
  <si>
    <t>TERRINE AU PIMENT D'ESPELETTE 180G</t>
  </si>
  <si>
    <t>TERRINE ROQUEFORT 180G</t>
  </si>
  <si>
    <t>TERRINE AUX OLIVES 180G</t>
  </si>
  <si>
    <t>TERRINE AUX ECHALOTES 180G</t>
  </si>
  <si>
    <t>TERRINE  CHATAIGNES 180G</t>
  </si>
  <si>
    <t>TERRINE AU GENIEVRE 180G</t>
  </si>
  <si>
    <t>TERRINE TAUREAU 180G</t>
  </si>
  <si>
    <t>TERRINE CAILLETTE 180G</t>
  </si>
  <si>
    <t>TERRINE CANARD/FIGUES 180G</t>
  </si>
  <si>
    <t>TERRINE CANARD/POIVRE VERT 180G</t>
  </si>
  <si>
    <t xml:space="preserve">MANCHONS CANARD CONFIT </t>
  </si>
  <si>
    <t>TERRINE LAPIN 180G</t>
  </si>
  <si>
    <t xml:space="preserve">TERRINE OIE AU FOIE CANARD 20%F.G.  </t>
  </si>
  <si>
    <t>TERRINE SANGLIER 180G</t>
  </si>
  <si>
    <t>TERRINE  CHEVREUIL 180G</t>
  </si>
  <si>
    <t xml:space="preserve">LARD BLANC EPAIS SALE </t>
  </si>
  <si>
    <t>POITRINE SALEE SECHEE POIVREE</t>
  </si>
  <si>
    <t>POITRINE SALEE 1/2 S/V</t>
  </si>
  <si>
    <t>POITRINE FUMEE 1/2 S/V</t>
  </si>
  <si>
    <t xml:space="preserve">POITRINE FUMEE REC PAYS VRAC </t>
  </si>
  <si>
    <t>POITRINE ROULEE (Pancetta)1/2  S/V</t>
  </si>
  <si>
    <t xml:space="preserve">COPPA 1/2 1.5KG/2KG ENV </t>
  </si>
  <si>
    <t>GRATON FOUGASSE 4KG</t>
  </si>
  <si>
    <t>BACON 1/2 1.5KG/2KG ENV.</t>
  </si>
  <si>
    <t>FILET MIGNON SECHE 1/2</t>
  </si>
  <si>
    <t>RILLETTE OIE 80% VERR. 180G.</t>
  </si>
  <si>
    <t>La verrine 180 gr.</t>
  </si>
  <si>
    <t>RILLETTE MANS PP VERRINE 180G.</t>
  </si>
  <si>
    <t>RILLETTE CANARD VERRINE 180G</t>
  </si>
  <si>
    <t>PATE OLIVES 5TR 100G LS</t>
  </si>
  <si>
    <t>TERRINE AVEYRONNAISE 200G.</t>
  </si>
  <si>
    <t>Portion 200 g.</t>
  </si>
  <si>
    <t>FRITON AVEYRONNAIS LS 200G</t>
  </si>
  <si>
    <t>TERRINE DE FRITON 180G</t>
  </si>
  <si>
    <t>PATE DE TETE CORNICHONS 200G</t>
  </si>
  <si>
    <t>PATE DE TETE VERRINE 180G</t>
  </si>
  <si>
    <t>JAMBON CUIT 2 TR. AC SUP.120G.</t>
  </si>
  <si>
    <t>JAMBON CUIT 4 TR. AC SUP. 240G.</t>
  </si>
  <si>
    <t>239A</t>
  </si>
  <si>
    <t>JAMBON CUIT DD CHOIX 20TR 800G</t>
  </si>
  <si>
    <t>COPPA 8 TRANCHES 80 G.</t>
  </si>
  <si>
    <t>COPPA 50 TRANCHES 500G</t>
  </si>
  <si>
    <t>COPPA CORSE ARTISANALE LS</t>
  </si>
  <si>
    <t>COPPA CORSE 80G</t>
  </si>
  <si>
    <t>JAMBON SEC 4 TRANCHES 80G</t>
  </si>
  <si>
    <t>JAMBON SERRANO INTERC. BQ 100G</t>
  </si>
  <si>
    <t>JAMBON SEC CORSE 100G</t>
  </si>
  <si>
    <t>BACON 7 TRANCHES 80 G.</t>
  </si>
  <si>
    <t>243A</t>
  </si>
  <si>
    <t>LARDONS FUMES N° 1 BQ 200G S/A</t>
  </si>
  <si>
    <t>243B</t>
  </si>
  <si>
    <t>LARDONS SALES N° 1 BQ 200G S/A</t>
  </si>
  <si>
    <t>243F</t>
  </si>
  <si>
    <t>LARDONS FUMES CRUS 1KG S/ATM.</t>
  </si>
  <si>
    <t>245S</t>
  </si>
  <si>
    <t>JAMBON SEC 20 TR ATC 500G.</t>
  </si>
  <si>
    <t>MORTADELLE TRANCHES 100G LS</t>
  </si>
  <si>
    <t xml:space="preserve">PANCETTA TRANCHES 80G. </t>
  </si>
  <si>
    <t>LONZO CORSE ARTISANAL LS</t>
  </si>
  <si>
    <t>LONZO 1/2  S/V</t>
  </si>
  <si>
    <t>LONZO CORSE 80G</t>
  </si>
  <si>
    <t>ROSETTE PP TRANCHEE 8 TR. 80G</t>
  </si>
  <si>
    <t>PANZETTA CORSE POITRINE SALEE  100G</t>
  </si>
  <si>
    <t>MOUSSE FORESTIERE CEPES 200G</t>
  </si>
  <si>
    <t>254C</t>
  </si>
  <si>
    <t>ROSETTE 50 TRANCHES 500g.</t>
  </si>
  <si>
    <t>CHORIZO CULAR TRANCHE 80G</t>
  </si>
  <si>
    <t>CHORIZO ALLUMETTE 500G</t>
  </si>
  <si>
    <t xml:space="preserve">CHORIZO 50 TRANCHES 500G </t>
  </si>
  <si>
    <t>PATE DE CAMPAGNE 200G</t>
  </si>
  <si>
    <t>PATE DE FOIE AUX CEPES  200G</t>
  </si>
  <si>
    <t>MOUSSE DE FOIE DE  PORC  200G</t>
  </si>
  <si>
    <t>PATE CANARD MAGRET FUME 200G</t>
  </si>
  <si>
    <t>1/2 JAMBON S/OS S JARRET SUP.</t>
  </si>
  <si>
    <t>JAMBON SEC ITALIEN GRECI FOLZAN</t>
  </si>
  <si>
    <t>JAMBON SEC DR SUPERIEUR 9MOIS</t>
  </si>
  <si>
    <t>JAMBON SEC S/OS SUP 12MOIS</t>
  </si>
  <si>
    <t>JAMBON CRU AVEC OS 3 MOIS</t>
  </si>
  <si>
    <t xml:space="preserve">JAMBON SEC AVEC OS </t>
  </si>
  <si>
    <t>JAMBON DE PARME 22M. DESOSSE</t>
  </si>
  <si>
    <t>JAMBON AFFINE EN CORSE SEC POIVRE</t>
  </si>
  <si>
    <t>1/6 JAMBON SEC S/OS S/JARRET 6M</t>
  </si>
  <si>
    <t>JAMBON SERRANO BODEGA</t>
  </si>
  <si>
    <t>JAMBON SERRANO RESERVA SELECTION</t>
  </si>
  <si>
    <t>SAUCISSON PP 300G PRESENT.14</t>
  </si>
  <si>
    <t>SAUCISSON SEC HL PP</t>
  </si>
  <si>
    <t>SAUCISSON DE L'ARDECHE IGP 250G ENV</t>
  </si>
  <si>
    <t>SAUCISSON PP 250G. AVEYRON</t>
  </si>
  <si>
    <t>SAUCISSON LONG BRIDE</t>
  </si>
  <si>
    <t xml:space="preserve">JESUS PUR PORC  </t>
  </si>
  <si>
    <t>JESUS SEC TRADITIONNEL 800G ENV.</t>
  </si>
  <si>
    <t>ROSETTE HL BN</t>
  </si>
  <si>
    <t>ROSETTE PP</t>
  </si>
  <si>
    <t>PAVE AU POIVRE</t>
  </si>
  <si>
    <t xml:space="preserve">PAVE NATURE PP </t>
  </si>
  <si>
    <t xml:space="preserve">PAVE AUX HERBES </t>
  </si>
  <si>
    <t>BOULE LYONNAISE PF 300G</t>
  </si>
  <si>
    <t>BOULE LYONNAISE ENR. HERBES</t>
  </si>
  <si>
    <t>BOULE LYONNAISE MEDITERRANEENNE</t>
  </si>
  <si>
    <t>BOULE LYONNAISE ENR POIVRE</t>
  </si>
  <si>
    <t>SAUCISSON SEC PIMENT VPF</t>
  </si>
  <si>
    <t xml:space="preserve">SAUCISSON SEC BEAUFORT VPF </t>
  </si>
  <si>
    <t>SAUCISSON SEC NOISETTE VPF</t>
  </si>
  <si>
    <t>SAUCISSON AUX CEPES 250G</t>
  </si>
  <si>
    <t>SAUCISSON FROMAGE CHEVRE F.R.V.</t>
  </si>
  <si>
    <t>SAUCISSON SEC PP FUME BOIS HETRE 200G</t>
  </si>
  <si>
    <t>SAUCISSON SANGLIER 200G. ENV.</t>
  </si>
  <si>
    <t>SAUCISSON AUX FIGUES 200G. ENV.</t>
  </si>
  <si>
    <t xml:space="preserve">SAUCISSON DE TAUREAU 250G./P </t>
  </si>
  <si>
    <t>FOUET TAUREAU 180G/P</t>
  </si>
  <si>
    <t>PATE AUX CEPES  2.3/2.7KG ENV.</t>
  </si>
  <si>
    <t>FORESTIERE. FOIES VOLAIL. 3.3K ASS.</t>
  </si>
  <si>
    <t xml:space="preserve">MORCILLAS 1.5KG. ENV. </t>
  </si>
  <si>
    <t>BOUTIFARRE PLI 450G.</t>
  </si>
  <si>
    <t>BLANCO TRIPA X 3  400G ENV.</t>
  </si>
  <si>
    <t>ASSORTIMENT COCKTAIL BQ 2KG ENV</t>
  </si>
  <si>
    <t>SAUCISSON CUIT A L'AIL BN FUME</t>
  </si>
  <si>
    <t>SAUCISSON CUIT A L'AIL BN</t>
  </si>
  <si>
    <t>JAMBONNETTE CUITE</t>
  </si>
  <si>
    <t>MINI CAILLETTE APERO CEVENNES SV</t>
  </si>
  <si>
    <t>CAILLETTE DES CEVENNES X 2 SV</t>
  </si>
  <si>
    <t>CAILLETTE CEVENNES X 6 SV</t>
  </si>
  <si>
    <t>FRICANDEAUX PLAT 8 BOULES S/V 2.5KG ENV</t>
  </si>
  <si>
    <t>FRITON AVEYRONNAIS 1/2 LUNE 1.8KG ENV</t>
  </si>
  <si>
    <t>GROS FRITONS 3KG ENV.</t>
  </si>
  <si>
    <t>MORTADELLE ITALIENNE OPTIMA 5KG ENV</t>
  </si>
  <si>
    <t>MORTADELLE PP 1.2/1.5KG ENV</t>
  </si>
  <si>
    <t>SALAMI DANOIS PP BA DROIT 1.5KG</t>
  </si>
  <si>
    <t>JAMBONNEAU ROTISSERIE X 6</t>
  </si>
  <si>
    <t>JAMBONNEAU SUP POINT CHAUD X5 AVEC OS</t>
  </si>
  <si>
    <t>JAMBONNEAU 1/2 S/V (0.300G ENV)</t>
  </si>
  <si>
    <t>ROTI PORC FR TRANCHE MOYENNE</t>
  </si>
  <si>
    <t>35200A</t>
  </si>
  <si>
    <t>ROTI DE PORC CUIT 4TR (0.200G ENV)</t>
  </si>
  <si>
    <t>ROTI PORC CUIT 1/2 SUP 1.7/1.9KG ENV</t>
  </si>
  <si>
    <t>TRAVERS DE PORC ROTISSOIRE NAT.</t>
  </si>
  <si>
    <t>ROTI BOEUF CUIT TRANCHE FINE FR</t>
  </si>
  <si>
    <t>LANGOTINE PAIN 3KG ENV</t>
  </si>
  <si>
    <t>PIEDS PORC CUITS S/V X 5</t>
  </si>
  <si>
    <t>PIEDS PORC CUITS S/V X 2</t>
  </si>
  <si>
    <t>COUENNES DE PORC CUITES</t>
  </si>
  <si>
    <t>POULET BASQUAISE 2.560KG</t>
  </si>
  <si>
    <t>PAUPIETTE LAPIN FARIGOULETTE 1.6K</t>
  </si>
  <si>
    <t>RABLE DE LAPIN SC AUX 2 MOUTARDES 1.8KG</t>
  </si>
  <si>
    <t>FILET MIGNON DE PORC AUX CEPES 1.8KG</t>
  </si>
  <si>
    <t>SAUTE DE PORC FERMIER LEGUMES DU SOLEIL 1.8KG</t>
  </si>
  <si>
    <t>COQ AU VIN  2.680KG</t>
  </si>
  <si>
    <t>JARRET D'AGNEAU AU THYM X 6 2.7KG ENV</t>
  </si>
  <si>
    <t>PIEDS PAQUETS BARQUETTE 3.5KG</t>
  </si>
  <si>
    <t>PIEDS PAQUET BARQUETTE 450G</t>
  </si>
  <si>
    <t>TAJINE POULET CITRON OLIVES 2.72KG</t>
  </si>
  <si>
    <t>CASSOULET 2.950KG</t>
  </si>
  <si>
    <t>GARDIANE DE TAUREAU BARQ  450G</t>
  </si>
  <si>
    <t>GARDIANE DE TAUREAU 2.4KG</t>
  </si>
  <si>
    <t>BOULETTES BOEUF MILANAISE 2.4K</t>
  </si>
  <si>
    <t>BOEUF BOURGUIGNON P. 2.4KG</t>
  </si>
  <si>
    <t>LANGUE DE BOEUF S.PIQUANTE 2.4K</t>
  </si>
  <si>
    <t>COUSCOUS ROYAL 800G</t>
  </si>
  <si>
    <t>COUSCOUS COMPLET KIT  6.05KG</t>
  </si>
  <si>
    <t>TETE VEAU SCE GRIBICHE 1.7KG ENV</t>
  </si>
  <si>
    <t>SAUTE VEAU A LA LYONNAISE 2.2KG</t>
  </si>
  <si>
    <t>PAUPIETTE DE VEAU S.CHAMP/TOM 2K</t>
  </si>
  <si>
    <t>BLANQUETTE DE VEAU P. 2.160KG</t>
  </si>
  <si>
    <t>SAUTE DE PORC A LA PROVENCALE ENV 1.5KG</t>
  </si>
  <si>
    <t>CIVET DE PORC AUX OLIVES 2.070KG</t>
  </si>
  <si>
    <t>ROUGAIL SAUCISSE 1.8KG/2.2KG</t>
  </si>
  <si>
    <t>ROGNONS DE PORC S.MADERE 2.4KG</t>
  </si>
  <si>
    <t>ARAIGNEE DE PORC MOUTARDE 2.5KG ENV.</t>
  </si>
  <si>
    <t>ARAIGNEE DE PORC HERBES 2.5KG ENV.</t>
  </si>
  <si>
    <t>CUISSE DE CANARD ET SES TRANCHES D ORANGE EN SC 1.8KG</t>
  </si>
  <si>
    <t>CUISSE DE LAPIN CHASSEUR  1.8KG</t>
  </si>
  <si>
    <t>CUISSE CANARD CONFITE SV X 6 1.5KG ENV</t>
  </si>
  <si>
    <t>MALLORQUINE DOUCE 2.3KG ENV</t>
  </si>
  <si>
    <t>MALLORQUINE FORTE 2.3KG ENV</t>
  </si>
  <si>
    <t xml:space="preserve">SAUCISSE SECHE P. 300G </t>
  </si>
  <si>
    <t>CHORIZO PERCHE</t>
  </si>
  <si>
    <t>CHORIZO PLIS DOUX LS 250G</t>
  </si>
  <si>
    <t>CHORIZO CHAPELET FORT 2KG ENV</t>
  </si>
  <si>
    <t>CHORIZO PLIS FORT LS 250G</t>
  </si>
  <si>
    <t>CHORIZO CHAPELET DOUX 2KG ENV</t>
  </si>
  <si>
    <t>CHORIZO CULAR</t>
  </si>
  <si>
    <t xml:space="preserve">SAUCISSE SECHE HL PP </t>
  </si>
  <si>
    <t xml:space="preserve">SAUCISSE SECHE PERCHE </t>
  </si>
  <si>
    <t>FIGATELLI CORSE (POIDS) SANS PRIX X4</t>
  </si>
  <si>
    <t>FIGATELLI CORSE (LS) AVEC PRIX X1</t>
  </si>
  <si>
    <t>SAUCISSE SECHE DE FOIE (ENV 250G)</t>
  </si>
  <si>
    <t>SAUCISSE FOUET 10% ROQUEFORT</t>
  </si>
  <si>
    <t>TERRINE AUX CHATAIGNES 3KG FAÏE</t>
  </si>
  <si>
    <t>PATE AUX ASPERGES GRES 2.4KG</t>
  </si>
  <si>
    <t>PATE ECHALOTTE GRES 2.4KG</t>
  </si>
  <si>
    <t>POULET CITRON TER. RECT. GRES 2.4KG</t>
  </si>
  <si>
    <t>TERRINE BATEAU P. CAMPAGNE 3.4KG</t>
  </si>
  <si>
    <t>PATE PIMENT ESPELETTE 3.9KG</t>
  </si>
  <si>
    <t>TERRINE FIGATELLI CORSE ARTISANALE</t>
  </si>
  <si>
    <t>TERRINE AVEYRONNAISE 3KG ENV.</t>
  </si>
  <si>
    <t>TERRINE POULET CITRON COCOTTE / RECHARGE</t>
  </si>
  <si>
    <t>CORDON BLEU DE VOLAILLE 1KG S/ATM.</t>
  </si>
  <si>
    <t>CORDON BLEU SELECTION BOUCHER</t>
  </si>
  <si>
    <t>NUGGETS DINDE  PANE S/ATM</t>
  </si>
  <si>
    <t>BROCHETTES POULET MARAICHERE X9</t>
  </si>
  <si>
    <t xml:space="preserve">RILLETTE OIE TER.GRES 3KG </t>
  </si>
  <si>
    <t>RILLETTE CANARD SALAD.GRES 2KG</t>
  </si>
  <si>
    <t>ANDOUILLETTE PANEE LYONNAISE X2 (0.400G ENV)</t>
  </si>
  <si>
    <t>ANDOUILLETTE VIRE VERIT T.GELEE 2.56KG</t>
  </si>
  <si>
    <t>ANDOUILLE DE GUEMENE DEMI</t>
  </si>
  <si>
    <t>GRATIN D'AUBERGINES A LA BOLOGNAISE 3KG ENV</t>
  </si>
  <si>
    <t>GRATIN D'AUBERGINES A LA PARMESANE 3KG ENV</t>
  </si>
  <si>
    <t>GRATIN DAUPHINOIS ARTISANAL 2.8KG ENV (PLAT)</t>
  </si>
  <si>
    <t>GRATIN ENDIVE/JAMBON PLAT RECT. 3KG ENV</t>
  </si>
  <si>
    <t>GRATIN CHOUX FLEUR PLAT RECT. 3KG ENV</t>
  </si>
  <si>
    <t>TARTARE DE TOMATES 1.5KG</t>
  </si>
  <si>
    <t>EPINARDS A LA CREME BQ 1.5KG ENV</t>
  </si>
  <si>
    <t>COEURS ARTICHAUT BASILIC 2.5KG</t>
  </si>
  <si>
    <t>RATATOUILLE BQ 2.5KG ENV</t>
  </si>
  <si>
    <t>AUBERGINE PARMESANE</t>
  </si>
  <si>
    <t>AUBERGINE A LA GRECQUE 2KG ENV</t>
  </si>
  <si>
    <t>ROULE D'AUBERGINES FARCIES 2.5KG ENV</t>
  </si>
  <si>
    <t>TARTIFLETTE ARTISANALE PLAT RECT. 2.9KG ENV</t>
  </si>
  <si>
    <t>GALETTE DE POMME DE TERRE BARQ 1.440KG</t>
  </si>
  <si>
    <t>RISOTTO PARMESAN CHAMPIGNON 1.5KG</t>
  </si>
  <si>
    <t>CROQUETTES FROMAGE 1.5KG</t>
  </si>
  <si>
    <t>P.D.T GRENAILLES CUITES FOUR 2KG ENV</t>
  </si>
  <si>
    <t>POMME GRENAILLES LEGUMES ULTRA FRAIS 1.8KG</t>
  </si>
  <si>
    <t>Bocal 38cl</t>
  </si>
  <si>
    <t>POMMES DAUPHINE ARTISANALE BQ. 1.1KG X2</t>
  </si>
  <si>
    <t>WEDGES A ROTIR FRESHLINE P. 2KG (POTATOES)</t>
  </si>
  <si>
    <t>GRATIN DAUPH CREME POCHE 2KG</t>
  </si>
  <si>
    <t>GRATIN DAUPH CHAMPIGNON POCHE 2KG</t>
  </si>
  <si>
    <t>GRATIN DAUPH MEDITERRAN POCHE 2KG</t>
  </si>
  <si>
    <t>GRATIN DAUPH LEGUMES POCHE 2KG</t>
  </si>
  <si>
    <t>1/2 JAMBON CUIT SUP DD TORCHON 3.5KG ENV</t>
  </si>
  <si>
    <t>JAMBON CUIT AUX HERBES DE PROVENCE</t>
  </si>
  <si>
    <t>JAMBON CUIT A/OS ROTISSOIRE MICHETTE</t>
  </si>
  <si>
    <t>JAMBON BRAISE COEUR GRILLE SUP.  A/C</t>
  </si>
  <si>
    <t>JAMBON MICHE SANS NITRITE AJOUTE</t>
  </si>
  <si>
    <t>JAMBON CUIT SUP AC MICHE BOUILLON. LEG.</t>
  </si>
  <si>
    <t>JAMBON SUP AC FLORENTIN FLEUR DE SEL</t>
  </si>
  <si>
    <t xml:space="preserve">JAMBON SUP AC PILULE </t>
  </si>
  <si>
    <t>JAMBON SUP AC LE MADRU</t>
  </si>
  <si>
    <t>JAMBON CUIT AVEC SON OS AC</t>
  </si>
  <si>
    <t>CAVIAR D'AUBERGINE VERRINE  90G</t>
  </si>
  <si>
    <t>CHIPS ARTIS. 200G. X 12 SACHETS</t>
  </si>
  <si>
    <t>CHIPS ARTIS. 125G. X 20 SACHETS</t>
  </si>
  <si>
    <t>BEIGNET AUBERGINE 1.5KG ENV.</t>
  </si>
  <si>
    <t>BEIGNET COURGETTE 1.1KG</t>
  </si>
  <si>
    <t>BEIGNET CREVETTES PANES 20GX6+S.20G</t>
  </si>
  <si>
    <t>GESIERS POULET CONFITS 1KG ENV.</t>
  </si>
  <si>
    <t>BRANDADE BQ 1.450 KG.</t>
  </si>
  <si>
    <t>ALIGOT THERONDELS BQ. 500G.</t>
  </si>
  <si>
    <t>TRUFFADE DE L AUBRAC BQ. 500G</t>
  </si>
  <si>
    <t>MORUE A LA CATALANE 2.4KG ENV (risques d'arêtes)</t>
  </si>
  <si>
    <t>PIEMONTAISE JAMBON SUP.2.5KG</t>
  </si>
  <si>
    <t>MUSEAU DE PORC PROVENCAL 2.5KG</t>
  </si>
  <si>
    <t>643A</t>
  </si>
  <si>
    <t>MUSEAU DE PORC LYONNAISE 2.5KG</t>
  </si>
  <si>
    <t>MUSEAU DE BOEUF POCHE 2.5KG</t>
  </si>
  <si>
    <t>PIEDS DE PORC VINAIGRETTE 3.5KG ENV</t>
  </si>
  <si>
    <t>COLESLAW.(DUO CHOUX CAROT). 2.5KG</t>
  </si>
  <si>
    <t>TRIO CHOUX JAMBON COMTE 2.5KG</t>
  </si>
  <si>
    <t>684A</t>
  </si>
  <si>
    <t xml:space="preserve">CHAMPIGNONS A LA GRECQUE 2.5KG </t>
  </si>
  <si>
    <t>CELERI REMOULADE 2.5KG</t>
  </si>
  <si>
    <t>CAROTTES RAPEES 2.5KG</t>
  </si>
  <si>
    <t>MACEDOINE DE LEGUMES 2.5KG</t>
  </si>
  <si>
    <t>GARDIANE CRUE</t>
  </si>
  <si>
    <t xml:space="preserve">BOEUF BOURGUIGNON </t>
  </si>
  <si>
    <t xml:space="preserve">COTE DE PORC ECHINE S/V </t>
  </si>
  <si>
    <t>SAUTE DE PORC SANS OS SV</t>
  </si>
  <si>
    <t>BARDE CHARCUTIERES SOUS GAZ</t>
  </si>
  <si>
    <t>SOUBRESSADE CHAPELET DOUCE  1.5KG ENV</t>
  </si>
  <si>
    <t>SOUBRESSADE CHAPELET FORTE 1.5KG ENV</t>
  </si>
  <si>
    <t>BOUDIN FRAIS LIASSE 2.2KG ENV</t>
  </si>
  <si>
    <t>MERGUEZ VOLAILLE MEDINA HALAL</t>
  </si>
  <si>
    <t>MERGUEZ BOEUF AGNEAU X 6/360G.</t>
  </si>
  <si>
    <t>MERGUEZ BN 60G X 20/1.2KG</t>
  </si>
  <si>
    <t>CHORIZO COCKTAIL A GRILLER 1KG</t>
  </si>
  <si>
    <t>CHORIZO BARBECUE DOUX BQ 1KG ENV</t>
  </si>
  <si>
    <t>7227F</t>
  </si>
  <si>
    <t>CHORIZO BARBECUE FORT BQ 1KG ENV</t>
  </si>
  <si>
    <t>CHAIR A SAUCISSE S/V</t>
  </si>
  <si>
    <t>CHAIR A SAUCISSE BQ 500G.</t>
  </si>
  <si>
    <t>FARCE A TOMATES 500G (ATM)</t>
  </si>
  <si>
    <t>SAUCISSE TOULOUSE SS COLORANT X20</t>
  </si>
  <si>
    <t>TOULOUSE AUX HERBES</t>
  </si>
  <si>
    <t>TOULOUSE SUP S/A  2.5KG RLX</t>
  </si>
  <si>
    <t>TOULOUSE X4 S/AT BQ 480G</t>
  </si>
  <si>
    <t>TOULOUSE PORTION S/A S/COL.</t>
  </si>
  <si>
    <t>SAUCISSE FRAICHE AUX CEPES 500G</t>
  </si>
  <si>
    <t>SAUCISSE FRAICHE ROQUEFORT 500G</t>
  </si>
  <si>
    <t>CHIPOLATAS P.P. B.N.  X 6</t>
  </si>
  <si>
    <t>SAUCISSE FINE SUP S/COL S/A 2.6KG RLX</t>
  </si>
  <si>
    <t>CHIPOLATAS PORTION S/A S/COL.</t>
  </si>
  <si>
    <t>CHIPOLATAS BN 60G X 20/1.2KG</t>
  </si>
  <si>
    <t>CHIPOLATAS HERBES DE PROVENCE X20</t>
  </si>
  <si>
    <t>CHIPOLATAS BLEU AUVERGNE 60G X30</t>
  </si>
  <si>
    <t>CHIPOLATTAS PIMENT ESPELETTE 60G X30</t>
  </si>
  <si>
    <t>CHIPOLATAS TOMATES SECHEES/BASILIC 60G X30</t>
  </si>
  <si>
    <t>EPAULE AGNEAU AVEC OS</t>
  </si>
  <si>
    <t>PATE DE TETE CORNICHONS 3.5/4KG ENV</t>
  </si>
  <si>
    <t>TETE PERSILLEE TER. GRES VERTE 3KG ENV</t>
  </si>
  <si>
    <t>FROMAGE DE TETE CORSE 2.5KG ENV</t>
  </si>
  <si>
    <t>TETE PERSILLEE 1/2 LUNE S/V</t>
  </si>
  <si>
    <t xml:space="preserve">PATE TETE DE COCHON 6KG </t>
  </si>
  <si>
    <t>PATE TETE DE COCHON 3.5KG</t>
  </si>
  <si>
    <t>JAMBON PERSILLE DE BOURGOGNE</t>
  </si>
  <si>
    <t>FROMAGE PUR CHEVRE FERMIER RLX/6</t>
  </si>
  <si>
    <t>Le rouleau</t>
  </si>
  <si>
    <t>CREME CANARD PORTO 3.3KG ASS.</t>
  </si>
  <si>
    <t>PATE CANARD MAGRET FUME T.G. 2.2/2.5KG ENV</t>
  </si>
  <si>
    <t>TERRINE DE CANARD AUX 2 FOIES ET AUX GIROLLES 1.2KG</t>
  </si>
  <si>
    <t>MOUSSE DE CANARD TERRINE 2.2 KG/2.4KG</t>
  </si>
  <si>
    <t>MOUSSE CANARD RLX 1.5KG</t>
  </si>
  <si>
    <t>SAUTE DE DINDE S/OS S/PEAU S/V</t>
  </si>
  <si>
    <t xml:space="preserve">CUISSE POULET </t>
  </si>
  <si>
    <t>FILET POULET  S/V</t>
  </si>
  <si>
    <t>MAGRET CANARD FUME TR 90G S/V</t>
  </si>
  <si>
    <t xml:space="preserve">MAGRET DE CANARD FRANCE 350G  </t>
  </si>
  <si>
    <t>9999LR</t>
  </si>
  <si>
    <t>POULET FERMIER LABEL ROUGE DE BOURGOGNE BLANC</t>
  </si>
  <si>
    <t>AFFICHE</t>
  </si>
  <si>
    <t>PUBLICITE</t>
  </si>
  <si>
    <t>AGENDA</t>
  </si>
  <si>
    <t>AGENDA 2025 OFFERT</t>
  </si>
  <si>
    <t>AVOIR</t>
  </si>
  <si>
    <t>AVOIR FACTURATION</t>
  </si>
  <si>
    <t>CALENDRIER</t>
  </si>
  <si>
    <t>CALENDRIER 2025-2026 OFFERT</t>
  </si>
  <si>
    <t>CIFOG</t>
  </si>
  <si>
    <t>TAXE CIFOG</t>
  </si>
  <si>
    <t>COFFRET1</t>
  </si>
  <si>
    <t>Coffret bois cérusé sérigraphié noir</t>
  </si>
  <si>
    <t>CORBEILLE1</t>
  </si>
  <si>
    <t xml:space="preserve">Petite corbeille tressée </t>
  </si>
  <si>
    <t>COUV100</t>
  </si>
  <si>
    <t xml:space="preserve">COUVERCLES VERRES </t>
  </si>
  <si>
    <t>COUV2200</t>
  </si>
  <si>
    <t>COUVERCLES VERRE X2200</t>
  </si>
  <si>
    <t>CPRLVT</t>
  </si>
  <si>
    <t>FRAIS DE PRELEVEMENT</t>
  </si>
  <si>
    <t>CV</t>
  </si>
  <si>
    <t>CESSION VEHICULE</t>
  </si>
  <si>
    <t>MARCHANDISE DIVERSE</t>
  </si>
  <si>
    <t>FACT</t>
  </si>
  <si>
    <t>FRAIS DE FACTURATION</t>
  </si>
  <si>
    <t>FCA</t>
  </si>
  <si>
    <t>PARTICIPATION CONTROLE</t>
  </si>
  <si>
    <t>FCCPT1</t>
  </si>
  <si>
    <t>Contribution co-produits charcuterie</t>
  </si>
  <si>
    <t>FCCPT2</t>
  </si>
  <si>
    <t>Contribution co-produits porc s/os</t>
  </si>
  <si>
    <t>FCCPT3</t>
  </si>
  <si>
    <t>Contribution co-produits panés</t>
  </si>
  <si>
    <t>FCHIMP</t>
  </si>
  <si>
    <t>FRAIS POUR CHEQUE IMPAYE</t>
  </si>
  <si>
    <t>FCVO</t>
  </si>
  <si>
    <t>Taxe INAPORC</t>
  </si>
  <si>
    <t>FFAB</t>
  </si>
  <si>
    <t>XXXXXXXXX</t>
  </si>
  <si>
    <t>FFVIANDEFRAICHE</t>
  </si>
  <si>
    <t>PRESTATION DEVERTEBRAGE BOVIN</t>
  </si>
  <si>
    <t>FORMATION</t>
  </si>
  <si>
    <t>FORMATION PROFESSIONNELLE</t>
  </si>
  <si>
    <t>FOURNITURE</t>
  </si>
  <si>
    <t>Fourniture bureau</t>
  </si>
  <si>
    <t>FRAISPORT</t>
  </si>
  <si>
    <t>FORFAIT PORT TVA 5.5%</t>
  </si>
  <si>
    <t>FRCEB260</t>
  </si>
  <si>
    <t>FRICASSEE DE CEPES BL 260G</t>
  </si>
  <si>
    <t>FRSDD1</t>
  </si>
  <si>
    <t>Redevance sanitaire de décolletage</t>
  </si>
  <si>
    <t>FTAGNEAUOS</t>
  </si>
  <si>
    <t>Interbev agneau avec os</t>
  </si>
  <si>
    <t>FTBOEUFISOS</t>
  </si>
  <si>
    <t>Interbev boeuf import sans os</t>
  </si>
  <si>
    <t>FTBOEUFOS</t>
  </si>
  <si>
    <t>Interbev boeuf avec os</t>
  </si>
  <si>
    <t>FTBOEUFSOS</t>
  </si>
  <si>
    <t>Interbev boeuf sans os</t>
  </si>
  <si>
    <t>FTESB</t>
  </si>
  <si>
    <t>Frais de test ESB</t>
  </si>
  <si>
    <t>FTOVINOS</t>
  </si>
  <si>
    <t>Interbev ovin avec os</t>
  </si>
  <si>
    <t>FTOVINSOS</t>
  </si>
  <si>
    <t>Interbev ovin sans os</t>
  </si>
  <si>
    <t>FTOVINSOSIM</t>
  </si>
  <si>
    <t>Interbev ovin sans os import</t>
  </si>
  <si>
    <t>FTSDD1</t>
  </si>
  <si>
    <t>Taxe sanitaire de découpe</t>
  </si>
  <si>
    <t>FTVAOSUE</t>
  </si>
  <si>
    <t>Intervev veau avec os import</t>
  </si>
  <si>
    <t>FTVEAUOS</t>
  </si>
  <si>
    <t>Interbev veau avec os</t>
  </si>
  <si>
    <t>FTVEAUSOS</t>
  </si>
  <si>
    <t>Interbev veau sans os</t>
  </si>
  <si>
    <t>FTVEAUSOSIM</t>
  </si>
  <si>
    <t>Interbev veau sans os import</t>
  </si>
  <si>
    <t>FTVEC</t>
  </si>
  <si>
    <t>Taxe volaille entière crue</t>
  </si>
  <si>
    <t>HUILTRUF4</t>
  </si>
  <si>
    <t>HUILE AROMATISEE TRUFFE 4CL</t>
  </si>
  <si>
    <t>NOEL</t>
  </si>
  <si>
    <t>CATALOGUE NOEL 2024</t>
  </si>
  <si>
    <t>PANIER1</t>
  </si>
  <si>
    <t>Panier en saule rectangle</t>
  </si>
  <si>
    <t>PANIERE</t>
  </si>
  <si>
    <t>PANIERE PAIN BAYADERE DBLE TISSU</t>
  </si>
  <si>
    <t>PENALPAIE</t>
  </si>
  <si>
    <t>PENALITES RETARD DE PAIEMENT</t>
  </si>
  <si>
    <t>PLATEAU1</t>
  </si>
  <si>
    <t>Plateau bois cérusé peint décor fruits</t>
  </si>
  <si>
    <t>PLATINOX2L</t>
  </si>
  <si>
    <t>PLAT INOX 2L 25CM*19CM</t>
  </si>
  <si>
    <t>PORT</t>
  </si>
  <si>
    <t>FORFAIT TRANSPORT TVA 20%</t>
  </si>
  <si>
    <t>PORT1</t>
  </si>
  <si>
    <t xml:space="preserve">FRAIS DE TRANSPORT </t>
  </si>
  <si>
    <t>PORTVENTE</t>
  </si>
  <si>
    <t>PPUBL</t>
  </si>
  <si>
    <t>PARTICIPATION PUBLICITAIRE</t>
  </si>
  <si>
    <t>PRESENTOIR</t>
  </si>
  <si>
    <t>PRESENTOIR JAMBON</t>
  </si>
  <si>
    <t>PRETPRESENT</t>
  </si>
  <si>
    <t>PRESENTOIR A VERRINE BOIS (PRET)</t>
  </si>
  <si>
    <t>RCLI</t>
  </si>
  <si>
    <t>REMISE EXCEPTIONNELLE</t>
  </si>
  <si>
    <t>RCLI5.5</t>
  </si>
  <si>
    <t>REMISE PROGRESSIVE ADHERENT</t>
  </si>
  <si>
    <t>RCLIEXO</t>
  </si>
  <si>
    <t>RISTOURNE CLIENT</t>
  </si>
  <si>
    <t>REMFOUR</t>
  </si>
  <si>
    <t>REMISE FOURNISSEUR</t>
  </si>
  <si>
    <t>REMISE</t>
  </si>
  <si>
    <t>REMISE PROMOTION</t>
  </si>
  <si>
    <t>REMISEPIED</t>
  </si>
  <si>
    <t>REMISE PIED DE PAGE</t>
  </si>
  <si>
    <t>RFOUREXO</t>
  </si>
  <si>
    <t>RISTOURNE FOURNISSEUR</t>
  </si>
  <si>
    <t>SANCERREBL75</t>
  </si>
  <si>
    <t>SANCERRE BL DOMAINE DE LEREDDE 75CL</t>
  </si>
  <si>
    <t>TENERGIE</t>
  </si>
  <si>
    <t>TAXE CONTRIBUTION ENERGIE</t>
  </si>
  <si>
    <t>TFORFAITAIRE</t>
  </si>
  <si>
    <t>TAXE FORFAITAIRE ADMINISTRATIVE</t>
  </si>
  <si>
    <t>TIGP</t>
  </si>
  <si>
    <t>TAXE IGP</t>
  </si>
  <si>
    <t>TPALETTE</t>
  </si>
  <si>
    <t>TAXE FORFAIT PALETTE</t>
  </si>
  <si>
    <t>VERRE150ML</t>
  </si>
  <si>
    <t>VERRE A EAU 17.7 CL</t>
  </si>
  <si>
    <t>ZACOMPTE</t>
  </si>
  <si>
    <t>ACOMPTE</t>
  </si>
  <si>
    <t>ZCVO1</t>
  </si>
  <si>
    <t>CVO Cat.1</t>
  </si>
  <si>
    <t>gencode</t>
  </si>
  <si>
    <t>2 431 933 0** ***</t>
  </si>
  <si>
    <t>2 628 450 0** ***</t>
  </si>
  <si>
    <t>2 468 050 0** ***</t>
  </si>
  <si>
    <t>2 468 054 0** ***</t>
  </si>
  <si>
    <t>2 468 053 0** ***</t>
  </si>
  <si>
    <t>Prix NET HT</t>
  </si>
  <si>
    <t>0099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</si>
</sst>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3" fontId="2" fillId="0" borderId="0" xfId="0" applyNumberFormat="1" applyFont="1"/>
    <xf numFmtId="3" fontId="2" fillId="3" borderId="1" xfId="0" applyNumberFormat="1" applyFont="1" applyFill="1" applyBorder="1"/>
    <xf numFmtId="3" fontId="2" fillId="0" borderId="1" xfId="0" applyNumberFormat="1" applyFont="1" applyBorder="1"/>
    <xf numFmtId="3" fontId="2" fillId="3" borderId="1" xfId="0" applyNumberFormat="1" applyFont="1" applyFill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2" fillId="0" borderId="1" xfId="1" applyNumberFormat="1" applyFont="1" applyBorder="1"/>
    <xf numFmtId="3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0" borderId="1" xfId="0" applyBorder="1" applyAlignment="1">
      <alignment wrapText="1"/>
    </xf>
    <xf numFmtId="0" fontId="0" fillId="0" borderId="1" xfId="0" applyBorder="1"/>
    <xf numFmtId="0" fontId="3" fillId="2" borderId="0" xfId="0" applyFont="1" applyFill="1" applyAlignment="1">
      <alignment vertical="center" wrapText="1"/>
    </xf>
    <xf numFmtId="3" fontId="4" fillId="2" borderId="0" xfId="0" applyNumberFormat="1" applyFont="1" applyFill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0" fillId="0" borderId="0" xfId="0" applyNumberFormat="1"/>
  </cellXfs>
  <cellStyles count="2">
    <cellStyle name="Milliers" xfId="1" builtinId="3"/>
    <cellStyle name="Normal" xfId="0" builtinId="0"/>
  </cellStyles>
  <dxfs count="7">
    <dxf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3" formatCode="#,##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D039BA-7F0E-455E-AF74-3597C67E70B6}" name="Tableau1" displayName="Tableau1" ref="A1:E481" totalsRowShown="0" headerRowDxfId="6" tableBorderDxfId="5">
  <autoFilter ref="A1:E481" xr:uid="{AAD039BA-7F0E-455E-AF74-3597C67E70B6}"/>
  <tableColumns count="5">
    <tableColumn id="1" xr3:uid="{3BDA7492-0EA3-43F0-8297-17226366B12F}" name="Référence article" dataDxfId="4"/>
    <tableColumn id="2" xr3:uid="{472C3D0B-C22A-4A97-A753-6449860FFAF5}" name="gencode" dataDxfId="3"/>
    <tableColumn id="3" xr3:uid="{4093E377-ECDF-4750-875B-7FC7E33D4F26}" name="Désignation" dataDxfId="2"/>
    <tableColumn id="4" xr3:uid="{15441ECD-DC7D-4E5A-AD02-4873C39C61FB}" name="Unité de vente" dataDxfId="1"/>
    <tableColumn id="5" xr3:uid="{B27FBDE1-8C39-4918-BDA3-7587E800CCFB}" name="Prix NET H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C14EE-20DC-495F-902E-315B72E41D83}">
  <sheetPr codeName="Feuil1"/>
  <dimension ref="A1:E481"/>
  <sheetViews>
    <sheetView workbookViewId="0">
      <pane ySplit="1" topLeftCell="A2" activePane="bottomLeft" state="frozen"/>
      <selection pane="bottomLeft" activeCell="C473" sqref="C473"/>
    </sheetView>
  </sheetViews>
  <sheetFormatPr baseColWidth="10" defaultRowHeight="15" x14ac:dyDescent="0.25"/>
  <cols>
    <col min="1" max="1" width="18.28515625" customWidth="1"/>
    <col min="2" max="2" width="21.140625" style="3" customWidth="1"/>
    <col min="3" max="3" width="35.5703125" style="2" customWidth="1"/>
    <col min="4" max="4" width="16.42578125" customWidth="1"/>
    <col min="5" max="5" width="14.85546875" customWidth="1"/>
  </cols>
  <sheetData>
    <row r="1" spans="1:5" s="1" customFormat="1" x14ac:dyDescent="0.25">
      <c r="A1" s="16" t="s">
        <v>10</v>
      </c>
      <c r="B1" s="17" t="s">
        <v>586</v>
      </c>
      <c r="C1" s="16" t="s">
        <v>11</v>
      </c>
      <c r="D1" s="16" t="s">
        <v>12</v>
      </c>
      <c r="E1" s="16" t="s">
        <v>592</v>
      </c>
    </row>
    <row r="2" spans="1:5" x14ac:dyDescent="0.25">
      <c r="A2" s="13" t="str">
        <f>"0011"</f>
        <v>0011</v>
      </c>
      <c r="B2" s="4"/>
      <c r="C2" s="12" t="s">
        <v>16</v>
      </c>
      <c r="D2" s="13" t="s">
        <v>14</v>
      </c>
      <c r="E2" s="13">
        <v>1.58</v>
      </c>
    </row>
    <row r="3" spans="1:5" x14ac:dyDescent="0.25">
      <c r="A3" s="15" t="str">
        <f>"0012"</f>
        <v>0012</v>
      </c>
      <c r="B3" s="5"/>
      <c r="C3" s="14" t="s">
        <v>17</v>
      </c>
      <c r="D3" s="15" t="s">
        <v>14</v>
      </c>
      <c r="E3" s="15">
        <v>2.73</v>
      </c>
    </row>
    <row r="4" spans="1:5" x14ac:dyDescent="0.25">
      <c r="A4" s="13" t="str">
        <f>"0013"</f>
        <v>0013</v>
      </c>
      <c r="B4" s="4"/>
      <c r="C4" s="12" t="s">
        <v>18</v>
      </c>
      <c r="D4" s="13" t="s">
        <v>14</v>
      </c>
      <c r="E4" s="13">
        <v>3.78</v>
      </c>
    </row>
    <row r="5" spans="1:5" x14ac:dyDescent="0.25">
      <c r="A5" s="15" t="str">
        <f>"0099"</f>
        <v>0099</v>
      </c>
      <c r="B5" s="5"/>
      <c r="C5" s="14" t="s">
        <v>19</v>
      </c>
      <c r="D5" s="15" t="s">
        <v>13</v>
      </c>
      <c r="E5" s="15">
        <v>8.7899999999999991</v>
      </c>
    </row>
    <row r="6" spans="1:5" x14ac:dyDescent="0.25">
      <c r="A6" s="13" t="str">
        <f>"095"</f>
        <v>095</v>
      </c>
      <c r="B6" s="4">
        <v>3385570050110</v>
      </c>
      <c r="C6" s="12" t="s">
        <v>20</v>
      </c>
      <c r="D6" s="13" t="s">
        <v>21</v>
      </c>
      <c r="E6" s="13">
        <v>4.72</v>
      </c>
    </row>
    <row r="7" spans="1:5" x14ac:dyDescent="0.25">
      <c r="A7" s="15" t="str">
        <f>"0983"</f>
        <v>0983</v>
      </c>
      <c r="B7" s="5"/>
      <c r="C7" s="14" t="s">
        <v>22</v>
      </c>
      <c r="D7" s="15" t="s">
        <v>13</v>
      </c>
      <c r="E7" s="15">
        <v>10.51</v>
      </c>
    </row>
    <row r="8" spans="1:5" x14ac:dyDescent="0.25">
      <c r="A8" s="13" t="str">
        <f>"103"</f>
        <v>103</v>
      </c>
      <c r="B8" s="4">
        <v>3344192100030</v>
      </c>
      <c r="C8" s="12" t="s">
        <v>23</v>
      </c>
      <c r="D8" s="13" t="s">
        <v>24</v>
      </c>
      <c r="E8" s="13">
        <v>13.59</v>
      </c>
    </row>
    <row r="9" spans="1:5" x14ac:dyDescent="0.25">
      <c r="A9" s="15" t="str">
        <f>"103130"</f>
        <v>103130</v>
      </c>
      <c r="B9" s="5">
        <v>3344191600029</v>
      </c>
      <c r="C9" s="14" t="s">
        <v>25</v>
      </c>
      <c r="D9" s="15" t="s">
        <v>24</v>
      </c>
      <c r="E9" s="15">
        <v>2.2999999999999998</v>
      </c>
    </row>
    <row r="10" spans="1:5" x14ac:dyDescent="0.25">
      <c r="A10" s="13" t="str">
        <f>"104"</f>
        <v>104</v>
      </c>
      <c r="B10" s="4"/>
      <c r="C10" s="12" t="s">
        <v>26</v>
      </c>
      <c r="D10" s="13" t="s">
        <v>13</v>
      </c>
      <c r="E10" s="13">
        <v>5.3</v>
      </c>
    </row>
    <row r="11" spans="1:5" x14ac:dyDescent="0.25">
      <c r="A11" s="15" t="str">
        <f>"1047"</f>
        <v>1047</v>
      </c>
      <c r="B11" s="5"/>
      <c r="C11" s="14" t="s">
        <v>27</v>
      </c>
      <c r="D11" s="15" t="s">
        <v>13</v>
      </c>
      <c r="E11" s="15">
        <v>13.81</v>
      </c>
    </row>
    <row r="12" spans="1:5" x14ac:dyDescent="0.25">
      <c r="A12" s="13" t="str">
        <f>"105"</f>
        <v>105</v>
      </c>
      <c r="B12" s="4"/>
      <c r="C12" s="12" t="s">
        <v>28</v>
      </c>
      <c r="D12" s="13" t="s">
        <v>13</v>
      </c>
      <c r="E12" s="13">
        <v>5.0999999999999996</v>
      </c>
    </row>
    <row r="13" spans="1:5" x14ac:dyDescent="0.25">
      <c r="A13" s="15" t="str">
        <f>"109"</f>
        <v>109</v>
      </c>
      <c r="B13" s="5"/>
      <c r="C13" s="14" t="s">
        <v>29</v>
      </c>
      <c r="D13" s="15" t="s">
        <v>13</v>
      </c>
      <c r="E13" s="15">
        <v>9.35</v>
      </c>
    </row>
    <row r="14" spans="1:5" x14ac:dyDescent="0.25">
      <c r="A14" s="13" t="str">
        <f>"115110"</f>
        <v>115110</v>
      </c>
      <c r="B14" s="4"/>
      <c r="C14" s="12" t="s">
        <v>30</v>
      </c>
      <c r="D14" s="13" t="s">
        <v>14</v>
      </c>
      <c r="E14" s="13">
        <v>1.45</v>
      </c>
    </row>
    <row r="15" spans="1:5" x14ac:dyDescent="0.25">
      <c r="A15" s="15" t="str">
        <f>"129965"</f>
        <v>129965</v>
      </c>
      <c r="B15" s="5">
        <v>3325420886421</v>
      </c>
      <c r="C15" s="14" t="s">
        <v>31</v>
      </c>
      <c r="D15" s="15" t="s">
        <v>14</v>
      </c>
      <c r="E15" s="15">
        <v>4.66</v>
      </c>
    </row>
    <row r="16" spans="1:5" x14ac:dyDescent="0.25">
      <c r="A16" s="13" t="str">
        <f>"129967"</f>
        <v>129967</v>
      </c>
      <c r="B16" s="4"/>
      <c r="C16" s="12" t="s">
        <v>32</v>
      </c>
      <c r="D16" s="13" t="s">
        <v>14</v>
      </c>
      <c r="E16" s="13">
        <v>2.68</v>
      </c>
    </row>
    <row r="17" spans="1:5" x14ac:dyDescent="0.25">
      <c r="A17" s="15" t="str">
        <f>"13072"</f>
        <v>13072</v>
      </c>
      <c r="B17" s="5">
        <v>3325420060395</v>
      </c>
      <c r="C17" s="14" t="s">
        <v>33</v>
      </c>
      <c r="D17" s="15" t="s">
        <v>34</v>
      </c>
      <c r="E17" s="15">
        <v>3.36</v>
      </c>
    </row>
    <row r="18" spans="1:5" x14ac:dyDescent="0.25">
      <c r="A18" s="13" t="str">
        <f>"13232"</f>
        <v>13232</v>
      </c>
      <c r="B18" s="4">
        <v>3325420020146</v>
      </c>
      <c r="C18" s="12" t="s">
        <v>35</v>
      </c>
      <c r="D18" s="13" t="s">
        <v>34</v>
      </c>
      <c r="E18" s="13">
        <v>2.37</v>
      </c>
    </row>
    <row r="19" spans="1:5" x14ac:dyDescent="0.25">
      <c r="A19" s="15" t="str">
        <f>"13272"</f>
        <v>13272</v>
      </c>
      <c r="B19" s="5">
        <v>3325420030534</v>
      </c>
      <c r="C19" s="14" t="s">
        <v>36</v>
      </c>
      <c r="D19" s="15" t="s">
        <v>34</v>
      </c>
      <c r="E19" s="15">
        <v>3.36</v>
      </c>
    </row>
    <row r="20" spans="1:5" x14ac:dyDescent="0.25">
      <c r="A20" s="13" t="str">
        <f>"13325"</f>
        <v>13325</v>
      </c>
      <c r="B20" s="4">
        <v>3325420030626</v>
      </c>
      <c r="C20" s="12" t="s">
        <v>37</v>
      </c>
      <c r="D20" s="13" t="s">
        <v>34</v>
      </c>
      <c r="E20" s="13">
        <v>3.41</v>
      </c>
    </row>
    <row r="21" spans="1:5" x14ac:dyDescent="0.25">
      <c r="A21" s="15" t="str">
        <f>"133270"</f>
        <v>133270</v>
      </c>
      <c r="B21" s="5"/>
      <c r="C21" s="14" t="s">
        <v>38</v>
      </c>
      <c r="D21" s="15" t="s">
        <v>14</v>
      </c>
      <c r="E21" s="15">
        <v>1.63</v>
      </c>
    </row>
    <row r="22" spans="1:5" x14ac:dyDescent="0.25">
      <c r="A22" s="13" t="str">
        <f>"1335"</f>
        <v>1335</v>
      </c>
      <c r="B22" s="4">
        <v>3760193240078</v>
      </c>
      <c r="C22" s="12" t="s">
        <v>39</v>
      </c>
      <c r="D22" s="13" t="s">
        <v>34</v>
      </c>
      <c r="E22" s="13">
        <v>3.42</v>
      </c>
    </row>
    <row r="23" spans="1:5" x14ac:dyDescent="0.25">
      <c r="A23" s="15" t="str">
        <f>"1336"</f>
        <v>1336</v>
      </c>
      <c r="B23" s="5">
        <v>3760193240115</v>
      </c>
      <c r="C23" s="14" t="s">
        <v>40</v>
      </c>
      <c r="D23" s="15" t="s">
        <v>34</v>
      </c>
      <c r="E23" s="15">
        <v>3.74</v>
      </c>
    </row>
    <row r="24" spans="1:5" x14ac:dyDescent="0.25">
      <c r="A24" s="13" t="str">
        <f>"133702"</f>
        <v>133702</v>
      </c>
      <c r="B24" s="4"/>
      <c r="C24" s="12" t="s">
        <v>41</v>
      </c>
      <c r="D24" s="13" t="s">
        <v>34</v>
      </c>
      <c r="E24" s="13">
        <v>3.95</v>
      </c>
    </row>
    <row r="25" spans="1:5" x14ac:dyDescent="0.25">
      <c r="A25" s="15" t="str">
        <f>"1351"</f>
        <v>1351</v>
      </c>
      <c r="B25" s="5"/>
      <c r="C25" s="14" t="s">
        <v>42</v>
      </c>
      <c r="D25" s="15" t="s">
        <v>34</v>
      </c>
      <c r="E25" s="15">
        <v>3.07</v>
      </c>
    </row>
    <row r="26" spans="1:5" x14ac:dyDescent="0.25">
      <c r="A26" s="13" t="str">
        <f>"1352"</f>
        <v>1352</v>
      </c>
      <c r="B26" s="4"/>
      <c r="C26" s="12" t="s">
        <v>43</v>
      </c>
      <c r="D26" s="13" t="s">
        <v>34</v>
      </c>
      <c r="E26" s="13">
        <v>3.07</v>
      </c>
    </row>
    <row r="27" spans="1:5" x14ac:dyDescent="0.25">
      <c r="A27" s="15" t="str">
        <f>"1356"</f>
        <v>1356</v>
      </c>
      <c r="B27" s="5"/>
      <c r="C27" s="14" t="s">
        <v>44</v>
      </c>
      <c r="D27" s="15" t="s">
        <v>13</v>
      </c>
      <c r="E27" s="15">
        <v>8.4499999999999993</v>
      </c>
    </row>
    <row r="28" spans="1:5" ht="30" x14ac:dyDescent="0.25">
      <c r="A28" s="13" t="str">
        <f>"1358"</f>
        <v>1358</v>
      </c>
      <c r="B28" s="4">
        <v>3281780014303</v>
      </c>
      <c r="C28" s="12" t="s">
        <v>45</v>
      </c>
      <c r="D28" s="13" t="s">
        <v>13</v>
      </c>
      <c r="E28" s="13">
        <v>5.46</v>
      </c>
    </row>
    <row r="29" spans="1:5" ht="30" x14ac:dyDescent="0.25">
      <c r="A29" s="15" t="str">
        <f>"13591"</f>
        <v>13591</v>
      </c>
      <c r="B29" s="5"/>
      <c r="C29" s="14" t="s">
        <v>46</v>
      </c>
      <c r="D29" s="15" t="s">
        <v>13</v>
      </c>
      <c r="E29" s="15">
        <v>7.44</v>
      </c>
    </row>
    <row r="30" spans="1:5" ht="30" x14ac:dyDescent="0.25">
      <c r="A30" s="13" t="str">
        <f>"13593"</f>
        <v>13593</v>
      </c>
      <c r="B30" s="4">
        <v>3346650205660</v>
      </c>
      <c r="C30" s="12" t="s">
        <v>47</v>
      </c>
      <c r="D30" s="13" t="s">
        <v>13</v>
      </c>
      <c r="E30" s="13">
        <v>9.1300000000000008</v>
      </c>
    </row>
    <row r="31" spans="1:5" x14ac:dyDescent="0.25">
      <c r="A31" s="15" t="str">
        <f>"13594"</f>
        <v>13594</v>
      </c>
      <c r="B31" s="5">
        <v>3700212545159</v>
      </c>
      <c r="C31" s="14" t="s">
        <v>48</v>
      </c>
      <c r="D31" s="15" t="s">
        <v>13</v>
      </c>
      <c r="E31" s="15">
        <v>10.09</v>
      </c>
    </row>
    <row r="32" spans="1:5" ht="30" x14ac:dyDescent="0.25">
      <c r="A32" s="13" t="str">
        <f>"13595"</f>
        <v>13595</v>
      </c>
      <c r="B32" s="4"/>
      <c r="C32" s="12" t="s">
        <v>49</v>
      </c>
      <c r="D32" s="13" t="s">
        <v>13</v>
      </c>
      <c r="E32" s="13">
        <v>14.29</v>
      </c>
    </row>
    <row r="33" spans="1:5" x14ac:dyDescent="0.25">
      <c r="A33" s="15" t="str">
        <f>"13700"</f>
        <v>13700</v>
      </c>
      <c r="B33" s="5">
        <v>3038680025775</v>
      </c>
      <c r="C33" s="14" t="s">
        <v>50</v>
      </c>
      <c r="D33" s="15" t="s">
        <v>51</v>
      </c>
      <c r="E33" s="15">
        <v>33.72</v>
      </c>
    </row>
    <row r="34" spans="1:5" x14ac:dyDescent="0.25">
      <c r="A34" s="13" t="str">
        <f>"1384"</f>
        <v>1384</v>
      </c>
      <c r="B34" s="4">
        <v>3700212545012</v>
      </c>
      <c r="C34" s="12" t="s">
        <v>52</v>
      </c>
      <c r="D34" s="13" t="s">
        <v>13</v>
      </c>
      <c r="E34" s="13">
        <v>11.9</v>
      </c>
    </row>
    <row r="35" spans="1:5" x14ac:dyDescent="0.25">
      <c r="A35" s="15" t="str">
        <f>"138605"</f>
        <v>138605</v>
      </c>
      <c r="B35" s="5"/>
      <c r="C35" s="14" t="s">
        <v>53</v>
      </c>
      <c r="D35" s="15" t="s">
        <v>13</v>
      </c>
      <c r="E35" s="15">
        <v>11.15</v>
      </c>
    </row>
    <row r="36" spans="1:5" x14ac:dyDescent="0.25">
      <c r="A36" s="13" t="str">
        <f>"1396"</f>
        <v>1396</v>
      </c>
      <c r="B36" s="4"/>
      <c r="C36" s="12" t="s">
        <v>54</v>
      </c>
      <c r="D36" s="13" t="s">
        <v>13</v>
      </c>
      <c r="E36" s="13">
        <v>15.5</v>
      </c>
    </row>
    <row r="37" spans="1:5" x14ac:dyDescent="0.25">
      <c r="A37" s="15" t="s">
        <v>55</v>
      </c>
      <c r="B37" s="5"/>
      <c r="C37" s="14" t="s">
        <v>56</v>
      </c>
      <c r="D37" s="15" t="s">
        <v>34</v>
      </c>
      <c r="E37" s="15">
        <v>6.53</v>
      </c>
    </row>
    <row r="38" spans="1:5" x14ac:dyDescent="0.25">
      <c r="A38" s="13" t="str">
        <f>"1397"</f>
        <v>1397</v>
      </c>
      <c r="B38" s="4">
        <v>3760193240009</v>
      </c>
      <c r="C38" s="12" t="s">
        <v>57</v>
      </c>
      <c r="D38" s="13" t="s">
        <v>14</v>
      </c>
      <c r="E38" s="13">
        <v>6.15</v>
      </c>
    </row>
    <row r="39" spans="1:5" x14ac:dyDescent="0.25">
      <c r="A39" s="15" t="str">
        <f>"14760"</f>
        <v>14760</v>
      </c>
      <c r="B39" s="5"/>
      <c r="C39" s="14" t="s">
        <v>58</v>
      </c>
      <c r="D39" s="15" t="s">
        <v>13</v>
      </c>
      <c r="E39" s="15">
        <v>17.46</v>
      </c>
    </row>
    <row r="40" spans="1:5" x14ac:dyDescent="0.25">
      <c r="A40" s="13" t="str">
        <f>"14761"</f>
        <v>14761</v>
      </c>
      <c r="B40" s="4"/>
      <c r="C40" s="12" t="s">
        <v>59</v>
      </c>
      <c r="D40" s="13" t="s">
        <v>13</v>
      </c>
      <c r="E40" s="13">
        <v>17.46</v>
      </c>
    </row>
    <row r="41" spans="1:5" x14ac:dyDescent="0.25">
      <c r="A41" s="15" t="str">
        <f>"14762"</f>
        <v>14762</v>
      </c>
      <c r="B41" s="5"/>
      <c r="C41" s="14" t="s">
        <v>60</v>
      </c>
      <c r="D41" s="15" t="s">
        <v>13</v>
      </c>
      <c r="E41" s="15">
        <v>17.46</v>
      </c>
    </row>
    <row r="42" spans="1:5" x14ac:dyDescent="0.25">
      <c r="A42" s="13" t="str">
        <f>"14763"</f>
        <v>14763</v>
      </c>
      <c r="B42" s="4"/>
      <c r="C42" s="12" t="s">
        <v>61</v>
      </c>
      <c r="D42" s="13" t="s">
        <v>13</v>
      </c>
      <c r="E42" s="13">
        <v>17.46</v>
      </c>
    </row>
    <row r="43" spans="1:5" x14ac:dyDescent="0.25">
      <c r="A43" s="15" t="str">
        <f>"14764"</f>
        <v>14764</v>
      </c>
      <c r="B43" s="5"/>
      <c r="C43" s="14" t="s">
        <v>62</v>
      </c>
      <c r="D43" s="15" t="s">
        <v>13</v>
      </c>
      <c r="E43" s="15">
        <v>22.19</v>
      </c>
    </row>
    <row r="44" spans="1:5" x14ac:dyDescent="0.25">
      <c r="A44" s="13" t="str">
        <f>"14765"</f>
        <v>14765</v>
      </c>
      <c r="B44" s="4"/>
      <c r="C44" s="12" t="s">
        <v>63</v>
      </c>
      <c r="D44" s="13" t="s">
        <v>13</v>
      </c>
      <c r="E44" s="13">
        <v>17.46</v>
      </c>
    </row>
    <row r="45" spans="1:5" x14ac:dyDescent="0.25">
      <c r="A45" s="15" t="str">
        <f>"14766"</f>
        <v>14766</v>
      </c>
      <c r="B45" s="5"/>
      <c r="C45" s="14" t="s">
        <v>64</v>
      </c>
      <c r="D45" s="15" t="s">
        <v>13</v>
      </c>
      <c r="E45" s="15">
        <v>17.46</v>
      </c>
    </row>
    <row r="46" spans="1:5" x14ac:dyDescent="0.25">
      <c r="A46" s="13" t="str">
        <f>"1485"</f>
        <v>1485</v>
      </c>
      <c r="B46" s="4"/>
      <c r="C46" s="12" t="s">
        <v>65</v>
      </c>
      <c r="D46" s="13" t="s">
        <v>13</v>
      </c>
      <c r="E46" s="13">
        <v>11.35</v>
      </c>
    </row>
    <row r="47" spans="1:5" x14ac:dyDescent="0.25">
      <c r="A47" s="15" t="str">
        <f>"14920"</f>
        <v>14920</v>
      </c>
      <c r="B47" s="5">
        <v>3338310003013</v>
      </c>
      <c r="C47" s="14" t="s">
        <v>66</v>
      </c>
      <c r="D47" s="15" t="s">
        <v>13</v>
      </c>
      <c r="E47" s="15">
        <v>10.85</v>
      </c>
    </row>
    <row r="48" spans="1:5" ht="30" x14ac:dyDescent="0.25">
      <c r="A48" s="13" t="str">
        <f>"149205"</f>
        <v>149205</v>
      </c>
      <c r="B48" s="4"/>
      <c r="C48" s="12" t="s">
        <v>67</v>
      </c>
      <c r="D48" s="13" t="s">
        <v>34</v>
      </c>
      <c r="E48" s="13">
        <v>5.43</v>
      </c>
    </row>
    <row r="49" spans="1:5" x14ac:dyDescent="0.25">
      <c r="A49" s="15" t="str">
        <f>"149206"</f>
        <v>149206</v>
      </c>
      <c r="B49" s="5"/>
      <c r="C49" s="14" t="s">
        <v>68</v>
      </c>
      <c r="D49" s="15" t="s">
        <v>34</v>
      </c>
      <c r="E49" s="15">
        <v>6.86</v>
      </c>
    </row>
    <row r="50" spans="1:5" ht="30" x14ac:dyDescent="0.25">
      <c r="A50" s="13" t="str">
        <f>"1503"</f>
        <v>1503</v>
      </c>
      <c r="B50" s="4"/>
      <c r="C50" s="12" t="s">
        <v>69</v>
      </c>
      <c r="D50" s="13" t="s">
        <v>13</v>
      </c>
      <c r="E50" s="13">
        <v>14.99</v>
      </c>
    </row>
    <row r="51" spans="1:5" x14ac:dyDescent="0.25">
      <c r="A51" s="15" t="str">
        <f>"1520"</f>
        <v>1520</v>
      </c>
      <c r="B51" s="5">
        <v>3349145252002</v>
      </c>
      <c r="C51" s="14" t="s">
        <v>70</v>
      </c>
      <c r="D51" s="15" t="s">
        <v>13</v>
      </c>
      <c r="E51" s="15">
        <v>12.83</v>
      </c>
    </row>
    <row r="52" spans="1:5" ht="30" x14ac:dyDescent="0.25">
      <c r="A52" s="13" t="str">
        <f>"152219"</f>
        <v>152219</v>
      </c>
      <c r="B52" s="4"/>
      <c r="C52" s="12" t="s">
        <v>71</v>
      </c>
      <c r="D52" s="13" t="s">
        <v>13</v>
      </c>
      <c r="E52" s="13">
        <v>12.55</v>
      </c>
    </row>
    <row r="53" spans="1:5" x14ac:dyDescent="0.25">
      <c r="A53" s="15" t="str">
        <f>"1523"</f>
        <v>1523</v>
      </c>
      <c r="B53" s="5"/>
      <c r="C53" s="14" t="s">
        <v>72</v>
      </c>
      <c r="D53" s="15" t="s">
        <v>13</v>
      </c>
      <c r="E53" s="15">
        <v>10.7</v>
      </c>
    </row>
    <row r="54" spans="1:5" ht="30" x14ac:dyDescent="0.25">
      <c r="A54" s="13" t="str">
        <f>"154"</f>
        <v>154</v>
      </c>
      <c r="B54" s="4"/>
      <c r="C54" s="12" t="s">
        <v>73</v>
      </c>
      <c r="D54" s="13" t="s">
        <v>13</v>
      </c>
      <c r="E54" s="13">
        <v>11.31</v>
      </c>
    </row>
    <row r="55" spans="1:5" x14ac:dyDescent="0.25">
      <c r="A55" s="15" t="str">
        <f>"155"</f>
        <v>155</v>
      </c>
      <c r="B55" s="5"/>
      <c r="C55" s="14" t="s">
        <v>74</v>
      </c>
      <c r="D55" s="15" t="s">
        <v>13</v>
      </c>
      <c r="E55" s="15">
        <v>11.31</v>
      </c>
    </row>
    <row r="56" spans="1:5" ht="30" x14ac:dyDescent="0.25">
      <c r="A56" s="13" t="str">
        <f>"1553"</f>
        <v>1553</v>
      </c>
      <c r="B56" s="4"/>
      <c r="C56" s="12" t="s">
        <v>75</v>
      </c>
      <c r="D56" s="13" t="s">
        <v>13</v>
      </c>
      <c r="E56" s="13">
        <v>7.99</v>
      </c>
    </row>
    <row r="57" spans="1:5" ht="30" x14ac:dyDescent="0.25">
      <c r="A57" s="15" t="str">
        <f>"1556"</f>
        <v>1556</v>
      </c>
      <c r="B57" s="5"/>
      <c r="C57" s="14" t="s">
        <v>76</v>
      </c>
      <c r="D57" s="15" t="s">
        <v>13</v>
      </c>
      <c r="E57" s="15">
        <v>12.3</v>
      </c>
    </row>
    <row r="58" spans="1:5" ht="30" x14ac:dyDescent="0.25">
      <c r="A58" s="13" t="str">
        <f>"15561"</f>
        <v>15561</v>
      </c>
      <c r="B58" s="4"/>
      <c r="C58" s="12" t="s">
        <v>77</v>
      </c>
      <c r="D58" s="13" t="s">
        <v>14</v>
      </c>
      <c r="E58" s="13">
        <v>1.99</v>
      </c>
    </row>
    <row r="59" spans="1:5" ht="30" x14ac:dyDescent="0.25">
      <c r="A59" s="15" t="str">
        <f>"15562"</f>
        <v>15562</v>
      </c>
      <c r="B59" s="5"/>
      <c r="C59" s="14" t="s">
        <v>78</v>
      </c>
      <c r="D59" s="15" t="s">
        <v>14</v>
      </c>
      <c r="E59" s="15">
        <v>1.93</v>
      </c>
    </row>
    <row r="60" spans="1:5" ht="30" x14ac:dyDescent="0.25">
      <c r="A60" s="13" t="str">
        <f>"156"</f>
        <v>156</v>
      </c>
      <c r="B60" s="4"/>
      <c r="C60" s="12" t="s">
        <v>79</v>
      </c>
      <c r="D60" s="13" t="s">
        <v>13</v>
      </c>
      <c r="E60" s="13">
        <v>8.3800000000000008</v>
      </c>
    </row>
    <row r="61" spans="1:5" ht="30" x14ac:dyDescent="0.25">
      <c r="A61" s="15" t="str">
        <f>"1588"</f>
        <v>1588</v>
      </c>
      <c r="B61" s="5"/>
      <c r="C61" s="14" t="s">
        <v>80</v>
      </c>
      <c r="D61" s="15" t="s">
        <v>13</v>
      </c>
      <c r="E61" s="15">
        <v>16.559999999999999</v>
      </c>
    </row>
    <row r="62" spans="1:5" x14ac:dyDescent="0.25">
      <c r="A62" s="13" t="str">
        <f>"169008"</f>
        <v>169008</v>
      </c>
      <c r="B62" s="4"/>
      <c r="C62" s="12" t="s">
        <v>81</v>
      </c>
      <c r="D62" s="13" t="s">
        <v>14</v>
      </c>
      <c r="E62" s="13">
        <v>53.2</v>
      </c>
    </row>
    <row r="63" spans="1:5" ht="30" x14ac:dyDescent="0.25">
      <c r="A63" s="15" t="str">
        <f>"169033"</f>
        <v>169033</v>
      </c>
      <c r="B63" s="5"/>
      <c r="C63" s="14" t="s">
        <v>82</v>
      </c>
      <c r="D63" s="15" t="s">
        <v>24</v>
      </c>
      <c r="E63" s="15">
        <v>19</v>
      </c>
    </row>
    <row r="64" spans="1:5" x14ac:dyDescent="0.25">
      <c r="A64" s="13" t="str">
        <f>"17111"</f>
        <v>17111</v>
      </c>
      <c r="B64" s="4">
        <v>3349149030804</v>
      </c>
      <c r="C64" s="12" t="s">
        <v>83</v>
      </c>
      <c r="D64" s="13" t="s">
        <v>14</v>
      </c>
      <c r="E64" s="13">
        <v>7.61</v>
      </c>
    </row>
    <row r="65" spans="1:5" x14ac:dyDescent="0.25">
      <c r="A65" s="15" t="str">
        <f>"17112"</f>
        <v>17112</v>
      </c>
      <c r="B65" s="5"/>
      <c r="C65" s="14" t="s">
        <v>84</v>
      </c>
      <c r="D65" s="15" t="s">
        <v>13</v>
      </c>
      <c r="E65" s="15">
        <v>7.9</v>
      </c>
    </row>
    <row r="66" spans="1:5" x14ac:dyDescent="0.25">
      <c r="A66" s="13" t="str">
        <f>"17115"</f>
        <v>17115</v>
      </c>
      <c r="B66" s="4"/>
      <c r="C66" s="12" t="s">
        <v>85</v>
      </c>
      <c r="D66" s="13" t="s">
        <v>13</v>
      </c>
      <c r="E66" s="13">
        <v>8.2506000000000004</v>
      </c>
    </row>
    <row r="67" spans="1:5" x14ac:dyDescent="0.25">
      <c r="A67" s="15" t="str">
        <f>"171180"</f>
        <v>171180</v>
      </c>
      <c r="B67" s="5">
        <v>3257630008785</v>
      </c>
      <c r="C67" s="14" t="s">
        <v>86</v>
      </c>
      <c r="D67" s="15" t="s">
        <v>14</v>
      </c>
      <c r="E67" s="15">
        <v>3.14</v>
      </c>
    </row>
    <row r="68" spans="1:5" x14ac:dyDescent="0.25">
      <c r="A68" s="13" t="str">
        <f>"17125"</f>
        <v>17125</v>
      </c>
      <c r="B68" s="4"/>
      <c r="C68" s="12" t="s">
        <v>87</v>
      </c>
      <c r="D68" s="13" t="s">
        <v>88</v>
      </c>
      <c r="E68" s="13">
        <v>40.229999999999997</v>
      </c>
    </row>
    <row r="69" spans="1:5" ht="30" x14ac:dyDescent="0.25">
      <c r="A69" s="15" t="str">
        <f>"172815"</f>
        <v>172815</v>
      </c>
      <c r="B69" s="5">
        <v>3368270278497</v>
      </c>
      <c r="C69" s="14" t="s">
        <v>89</v>
      </c>
      <c r="D69" s="15" t="s">
        <v>13</v>
      </c>
      <c r="E69" s="15">
        <v>17.559999999999999</v>
      </c>
    </row>
    <row r="70" spans="1:5" ht="30" x14ac:dyDescent="0.25">
      <c r="A70" s="13" t="str">
        <f>"172964"</f>
        <v>172964</v>
      </c>
      <c r="B70" s="4"/>
      <c r="C70" s="12" t="s">
        <v>90</v>
      </c>
      <c r="D70" s="13" t="s">
        <v>13</v>
      </c>
      <c r="E70" s="13">
        <v>19.2</v>
      </c>
    </row>
    <row r="71" spans="1:5" ht="30" x14ac:dyDescent="0.25">
      <c r="A71" s="15" t="str">
        <f>"172966"</f>
        <v>172966</v>
      </c>
      <c r="B71" s="5"/>
      <c r="C71" s="14" t="s">
        <v>91</v>
      </c>
      <c r="D71" s="15" t="s">
        <v>13</v>
      </c>
      <c r="E71" s="15">
        <v>18.04</v>
      </c>
    </row>
    <row r="72" spans="1:5" ht="30" x14ac:dyDescent="0.25">
      <c r="A72" s="13" t="str">
        <f>"172967"</f>
        <v>172967</v>
      </c>
      <c r="B72" s="4"/>
      <c r="C72" s="12" t="s">
        <v>92</v>
      </c>
      <c r="D72" s="13" t="s">
        <v>13</v>
      </c>
      <c r="E72" s="13">
        <v>13.84</v>
      </c>
    </row>
    <row r="73" spans="1:5" ht="30" x14ac:dyDescent="0.25">
      <c r="A73" s="15" t="str">
        <f>"172970"</f>
        <v>172970</v>
      </c>
      <c r="B73" s="5"/>
      <c r="C73" s="14" t="s">
        <v>93</v>
      </c>
      <c r="D73" s="15" t="s">
        <v>13</v>
      </c>
      <c r="E73" s="15">
        <v>20.52</v>
      </c>
    </row>
    <row r="74" spans="1:5" x14ac:dyDescent="0.25">
      <c r="A74" s="13" t="str">
        <f>"172975"</f>
        <v>172975</v>
      </c>
      <c r="B74" s="4">
        <v>3368270401161</v>
      </c>
      <c r="C74" s="12" t="s">
        <v>94</v>
      </c>
      <c r="D74" s="13" t="s">
        <v>13</v>
      </c>
      <c r="E74" s="13">
        <v>12.65</v>
      </c>
    </row>
    <row r="75" spans="1:5" x14ac:dyDescent="0.25">
      <c r="A75" s="15" t="str">
        <f>"174"</f>
        <v>174</v>
      </c>
      <c r="B75" s="5">
        <v>3291510001343</v>
      </c>
      <c r="C75" s="14" t="s">
        <v>95</v>
      </c>
      <c r="D75" s="15" t="s">
        <v>14</v>
      </c>
      <c r="E75" s="15">
        <v>7.55</v>
      </c>
    </row>
    <row r="76" spans="1:5" ht="30" x14ac:dyDescent="0.25">
      <c r="A76" s="13" t="str">
        <f>"175"</f>
        <v>175</v>
      </c>
      <c r="B76" s="4"/>
      <c r="C76" s="12" t="s">
        <v>96</v>
      </c>
      <c r="D76" s="13" t="s">
        <v>13</v>
      </c>
      <c r="E76" s="13">
        <v>13</v>
      </c>
    </row>
    <row r="77" spans="1:5" ht="30" x14ac:dyDescent="0.25">
      <c r="A77" s="15" t="str">
        <f>"1750"</f>
        <v>1750</v>
      </c>
      <c r="B77" s="5"/>
      <c r="C77" s="14" t="s">
        <v>97</v>
      </c>
      <c r="D77" s="15" t="s">
        <v>13</v>
      </c>
      <c r="E77" s="15">
        <v>13.717000000000001</v>
      </c>
    </row>
    <row r="78" spans="1:5" x14ac:dyDescent="0.25">
      <c r="A78" s="13" t="str">
        <f>"177"</f>
        <v>177</v>
      </c>
      <c r="B78" s="4"/>
      <c r="C78" s="12" t="s">
        <v>98</v>
      </c>
      <c r="D78" s="13" t="s">
        <v>13</v>
      </c>
      <c r="E78" s="13">
        <v>11.8</v>
      </c>
    </row>
    <row r="79" spans="1:5" ht="30" x14ac:dyDescent="0.25">
      <c r="A79" s="15" t="str">
        <f>"178"</f>
        <v>178</v>
      </c>
      <c r="B79" s="5"/>
      <c r="C79" s="14" t="s">
        <v>99</v>
      </c>
      <c r="D79" s="15" t="s">
        <v>100</v>
      </c>
      <c r="E79" s="15">
        <v>18.829999999999998</v>
      </c>
    </row>
    <row r="80" spans="1:5" ht="30" x14ac:dyDescent="0.25">
      <c r="A80" s="13" t="str">
        <f>"1781"</f>
        <v>1781</v>
      </c>
      <c r="B80" s="4"/>
      <c r="C80" s="12" t="s">
        <v>101</v>
      </c>
      <c r="D80" s="13" t="s">
        <v>51</v>
      </c>
      <c r="E80" s="13">
        <v>2.59</v>
      </c>
    </row>
    <row r="81" spans="1:5" ht="30" x14ac:dyDescent="0.25">
      <c r="A81" s="15" t="str">
        <f>"1782"</f>
        <v>1782</v>
      </c>
      <c r="B81" s="5"/>
      <c r="C81" s="14" t="s">
        <v>102</v>
      </c>
      <c r="D81" s="15" t="s">
        <v>51</v>
      </c>
      <c r="E81" s="15">
        <v>1.6</v>
      </c>
    </row>
    <row r="82" spans="1:5" x14ac:dyDescent="0.25">
      <c r="A82" s="13" t="str">
        <f>"179"</f>
        <v>179</v>
      </c>
      <c r="B82" s="4"/>
      <c r="C82" s="12" t="s">
        <v>103</v>
      </c>
      <c r="D82" s="13" t="s">
        <v>100</v>
      </c>
      <c r="E82" s="13">
        <v>12.96</v>
      </c>
    </row>
    <row r="83" spans="1:5" x14ac:dyDescent="0.25">
      <c r="A83" s="15" t="str">
        <f>"1790"</f>
        <v>1790</v>
      </c>
      <c r="B83" s="5"/>
      <c r="C83" s="14" t="s">
        <v>104</v>
      </c>
      <c r="D83" s="15" t="s">
        <v>24</v>
      </c>
      <c r="E83" s="15">
        <v>9.35</v>
      </c>
    </row>
    <row r="84" spans="1:5" x14ac:dyDescent="0.25">
      <c r="A84" s="13" t="str">
        <f>"1791"</f>
        <v>1791</v>
      </c>
      <c r="B84" s="4"/>
      <c r="C84" s="12" t="s">
        <v>105</v>
      </c>
      <c r="D84" s="13" t="s">
        <v>34</v>
      </c>
      <c r="E84" s="13">
        <v>7.77</v>
      </c>
    </row>
    <row r="85" spans="1:5" x14ac:dyDescent="0.25">
      <c r="A85" s="15" t="str">
        <f>"1792"</f>
        <v>1792</v>
      </c>
      <c r="B85" s="5"/>
      <c r="C85" s="14" t="s">
        <v>106</v>
      </c>
      <c r="D85" s="15" t="s">
        <v>14</v>
      </c>
      <c r="E85" s="15">
        <v>35.630000000000003</v>
      </c>
    </row>
    <row r="86" spans="1:5" x14ac:dyDescent="0.25">
      <c r="A86" s="13" t="str">
        <f>"180"</f>
        <v>180</v>
      </c>
      <c r="B86" s="4"/>
      <c r="C86" s="12" t="s">
        <v>107</v>
      </c>
      <c r="D86" s="13" t="s">
        <v>14</v>
      </c>
      <c r="E86" s="13">
        <v>7.55</v>
      </c>
    </row>
    <row r="87" spans="1:5" x14ac:dyDescent="0.25">
      <c r="A87" s="15" t="str">
        <f>"1801"</f>
        <v>1801</v>
      </c>
      <c r="B87" s="5"/>
      <c r="C87" s="14" t="s">
        <v>108</v>
      </c>
      <c r="D87" s="15" t="s">
        <v>14</v>
      </c>
      <c r="E87" s="15">
        <v>4.93</v>
      </c>
    </row>
    <row r="88" spans="1:5" x14ac:dyDescent="0.25">
      <c r="A88" s="13" t="str">
        <f>"1804"</f>
        <v>1804</v>
      </c>
      <c r="B88" s="4"/>
      <c r="C88" s="12" t="s">
        <v>109</v>
      </c>
      <c r="D88" s="13" t="s">
        <v>13</v>
      </c>
      <c r="E88" s="13">
        <v>13.49</v>
      </c>
    </row>
    <row r="89" spans="1:5" x14ac:dyDescent="0.25">
      <c r="A89" s="15" t="str">
        <f>"182"</f>
        <v>182</v>
      </c>
      <c r="B89" s="5"/>
      <c r="C89" s="14" t="s">
        <v>110</v>
      </c>
      <c r="D89" s="15" t="s">
        <v>13</v>
      </c>
      <c r="E89" s="15">
        <v>9.7799999999999994</v>
      </c>
    </row>
    <row r="90" spans="1:5" x14ac:dyDescent="0.25">
      <c r="A90" s="13" t="str">
        <f>"183"</f>
        <v>183</v>
      </c>
      <c r="B90" s="4"/>
      <c r="C90" s="12" t="s">
        <v>111</v>
      </c>
      <c r="D90" s="13" t="s">
        <v>13</v>
      </c>
      <c r="E90" s="13">
        <v>11.34</v>
      </c>
    </row>
    <row r="91" spans="1:5" x14ac:dyDescent="0.25">
      <c r="A91" s="15" t="str">
        <f>"18810"</f>
        <v>18810</v>
      </c>
      <c r="B91" s="5"/>
      <c r="C91" s="14" t="s">
        <v>112</v>
      </c>
      <c r="D91" s="15" t="s">
        <v>13</v>
      </c>
      <c r="E91" s="15">
        <v>11.02</v>
      </c>
    </row>
    <row r="92" spans="1:5" ht="30" x14ac:dyDescent="0.25">
      <c r="A92" s="13" t="str">
        <f>"1884"</f>
        <v>1884</v>
      </c>
      <c r="B92" s="4"/>
      <c r="C92" s="12" t="s">
        <v>113</v>
      </c>
      <c r="D92" s="13" t="s">
        <v>14</v>
      </c>
      <c r="E92" s="13">
        <v>3.6</v>
      </c>
    </row>
    <row r="93" spans="1:5" x14ac:dyDescent="0.25">
      <c r="A93" s="15" t="str">
        <f>"1885"</f>
        <v>1885</v>
      </c>
      <c r="B93" s="5"/>
      <c r="C93" s="14" t="s">
        <v>114</v>
      </c>
      <c r="D93" s="15" t="s">
        <v>13</v>
      </c>
      <c r="E93" s="15">
        <v>12.86</v>
      </c>
    </row>
    <row r="94" spans="1:5" x14ac:dyDescent="0.25">
      <c r="A94" s="13" t="str">
        <f>"1891"</f>
        <v>1891</v>
      </c>
      <c r="B94" s="4"/>
      <c r="C94" s="12" t="s">
        <v>115</v>
      </c>
      <c r="D94" s="13" t="s">
        <v>13</v>
      </c>
      <c r="E94" s="13">
        <v>12.02</v>
      </c>
    </row>
    <row r="95" spans="1:5" x14ac:dyDescent="0.25">
      <c r="A95" s="15" t="str">
        <f>"190"</f>
        <v>190</v>
      </c>
      <c r="B95" s="5"/>
      <c r="C95" s="14" t="s">
        <v>116</v>
      </c>
      <c r="D95" s="15" t="s">
        <v>13</v>
      </c>
      <c r="E95" s="15">
        <v>9.16</v>
      </c>
    </row>
    <row r="96" spans="1:5" x14ac:dyDescent="0.25">
      <c r="A96" s="13" t="str">
        <f>"191"</f>
        <v>191</v>
      </c>
      <c r="B96" s="4"/>
      <c r="C96" s="12" t="s">
        <v>117</v>
      </c>
      <c r="D96" s="13" t="s">
        <v>13</v>
      </c>
      <c r="E96" s="13">
        <v>7.15</v>
      </c>
    </row>
    <row r="97" spans="1:5" x14ac:dyDescent="0.25">
      <c r="A97" s="15" t="str">
        <f>"192"</f>
        <v>192</v>
      </c>
      <c r="B97" s="5"/>
      <c r="C97" s="14" t="s">
        <v>118</v>
      </c>
      <c r="D97" s="15" t="s">
        <v>13</v>
      </c>
      <c r="E97" s="15">
        <v>9</v>
      </c>
    </row>
    <row r="98" spans="1:5" ht="30" x14ac:dyDescent="0.25">
      <c r="A98" s="13" t="str">
        <f>"193"</f>
        <v>193</v>
      </c>
      <c r="B98" s="4"/>
      <c r="C98" s="12" t="s">
        <v>119</v>
      </c>
      <c r="D98" s="13" t="s">
        <v>13</v>
      </c>
      <c r="E98" s="13">
        <v>8.01</v>
      </c>
    </row>
    <row r="99" spans="1:5" x14ac:dyDescent="0.25">
      <c r="A99" s="15" t="str">
        <f>"1935"</f>
        <v>1935</v>
      </c>
      <c r="B99" s="5"/>
      <c r="C99" s="14" t="s">
        <v>120</v>
      </c>
      <c r="D99" s="15" t="s">
        <v>13</v>
      </c>
      <c r="E99" s="15">
        <v>5.79</v>
      </c>
    </row>
    <row r="100" spans="1:5" x14ac:dyDescent="0.25">
      <c r="A100" s="13" t="s">
        <v>121</v>
      </c>
      <c r="B100" s="4">
        <v>3385570030617</v>
      </c>
      <c r="C100" s="12" t="s">
        <v>122</v>
      </c>
      <c r="D100" s="13" t="s">
        <v>123</v>
      </c>
      <c r="E100" s="13">
        <v>4.6100000000000003</v>
      </c>
    </row>
    <row r="101" spans="1:5" ht="30" x14ac:dyDescent="0.25">
      <c r="A101" s="15" t="str">
        <f>"198"</f>
        <v>198</v>
      </c>
      <c r="B101" s="5"/>
      <c r="C101" s="14" t="s">
        <v>124</v>
      </c>
      <c r="D101" s="15" t="s">
        <v>13</v>
      </c>
      <c r="E101" s="15">
        <v>7.2</v>
      </c>
    </row>
    <row r="102" spans="1:5" x14ac:dyDescent="0.25">
      <c r="A102" s="13" t="str">
        <f>"200"</f>
        <v>200</v>
      </c>
      <c r="B102" s="4">
        <v>3048301401246</v>
      </c>
      <c r="C102" s="12" t="s">
        <v>125</v>
      </c>
      <c r="D102" s="13" t="s">
        <v>14</v>
      </c>
      <c r="E102" s="13">
        <v>2.33</v>
      </c>
    </row>
    <row r="103" spans="1:5" x14ac:dyDescent="0.25">
      <c r="A103" s="15" t="str">
        <f>"200120"</f>
        <v>200120</v>
      </c>
      <c r="B103" s="5"/>
      <c r="C103" s="14" t="s">
        <v>126</v>
      </c>
      <c r="D103" s="15" t="s">
        <v>14</v>
      </c>
      <c r="E103" s="15">
        <v>13.35</v>
      </c>
    </row>
    <row r="104" spans="1:5" x14ac:dyDescent="0.25">
      <c r="A104" s="13" t="str">
        <f>"200165"</f>
        <v>200165</v>
      </c>
      <c r="B104" s="4"/>
      <c r="C104" s="12" t="s">
        <v>127</v>
      </c>
      <c r="D104" s="13" t="s">
        <v>14</v>
      </c>
      <c r="E104" s="13">
        <v>14.4</v>
      </c>
    </row>
    <row r="105" spans="1:5" x14ac:dyDescent="0.25">
      <c r="A105" s="15" t="str">
        <f>"200180"</f>
        <v>200180</v>
      </c>
      <c r="B105" s="5"/>
      <c r="C105" s="14" t="s">
        <v>128</v>
      </c>
      <c r="D105" s="15" t="s">
        <v>14</v>
      </c>
      <c r="E105" s="15">
        <v>19.25</v>
      </c>
    </row>
    <row r="106" spans="1:5" x14ac:dyDescent="0.25">
      <c r="A106" s="13" t="str">
        <f>"200181"</f>
        <v>200181</v>
      </c>
      <c r="B106" s="4"/>
      <c r="C106" s="12" t="s">
        <v>129</v>
      </c>
      <c r="D106" s="13" t="s">
        <v>14</v>
      </c>
      <c r="E106" s="13">
        <v>9.2200000000000006</v>
      </c>
    </row>
    <row r="107" spans="1:5" x14ac:dyDescent="0.25">
      <c r="A107" s="15" t="str">
        <f>"201"</f>
        <v>201</v>
      </c>
      <c r="B107" s="5">
        <v>3760257851066</v>
      </c>
      <c r="C107" s="14" t="s">
        <v>130</v>
      </c>
      <c r="D107" s="15" t="s">
        <v>14</v>
      </c>
      <c r="E107" s="15">
        <v>2.94</v>
      </c>
    </row>
    <row r="108" spans="1:5" x14ac:dyDescent="0.25">
      <c r="A108" s="13" t="str">
        <f>"2015"</f>
        <v>2015</v>
      </c>
      <c r="B108" s="4">
        <v>3760257850069</v>
      </c>
      <c r="C108" s="12" t="s">
        <v>131</v>
      </c>
      <c r="D108" s="13" t="s">
        <v>14</v>
      </c>
      <c r="E108" s="13">
        <v>4.17</v>
      </c>
    </row>
    <row r="109" spans="1:5" x14ac:dyDescent="0.25">
      <c r="A109" s="15" t="str">
        <f>"202"</f>
        <v>202</v>
      </c>
      <c r="B109" s="5">
        <v>3760257851165</v>
      </c>
      <c r="C109" s="14" t="s">
        <v>132</v>
      </c>
      <c r="D109" s="15" t="s">
        <v>14</v>
      </c>
      <c r="E109" s="15">
        <v>3.07</v>
      </c>
    </row>
    <row r="110" spans="1:5" x14ac:dyDescent="0.25">
      <c r="A110" s="13" t="str">
        <f>"2024"</f>
        <v>2024</v>
      </c>
      <c r="B110" s="4">
        <v>3760257852063</v>
      </c>
      <c r="C110" s="12" t="s">
        <v>133</v>
      </c>
      <c r="D110" s="13" t="s">
        <v>14</v>
      </c>
      <c r="E110" s="13">
        <v>3.29</v>
      </c>
    </row>
    <row r="111" spans="1:5" x14ac:dyDescent="0.25">
      <c r="A111" s="15" t="str">
        <f>"2025"</f>
        <v>2025</v>
      </c>
      <c r="B111" s="5">
        <v>3760257851363</v>
      </c>
      <c r="C111" s="14" t="s">
        <v>134</v>
      </c>
      <c r="D111" s="15" t="s">
        <v>14</v>
      </c>
      <c r="E111" s="15">
        <v>3.38</v>
      </c>
    </row>
    <row r="112" spans="1:5" x14ac:dyDescent="0.25">
      <c r="A112" s="13" t="str">
        <f>"2026"</f>
        <v>2026</v>
      </c>
      <c r="B112" s="4">
        <v>3760257852261</v>
      </c>
      <c r="C112" s="12" t="s">
        <v>135</v>
      </c>
      <c r="D112" s="13" t="s">
        <v>14</v>
      </c>
      <c r="E112" s="13">
        <v>3.12</v>
      </c>
    </row>
    <row r="113" spans="1:5" x14ac:dyDescent="0.25">
      <c r="A113" s="15" t="str">
        <f>"2027"</f>
        <v>2027</v>
      </c>
      <c r="B113" s="5">
        <v>3760257852360</v>
      </c>
      <c r="C113" s="14" t="s">
        <v>136</v>
      </c>
      <c r="D113" s="15" t="s">
        <v>14</v>
      </c>
      <c r="E113" s="15">
        <v>3.05</v>
      </c>
    </row>
    <row r="114" spans="1:5" x14ac:dyDescent="0.25">
      <c r="A114" s="13" t="str">
        <f>"2028"</f>
        <v>2028</v>
      </c>
      <c r="B114" s="4">
        <v>3760257852469</v>
      </c>
      <c r="C114" s="12" t="s">
        <v>137</v>
      </c>
      <c r="D114" s="13" t="s">
        <v>14</v>
      </c>
      <c r="E114" s="13">
        <v>3.27</v>
      </c>
    </row>
    <row r="115" spans="1:5" x14ac:dyDescent="0.25">
      <c r="A115" s="15" t="str">
        <f>"2029"</f>
        <v>2029</v>
      </c>
      <c r="B115" s="5">
        <v>3760257852964</v>
      </c>
      <c r="C115" s="14" t="s">
        <v>138</v>
      </c>
      <c r="D115" s="15" t="s">
        <v>14</v>
      </c>
      <c r="E115" s="15">
        <v>3.21</v>
      </c>
    </row>
    <row r="116" spans="1:5" x14ac:dyDescent="0.25">
      <c r="A116" s="13" t="str">
        <f>"2030"</f>
        <v>2030</v>
      </c>
      <c r="B116" s="4">
        <v>3760257850960</v>
      </c>
      <c r="C116" s="12" t="s">
        <v>139</v>
      </c>
      <c r="D116" s="13" t="s">
        <v>14</v>
      </c>
      <c r="E116" s="13">
        <v>3.64</v>
      </c>
    </row>
    <row r="117" spans="1:5" x14ac:dyDescent="0.25">
      <c r="A117" s="15" t="str">
        <f>"2031"</f>
        <v>2031</v>
      </c>
      <c r="B117" s="5">
        <v>3760396435004</v>
      </c>
      <c r="C117" s="14" t="s">
        <v>140</v>
      </c>
      <c r="D117" s="15" t="s">
        <v>14</v>
      </c>
      <c r="E117" s="15">
        <v>4.07</v>
      </c>
    </row>
    <row r="118" spans="1:5" x14ac:dyDescent="0.25">
      <c r="A118" s="13" t="str">
        <f>"2041"</f>
        <v>2041</v>
      </c>
      <c r="B118" s="4">
        <v>3760257853763</v>
      </c>
      <c r="C118" s="12" t="s">
        <v>141</v>
      </c>
      <c r="D118" s="13" t="s">
        <v>14</v>
      </c>
      <c r="E118" s="13">
        <v>3.81</v>
      </c>
    </row>
    <row r="119" spans="1:5" x14ac:dyDescent="0.25">
      <c r="A119" s="15" t="str">
        <f>"2042"</f>
        <v>2042</v>
      </c>
      <c r="B119" s="5">
        <v>3760257853961</v>
      </c>
      <c r="C119" s="14" t="s">
        <v>142</v>
      </c>
      <c r="D119" s="15" t="s">
        <v>14</v>
      </c>
      <c r="E119" s="15">
        <v>3.87</v>
      </c>
    </row>
    <row r="120" spans="1:5" x14ac:dyDescent="0.25">
      <c r="A120" s="13" t="str">
        <f>"204350"</f>
        <v>204350</v>
      </c>
      <c r="B120" s="4"/>
      <c r="C120" s="12" t="s">
        <v>143</v>
      </c>
      <c r="D120" s="13" t="s">
        <v>14</v>
      </c>
      <c r="E120" s="13">
        <v>6.55</v>
      </c>
    </row>
    <row r="121" spans="1:5" x14ac:dyDescent="0.25">
      <c r="A121" s="15" t="str">
        <f>"2060"</f>
        <v>2060</v>
      </c>
      <c r="B121" s="5">
        <v>3760257850861</v>
      </c>
      <c r="C121" s="14" t="s">
        <v>144</v>
      </c>
      <c r="D121" s="15" t="s">
        <v>14</v>
      </c>
      <c r="E121" s="15">
        <v>4.47</v>
      </c>
    </row>
    <row r="122" spans="1:5" x14ac:dyDescent="0.25">
      <c r="A122" s="13" t="str">
        <f>"206500"</f>
        <v>206500</v>
      </c>
      <c r="B122" s="4"/>
      <c r="C122" s="12" t="s">
        <v>145</v>
      </c>
      <c r="D122" s="13" t="s">
        <v>14</v>
      </c>
      <c r="E122" s="13">
        <v>4.24</v>
      </c>
    </row>
    <row r="123" spans="1:5" x14ac:dyDescent="0.25">
      <c r="A123" s="15" t="str">
        <f>"2070"</f>
        <v>2070</v>
      </c>
      <c r="B123" s="5">
        <v>3760257850663</v>
      </c>
      <c r="C123" s="14" t="s">
        <v>146</v>
      </c>
      <c r="D123" s="15" t="s">
        <v>14</v>
      </c>
      <c r="E123" s="15">
        <v>3.92</v>
      </c>
    </row>
    <row r="124" spans="1:5" x14ac:dyDescent="0.25">
      <c r="A124" s="13" t="str">
        <f>"2090"</f>
        <v>2090</v>
      </c>
      <c r="B124" s="4">
        <v>3760257850762</v>
      </c>
      <c r="C124" s="12" t="s">
        <v>147</v>
      </c>
      <c r="D124" s="13" t="s">
        <v>14</v>
      </c>
      <c r="E124" s="13">
        <v>4.1500000000000004</v>
      </c>
    </row>
    <row r="125" spans="1:5" x14ac:dyDescent="0.25">
      <c r="A125" s="15" t="str">
        <f>"211"</f>
        <v>211</v>
      </c>
      <c r="B125" s="5"/>
      <c r="C125" s="14" t="s">
        <v>148</v>
      </c>
      <c r="D125" s="15" t="s">
        <v>13</v>
      </c>
      <c r="E125" s="15">
        <v>5.81</v>
      </c>
    </row>
    <row r="126" spans="1:5" x14ac:dyDescent="0.25">
      <c r="A126" s="13" t="str">
        <f>"212"</f>
        <v>212</v>
      </c>
      <c r="B126" s="4"/>
      <c r="C126" s="12" t="s">
        <v>149</v>
      </c>
      <c r="D126" s="13" t="s">
        <v>13</v>
      </c>
      <c r="E126" s="13">
        <v>12.46</v>
      </c>
    </row>
    <row r="127" spans="1:5" x14ac:dyDescent="0.25">
      <c r="A127" s="15" t="str">
        <f>"213"</f>
        <v>213</v>
      </c>
      <c r="B127" s="5"/>
      <c r="C127" s="14" t="s">
        <v>150</v>
      </c>
      <c r="D127" s="15" t="s">
        <v>13</v>
      </c>
      <c r="E127" s="15">
        <v>9.49</v>
      </c>
    </row>
    <row r="128" spans="1:5" x14ac:dyDescent="0.25">
      <c r="A128" s="13" t="str">
        <f>"214"</f>
        <v>214</v>
      </c>
      <c r="B128" s="4"/>
      <c r="C128" s="12" t="s">
        <v>151</v>
      </c>
      <c r="D128" s="13" t="s">
        <v>13</v>
      </c>
      <c r="E128" s="13">
        <v>9.49</v>
      </c>
    </row>
    <row r="129" spans="1:5" x14ac:dyDescent="0.25">
      <c r="A129" s="15" t="str">
        <f>"2141"</f>
        <v>2141</v>
      </c>
      <c r="B129" s="5"/>
      <c r="C129" s="14" t="s">
        <v>152</v>
      </c>
      <c r="D129" s="15" t="s">
        <v>13</v>
      </c>
      <c r="E129" s="15">
        <v>13.78</v>
      </c>
    </row>
    <row r="130" spans="1:5" x14ac:dyDescent="0.25">
      <c r="A130" s="13" t="str">
        <f>"216"</f>
        <v>216</v>
      </c>
      <c r="B130" s="4"/>
      <c r="C130" s="12" t="s">
        <v>153</v>
      </c>
      <c r="D130" s="13" t="s">
        <v>13</v>
      </c>
      <c r="E130" s="13">
        <v>16.940000000000001</v>
      </c>
    </row>
    <row r="131" spans="1:5" x14ac:dyDescent="0.25">
      <c r="A131" s="15" t="str">
        <f>"218"</f>
        <v>218</v>
      </c>
      <c r="B131" s="5"/>
      <c r="C131" s="14" t="s">
        <v>154</v>
      </c>
      <c r="D131" s="15" t="s">
        <v>13</v>
      </c>
      <c r="E131" s="15">
        <v>15.41</v>
      </c>
    </row>
    <row r="132" spans="1:5" x14ac:dyDescent="0.25">
      <c r="A132" s="13" t="str">
        <f>"2195"</f>
        <v>2195</v>
      </c>
      <c r="B132" s="4"/>
      <c r="C132" s="12" t="s">
        <v>155</v>
      </c>
      <c r="D132" s="13" t="s">
        <v>13</v>
      </c>
      <c r="E132" s="13">
        <v>6.79</v>
      </c>
    </row>
    <row r="133" spans="1:5" x14ac:dyDescent="0.25">
      <c r="A133" s="15" t="str">
        <f>"221"</f>
        <v>221</v>
      </c>
      <c r="B133" s="5"/>
      <c r="C133" s="14" t="s">
        <v>156</v>
      </c>
      <c r="D133" s="15" t="s">
        <v>13</v>
      </c>
      <c r="E133" s="15">
        <v>14.5</v>
      </c>
    </row>
    <row r="134" spans="1:5" x14ac:dyDescent="0.25">
      <c r="A134" s="13" t="str">
        <f>"2251"</f>
        <v>2251</v>
      </c>
      <c r="B134" s="4"/>
      <c r="C134" s="12" t="s">
        <v>157</v>
      </c>
      <c r="D134" s="13" t="s">
        <v>13</v>
      </c>
      <c r="E134" s="13">
        <v>21.5</v>
      </c>
    </row>
    <row r="135" spans="1:5" x14ac:dyDescent="0.25">
      <c r="A135" s="15" t="str">
        <f>"227"</f>
        <v>227</v>
      </c>
      <c r="B135" s="5">
        <v>3030241044256</v>
      </c>
      <c r="C135" s="14" t="s">
        <v>158</v>
      </c>
      <c r="D135" s="15" t="s">
        <v>159</v>
      </c>
      <c r="E135" s="15">
        <v>3.92</v>
      </c>
    </row>
    <row r="136" spans="1:5" x14ac:dyDescent="0.25">
      <c r="A136" s="13" t="str">
        <f>"228"</f>
        <v>228</v>
      </c>
      <c r="B136" s="4">
        <v>3030241043259</v>
      </c>
      <c r="C136" s="12" t="s">
        <v>160</v>
      </c>
      <c r="D136" s="13" t="s">
        <v>159</v>
      </c>
      <c r="E136" s="13">
        <v>3.19</v>
      </c>
    </row>
    <row r="137" spans="1:5" x14ac:dyDescent="0.25">
      <c r="A137" s="15" t="str">
        <f>"229"</f>
        <v>229</v>
      </c>
      <c r="B137" s="5">
        <v>3030241042245</v>
      </c>
      <c r="C137" s="14" t="s">
        <v>161</v>
      </c>
      <c r="D137" s="15" t="s">
        <v>14</v>
      </c>
      <c r="E137" s="15">
        <v>3.41</v>
      </c>
    </row>
    <row r="138" spans="1:5" x14ac:dyDescent="0.25">
      <c r="A138" s="13" t="str">
        <f>"232"</f>
        <v>232</v>
      </c>
      <c r="B138" s="4"/>
      <c r="C138" s="12" t="s">
        <v>162</v>
      </c>
      <c r="D138" s="13" t="s">
        <v>14</v>
      </c>
      <c r="E138" s="13">
        <v>1.8</v>
      </c>
    </row>
    <row r="139" spans="1:5" x14ac:dyDescent="0.25">
      <c r="A139" s="15" t="str">
        <f>"234"</f>
        <v>234</v>
      </c>
      <c r="B139" s="5"/>
      <c r="C139" s="14" t="s">
        <v>163</v>
      </c>
      <c r="D139" s="15" t="s">
        <v>164</v>
      </c>
      <c r="E139" s="15">
        <v>2.44</v>
      </c>
    </row>
    <row r="140" spans="1:5" x14ac:dyDescent="0.25">
      <c r="A140" s="13" t="str">
        <f>"236"</f>
        <v>236</v>
      </c>
      <c r="B140" s="4"/>
      <c r="C140" s="12" t="s">
        <v>165</v>
      </c>
      <c r="D140" s="13" t="s">
        <v>164</v>
      </c>
      <c r="E140" s="13">
        <v>2.13</v>
      </c>
    </row>
    <row r="141" spans="1:5" x14ac:dyDescent="0.25">
      <c r="A141" s="15" t="str">
        <f>"2360"</f>
        <v>2360</v>
      </c>
      <c r="B141" s="5">
        <v>3760257854944</v>
      </c>
      <c r="C141" s="14" t="s">
        <v>166</v>
      </c>
      <c r="D141" s="15" t="s">
        <v>14</v>
      </c>
      <c r="E141" s="15">
        <v>3.9</v>
      </c>
    </row>
    <row r="142" spans="1:5" x14ac:dyDescent="0.25">
      <c r="A142" s="13" t="str">
        <f>"237"</f>
        <v>237</v>
      </c>
      <c r="B142" s="4">
        <v>3385570025415</v>
      </c>
      <c r="C142" s="12" t="s">
        <v>167</v>
      </c>
      <c r="D142" s="13" t="s">
        <v>164</v>
      </c>
      <c r="E142" s="13">
        <v>2.34</v>
      </c>
    </row>
    <row r="143" spans="1:5" x14ac:dyDescent="0.25">
      <c r="A143" s="15" t="str">
        <f>"2370"</f>
        <v>2370</v>
      </c>
      <c r="B143" s="5">
        <v>3760257854845</v>
      </c>
      <c r="C143" s="14" t="s">
        <v>168</v>
      </c>
      <c r="D143" s="15" t="s">
        <v>14</v>
      </c>
      <c r="E143" s="15">
        <v>3.9</v>
      </c>
    </row>
    <row r="144" spans="1:5" x14ac:dyDescent="0.25">
      <c r="A144" s="13" t="str">
        <f>"2389"</f>
        <v>2389</v>
      </c>
      <c r="B144" s="4"/>
      <c r="C144" s="12" t="s">
        <v>169</v>
      </c>
      <c r="D144" s="13" t="s">
        <v>13</v>
      </c>
      <c r="E144" s="13">
        <v>17.96</v>
      </c>
    </row>
    <row r="145" spans="1:5" x14ac:dyDescent="0.25">
      <c r="A145" s="15" t="str">
        <f>"239"</f>
        <v>239</v>
      </c>
      <c r="B145" s="5"/>
      <c r="C145" s="14" t="s">
        <v>170</v>
      </c>
      <c r="D145" s="15" t="s">
        <v>13</v>
      </c>
      <c r="E145" s="15">
        <v>16.649999999999999</v>
      </c>
    </row>
    <row r="146" spans="1:5" x14ac:dyDescent="0.25">
      <c r="A146" s="13" t="s">
        <v>171</v>
      </c>
      <c r="B146" s="4"/>
      <c r="C146" s="12" t="s">
        <v>172</v>
      </c>
      <c r="D146" s="13" t="s">
        <v>14</v>
      </c>
      <c r="E146" s="13">
        <v>9.3610000000000007</v>
      </c>
    </row>
    <row r="147" spans="1:5" x14ac:dyDescent="0.25">
      <c r="A147" s="15" t="str">
        <f>"240"</f>
        <v>240</v>
      </c>
      <c r="B147" s="5"/>
      <c r="C147" s="14" t="s">
        <v>173</v>
      </c>
      <c r="D147" s="15" t="s">
        <v>14</v>
      </c>
      <c r="E147" s="15">
        <v>2.63</v>
      </c>
    </row>
    <row r="148" spans="1:5" x14ac:dyDescent="0.25">
      <c r="A148" s="13" t="str">
        <f>"2400"</f>
        <v>2400</v>
      </c>
      <c r="B148" s="4"/>
      <c r="C148" s="12" t="s">
        <v>174</v>
      </c>
      <c r="D148" s="13" t="s">
        <v>34</v>
      </c>
      <c r="E148" s="13">
        <v>8.1300000000000008</v>
      </c>
    </row>
    <row r="149" spans="1:5" x14ac:dyDescent="0.25">
      <c r="A149" s="15" t="str">
        <f>"2401"</f>
        <v>2401</v>
      </c>
      <c r="B149" s="5"/>
      <c r="C149" s="14" t="s">
        <v>175</v>
      </c>
      <c r="D149" s="15" t="s">
        <v>13</v>
      </c>
      <c r="E149" s="15">
        <v>18.940000000000001</v>
      </c>
    </row>
    <row r="150" spans="1:5" x14ac:dyDescent="0.25">
      <c r="A150" s="13" t="str">
        <f>"2402"</f>
        <v>2402</v>
      </c>
      <c r="B150" s="4"/>
      <c r="C150" s="12" t="s">
        <v>176</v>
      </c>
      <c r="D150" s="13" t="s">
        <v>14</v>
      </c>
      <c r="E150" s="13">
        <v>3.08</v>
      </c>
    </row>
    <row r="151" spans="1:5" x14ac:dyDescent="0.25">
      <c r="A151" s="15" t="str">
        <f>"241"</f>
        <v>241</v>
      </c>
      <c r="B151" s="5"/>
      <c r="C151" s="14" t="s">
        <v>177</v>
      </c>
      <c r="D151" s="15" t="s">
        <v>14</v>
      </c>
      <c r="E151" s="15">
        <v>2.37</v>
      </c>
    </row>
    <row r="152" spans="1:5" x14ac:dyDescent="0.25">
      <c r="A152" s="13" t="str">
        <f>"2410"</f>
        <v>2410</v>
      </c>
      <c r="B152" s="4"/>
      <c r="C152" s="12" t="s">
        <v>178</v>
      </c>
      <c r="D152" s="13" t="s">
        <v>34</v>
      </c>
      <c r="E152" s="13">
        <v>2.5</v>
      </c>
    </row>
    <row r="153" spans="1:5" x14ac:dyDescent="0.25">
      <c r="A153" s="15" t="str">
        <f>"2411"</f>
        <v>2411</v>
      </c>
      <c r="B153" s="5"/>
      <c r="C153" s="14" t="s">
        <v>179</v>
      </c>
      <c r="D153" s="15" t="s">
        <v>14</v>
      </c>
      <c r="E153" s="15">
        <v>3.08</v>
      </c>
    </row>
    <row r="154" spans="1:5" x14ac:dyDescent="0.25">
      <c r="A154" s="13" t="str">
        <f>"242"</f>
        <v>242</v>
      </c>
      <c r="B154" s="4"/>
      <c r="C154" s="12" t="s">
        <v>180</v>
      </c>
      <c r="D154" s="13" t="s">
        <v>14</v>
      </c>
      <c r="E154" s="13">
        <v>2.76</v>
      </c>
    </row>
    <row r="155" spans="1:5" x14ac:dyDescent="0.25">
      <c r="A155" s="15" t="s">
        <v>181</v>
      </c>
      <c r="B155" s="5"/>
      <c r="C155" s="14" t="s">
        <v>182</v>
      </c>
      <c r="D155" s="15" t="s">
        <v>34</v>
      </c>
      <c r="E155" s="15">
        <v>2.15</v>
      </c>
    </row>
    <row r="156" spans="1:5" x14ac:dyDescent="0.25">
      <c r="A156" s="13" t="s">
        <v>183</v>
      </c>
      <c r="B156" s="4"/>
      <c r="C156" s="12" t="s">
        <v>184</v>
      </c>
      <c r="D156" s="13" t="s">
        <v>34</v>
      </c>
      <c r="E156" s="13">
        <v>2.15</v>
      </c>
    </row>
    <row r="157" spans="1:5" x14ac:dyDescent="0.25">
      <c r="A157" s="15" t="s">
        <v>185</v>
      </c>
      <c r="B157" s="5"/>
      <c r="C157" s="14" t="s">
        <v>186</v>
      </c>
      <c r="D157" s="15" t="s">
        <v>34</v>
      </c>
      <c r="E157" s="15">
        <v>8.5006000000000004</v>
      </c>
    </row>
    <row r="158" spans="1:5" x14ac:dyDescent="0.25">
      <c r="A158" s="13" t="s">
        <v>187</v>
      </c>
      <c r="B158" s="4"/>
      <c r="C158" s="12" t="s">
        <v>188</v>
      </c>
      <c r="D158" s="13" t="s">
        <v>34</v>
      </c>
      <c r="E158" s="13">
        <v>10.18</v>
      </c>
    </row>
    <row r="159" spans="1:5" x14ac:dyDescent="0.25">
      <c r="A159" s="15" t="str">
        <f>"247"</f>
        <v>247</v>
      </c>
      <c r="B159" s="5"/>
      <c r="C159" s="14" t="s">
        <v>189</v>
      </c>
      <c r="D159" s="15" t="s">
        <v>14</v>
      </c>
      <c r="E159" s="15">
        <v>1.84</v>
      </c>
    </row>
    <row r="160" spans="1:5" x14ac:dyDescent="0.25">
      <c r="A160" s="13" t="str">
        <f>"248"</f>
        <v>248</v>
      </c>
      <c r="B160" s="4"/>
      <c r="C160" s="12" t="s">
        <v>190</v>
      </c>
      <c r="D160" s="13" t="s">
        <v>14</v>
      </c>
      <c r="E160" s="13">
        <v>2.0499999999999998</v>
      </c>
    </row>
    <row r="161" spans="1:5" x14ac:dyDescent="0.25">
      <c r="A161" s="15" t="str">
        <f>"2490"</f>
        <v>2490</v>
      </c>
      <c r="B161" s="5"/>
      <c r="C161" s="14" t="s">
        <v>191</v>
      </c>
      <c r="D161" s="15" t="s">
        <v>13</v>
      </c>
      <c r="E161" s="15">
        <v>20.45</v>
      </c>
    </row>
    <row r="162" spans="1:5" x14ac:dyDescent="0.25">
      <c r="A162" s="13" t="str">
        <f>"24901"</f>
        <v>24901</v>
      </c>
      <c r="B162" s="4"/>
      <c r="C162" s="12" t="s">
        <v>192</v>
      </c>
      <c r="D162" s="13" t="s">
        <v>13</v>
      </c>
      <c r="E162" s="13">
        <v>16.600000000000001</v>
      </c>
    </row>
    <row r="163" spans="1:5" x14ac:dyDescent="0.25">
      <c r="A163" s="15" t="str">
        <f>"2491"</f>
        <v>2491</v>
      </c>
      <c r="B163" s="5"/>
      <c r="C163" s="14" t="s">
        <v>193</v>
      </c>
      <c r="D163" s="15" t="s">
        <v>14</v>
      </c>
      <c r="E163" s="15">
        <v>3.08</v>
      </c>
    </row>
    <row r="164" spans="1:5" x14ac:dyDescent="0.25">
      <c r="A164" s="13" t="str">
        <f>"250"</f>
        <v>250</v>
      </c>
      <c r="B164" s="4"/>
      <c r="C164" s="12" t="s">
        <v>194</v>
      </c>
      <c r="D164" s="13" t="s">
        <v>14</v>
      </c>
      <c r="E164" s="13">
        <v>1.68</v>
      </c>
    </row>
    <row r="165" spans="1:5" ht="30" x14ac:dyDescent="0.25">
      <c r="A165" s="15" t="str">
        <f>"252"</f>
        <v>252</v>
      </c>
      <c r="B165" s="5"/>
      <c r="C165" s="14" t="s">
        <v>195</v>
      </c>
      <c r="D165" s="15" t="s">
        <v>34</v>
      </c>
      <c r="E165" s="15">
        <v>3.08</v>
      </c>
    </row>
    <row r="166" spans="1:5" x14ac:dyDescent="0.25">
      <c r="A166" s="13" t="str">
        <f>"253"</f>
        <v>253</v>
      </c>
      <c r="B166" s="4">
        <v>3385570012218</v>
      </c>
      <c r="C166" s="12" t="s">
        <v>196</v>
      </c>
      <c r="D166" s="13" t="s">
        <v>164</v>
      </c>
      <c r="E166" s="13">
        <v>2.13</v>
      </c>
    </row>
    <row r="167" spans="1:5" x14ac:dyDescent="0.25">
      <c r="A167" s="15" t="s">
        <v>197</v>
      </c>
      <c r="B167" s="5"/>
      <c r="C167" s="14" t="s">
        <v>198</v>
      </c>
      <c r="D167" s="15" t="s">
        <v>14</v>
      </c>
      <c r="E167" s="15">
        <v>7.69</v>
      </c>
    </row>
    <row r="168" spans="1:5" x14ac:dyDescent="0.25">
      <c r="A168" s="13" t="str">
        <f>"255"</f>
        <v>255</v>
      </c>
      <c r="B168" s="4"/>
      <c r="C168" s="12" t="s">
        <v>199</v>
      </c>
      <c r="D168" s="13" t="s">
        <v>14</v>
      </c>
      <c r="E168" s="13">
        <v>1.9</v>
      </c>
    </row>
    <row r="169" spans="1:5" x14ac:dyDescent="0.25">
      <c r="A169" s="15" t="str">
        <f>"2550"</f>
        <v>2550</v>
      </c>
      <c r="B169" s="5"/>
      <c r="C169" s="14" t="s">
        <v>200</v>
      </c>
      <c r="D169" s="15" t="s">
        <v>34</v>
      </c>
      <c r="E169" s="15">
        <v>6.5</v>
      </c>
    </row>
    <row r="170" spans="1:5" x14ac:dyDescent="0.25">
      <c r="A170" s="13" t="str">
        <f>"256"</f>
        <v>256</v>
      </c>
      <c r="B170" s="4"/>
      <c r="C170" s="12" t="s">
        <v>201</v>
      </c>
      <c r="D170" s="13" t="s">
        <v>14</v>
      </c>
      <c r="E170" s="13">
        <v>6.29</v>
      </c>
    </row>
    <row r="171" spans="1:5" x14ac:dyDescent="0.25">
      <c r="A171" s="15" t="str">
        <f>"257"</f>
        <v>257</v>
      </c>
      <c r="B171" s="5">
        <v>3385570010312</v>
      </c>
      <c r="C171" s="14" t="s">
        <v>202</v>
      </c>
      <c r="D171" s="15" t="s">
        <v>164</v>
      </c>
      <c r="E171" s="15">
        <v>1.58</v>
      </c>
    </row>
    <row r="172" spans="1:5" x14ac:dyDescent="0.25">
      <c r="A172" s="13" t="str">
        <f>"258"</f>
        <v>258</v>
      </c>
      <c r="B172" s="4">
        <v>3385570010916</v>
      </c>
      <c r="C172" s="12" t="s">
        <v>203</v>
      </c>
      <c r="D172" s="13" t="s">
        <v>164</v>
      </c>
      <c r="E172" s="13">
        <v>2.13</v>
      </c>
    </row>
    <row r="173" spans="1:5" x14ac:dyDescent="0.25">
      <c r="A173" s="15" t="str">
        <f>"259"</f>
        <v>259</v>
      </c>
      <c r="B173" s="5">
        <v>3385570011715</v>
      </c>
      <c r="C173" s="14" t="s">
        <v>204</v>
      </c>
      <c r="D173" s="15" t="s">
        <v>164</v>
      </c>
      <c r="E173" s="15">
        <v>1.78</v>
      </c>
    </row>
    <row r="174" spans="1:5" x14ac:dyDescent="0.25">
      <c r="A174" s="13" t="str">
        <f>"260"</f>
        <v>260</v>
      </c>
      <c r="B174" s="4">
        <v>3385570091311</v>
      </c>
      <c r="C174" s="12" t="s">
        <v>205</v>
      </c>
      <c r="D174" s="13" t="s">
        <v>164</v>
      </c>
      <c r="E174" s="13">
        <v>2.37</v>
      </c>
    </row>
    <row r="175" spans="1:5" x14ac:dyDescent="0.25">
      <c r="A175" s="15" t="s">
        <v>0</v>
      </c>
      <c r="B175" s="5"/>
      <c r="C175" s="14" t="s">
        <v>206</v>
      </c>
      <c r="D175" s="15" t="s">
        <v>13</v>
      </c>
      <c r="E175" s="15">
        <v>14.34</v>
      </c>
    </row>
    <row r="176" spans="1:5" x14ac:dyDescent="0.25">
      <c r="A176" s="13" t="str">
        <f>"264"</f>
        <v>264</v>
      </c>
      <c r="B176" s="4"/>
      <c r="C176" s="12" t="s">
        <v>207</v>
      </c>
      <c r="D176" s="13" t="s">
        <v>13</v>
      </c>
      <c r="E176" s="13">
        <v>12.6</v>
      </c>
    </row>
    <row r="177" spans="1:5" x14ac:dyDescent="0.25">
      <c r="A177" s="15" t="str">
        <f>"269"</f>
        <v>269</v>
      </c>
      <c r="B177" s="5"/>
      <c r="C177" s="14" t="s">
        <v>208</v>
      </c>
      <c r="D177" s="15" t="s">
        <v>13</v>
      </c>
      <c r="E177" s="15">
        <v>13.39</v>
      </c>
    </row>
    <row r="178" spans="1:5" x14ac:dyDescent="0.25">
      <c r="A178" s="13" t="str">
        <f>"26900"</f>
        <v>26900</v>
      </c>
      <c r="B178" s="4"/>
      <c r="C178" s="12" t="s">
        <v>209</v>
      </c>
      <c r="D178" s="13" t="s">
        <v>13</v>
      </c>
      <c r="E178" s="13">
        <v>14.65</v>
      </c>
    </row>
    <row r="179" spans="1:5" x14ac:dyDescent="0.25">
      <c r="A179" s="15" t="str">
        <f>"270"</f>
        <v>270</v>
      </c>
      <c r="B179" s="5"/>
      <c r="C179" s="14" t="s">
        <v>210</v>
      </c>
      <c r="D179" s="15" t="s">
        <v>13</v>
      </c>
      <c r="E179" s="15">
        <v>7.99</v>
      </c>
    </row>
    <row r="180" spans="1:5" x14ac:dyDescent="0.25">
      <c r="A180" s="13" t="str">
        <f>"27000"</f>
        <v>27000</v>
      </c>
      <c r="B180" s="4"/>
      <c r="C180" s="12" t="s">
        <v>211</v>
      </c>
      <c r="D180" s="13" t="s">
        <v>13</v>
      </c>
      <c r="E180" s="13">
        <v>7.99</v>
      </c>
    </row>
    <row r="181" spans="1:5" x14ac:dyDescent="0.25">
      <c r="A181" s="15" t="str">
        <f>"2710"</f>
        <v>2710</v>
      </c>
      <c r="B181" s="5"/>
      <c r="C181" s="14" t="s">
        <v>212</v>
      </c>
      <c r="D181" s="15" t="s">
        <v>13</v>
      </c>
      <c r="E181" s="15">
        <v>20.13</v>
      </c>
    </row>
    <row r="182" spans="1:5" x14ac:dyDescent="0.25">
      <c r="A182" s="13" t="str">
        <f>"2730"</f>
        <v>2730</v>
      </c>
      <c r="B182" s="4"/>
      <c r="C182" s="12" t="s">
        <v>213</v>
      </c>
      <c r="D182" s="13" t="s">
        <v>13</v>
      </c>
      <c r="E182" s="13">
        <v>14.32</v>
      </c>
    </row>
    <row r="183" spans="1:5" x14ac:dyDescent="0.25">
      <c r="A183" s="15" t="str">
        <f>"2755"</f>
        <v>2755</v>
      </c>
      <c r="B183" s="5"/>
      <c r="C183" s="14" t="s">
        <v>214</v>
      </c>
      <c r="D183" s="15" t="s">
        <v>13</v>
      </c>
      <c r="E183" s="15">
        <v>13.4</v>
      </c>
    </row>
    <row r="184" spans="1:5" x14ac:dyDescent="0.25">
      <c r="A184" s="13" t="str">
        <f>"276013"</f>
        <v>276013</v>
      </c>
      <c r="B184" s="4"/>
      <c r="C184" s="12" t="s">
        <v>215</v>
      </c>
      <c r="D184" s="13" t="s">
        <v>13</v>
      </c>
      <c r="E184" s="13">
        <v>15.49</v>
      </c>
    </row>
    <row r="185" spans="1:5" ht="30" x14ac:dyDescent="0.25">
      <c r="A185" s="15" t="s">
        <v>1</v>
      </c>
      <c r="B185" s="5"/>
      <c r="C185" s="14" t="s">
        <v>216</v>
      </c>
      <c r="D185" s="15" t="s">
        <v>13</v>
      </c>
      <c r="E185" s="15">
        <v>17.21</v>
      </c>
    </row>
    <row r="186" spans="1:5" x14ac:dyDescent="0.25">
      <c r="A186" s="13" t="str">
        <f>"292"</f>
        <v>292</v>
      </c>
      <c r="B186" s="4">
        <v>3071380023009</v>
      </c>
      <c r="C186" s="12" t="s">
        <v>217</v>
      </c>
      <c r="D186" s="13" t="s">
        <v>14</v>
      </c>
      <c r="E186" s="13">
        <v>5.26</v>
      </c>
    </row>
    <row r="187" spans="1:5" x14ac:dyDescent="0.25">
      <c r="A187" s="15" t="str">
        <f>"295"</f>
        <v>295</v>
      </c>
      <c r="B187" s="5"/>
      <c r="C187" s="14" t="s">
        <v>218</v>
      </c>
      <c r="D187" s="15" t="s">
        <v>13</v>
      </c>
      <c r="E187" s="15">
        <v>14.86</v>
      </c>
    </row>
    <row r="188" spans="1:5" ht="30" x14ac:dyDescent="0.25">
      <c r="A188" s="13" t="str">
        <f>"2955"</f>
        <v>2955</v>
      </c>
      <c r="B188" s="4"/>
      <c r="C188" s="12" t="s">
        <v>219</v>
      </c>
      <c r="D188" s="13" t="s">
        <v>13</v>
      </c>
      <c r="E188" s="13">
        <v>19.28</v>
      </c>
    </row>
    <row r="189" spans="1:5" x14ac:dyDescent="0.25">
      <c r="A189" s="15" t="str">
        <f>"298"</f>
        <v>298</v>
      </c>
      <c r="B189" s="5">
        <v>3346380005509</v>
      </c>
      <c r="C189" s="14" t="s">
        <v>220</v>
      </c>
      <c r="D189" s="15" t="s">
        <v>14</v>
      </c>
      <c r="E189" s="15">
        <v>4.28</v>
      </c>
    </row>
    <row r="190" spans="1:5" x14ac:dyDescent="0.25">
      <c r="A190" s="13" t="str">
        <f>"299"</f>
        <v>299</v>
      </c>
      <c r="B190" s="6" t="s">
        <v>589</v>
      </c>
      <c r="C190" s="12" t="s">
        <v>221</v>
      </c>
      <c r="D190" s="13" t="s">
        <v>13</v>
      </c>
      <c r="E190" s="13">
        <v>14.86</v>
      </c>
    </row>
    <row r="191" spans="1:5" x14ac:dyDescent="0.25">
      <c r="A191" s="15" t="str">
        <f>"302"</f>
        <v>302</v>
      </c>
      <c r="B191" s="7" t="s">
        <v>590</v>
      </c>
      <c r="C191" s="14" t="s">
        <v>222</v>
      </c>
      <c r="D191" s="15" t="s">
        <v>13</v>
      </c>
      <c r="E191" s="15">
        <v>16.36</v>
      </c>
    </row>
    <row r="192" spans="1:5" x14ac:dyDescent="0.25">
      <c r="A192" s="13" t="str">
        <f>"303"</f>
        <v>303</v>
      </c>
      <c r="B192" s="4"/>
      <c r="C192" s="12" t="s">
        <v>223</v>
      </c>
      <c r="D192" s="13" t="s">
        <v>13</v>
      </c>
      <c r="E192" s="13">
        <v>16.36</v>
      </c>
    </row>
    <row r="193" spans="1:5" x14ac:dyDescent="0.25">
      <c r="A193" s="15" t="str">
        <f>"304"</f>
        <v>304</v>
      </c>
      <c r="B193" s="7" t="s">
        <v>591</v>
      </c>
      <c r="C193" s="14" t="s">
        <v>224</v>
      </c>
      <c r="D193" s="15" t="s">
        <v>13</v>
      </c>
      <c r="E193" s="15">
        <v>16.36</v>
      </c>
    </row>
    <row r="194" spans="1:5" x14ac:dyDescent="0.25">
      <c r="A194" s="13" t="s">
        <v>2</v>
      </c>
      <c r="B194" s="4"/>
      <c r="C194" s="12" t="s">
        <v>225</v>
      </c>
      <c r="D194" s="13" t="s">
        <v>13</v>
      </c>
      <c r="E194" s="13">
        <v>10.99</v>
      </c>
    </row>
    <row r="195" spans="1:5" x14ac:dyDescent="0.25">
      <c r="A195" s="15" t="str">
        <f>"307"</f>
        <v>307</v>
      </c>
      <c r="B195" s="5"/>
      <c r="C195" s="14" t="s">
        <v>226</v>
      </c>
      <c r="D195" s="15" t="s">
        <v>13</v>
      </c>
      <c r="E195" s="15">
        <v>13.04</v>
      </c>
    </row>
    <row r="196" spans="1:5" x14ac:dyDescent="0.25">
      <c r="A196" s="13" t="str">
        <f>"308"</f>
        <v>308</v>
      </c>
      <c r="B196" s="4"/>
      <c r="C196" s="12" t="s">
        <v>227</v>
      </c>
      <c r="D196" s="13" t="s">
        <v>13</v>
      </c>
      <c r="E196" s="13">
        <v>13.05</v>
      </c>
    </row>
    <row r="197" spans="1:5" x14ac:dyDescent="0.25">
      <c r="A197" s="15" t="str">
        <f>"309"</f>
        <v>309</v>
      </c>
      <c r="B197" s="5"/>
      <c r="C197" s="14" t="s">
        <v>228</v>
      </c>
      <c r="D197" s="15" t="s">
        <v>13</v>
      </c>
      <c r="E197" s="15">
        <v>15.02</v>
      </c>
    </row>
    <row r="198" spans="1:5" x14ac:dyDescent="0.25">
      <c r="A198" s="13" t="str">
        <f>"3140"</f>
        <v>3140</v>
      </c>
      <c r="B198" s="4"/>
      <c r="C198" s="12" t="s">
        <v>229</v>
      </c>
      <c r="D198" s="13" t="s">
        <v>14</v>
      </c>
      <c r="E198" s="13">
        <v>4.99</v>
      </c>
    </row>
    <row r="199" spans="1:5" x14ac:dyDescent="0.25">
      <c r="A199" s="15" t="str">
        <f>"3141"</f>
        <v>3141</v>
      </c>
      <c r="B199" s="5"/>
      <c r="C199" s="14" t="s">
        <v>230</v>
      </c>
      <c r="D199" s="15" t="s">
        <v>14</v>
      </c>
      <c r="E199" s="15">
        <v>4.99</v>
      </c>
    </row>
    <row r="200" spans="1:5" x14ac:dyDescent="0.25">
      <c r="A200" s="13" t="str">
        <f>"3142"</f>
        <v>3142</v>
      </c>
      <c r="B200" s="4"/>
      <c r="C200" s="12" t="s">
        <v>231</v>
      </c>
      <c r="D200" s="13" t="s">
        <v>14</v>
      </c>
      <c r="E200" s="13">
        <v>4.99</v>
      </c>
    </row>
    <row r="201" spans="1:5" x14ac:dyDescent="0.25">
      <c r="A201" s="15" t="str">
        <f>"3143"</f>
        <v>3143</v>
      </c>
      <c r="B201" s="5"/>
      <c r="C201" s="14" t="s">
        <v>232</v>
      </c>
      <c r="D201" s="15" t="s">
        <v>14</v>
      </c>
      <c r="E201" s="15">
        <v>4.99</v>
      </c>
    </row>
    <row r="202" spans="1:5" x14ac:dyDescent="0.25">
      <c r="A202" s="13" t="str">
        <f>"3146"</f>
        <v>3146</v>
      </c>
      <c r="B202" s="4"/>
      <c r="C202" s="12" t="s">
        <v>233</v>
      </c>
      <c r="D202" s="13" t="s">
        <v>13</v>
      </c>
      <c r="E202" s="13">
        <v>20.28</v>
      </c>
    </row>
    <row r="203" spans="1:5" x14ac:dyDescent="0.25">
      <c r="A203" s="15" t="str">
        <f>"3147"</f>
        <v>3147</v>
      </c>
      <c r="B203" s="5"/>
      <c r="C203" s="14" t="s">
        <v>234</v>
      </c>
      <c r="D203" s="15" t="s">
        <v>13</v>
      </c>
      <c r="E203" s="15">
        <v>20.28</v>
      </c>
    </row>
    <row r="204" spans="1:5" x14ac:dyDescent="0.25">
      <c r="A204" s="13" t="str">
        <f>"3148"</f>
        <v>3148</v>
      </c>
      <c r="B204" s="4"/>
      <c r="C204" s="12" t="s">
        <v>235</v>
      </c>
      <c r="D204" s="13" t="s">
        <v>13</v>
      </c>
      <c r="E204" s="13">
        <v>20.28</v>
      </c>
    </row>
    <row r="205" spans="1:5" x14ac:dyDescent="0.25">
      <c r="A205" s="15" t="s">
        <v>3</v>
      </c>
      <c r="B205" s="5"/>
      <c r="C205" s="14" t="s">
        <v>236</v>
      </c>
      <c r="D205" s="15" t="s">
        <v>13</v>
      </c>
      <c r="E205" s="15">
        <v>16.63</v>
      </c>
    </row>
    <row r="206" spans="1:5" x14ac:dyDescent="0.25">
      <c r="A206" s="13" t="str">
        <f>"3151"</f>
        <v>3151</v>
      </c>
      <c r="B206" s="4"/>
      <c r="C206" s="12" t="s">
        <v>237</v>
      </c>
      <c r="D206" s="13" t="s">
        <v>13</v>
      </c>
      <c r="E206" s="13">
        <v>16.63</v>
      </c>
    </row>
    <row r="207" spans="1:5" ht="30" x14ac:dyDescent="0.25">
      <c r="A207" s="15" t="str">
        <f>"3152"</f>
        <v>3152</v>
      </c>
      <c r="B207" s="5"/>
      <c r="C207" s="14" t="s">
        <v>238</v>
      </c>
      <c r="D207" s="15" t="s">
        <v>14</v>
      </c>
      <c r="E207" s="15">
        <v>3.7</v>
      </c>
    </row>
    <row r="208" spans="1:5" x14ac:dyDescent="0.25">
      <c r="A208" s="13" t="str">
        <f>"3155"</f>
        <v>3155</v>
      </c>
      <c r="B208" s="4"/>
      <c r="C208" s="12" t="s">
        <v>239</v>
      </c>
      <c r="D208" s="13" t="s">
        <v>13</v>
      </c>
      <c r="E208" s="13">
        <v>16.63</v>
      </c>
    </row>
    <row r="209" spans="1:5" x14ac:dyDescent="0.25">
      <c r="A209" s="15" t="str">
        <f>"3157"</f>
        <v>3157</v>
      </c>
      <c r="B209" s="5"/>
      <c r="C209" s="14" t="s">
        <v>240</v>
      </c>
      <c r="D209" s="15" t="s">
        <v>13</v>
      </c>
      <c r="E209" s="15">
        <v>19.25</v>
      </c>
    </row>
    <row r="210" spans="1:5" x14ac:dyDescent="0.25">
      <c r="A210" s="13" t="str">
        <f>"3158"</f>
        <v>3158</v>
      </c>
      <c r="B210" s="4">
        <v>3719012292941</v>
      </c>
      <c r="C210" s="12" t="s">
        <v>241</v>
      </c>
      <c r="D210" s="13" t="s">
        <v>14</v>
      </c>
      <c r="E210" s="13">
        <v>5.89</v>
      </c>
    </row>
    <row r="211" spans="1:5" x14ac:dyDescent="0.25">
      <c r="A211" s="15" t="str">
        <f>"3159"</f>
        <v>3159</v>
      </c>
      <c r="B211" s="5">
        <v>3050719713040</v>
      </c>
      <c r="C211" s="14" t="s">
        <v>242</v>
      </c>
      <c r="D211" s="15" t="s">
        <v>14</v>
      </c>
      <c r="E211" s="15">
        <v>4.75</v>
      </c>
    </row>
    <row r="212" spans="1:5" x14ac:dyDescent="0.25">
      <c r="A212" s="13" t="str">
        <f>"317"</f>
        <v>317</v>
      </c>
      <c r="B212" s="4"/>
      <c r="C212" s="12" t="s">
        <v>243</v>
      </c>
      <c r="D212" s="13" t="s">
        <v>13</v>
      </c>
      <c r="E212" s="13">
        <v>10.31</v>
      </c>
    </row>
    <row r="213" spans="1:5" x14ac:dyDescent="0.25">
      <c r="A213" s="15" t="str">
        <f>"318"</f>
        <v>318</v>
      </c>
      <c r="B213" s="5"/>
      <c r="C213" s="14" t="s">
        <v>244</v>
      </c>
      <c r="D213" s="15" t="s">
        <v>13</v>
      </c>
      <c r="E213" s="15">
        <v>8.7200000000000006</v>
      </c>
    </row>
    <row r="214" spans="1:5" x14ac:dyDescent="0.25">
      <c r="A214" s="13" t="str">
        <f>"34100"</f>
        <v>34100</v>
      </c>
      <c r="B214" s="4"/>
      <c r="C214" s="12" t="s">
        <v>245</v>
      </c>
      <c r="D214" s="13" t="s">
        <v>13</v>
      </c>
      <c r="E214" s="13">
        <v>9.59</v>
      </c>
    </row>
    <row r="215" spans="1:5" x14ac:dyDescent="0.25">
      <c r="A215" s="15" t="str">
        <f>"34110"</f>
        <v>34110</v>
      </c>
      <c r="B215" s="5"/>
      <c r="C215" s="14" t="s">
        <v>246</v>
      </c>
      <c r="D215" s="15" t="s">
        <v>13</v>
      </c>
      <c r="E215" s="15">
        <v>11.69</v>
      </c>
    </row>
    <row r="216" spans="1:5" x14ac:dyDescent="0.25">
      <c r="A216" s="13" t="str">
        <f>"34120"</f>
        <v>34120</v>
      </c>
      <c r="B216" s="4"/>
      <c r="C216" s="12" t="s">
        <v>247</v>
      </c>
      <c r="D216" s="13" t="s">
        <v>13</v>
      </c>
      <c r="E216" s="13">
        <v>11.87</v>
      </c>
    </row>
    <row r="217" spans="1:5" x14ac:dyDescent="0.25">
      <c r="A217" s="15" t="str">
        <f>"34130"</f>
        <v>34130</v>
      </c>
      <c r="B217" s="5"/>
      <c r="C217" s="14" t="s">
        <v>248</v>
      </c>
      <c r="D217" s="15" t="s">
        <v>13</v>
      </c>
      <c r="E217" s="15">
        <v>10.84</v>
      </c>
    </row>
    <row r="218" spans="1:5" x14ac:dyDescent="0.25">
      <c r="A218" s="13" t="str">
        <f>"34221"</f>
        <v>34221</v>
      </c>
      <c r="B218" s="4"/>
      <c r="C218" s="12" t="s">
        <v>249</v>
      </c>
      <c r="D218" s="13" t="s">
        <v>13</v>
      </c>
      <c r="E218" s="13">
        <v>11.07</v>
      </c>
    </row>
    <row r="219" spans="1:5" x14ac:dyDescent="0.25">
      <c r="A219" s="15" t="str">
        <f>"34230"</f>
        <v>34230</v>
      </c>
      <c r="B219" s="5"/>
      <c r="C219" s="14" t="s">
        <v>250</v>
      </c>
      <c r="D219" s="15" t="s">
        <v>13</v>
      </c>
      <c r="E219" s="15">
        <v>10.84</v>
      </c>
    </row>
    <row r="220" spans="1:5" x14ac:dyDescent="0.25">
      <c r="A220" s="13" t="str">
        <f>"34270"</f>
        <v>34270</v>
      </c>
      <c r="B220" s="4"/>
      <c r="C220" s="12" t="s">
        <v>251</v>
      </c>
      <c r="D220" s="13" t="s">
        <v>13</v>
      </c>
      <c r="E220" s="13">
        <v>8.73</v>
      </c>
    </row>
    <row r="221" spans="1:5" x14ac:dyDescent="0.25">
      <c r="A221" s="15" t="str">
        <f>"342815"</f>
        <v>342815</v>
      </c>
      <c r="B221" s="5">
        <v>3582930100397</v>
      </c>
      <c r="C221" s="14" t="s">
        <v>252</v>
      </c>
      <c r="D221" s="15" t="s">
        <v>34</v>
      </c>
      <c r="E221" s="15">
        <v>6.83</v>
      </c>
    </row>
    <row r="222" spans="1:5" x14ac:dyDescent="0.25">
      <c r="A222" s="13" t="str">
        <f>"34282"</f>
        <v>34282</v>
      </c>
      <c r="B222" s="4">
        <v>3582930100137</v>
      </c>
      <c r="C222" s="12" t="s">
        <v>253</v>
      </c>
      <c r="D222" s="13" t="s">
        <v>34</v>
      </c>
      <c r="E222" s="13">
        <v>4.38</v>
      </c>
    </row>
    <row r="223" spans="1:5" x14ac:dyDescent="0.25">
      <c r="A223" s="15" t="str">
        <f>"34286"</f>
        <v>34286</v>
      </c>
      <c r="B223" s="5"/>
      <c r="C223" s="14" t="s">
        <v>254</v>
      </c>
      <c r="D223" s="15" t="s">
        <v>34</v>
      </c>
      <c r="E223" s="15">
        <v>12.6</v>
      </c>
    </row>
    <row r="224" spans="1:5" ht="30" x14ac:dyDescent="0.25">
      <c r="A224" s="13" t="str">
        <f>"34290"</f>
        <v>34290</v>
      </c>
      <c r="B224" s="4"/>
      <c r="C224" s="12" t="s">
        <v>255</v>
      </c>
      <c r="D224" s="13" t="s">
        <v>13</v>
      </c>
      <c r="E224" s="13">
        <v>9.33</v>
      </c>
    </row>
    <row r="225" spans="1:5" ht="30" x14ac:dyDescent="0.25">
      <c r="A225" s="15" t="str">
        <f>"34296"</f>
        <v>34296</v>
      </c>
      <c r="B225" s="5"/>
      <c r="C225" s="14" t="s">
        <v>256</v>
      </c>
      <c r="D225" s="15" t="s">
        <v>13</v>
      </c>
      <c r="E225" s="15">
        <v>9</v>
      </c>
    </row>
    <row r="226" spans="1:5" x14ac:dyDescent="0.25">
      <c r="A226" s="13" t="str">
        <f>"34297"</f>
        <v>34297</v>
      </c>
      <c r="B226" s="4"/>
      <c r="C226" s="12" t="s">
        <v>257</v>
      </c>
      <c r="D226" s="13" t="s">
        <v>13</v>
      </c>
      <c r="E226" s="13">
        <v>13.59</v>
      </c>
    </row>
    <row r="227" spans="1:5" ht="30" x14ac:dyDescent="0.25">
      <c r="A227" s="15" t="str">
        <f>"34300"</f>
        <v>34300</v>
      </c>
      <c r="B227" s="5"/>
      <c r="C227" s="14" t="s">
        <v>258</v>
      </c>
      <c r="D227" s="15" t="s">
        <v>13</v>
      </c>
      <c r="E227" s="15">
        <v>9.09</v>
      </c>
    </row>
    <row r="228" spans="1:5" x14ac:dyDescent="0.25">
      <c r="A228" s="13" t="str">
        <f>"34310"</f>
        <v>34310</v>
      </c>
      <c r="B228" s="4"/>
      <c r="C228" s="12" t="s">
        <v>259</v>
      </c>
      <c r="D228" s="13" t="s">
        <v>13</v>
      </c>
      <c r="E228" s="13">
        <v>7.94</v>
      </c>
    </row>
    <row r="229" spans="1:5" x14ac:dyDescent="0.25">
      <c r="A229" s="15" t="str">
        <f>"34330"</f>
        <v>34330</v>
      </c>
      <c r="B229" s="5"/>
      <c r="C229" s="14" t="s">
        <v>260</v>
      </c>
      <c r="D229" s="15" t="s">
        <v>13</v>
      </c>
      <c r="E229" s="15">
        <v>11.37</v>
      </c>
    </row>
    <row r="230" spans="1:5" x14ac:dyDescent="0.25">
      <c r="A230" s="13" t="str">
        <f>"35120"</f>
        <v>35120</v>
      </c>
      <c r="B230" s="4"/>
      <c r="C230" s="12" t="s">
        <v>261</v>
      </c>
      <c r="D230" s="13" t="s">
        <v>13</v>
      </c>
      <c r="E230" s="13">
        <v>10.86</v>
      </c>
    </row>
    <row r="231" spans="1:5" ht="30" x14ac:dyDescent="0.25">
      <c r="A231" s="15" t="str">
        <f>"35121"</f>
        <v>35121</v>
      </c>
      <c r="B231" s="5"/>
      <c r="C231" s="14" t="s">
        <v>262</v>
      </c>
      <c r="D231" s="15" t="s">
        <v>13</v>
      </c>
      <c r="E231" s="15">
        <v>11.09</v>
      </c>
    </row>
    <row r="232" spans="1:5" x14ac:dyDescent="0.25">
      <c r="A232" s="13" t="str">
        <f>"35160"</f>
        <v>35160</v>
      </c>
      <c r="B232" s="4"/>
      <c r="C232" s="12" t="s">
        <v>263</v>
      </c>
      <c r="D232" s="13" t="s">
        <v>13</v>
      </c>
      <c r="E232" s="13">
        <v>12.86</v>
      </c>
    </row>
    <row r="233" spans="1:5" x14ac:dyDescent="0.25">
      <c r="A233" s="15" t="str">
        <f>"35200"</f>
        <v>35200</v>
      </c>
      <c r="B233" s="5"/>
      <c r="C233" s="14" t="s">
        <v>264</v>
      </c>
      <c r="D233" s="15" t="s">
        <v>13</v>
      </c>
      <c r="E233" s="15">
        <v>17.41</v>
      </c>
    </row>
    <row r="234" spans="1:5" x14ac:dyDescent="0.25">
      <c r="A234" s="13" t="s">
        <v>265</v>
      </c>
      <c r="B234" s="4"/>
      <c r="C234" s="12" t="s">
        <v>266</v>
      </c>
      <c r="D234" s="13" t="s">
        <v>13</v>
      </c>
      <c r="E234" s="13">
        <v>15.49</v>
      </c>
    </row>
    <row r="235" spans="1:5" x14ac:dyDescent="0.25">
      <c r="A235" s="15" t="str">
        <f>"35201"</f>
        <v>35201</v>
      </c>
      <c r="B235" s="5"/>
      <c r="C235" s="14" t="s">
        <v>267</v>
      </c>
      <c r="D235" s="15" t="s">
        <v>13</v>
      </c>
      <c r="E235" s="15">
        <v>12.95</v>
      </c>
    </row>
    <row r="236" spans="1:5" x14ac:dyDescent="0.25">
      <c r="A236" s="13" t="str">
        <f>"35225"</f>
        <v>35225</v>
      </c>
      <c r="B236" s="4"/>
      <c r="C236" s="12" t="s">
        <v>268</v>
      </c>
      <c r="D236" s="13" t="s">
        <v>13</v>
      </c>
      <c r="E236" s="13">
        <v>13.981</v>
      </c>
    </row>
    <row r="237" spans="1:5" x14ac:dyDescent="0.25">
      <c r="A237" s="15" t="str">
        <f>"35320"</f>
        <v>35320</v>
      </c>
      <c r="B237" s="5"/>
      <c r="C237" s="14" t="s">
        <v>269</v>
      </c>
      <c r="D237" s="15" t="s">
        <v>13</v>
      </c>
      <c r="E237" s="15">
        <v>27.27</v>
      </c>
    </row>
    <row r="238" spans="1:5" x14ac:dyDescent="0.25">
      <c r="A238" s="13" t="s">
        <v>8</v>
      </c>
      <c r="B238" s="4"/>
      <c r="C238" s="12" t="s">
        <v>270</v>
      </c>
      <c r="D238" s="13" t="s">
        <v>13</v>
      </c>
      <c r="E238" s="13">
        <v>11.41</v>
      </c>
    </row>
    <row r="239" spans="1:5" x14ac:dyDescent="0.25">
      <c r="A239" s="15" t="str">
        <f>"35510"</f>
        <v>35510</v>
      </c>
      <c r="B239" s="5"/>
      <c r="C239" s="14" t="s">
        <v>271</v>
      </c>
      <c r="D239" s="15" t="s">
        <v>13</v>
      </c>
      <c r="E239" s="15">
        <v>5.98</v>
      </c>
    </row>
    <row r="240" spans="1:5" x14ac:dyDescent="0.25">
      <c r="A240" s="13" t="s">
        <v>9</v>
      </c>
      <c r="B240" s="6" t="s">
        <v>587</v>
      </c>
      <c r="C240" s="12" t="s">
        <v>272</v>
      </c>
      <c r="D240" s="13" t="s">
        <v>13</v>
      </c>
      <c r="E240" s="13">
        <v>6.4</v>
      </c>
    </row>
    <row r="241" spans="1:5" x14ac:dyDescent="0.25">
      <c r="A241" s="15" t="str">
        <f>"35540"</f>
        <v>35540</v>
      </c>
      <c r="B241" s="5"/>
      <c r="C241" s="14" t="s">
        <v>273</v>
      </c>
      <c r="D241" s="15" t="s">
        <v>13</v>
      </c>
      <c r="E241" s="15">
        <v>6.55</v>
      </c>
    </row>
    <row r="242" spans="1:5" x14ac:dyDescent="0.25">
      <c r="A242" s="13" t="str">
        <f>"37390"</f>
        <v>37390</v>
      </c>
      <c r="B242" s="4"/>
      <c r="C242" s="12" t="s">
        <v>274</v>
      </c>
      <c r="D242" s="13" t="s">
        <v>13</v>
      </c>
      <c r="E242" s="13">
        <v>10.37</v>
      </c>
    </row>
    <row r="243" spans="1:5" x14ac:dyDescent="0.25">
      <c r="A243" s="15" t="str">
        <f>"37473"</f>
        <v>37473</v>
      </c>
      <c r="B243" s="5"/>
      <c r="C243" s="14" t="s">
        <v>275</v>
      </c>
      <c r="D243" s="15" t="s">
        <v>13</v>
      </c>
      <c r="E243" s="15">
        <v>11.81</v>
      </c>
    </row>
    <row r="244" spans="1:5" ht="30" x14ac:dyDescent="0.25">
      <c r="A244" s="13" t="str">
        <f>"37475"</f>
        <v>37475</v>
      </c>
      <c r="B244" s="4"/>
      <c r="C244" s="12" t="s">
        <v>276</v>
      </c>
      <c r="D244" s="13" t="s">
        <v>13</v>
      </c>
      <c r="E244" s="13">
        <v>15.31</v>
      </c>
    </row>
    <row r="245" spans="1:5" ht="30" x14ac:dyDescent="0.25">
      <c r="A245" s="15" t="str">
        <f>"37476"</f>
        <v>37476</v>
      </c>
      <c r="B245" s="5"/>
      <c r="C245" s="14" t="s">
        <v>277</v>
      </c>
      <c r="D245" s="15" t="s">
        <v>13</v>
      </c>
      <c r="E245" s="15">
        <v>16.5</v>
      </c>
    </row>
    <row r="246" spans="1:5" ht="30" x14ac:dyDescent="0.25">
      <c r="A246" s="13" t="str">
        <f>"37477"</f>
        <v>37477</v>
      </c>
      <c r="B246" s="4"/>
      <c r="C246" s="12" t="s">
        <v>278</v>
      </c>
      <c r="D246" s="13" t="s">
        <v>13</v>
      </c>
      <c r="E246" s="13">
        <v>16.309999999999999</v>
      </c>
    </row>
    <row r="247" spans="1:5" x14ac:dyDescent="0.25">
      <c r="A247" s="15" t="str">
        <f>"37490"</f>
        <v>37490</v>
      </c>
      <c r="B247" s="5"/>
      <c r="C247" s="14" t="s">
        <v>279</v>
      </c>
      <c r="D247" s="15" t="s">
        <v>13</v>
      </c>
      <c r="E247" s="15">
        <v>10.7</v>
      </c>
    </row>
    <row r="248" spans="1:5" ht="30" x14ac:dyDescent="0.25">
      <c r="A248" s="13" t="str">
        <f>"37510"</f>
        <v>37510</v>
      </c>
      <c r="B248" s="4"/>
      <c r="C248" s="12" t="s">
        <v>280</v>
      </c>
      <c r="D248" s="13" t="s">
        <v>13</v>
      </c>
      <c r="E248" s="13">
        <v>18.600000000000001</v>
      </c>
    </row>
    <row r="249" spans="1:5" x14ac:dyDescent="0.25">
      <c r="A249" s="15" t="str">
        <f>"37515"</f>
        <v>37515</v>
      </c>
      <c r="B249" s="5"/>
      <c r="C249" s="14" t="s">
        <v>281</v>
      </c>
      <c r="D249" s="15" t="s">
        <v>34</v>
      </c>
      <c r="E249" s="15">
        <v>41.09</v>
      </c>
    </row>
    <row r="250" spans="1:5" x14ac:dyDescent="0.25">
      <c r="A250" s="13" t="str">
        <f>"375154"</f>
        <v>375154</v>
      </c>
      <c r="B250" s="4"/>
      <c r="C250" s="12" t="s">
        <v>282</v>
      </c>
      <c r="D250" s="13" t="s">
        <v>34</v>
      </c>
      <c r="E250" s="13">
        <v>6.38</v>
      </c>
    </row>
    <row r="251" spans="1:5" x14ac:dyDescent="0.25">
      <c r="A251" s="15" t="str">
        <f>"37540"</f>
        <v>37540</v>
      </c>
      <c r="B251" s="5"/>
      <c r="C251" s="14" t="s">
        <v>283</v>
      </c>
      <c r="D251" s="15" t="s">
        <v>13</v>
      </c>
      <c r="E251" s="15">
        <v>10.63</v>
      </c>
    </row>
    <row r="252" spans="1:5" x14ac:dyDescent="0.25">
      <c r="A252" s="13" t="str">
        <f>"37621"</f>
        <v>37621</v>
      </c>
      <c r="B252" s="4"/>
      <c r="C252" s="12" t="s">
        <v>284</v>
      </c>
      <c r="D252" s="13" t="s">
        <v>13</v>
      </c>
      <c r="E252" s="13">
        <v>11.9</v>
      </c>
    </row>
    <row r="253" spans="1:5" x14ac:dyDescent="0.25">
      <c r="A253" s="15" t="str">
        <f>"376274"</f>
        <v>376274</v>
      </c>
      <c r="B253" s="5"/>
      <c r="C253" s="14" t="s">
        <v>285</v>
      </c>
      <c r="D253" s="15" t="s">
        <v>34</v>
      </c>
      <c r="E253" s="15">
        <v>8.2899999999999991</v>
      </c>
    </row>
    <row r="254" spans="1:5" x14ac:dyDescent="0.25">
      <c r="A254" s="13" t="str">
        <f>"37632"</f>
        <v>37632</v>
      </c>
      <c r="B254" s="4"/>
      <c r="C254" s="12" t="s">
        <v>286</v>
      </c>
      <c r="D254" s="13" t="s">
        <v>13</v>
      </c>
      <c r="E254" s="13">
        <v>15.48</v>
      </c>
    </row>
    <row r="255" spans="1:5" x14ac:dyDescent="0.25">
      <c r="A255" s="15" t="str">
        <f>"37633"</f>
        <v>37633</v>
      </c>
      <c r="B255" s="5"/>
      <c r="C255" s="14" t="s">
        <v>287</v>
      </c>
      <c r="D255" s="15" t="s">
        <v>13</v>
      </c>
      <c r="E255" s="15">
        <v>11.56</v>
      </c>
    </row>
    <row r="256" spans="1:5" x14ac:dyDescent="0.25">
      <c r="A256" s="13" t="str">
        <f>"37636"</f>
        <v>37636</v>
      </c>
      <c r="B256" s="4"/>
      <c r="C256" s="12" t="s">
        <v>288</v>
      </c>
      <c r="D256" s="13" t="s">
        <v>13</v>
      </c>
      <c r="E256" s="13">
        <v>15.48</v>
      </c>
    </row>
    <row r="257" spans="1:5" x14ac:dyDescent="0.25">
      <c r="A257" s="15" t="str">
        <f>"37646"</f>
        <v>37646</v>
      </c>
      <c r="B257" s="5"/>
      <c r="C257" s="14" t="s">
        <v>289</v>
      </c>
      <c r="D257" s="15" t="s">
        <v>13</v>
      </c>
      <c r="E257" s="15">
        <v>14.84</v>
      </c>
    </row>
    <row r="258" spans="1:5" x14ac:dyDescent="0.25">
      <c r="A258" s="13" t="str">
        <f>"37647"</f>
        <v>37647</v>
      </c>
      <c r="B258" s="4"/>
      <c r="C258" s="12" t="s">
        <v>290</v>
      </c>
      <c r="D258" s="13" t="s">
        <v>34</v>
      </c>
      <c r="E258" s="13">
        <v>7.61</v>
      </c>
    </row>
    <row r="259" spans="1:5" x14ac:dyDescent="0.25">
      <c r="A259" s="15" t="str">
        <f>"37658"</f>
        <v>37658</v>
      </c>
      <c r="B259" s="5"/>
      <c r="C259" s="14" t="s">
        <v>291</v>
      </c>
      <c r="D259" s="15" t="s">
        <v>13</v>
      </c>
      <c r="E259" s="15">
        <v>9</v>
      </c>
    </row>
    <row r="260" spans="1:5" x14ac:dyDescent="0.25">
      <c r="A260" s="13" t="str">
        <f>"37671"</f>
        <v>37671</v>
      </c>
      <c r="B260" s="4"/>
      <c r="C260" s="12" t="s">
        <v>292</v>
      </c>
      <c r="D260" s="13" t="s">
        <v>13</v>
      </c>
      <c r="E260" s="13">
        <v>16.579999999999998</v>
      </c>
    </row>
    <row r="261" spans="1:5" x14ac:dyDescent="0.25">
      <c r="A261" s="15" t="str">
        <f>"37685"</f>
        <v>37685</v>
      </c>
      <c r="B261" s="5"/>
      <c r="C261" s="14" t="s">
        <v>293</v>
      </c>
      <c r="D261" s="15" t="s">
        <v>13</v>
      </c>
      <c r="E261" s="15">
        <v>17.489999999999998</v>
      </c>
    </row>
    <row r="262" spans="1:5" x14ac:dyDescent="0.25">
      <c r="A262" s="13" t="str">
        <f>"37720"</f>
        <v>37720</v>
      </c>
      <c r="B262" s="4"/>
      <c r="C262" s="12" t="s">
        <v>294</v>
      </c>
      <c r="D262" s="13" t="s">
        <v>13</v>
      </c>
      <c r="E262" s="13">
        <v>11.81</v>
      </c>
    </row>
    <row r="263" spans="1:5" x14ac:dyDescent="0.25">
      <c r="A263" s="15" t="str">
        <f>"377216"</f>
        <v>377216</v>
      </c>
      <c r="B263" s="5"/>
      <c r="C263" s="14" t="s">
        <v>295</v>
      </c>
      <c r="D263" s="15" t="s">
        <v>13</v>
      </c>
      <c r="E263" s="15">
        <v>17.78</v>
      </c>
    </row>
    <row r="264" spans="1:5" ht="30" x14ac:dyDescent="0.25">
      <c r="A264" s="13" t="str">
        <f>"37807"</f>
        <v>37807</v>
      </c>
      <c r="B264" s="4"/>
      <c r="C264" s="12" t="s">
        <v>296</v>
      </c>
      <c r="D264" s="13" t="s">
        <v>13</v>
      </c>
      <c r="E264" s="13">
        <v>11.08</v>
      </c>
    </row>
    <row r="265" spans="1:5" x14ac:dyDescent="0.25">
      <c r="A265" s="15" t="str">
        <f>"37815"</f>
        <v>37815</v>
      </c>
      <c r="B265" s="5"/>
      <c r="C265" s="14" t="s">
        <v>297</v>
      </c>
      <c r="D265" s="15" t="s">
        <v>13</v>
      </c>
      <c r="E265" s="15">
        <v>12.09</v>
      </c>
    </row>
    <row r="266" spans="1:5" x14ac:dyDescent="0.25">
      <c r="A266" s="13" t="str">
        <f>"37816"</f>
        <v>37816</v>
      </c>
      <c r="B266" s="4"/>
      <c r="C266" s="12" t="s">
        <v>298</v>
      </c>
      <c r="D266" s="13" t="s">
        <v>13</v>
      </c>
      <c r="E266" s="13">
        <v>12.84</v>
      </c>
    </row>
    <row r="267" spans="1:5" x14ac:dyDescent="0.25">
      <c r="A267" s="15" t="str">
        <f>"37835"</f>
        <v>37835</v>
      </c>
      <c r="B267" s="5"/>
      <c r="C267" s="14" t="s">
        <v>299</v>
      </c>
      <c r="D267" s="15" t="s">
        <v>13</v>
      </c>
      <c r="E267" s="15">
        <v>9.4700000000000006</v>
      </c>
    </row>
    <row r="268" spans="1:5" ht="30" x14ac:dyDescent="0.25">
      <c r="A268" s="13" t="str">
        <f>"37870"</f>
        <v>37870</v>
      </c>
      <c r="B268" s="4"/>
      <c r="C268" s="12" t="s">
        <v>300</v>
      </c>
      <c r="D268" s="13" t="s">
        <v>13</v>
      </c>
      <c r="E268" s="13">
        <v>14.41</v>
      </c>
    </row>
    <row r="269" spans="1:5" ht="30" x14ac:dyDescent="0.25">
      <c r="A269" s="15" t="str">
        <f>"37875"</f>
        <v>37875</v>
      </c>
      <c r="B269" s="5"/>
      <c r="C269" s="14" t="s">
        <v>301</v>
      </c>
      <c r="D269" s="15" t="s">
        <v>13</v>
      </c>
      <c r="E269" s="15">
        <v>14.41</v>
      </c>
    </row>
    <row r="270" spans="1:5" ht="30" x14ac:dyDescent="0.25">
      <c r="A270" s="13" t="str">
        <f>"37991"</f>
        <v>37991</v>
      </c>
      <c r="B270" s="4"/>
      <c r="C270" s="12" t="s">
        <v>302</v>
      </c>
      <c r="D270" s="13" t="s">
        <v>13</v>
      </c>
      <c r="E270" s="13">
        <v>10.71</v>
      </c>
    </row>
    <row r="271" spans="1:5" x14ac:dyDescent="0.25">
      <c r="A271" s="15" t="str">
        <f>"37992"</f>
        <v>37992</v>
      </c>
      <c r="B271" s="5"/>
      <c r="C271" s="14" t="s">
        <v>303</v>
      </c>
      <c r="D271" s="15" t="s">
        <v>13</v>
      </c>
      <c r="E271" s="15">
        <v>14.76</v>
      </c>
    </row>
    <row r="272" spans="1:5" ht="30" x14ac:dyDescent="0.25">
      <c r="A272" s="13" t="str">
        <f>"37995"</f>
        <v>37995</v>
      </c>
      <c r="B272" s="4"/>
      <c r="C272" s="12" t="s">
        <v>304</v>
      </c>
      <c r="D272" s="13" t="s">
        <v>13</v>
      </c>
      <c r="E272" s="13">
        <v>25.28</v>
      </c>
    </row>
    <row r="273" spans="1:5" x14ac:dyDescent="0.25">
      <c r="A273" s="15" t="str">
        <f>"380"</f>
        <v>380</v>
      </c>
      <c r="B273" s="5"/>
      <c r="C273" s="14" t="s">
        <v>305</v>
      </c>
      <c r="D273" s="15" t="s">
        <v>13</v>
      </c>
      <c r="E273" s="15">
        <v>12.67</v>
      </c>
    </row>
    <row r="274" spans="1:5" x14ac:dyDescent="0.25">
      <c r="A274" s="13" t="s">
        <v>6</v>
      </c>
      <c r="B274" s="4"/>
      <c r="C274" s="12" t="s">
        <v>306</v>
      </c>
      <c r="D274" s="13" t="s">
        <v>13</v>
      </c>
      <c r="E274" s="13">
        <v>12.67</v>
      </c>
    </row>
    <row r="275" spans="1:5" x14ac:dyDescent="0.25">
      <c r="A275" s="15" t="str">
        <f>"384"</f>
        <v>384</v>
      </c>
      <c r="B275" s="5">
        <v>3071380023016</v>
      </c>
      <c r="C275" s="14" t="s">
        <v>307</v>
      </c>
      <c r="D275" s="15" t="s">
        <v>14</v>
      </c>
      <c r="E275" s="15">
        <v>5.26</v>
      </c>
    </row>
    <row r="276" spans="1:5" x14ac:dyDescent="0.25">
      <c r="A276" s="13" t="str">
        <f>"385"</f>
        <v>385</v>
      </c>
      <c r="B276" s="4"/>
      <c r="C276" s="12" t="s">
        <v>308</v>
      </c>
      <c r="D276" s="13" t="s">
        <v>13</v>
      </c>
      <c r="E276" s="13">
        <v>11.26</v>
      </c>
    </row>
    <row r="277" spans="1:5" x14ac:dyDescent="0.25">
      <c r="A277" s="15" t="str">
        <f>"386"</f>
        <v>386</v>
      </c>
      <c r="B277" s="5"/>
      <c r="C277" s="14" t="s">
        <v>309</v>
      </c>
      <c r="D277" s="15" t="s">
        <v>14</v>
      </c>
      <c r="E277" s="15">
        <v>3.96</v>
      </c>
    </row>
    <row r="278" spans="1:5" x14ac:dyDescent="0.25">
      <c r="A278" s="13" t="str">
        <f>"3860"</f>
        <v>3860</v>
      </c>
      <c r="B278" s="4"/>
      <c r="C278" s="12" t="s">
        <v>310</v>
      </c>
      <c r="D278" s="13" t="s">
        <v>13</v>
      </c>
      <c r="E278" s="13">
        <v>12.55</v>
      </c>
    </row>
    <row r="279" spans="1:5" x14ac:dyDescent="0.25">
      <c r="A279" s="15" t="s">
        <v>4</v>
      </c>
      <c r="B279" s="5"/>
      <c r="C279" s="14" t="s">
        <v>311</v>
      </c>
      <c r="D279" s="15" t="s">
        <v>14</v>
      </c>
      <c r="E279" s="15">
        <v>3.96</v>
      </c>
    </row>
    <row r="280" spans="1:5" x14ac:dyDescent="0.25">
      <c r="A280" s="13" t="str">
        <f>"387"</f>
        <v>387</v>
      </c>
      <c r="B280" s="4"/>
      <c r="C280" s="12" t="s">
        <v>312</v>
      </c>
      <c r="D280" s="13" t="s">
        <v>13</v>
      </c>
      <c r="E280" s="13">
        <v>12.55</v>
      </c>
    </row>
    <row r="281" spans="1:5" x14ac:dyDescent="0.25">
      <c r="A281" s="15" t="str">
        <f>"388"</f>
        <v>388</v>
      </c>
      <c r="B281" s="5"/>
      <c r="C281" s="14" t="s">
        <v>313</v>
      </c>
      <c r="D281" s="15" t="s">
        <v>13</v>
      </c>
      <c r="E281" s="15">
        <v>12.05</v>
      </c>
    </row>
    <row r="282" spans="1:5" x14ac:dyDescent="0.25">
      <c r="A282" s="13" t="str">
        <f>"389"</f>
        <v>389</v>
      </c>
      <c r="B282" s="4"/>
      <c r="C282" s="12" t="s">
        <v>314</v>
      </c>
      <c r="D282" s="13" t="s">
        <v>13</v>
      </c>
      <c r="E282" s="13">
        <v>15.21</v>
      </c>
    </row>
    <row r="283" spans="1:5" x14ac:dyDescent="0.25">
      <c r="A283" s="15" t="str">
        <f>"390"</f>
        <v>390</v>
      </c>
      <c r="B283" s="5"/>
      <c r="C283" s="14" t="s">
        <v>315</v>
      </c>
      <c r="D283" s="15" t="s">
        <v>13</v>
      </c>
      <c r="E283" s="15">
        <v>12.43</v>
      </c>
    </row>
    <row r="284" spans="1:5" x14ac:dyDescent="0.25">
      <c r="A284" s="13" t="str">
        <f>"391"</f>
        <v>391</v>
      </c>
      <c r="B284" s="4"/>
      <c r="C284" s="12" t="s">
        <v>316</v>
      </c>
      <c r="D284" s="13" t="s">
        <v>13</v>
      </c>
      <c r="E284" s="13">
        <v>15.37</v>
      </c>
    </row>
    <row r="285" spans="1:5" x14ac:dyDescent="0.25">
      <c r="A285" s="15" t="str">
        <f>"3910"</f>
        <v>3910</v>
      </c>
      <c r="B285" s="5"/>
      <c r="C285" s="14" t="s">
        <v>317</v>
      </c>
      <c r="D285" s="15" t="s">
        <v>13</v>
      </c>
      <c r="E285" s="15">
        <v>15.37</v>
      </c>
    </row>
    <row r="286" spans="1:5" x14ac:dyDescent="0.25">
      <c r="A286" s="13" t="str">
        <f>"392"</f>
        <v>392</v>
      </c>
      <c r="B286" s="4"/>
      <c r="C286" s="12" t="s">
        <v>318</v>
      </c>
      <c r="D286" s="13" t="s">
        <v>13</v>
      </c>
      <c r="E286" s="13">
        <v>9.3800000000000008</v>
      </c>
    </row>
    <row r="287" spans="1:5" x14ac:dyDescent="0.25">
      <c r="A287" s="15" t="str">
        <f>"393"</f>
        <v>393</v>
      </c>
      <c r="B287" s="5"/>
      <c r="C287" s="14" t="s">
        <v>319</v>
      </c>
      <c r="D287" s="15" t="s">
        <v>13</v>
      </c>
      <c r="E287" s="15">
        <v>22.78</v>
      </c>
    </row>
    <row r="288" spans="1:5" x14ac:dyDescent="0.25">
      <c r="A288" s="13" t="str">
        <f>"407"</f>
        <v>407</v>
      </c>
      <c r="B288" s="4"/>
      <c r="C288" s="12" t="s">
        <v>320</v>
      </c>
      <c r="D288" s="13" t="s">
        <v>13</v>
      </c>
      <c r="E288" s="13">
        <v>13.59</v>
      </c>
    </row>
    <row r="289" spans="1:5" x14ac:dyDescent="0.25">
      <c r="A289" s="15" t="str">
        <f>"4084"</f>
        <v>4084</v>
      </c>
      <c r="B289" s="5"/>
      <c r="C289" s="14" t="s">
        <v>321</v>
      </c>
      <c r="D289" s="15" t="s">
        <v>13</v>
      </c>
      <c r="E289" s="15">
        <v>14.55</v>
      </c>
    </row>
    <row r="290" spans="1:5" x14ac:dyDescent="0.25">
      <c r="A290" s="13" t="str">
        <f>"4085"</f>
        <v>4085</v>
      </c>
      <c r="B290" s="4"/>
      <c r="C290" s="12" t="s">
        <v>322</v>
      </c>
      <c r="D290" s="13" t="s">
        <v>13</v>
      </c>
      <c r="E290" s="13">
        <v>12.2</v>
      </c>
    </row>
    <row r="291" spans="1:5" x14ac:dyDescent="0.25">
      <c r="A291" s="15" t="str">
        <f>"4086"</f>
        <v>4086</v>
      </c>
      <c r="B291" s="5"/>
      <c r="C291" s="14" t="s">
        <v>323</v>
      </c>
      <c r="D291" s="15" t="s">
        <v>13</v>
      </c>
      <c r="E291" s="15">
        <v>15.11</v>
      </c>
    </row>
    <row r="292" spans="1:5" x14ac:dyDescent="0.25">
      <c r="A292" s="13" t="str">
        <f>"416"</f>
        <v>416</v>
      </c>
      <c r="B292" s="4"/>
      <c r="C292" s="12" t="s">
        <v>324</v>
      </c>
      <c r="D292" s="13" t="s">
        <v>13</v>
      </c>
      <c r="E292" s="13">
        <v>12.05</v>
      </c>
    </row>
    <row r="293" spans="1:5" x14ac:dyDescent="0.25">
      <c r="A293" s="15" t="str">
        <f>"417"</f>
        <v>417</v>
      </c>
      <c r="B293" s="5"/>
      <c r="C293" s="14" t="s">
        <v>325</v>
      </c>
      <c r="D293" s="15" t="s">
        <v>13</v>
      </c>
      <c r="E293" s="15">
        <v>12.73</v>
      </c>
    </row>
    <row r="294" spans="1:5" x14ac:dyDescent="0.25">
      <c r="A294" s="13" t="str">
        <f>"4210"</f>
        <v>4210</v>
      </c>
      <c r="B294" s="4"/>
      <c r="C294" s="12" t="s">
        <v>326</v>
      </c>
      <c r="D294" s="13" t="s">
        <v>13</v>
      </c>
      <c r="E294" s="13">
        <v>13.37</v>
      </c>
    </row>
    <row r="295" spans="1:5" x14ac:dyDescent="0.25">
      <c r="A295" s="15" t="str">
        <f>"424"</f>
        <v>424</v>
      </c>
      <c r="B295" s="5"/>
      <c r="C295" s="14" t="s">
        <v>327</v>
      </c>
      <c r="D295" s="15" t="s">
        <v>13</v>
      </c>
      <c r="E295" s="15">
        <v>9.0500000000000007</v>
      </c>
    </row>
    <row r="296" spans="1:5" ht="30" x14ac:dyDescent="0.25">
      <c r="A296" s="13" t="str">
        <f>"4281"</f>
        <v>4281</v>
      </c>
      <c r="B296" s="4"/>
      <c r="C296" s="12" t="s">
        <v>328</v>
      </c>
      <c r="D296" s="13" t="s">
        <v>13</v>
      </c>
      <c r="E296" s="13">
        <v>15.11</v>
      </c>
    </row>
    <row r="297" spans="1:5" ht="30" x14ac:dyDescent="0.25">
      <c r="A297" s="15" t="str">
        <f>"4400"</f>
        <v>4400</v>
      </c>
      <c r="B297" s="5"/>
      <c r="C297" s="14" t="s">
        <v>329</v>
      </c>
      <c r="D297" s="15" t="s">
        <v>34</v>
      </c>
      <c r="E297" s="15">
        <v>8.1</v>
      </c>
    </row>
    <row r="298" spans="1:5" x14ac:dyDescent="0.25">
      <c r="A298" s="13" t="str">
        <f>"4401"</f>
        <v>4401</v>
      </c>
      <c r="B298" s="4"/>
      <c r="C298" s="12" t="s">
        <v>330</v>
      </c>
      <c r="D298" s="13" t="s">
        <v>34</v>
      </c>
      <c r="E298" s="13">
        <v>16.61</v>
      </c>
    </row>
    <row r="299" spans="1:5" x14ac:dyDescent="0.25">
      <c r="A299" s="15" t="str">
        <f>"4405"</f>
        <v>4405</v>
      </c>
      <c r="B299" s="5"/>
      <c r="C299" s="14" t="s">
        <v>331</v>
      </c>
      <c r="D299" s="15" t="s">
        <v>34</v>
      </c>
      <c r="E299" s="15">
        <v>7.77</v>
      </c>
    </row>
    <row r="300" spans="1:5" x14ac:dyDescent="0.25">
      <c r="A300" s="13" t="str">
        <f>"4409"</f>
        <v>4409</v>
      </c>
      <c r="B300" s="4"/>
      <c r="C300" s="12" t="s">
        <v>332</v>
      </c>
      <c r="D300" s="13" t="s">
        <v>13</v>
      </c>
      <c r="E300" s="13">
        <v>15.57</v>
      </c>
    </row>
    <row r="301" spans="1:5" x14ac:dyDescent="0.25">
      <c r="A301" s="15" t="s">
        <v>7</v>
      </c>
      <c r="B301" s="5"/>
      <c r="C301" s="14" t="s">
        <v>333</v>
      </c>
      <c r="D301" s="15" t="s">
        <v>13</v>
      </c>
      <c r="E301" s="15">
        <v>18.12</v>
      </c>
    </row>
    <row r="302" spans="1:5" x14ac:dyDescent="0.25">
      <c r="A302" s="13" t="str">
        <f>"473"</f>
        <v>473</v>
      </c>
      <c r="B302" s="4"/>
      <c r="C302" s="12" t="s">
        <v>334</v>
      </c>
      <c r="D302" s="13" t="s">
        <v>13</v>
      </c>
      <c r="E302" s="13">
        <v>15.96</v>
      </c>
    </row>
    <row r="303" spans="1:5" ht="30" x14ac:dyDescent="0.25">
      <c r="A303" s="15" t="str">
        <f>"47992"</f>
        <v>47992</v>
      </c>
      <c r="B303" s="7" t="s">
        <v>588</v>
      </c>
      <c r="C303" s="14" t="s">
        <v>335</v>
      </c>
      <c r="D303" s="15" t="s">
        <v>13</v>
      </c>
      <c r="E303" s="15">
        <v>13.59</v>
      </c>
    </row>
    <row r="304" spans="1:5" ht="30" x14ac:dyDescent="0.25">
      <c r="A304" s="13" t="str">
        <f>"488"</f>
        <v>488</v>
      </c>
      <c r="B304" s="4"/>
      <c r="C304" s="12" t="s">
        <v>336</v>
      </c>
      <c r="D304" s="13" t="s">
        <v>13</v>
      </c>
      <c r="E304" s="13">
        <v>15.13</v>
      </c>
    </row>
    <row r="305" spans="1:5" x14ac:dyDescent="0.25">
      <c r="A305" s="15" t="str">
        <f>"494"</f>
        <v>494</v>
      </c>
      <c r="B305" s="5"/>
      <c r="C305" s="14" t="s">
        <v>337</v>
      </c>
      <c r="D305" s="15" t="s">
        <v>13</v>
      </c>
      <c r="E305" s="15">
        <v>28.875</v>
      </c>
    </row>
    <row r="306" spans="1:5" ht="30" x14ac:dyDescent="0.25">
      <c r="A306" s="13" t="str">
        <f>"516"</f>
        <v>516</v>
      </c>
      <c r="B306" s="4"/>
      <c r="C306" s="12" t="s">
        <v>338</v>
      </c>
      <c r="D306" s="13" t="s">
        <v>13</v>
      </c>
      <c r="E306" s="13">
        <v>11.01</v>
      </c>
    </row>
    <row r="307" spans="1:5" ht="30" x14ac:dyDescent="0.25">
      <c r="A307" s="15" t="str">
        <f>"518"</f>
        <v>518</v>
      </c>
      <c r="B307" s="5"/>
      <c r="C307" s="14" t="s">
        <v>339</v>
      </c>
      <c r="D307" s="15" t="s">
        <v>13</v>
      </c>
      <c r="E307" s="15">
        <v>10.73</v>
      </c>
    </row>
    <row r="308" spans="1:5" ht="30" x14ac:dyDescent="0.25">
      <c r="A308" s="13" t="str">
        <f>"520018"</f>
        <v>520018</v>
      </c>
      <c r="B308" s="4"/>
      <c r="C308" s="12" t="s">
        <v>340</v>
      </c>
      <c r="D308" s="13" t="s">
        <v>13</v>
      </c>
      <c r="E308" s="13">
        <v>9.6</v>
      </c>
    </row>
    <row r="309" spans="1:5" ht="30" x14ac:dyDescent="0.25">
      <c r="A309" s="15" t="str">
        <f>"520230"</f>
        <v>520230</v>
      </c>
      <c r="B309" s="5"/>
      <c r="C309" s="14" t="s">
        <v>341</v>
      </c>
      <c r="D309" s="15" t="s">
        <v>13</v>
      </c>
      <c r="E309" s="15">
        <v>12.02</v>
      </c>
    </row>
    <row r="310" spans="1:5" ht="30" x14ac:dyDescent="0.25">
      <c r="A310" s="13" t="str">
        <f>"520330"</f>
        <v>520330</v>
      </c>
      <c r="B310" s="4"/>
      <c r="C310" s="12" t="s">
        <v>342</v>
      </c>
      <c r="D310" s="13" t="s">
        <v>13</v>
      </c>
      <c r="E310" s="13">
        <v>10.6</v>
      </c>
    </row>
    <row r="311" spans="1:5" x14ac:dyDescent="0.25">
      <c r="A311" s="15" t="str">
        <f>"52100"</f>
        <v>52100</v>
      </c>
      <c r="B311" s="5"/>
      <c r="C311" s="14" t="s">
        <v>343</v>
      </c>
      <c r="D311" s="15" t="s">
        <v>13</v>
      </c>
      <c r="E311" s="15">
        <v>7.89</v>
      </c>
    </row>
    <row r="312" spans="1:5" x14ac:dyDescent="0.25">
      <c r="A312" s="13" t="str">
        <f>"52300"</f>
        <v>52300</v>
      </c>
      <c r="B312" s="4"/>
      <c r="C312" s="12" t="s">
        <v>344</v>
      </c>
      <c r="D312" s="13" t="s">
        <v>13</v>
      </c>
      <c r="E312" s="13">
        <v>9.5</v>
      </c>
    </row>
    <row r="313" spans="1:5" x14ac:dyDescent="0.25">
      <c r="A313" s="15" t="str">
        <f>"524"</f>
        <v>524</v>
      </c>
      <c r="B313" s="5"/>
      <c r="C313" s="14" t="s">
        <v>345</v>
      </c>
      <c r="D313" s="15" t="s">
        <v>13</v>
      </c>
      <c r="E313" s="15">
        <v>15.81</v>
      </c>
    </row>
    <row r="314" spans="1:5" x14ac:dyDescent="0.25">
      <c r="A314" s="13" t="str">
        <f>"52452"</f>
        <v>52452</v>
      </c>
      <c r="B314" s="4"/>
      <c r="C314" s="12" t="s">
        <v>346</v>
      </c>
      <c r="D314" s="13" t="s">
        <v>13</v>
      </c>
      <c r="E314" s="13">
        <v>12.2</v>
      </c>
    </row>
    <row r="315" spans="1:5" x14ac:dyDescent="0.25">
      <c r="A315" s="15" t="str">
        <f>"5246"</f>
        <v>5246</v>
      </c>
      <c r="B315" s="5"/>
      <c r="C315" s="14" t="s">
        <v>347</v>
      </c>
      <c r="D315" s="15" t="s">
        <v>13</v>
      </c>
      <c r="E315" s="15">
        <v>13.04</v>
      </c>
    </row>
    <row r="316" spans="1:5" x14ac:dyDescent="0.25">
      <c r="A316" s="13" t="str">
        <f>"5249"</f>
        <v>5249</v>
      </c>
      <c r="B316" s="4"/>
      <c r="C316" s="12" t="s">
        <v>348</v>
      </c>
      <c r="D316" s="13" t="s">
        <v>13</v>
      </c>
      <c r="E316" s="13">
        <v>13.2</v>
      </c>
    </row>
    <row r="317" spans="1:5" ht="30" x14ac:dyDescent="0.25">
      <c r="A317" s="15" t="str">
        <f>"5250"</f>
        <v>5250</v>
      </c>
      <c r="B317" s="5"/>
      <c r="C317" s="14" t="s">
        <v>349</v>
      </c>
      <c r="D317" s="15" t="s">
        <v>13</v>
      </c>
      <c r="E317" s="15">
        <v>12.8</v>
      </c>
    </row>
    <row r="318" spans="1:5" ht="30" x14ac:dyDescent="0.25">
      <c r="A318" s="13" t="str">
        <f>"52529"</f>
        <v>52529</v>
      </c>
      <c r="B318" s="4"/>
      <c r="C318" s="12" t="s">
        <v>350</v>
      </c>
      <c r="D318" s="13" t="s">
        <v>13</v>
      </c>
      <c r="E318" s="13">
        <v>10.36</v>
      </c>
    </row>
    <row r="319" spans="1:5" ht="30" x14ac:dyDescent="0.25">
      <c r="A319" s="15" t="str">
        <f>"530915"</f>
        <v>530915</v>
      </c>
      <c r="B319" s="5"/>
      <c r="C319" s="14" t="s">
        <v>351</v>
      </c>
      <c r="D319" s="15" t="s">
        <v>13</v>
      </c>
      <c r="E319" s="15">
        <v>10.34</v>
      </c>
    </row>
    <row r="320" spans="1:5" ht="30" x14ac:dyDescent="0.25">
      <c r="A320" s="13" t="str">
        <f>"530916"</f>
        <v>530916</v>
      </c>
      <c r="B320" s="4"/>
      <c r="C320" s="12" t="s">
        <v>352</v>
      </c>
      <c r="D320" s="13" t="s">
        <v>13</v>
      </c>
      <c r="E320" s="13">
        <v>10</v>
      </c>
    </row>
    <row r="321" spans="1:5" x14ac:dyDescent="0.25">
      <c r="A321" s="15" t="str">
        <f>"5400"</f>
        <v>5400</v>
      </c>
      <c r="B321" s="5"/>
      <c r="C321" s="14" t="s">
        <v>353</v>
      </c>
      <c r="D321" s="15" t="s">
        <v>13</v>
      </c>
      <c r="E321" s="15">
        <v>13.31</v>
      </c>
    </row>
    <row r="322" spans="1:5" ht="30" x14ac:dyDescent="0.25">
      <c r="A322" s="13" t="str">
        <f>"54041"</f>
        <v>54041</v>
      </c>
      <c r="B322" s="4"/>
      <c r="C322" s="12" t="s">
        <v>354</v>
      </c>
      <c r="D322" s="13" t="s">
        <v>13</v>
      </c>
      <c r="E322" s="13">
        <v>9.5</v>
      </c>
    </row>
    <row r="323" spans="1:5" ht="30" x14ac:dyDescent="0.25">
      <c r="A323" s="15" t="str">
        <f>"54042"</f>
        <v>54042</v>
      </c>
      <c r="B323" s="5"/>
      <c r="C323" s="14" t="s">
        <v>355</v>
      </c>
      <c r="D323" s="15" t="s">
        <v>356</v>
      </c>
      <c r="E323" s="15">
        <v>9.6346000000000007</v>
      </c>
    </row>
    <row r="324" spans="1:5" ht="30" x14ac:dyDescent="0.25">
      <c r="A324" s="13" t="str">
        <f>"54050"</f>
        <v>54050</v>
      </c>
      <c r="B324" s="4"/>
      <c r="C324" s="12" t="s">
        <v>357</v>
      </c>
      <c r="D324" s="13" t="s">
        <v>13</v>
      </c>
      <c r="E324" s="13">
        <v>11.56</v>
      </c>
    </row>
    <row r="325" spans="1:5" ht="30" x14ac:dyDescent="0.25">
      <c r="A325" s="15" t="str">
        <f>"54060"</f>
        <v>54060</v>
      </c>
      <c r="B325" s="5"/>
      <c r="C325" s="14" t="s">
        <v>358</v>
      </c>
      <c r="D325" s="15" t="s">
        <v>13</v>
      </c>
      <c r="E325" s="15">
        <v>3.02</v>
      </c>
    </row>
    <row r="326" spans="1:5" x14ac:dyDescent="0.25">
      <c r="A326" s="13" t="str">
        <f>"54070"</f>
        <v>54070</v>
      </c>
      <c r="B326" s="4"/>
      <c r="C326" s="12" t="s">
        <v>359</v>
      </c>
      <c r="D326" s="13" t="s">
        <v>13</v>
      </c>
      <c r="E326" s="13">
        <v>3.69</v>
      </c>
    </row>
    <row r="327" spans="1:5" ht="30" x14ac:dyDescent="0.25">
      <c r="A327" s="15" t="str">
        <f>"54075"</f>
        <v>54075</v>
      </c>
      <c r="B327" s="5"/>
      <c r="C327" s="14" t="s">
        <v>360</v>
      </c>
      <c r="D327" s="15" t="s">
        <v>13</v>
      </c>
      <c r="E327" s="15">
        <v>7.65</v>
      </c>
    </row>
    <row r="328" spans="1:5" ht="30" x14ac:dyDescent="0.25">
      <c r="A328" s="13" t="str">
        <f>"54080"</f>
        <v>54080</v>
      </c>
      <c r="B328" s="4"/>
      <c r="C328" s="12" t="s">
        <v>361</v>
      </c>
      <c r="D328" s="13" t="s">
        <v>13</v>
      </c>
      <c r="E328" s="13">
        <v>5.24</v>
      </c>
    </row>
    <row r="329" spans="1:5" x14ac:dyDescent="0.25">
      <c r="A329" s="15" t="str">
        <f>"54085"</f>
        <v>54085</v>
      </c>
      <c r="B329" s="5"/>
      <c r="C329" s="14" t="s">
        <v>362</v>
      </c>
      <c r="D329" s="15" t="s">
        <v>13</v>
      </c>
      <c r="E329" s="15">
        <v>4.7699999999999996</v>
      </c>
    </row>
    <row r="330" spans="1:5" ht="30" x14ac:dyDescent="0.25">
      <c r="A330" s="13" t="str">
        <f>"5600"</f>
        <v>5600</v>
      </c>
      <c r="B330" s="4"/>
      <c r="C330" s="12" t="s">
        <v>363</v>
      </c>
      <c r="D330" s="13" t="s">
        <v>13</v>
      </c>
      <c r="E330" s="13">
        <v>11.858000000000001</v>
      </c>
    </row>
    <row r="331" spans="1:5" ht="30" x14ac:dyDescent="0.25">
      <c r="A331" s="15" t="str">
        <f>"561"</f>
        <v>561</v>
      </c>
      <c r="B331" s="5"/>
      <c r="C331" s="14" t="s">
        <v>364</v>
      </c>
      <c r="D331" s="15" t="s">
        <v>13</v>
      </c>
      <c r="E331" s="15">
        <v>14.14</v>
      </c>
    </row>
    <row r="332" spans="1:5" ht="30" x14ac:dyDescent="0.25">
      <c r="A332" s="13" t="str">
        <f>"562"</f>
        <v>562</v>
      </c>
      <c r="B332" s="4"/>
      <c r="C332" s="12" t="s">
        <v>365</v>
      </c>
      <c r="D332" s="13" t="s">
        <v>13</v>
      </c>
      <c r="E332" s="13">
        <v>11.087999999999999</v>
      </c>
    </row>
    <row r="333" spans="1:5" ht="30" x14ac:dyDescent="0.25">
      <c r="A333" s="15" t="str">
        <f>"563"</f>
        <v>563</v>
      </c>
      <c r="B333" s="5"/>
      <c r="C333" s="14" t="s">
        <v>366</v>
      </c>
      <c r="D333" s="15" t="s">
        <v>13</v>
      </c>
      <c r="E333" s="15">
        <v>12.067</v>
      </c>
    </row>
    <row r="334" spans="1:5" x14ac:dyDescent="0.25">
      <c r="A334" s="13" t="str">
        <f>"5650"</f>
        <v>5650</v>
      </c>
      <c r="B334" s="4"/>
      <c r="C334" s="12" t="s">
        <v>367</v>
      </c>
      <c r="D334" s="13" t="s">
        <v>13</v>
      </c>
      <c r="E334" s="13">
        <v>12.804</v>
      </c>
    </row>
    <row r="335" spans="1:5" ht="30" x14ac:dyDescent="0.25">
      <c r="A335" s="15" t="str">
        <f>"5655"</f>
        <v>5655</v>
      </c>
      <c r="B335" s="5"/>
      <c r="C335" s="14" t="s">
        <v>368</v>
      </c>
      <c r="D335" s="15" t="s">
        <v>13</v>
      </c>
      <c r="E335" s="15">
        <v>11.451000000000001</v>
      </c>
    </row>
    <row r="336" spans="1:5" ht="30" x14ac:dyDescent="0.25">
      <c r="A336" s="13" t="str">
        <f>"567"</f>
        <v>567</v>
      </c>
      <c r="B336" s="4"/>
      <c r="C336" s="12" t="s">
        <v>369</v>
      </c>
      <c r="D336" s="13" t="s">
        <v>13</v>
      </c>
      <c r="E336" s="13">
        <v>8.99</v>
      </c>
    </row>
    <row r="337" spans="1:5" x14ac:dyDescent="0.25">
      <c r="A337" s="15" t="str">
        <f>"57"</f>
        <v>57</v>
      </c>
      <c r="B337" s="5"/>
      <c r="C337" s="14" t="s">
        <v>370</v>
      </c>
      <c r="D337" s="15" t="s">
        <v>13</v>
      </c>
      <c r="E337" s="15">
        <v>9.3390000000000004</v>
      </c>
    </row>
    <row r="338" spans="1:5" x14ac:dyDescent="0.25">
      <c r="A338" s="13" t="str">
        <f>"573"</f>
        <v>573</v>
      </c>
      <c r="B338" s="4"/>
      <c r="C338" s="12" t="s">
        <v>371</v>
      </c>
      <c r="D338" s="13" t="s">
        <v>13</v>
      </c>
      <c r="E338" s="13">
        <v>12.089</v>
      </c>
    </row>
    <row r="339" spans="1:5" x14ac:dyDescent="0.25">
      <c r="A339" s="15" t="str">
        <f>"574"</f>
        <v>574</v>
      </c>
      <c r="B339" s="5"/>
      <c r="C339" s="14" t="s">
        <v>372</v>
      </c>
      <c r="D339" s="15" t="s">
        <v>13</v>
      </c>
      <c r="E339" s="15">
        <v>11.913</v>
      </c>
    </row>
    <row r="340" spans="1:5" x14ac:dyDescent="0.25">
      <c r="A340" s="13" t="str">
        <f>"6010"</f>
        <v>6010</v>
      </c>
      <c r="B340" s="4"/>
      <c r="C340" s="12" t="s">
        <v>373</v>
      </c>
      <c r="D340" s="13" t="s">
        <v>14</v>
      </c>
      <c r="E340" s="13">
        <v>2.3319999999999999</v>
      </c>
    </row>
    <row r="341" spans="1:5" x14ac:dyDescent="0.25">
      <c r="A341" s="15" t="str">
        <f>"6120"</f>
        <v>6120</v>
      </c>
      <c r="B341" s="5"/>
      <c r="C341" s="14" t="s">
        <v>374</v>
      </c>
      <c r="D341" s="15" t="s">
        <v>21</v>
      </c>
      <c r="E341" s="15">
        <v>2.2000000000000002</v>
      </c>
    </row>
    <row r="342" spans="1:5" x14ac:dyDescent="0.25">
      <c r="A342" s="13" t="str">
        <f>"6121"</f>
        <v>6121</v>
      </c>
      <c r="B342" s="4"/>
      <c r="C342" s="12" t="s">
        <v>375</v>
      </c>
      <c r="D342" s="13" t="s">
        <v>21</v>
      </c>
      <c r="E342" s="13">
        <v>1.43</v>
      </c>
    </row>
    <row r="343" spans="1:5" x14ac:dyDescent="0.25">
      <c r="A343" s="15" t="str">
        <f>"612810"</f>
        <v>612810</v>
      </c>
      <c r="B343" s="5"/>
      <c r="C343" s="14" t="s">
        <v>376</v>
      </c>
      <c r="D343" s="15" t="s">
        <v>13</v>
      </c>
      <c r="E343" s="15">
        <v>14</v>
      </c>
    </row>
    <row r="344" spans="1:5" x14ac:dyDescent="0.25">
      <c r="A344" s="13" t="str">
        <f>"612815"</f>
        <v>612815</v>
      </c>
      <c r="B344" s="4"/>
      <c r="C344" s="12" t="s">
        <v>377</v>
      </c>
      <c r="D344" s="13" t="s">
        <v>13</v>
      </c>
      <c r="E344" s="13">
        <v>14</v>
      </c>
    </row>
    <row r="345" spans="1:5" ht="30" x14ac:dyDescent="0.25">
      <c r="A345" s="15" t="str">
        <f>"612955"</f>
        <v>612955</v>
      </c>
      <c r="B345" s="5"/>
      <c r="C345" s="14" t="s">
        <v>378</v>
      </c>
      <c r="D345" s="15" t="s">
        <v>34</v>
      </c>
      <c r="E345" s="15">
        <v>3.52</v>
      </c>
    </row>
    <row r="346" spans="1:5" x14ac:dyDescent="0.25">
      <c r="A346" s="13" t="str">
        <f>"61324"</f>
        <v>61324</v>
      </c>
      <c r="B346" s="4"/>
      <c r="C346" s="12" t="s">
        <v>379</v>
      </c>
      <c r="D346" s="13" t="s">
        <v>13</v>
      </c>
      <c r="E346" s="13">
        <v>11.37</v>
      </c>
    </row>
    <row r="347" spans="1:5" x14ac:dyDescent="0.25">
      <c r="A347" s="15" t="str">
        <f>"6140"</f>
        <v>6140</v>
      </c>
      <c r="B347" s="5"/>
      <c r="C347" s="14" t="s">
        <v>380</v>
      </c>
      <c r="D347" s="15" t="s">
        <v>34</v>
      </c>
      <c r="E347" s="15">
        <v>25.78</v>
      </c>
    </row>
    <row r="348" spans="1:5" x14ac:dyDescent="0.25">
      <c r="A348" s="13" t="str">
        <f>"6148050"</f>
        <v>6148050</v>
      </c>
      <c r="B348" s="4"/>
      <c r="C348" s="12" t="s">
        <v>381</v>
      </c>
      <c r="D348" s="13" t="s">
        <v>34</v>
      </c>
      <c r="E348" s="13">
        <v>4.6100000000000003</v>
      </c>
    </row>
    <row r="349" spans="1:5" x14ac:dyDescent="0.25">
      <c r="A349" s="15" t="str">
        <f>"6149050"</f>
        <v>6149050</v>
      </c>
      <c r="B349" s="5"/>
      <c r="C349" s="14" t="s">
        <v>382</v>
      </c>
      <c r="D349" s="15" t="s">
        <v>34</v>
      </c>
      <c r="E349" s="15">
        <v>6.38</v>
      </c>
    </row>
    <row r="350" spans="1:5" ht="30" x14ac:dyDescent="0.25">
      <c r="A350" s="13" t="str">
        <f>"6157"</f>
        <v>6157</v>
      </c>
      <c r="B350" s="4"/>
      <c r="C350" s="12" t="s">
        <v>383</v>
      </c>
      <c r="D350" s="13" t="s">
        <v>13</v>
      </c>
      <c r="E350" s="13">
        <v>16.149999999999999</v>
      </c>
    </row>
    <row r="351" spans="1:5" x14ac:dyDescent="0.25">
      <c r="A351" s="15" t="str">
        <f>"641"</f>
        <v>641</v>
      </c>
      <c r="B351" s="5"/>
      <c r="C351" s="14" t="s">
        <v>384</v>
      </c>
      <c r="D351" s="15" t="s">
        <v>13</v>
      </c>
      <c r="E351" s="15">
        <v>9.08</v>
      </c>
    </row>
    <row r="352" spans="1:5" x14ac:dyDescent="0.25">
      <c r="A352" s="13" t="str">
        <f>"643"</f>
        <v>643</v>
      </c>
      <c r="B352" s="4"/>
      <c r="C352" s="12" t="s">
        <v>385</v>
      </c>
      <c r="D352" s="13" t="s">
        <v>13</v>
      </c>
      <c r="E352" s="13">
        <v>7.69</v>
      </c>
    </row>
    <row r="353" spans="1:5" x14ac:dyDescent="0.25">
      <c r="A353" s="15" t="s">
        <v>386</v>
      </c>
      <c r="B353" s="5"/>
      <c r="C353" s="14" t="s">
        <v>387</v>
      </c>
      <c r="D353" s="15" t="s">
        <v>13</v>
      </c>
      <c r="E353" s="15">
        <v>7.69</v>
      </c>
    </row>
    <row r="354" spans="1:5" x14ac:dyDescent="0.25">
      <c r="A354" s="13" t="str">
        <f>"647"</f>
        <v>647</v>
      </c>
      <c r="B354" s="4"/>
      <c r="C354" s="12" t="s">
        <v>388</v>
      </c>
      <c r="D354" s="13" t="s">
        <v>13</v>
      </c>
      <c r="E354" s="13">
        <v>8.2799999999999994</v>
      </c>
    </row>
    <row r="355" spans="1:5" ht="30" x14ac:dyDescent="0.25">
      <c r="A355" s="15" t="str">
        <f>"649"</f>
        <v>649</v>
      </c>
      <c r="B355" s="5"/>
      <c r="C355" s="14" t="s">
        <v>389</v>
      </c>
      <c r="D355" s="15" t="s">
        <v>13</v>
      </c>
      <c r="E355" s="15">
        <v>8.2100000000000009</v>
      </c>
    </row>
    <row r="356" spans="1:5" ht="30" x14ac:dyDescent="0.25">
      <c r="A356" s="13" t="str">
        <f>"671"</f>
        <v>671</v>
      </c>
      <c r="B356" s="4"/>
      <c r="C356" s="12" t="s">
        <v>390</v>
      </c>
      <c r="D356" s="13" t="s">
        <v>13</v>
      </c>
      <c r="E356" s="13">
        <v>6.05</v>
      </c>
    </row>
    <row r="357" spans="1:5" x14ac:dyDescent="0.25">
      <c r="A357" s="15" t="str">
        <f>"6710"</f>
        <v>6710</v>
      </c>
      <c r="B357" s="5"/>
      <c r="C357" s="14" t="s">
        <v>391</v>
      </c>
      <c r="D357" s="15" t="s">
        <v>13</v>
      </c>
      <c r="E357" s="15">
        <v>9.77</v>
      </c>
    </row>
    <row r="358" spans="1:5" x14ac:dyDescent="0.25">
      <c r="A358" s="13" t="s">
        <v>392</v>
      </c>
      <c r="B358" s="4"/>
      <c r="C358" s="12" t="s">
        <v>393</v>
      </c>
      <c r="D358" s="13" t="s">
        <v>13</v>
      </c>
      <c r="E358" s="13">
        <v>9.39</v>
      </c>
    </row>
    <row r="359" spans="1:5" x14ac:dyDescent="0.25">
      <c r="A359" s="15" t="str">
        <f>"685"</f>
        <v>685</v>
      </c>
      <c r="B359" s="5"/>
      <c r="C359" s="14" t="s">
        <v>394</v>
      </c>
      <c r="D359" s="15" t="s">
        <v>13</v>
      </c>
      <c r="E359" s="15">
        <v>6.11</v>
      </c>
    </row>
    <row r="360" spans="1:5" x14ac:dyDescent="0.25">
      <c r="A360" s="13" t="str">
        <f>"686"</f>
        <v>686</v>
      </c>
      <c r="B360" s="4"/>
      <c r="C360" s="12" t="s">
        <v>395</v>
      </c>
      <c r="D360" s="13" t="s">
        <v>13</v>
      </c>
      <c r="E360" s="13">
        <v>4.24</v>
      </c>
    </row>
    <row r="361" spans="1:5" x14ac:dyDescent="0.25">
      <c r="A361" s="15" t="str">
        <f>"688"</f>
        <v>688</v>
      </c>
      <c r="B361" s="5"/>
      <c r="C361" s="14" t="s">
        <v>396</v>
      </c>
      <c r="D361" s="15" t="s">
        <v>13</v>
      </c>
      <c r="E361" s="15">
        <v>6.9542999999999999</v>
      </c>
    </row>
    <row r="362" spans="1:5" x14ac:dyDescent="0.25">
      <c r="A362" s="13" t="str">
        <f>"7129"</f>
        <v>7129</v>
      </c>
      <c r="B362" s="4"/>
      <c r="C362" s="12" t="s">
        <v>397</v>
      </c>
      <c r="D362" s="13" t="s">
        <v>13</v>
      </c>
      <c r="E362" s="13">
        <v>13.97</v>
      </c>
    </row>
    <row r="363" spans="1:5" x14ac:dyDescent="0.25">
      <c r="A363" s="15" t="str">
        <f>"713"</f>
        <v>713</v>
      </c>
      <c r="B363" s="5"/>
      <c r="C363" s="14" t="s">
        <v>398</v>
      </c>
      <c r="D363" s="15" t="s">
        <v>13</v>
      </c>
      <c r="E363" s="15">
        <v>11.9</v>
      </c>
    </row>
    <row r="364" spans="1:5" x14ac:dyDescent="0.25">
      <c r="A364" s="13" t="str">
        <f>"714510"</f>
        <v>714510</v>
      </c>
      <c r="B364" s="4"/>
      <c r="C364" s="12" t="s">
        <v>399</v>
      </c>
      <c r="D364" s="13" t="s">
        <v>13</v>
      </c>
      <c r="E364" s="13">
        <v>10.35</v>
      </c>
    </row>
    <row r="365" spans="1:5" x14ac:dyDescent="0.25">
      <c r="A365" s="15" t="str">
        <f>"714540"</f>
        <v>714540</v>
      </c>
      <c r="B365" s="5"/>
      <c r="C365" s="14" t="s">
        <v>400</v>
      </c>
      <c r="D365" s="15" t="s">
        <v>13</v>
      </c>
      <c r="E365" s="15">
        <v>8.6</v>
      </c>
    </row>
    <row r="366" spans="1:5" x14ac:dyDescent="0.25">
      <c r="A366" s="13" t="str">
        <f>"7164"</f>
        <v>7164</v>
      </c>
      <c r="B366" s="4"/>
      <c r="C366" s="12" t="s">
        <v>401</v>
      </c>
      <c r="D366" s="13" t="s">
        <v>13</v>
      </c>
      <c r="E366" s="13">
        <v>6.45</v>
      </c>
    </row>
    <row r="367" spans="1:5" ht="30" x14ac:dyDescent="0.25">
      <c r="A367" s="15" t="str">
        <f>"719"</f>
        <v>719</v>
      </c>
      <c r="B367" s="5"/>
      <c r="C367" s="14" t="s">
        <v>402</v>
      </c>
      <c r="D367" s="15" t="s">
        <v>13</v>
      </c>
      <c r="E367" s="15">
        <v>10.6</v>
      </c>
    </row>
    <row r="368" spans="1:5" ht="30" x14ac:dyDescent="0.25">
      <c r="A368" s="13" t="s">
        <v>5</v>
      </c>
      <c r="B368" s="4"/>
      <c r="C368" s="12" t="s">
        <v>403</v>
      </c>
      <c r="D368" s="13" t="s">
        <v>13</v>
      </c>
      <c r="E368" s="13">
        <v>10.6</v>
      </c>
    </row>
    <row r="369" spans="1:5" x14ac:dyDescent="0.25">
      <c r="A369" s="15" t="str">
        <f>"720"</f>
        <v>720</v>
      </c>
      <c r="B369" s="5"/>
      <c r="C369" s="14" t="s">
        <v>404</v>
      </c>
      <c r="D369" s="15" t="s">
        <v>13</v>
      </c>
      <c r="E369" s="15">
        <v>10.96</v>
      </c>
    </row>
    <row r="370" spans="1:5" x14ac:dyDescent="0.25">
      <c r="A370" s="13" t="str">
        <f>"7220"</f>
        <v>7220</v>
      </c>
      <c r="B370" s="4"/>
      <c r="C370" s="12" t="s">
        <v>405</v>
      </c>
      <c r="D370" s="13" t="s">
        <v>13</v>
      </c>
      <c r="E370" s="13">
        <v>8.7506000000000004</v>
      </c>
    </row>
    <row r="371" spans="1:5" x14ac:dyDescent="0.25">
      <c r="A371" s="15" t="str">
        <f>"72200"</f>
        <v>72200</v>
      </c>
      <c r="B371" s="5">
        <v>3760001976960</v>
      </c>
      <c r="C371" s="14" t="s">
        <v>406</v>
      </c>
      <c r="D371" s="15" t="s">
        <v>34</v>
      </c>
      <c r="E371" s="15">
        <v>3.88</v>
      </c>
    </row>
    <row r="372" spans="1:5" x14ac:dyDescent="0.25">
      <c r="A372" s="13" t="str">
        <f>"722012"</f>
        <v>722012</v>
      </c>
      <c r="B372" s="4"/>
      <c r="C372" s="12" t="s">
        <v>407</v>
      </c>
      <c r="D372" s="13" t="s">
        <v>13</v>
      </c>
      <c r="E372" s="13">
        <v>9.85</v>
      </c>
    </row>
    <row r="373" spans="1:5" x14ac:dyDescent="0.25">
      <c r="A373" s="15" t="str">
        <f>"7226"</f>
        <v>7226</v>
      </c>
      <c r="B373" s="5"/>
      <c r="C373" s="14" t="s">
        <v>408</v>
      </c>
      <c r="D373" s="15" t="s">
        <v>13</v>
      </c>
      <c r="E373" s="15">
        <v>10.45</v>
      </c>
    </row>
    <row r="374" spans="1:5" ht="30" x14ac:dyDescent="0.25">
      <c r="A374" s="13" t="str">
        <f>"7227"</f>
        <v>7227</v>
      </c>
      <c r="B374" s="4"/>
      <c r="C374" s="12" t="s">
        <v>409</v>
      </c>
      <c r="D374" s="13" t="s">
        <v>13</v>
      </c>
      <c r="E374" s="13">
        <v>9.3800000000000008</v>
      </c>
    </row>
    <row r="375" spans="1:5" x14ac:dyDescent="0.25">
      <c r="A375" s="15" t="s">
        <v>410</v>
      </c>
      <c r="B375" s="5"/>
      <c r="C375" s="14" t="s">
        <v>411</v>
      </c>
      <c r="D375" s="15" t="s">
        <v>13</v>
      </c>
      <c r="E375" s="15">
        <v>9.3800000000000008</v>
      </c>
    </row>
    <row r="376" spans="1:5" x14ac:dyDescent="0.25">
      <c r="A376" s="13" t="str">
        <f>"723"</f>
        <v>723</v>
      </c>
      <c r="B376" s="4"/>
      <c r="C376" s="12" t="s">
        <v>412</v>
      </c>
      <c r="D376" s="13" t="s">
        <v>13</v>
      </c>
      <c r="E376" s="13">
        <v>9.1999999999999993</v>
      </c>
    </row>
    <row r="377" spans="1:5" x14ac:dyDescent="0.25">
      <c r="A377" s="15" t="str">
        <f>"7230"</f>
        <v>7230</v>
      </c>
      <c r="B377" s="8">
        <v>3760001971828</v>
      </c>
      <c r="C377" s="14" t="s">
        <v>413</v>
      </c>
      <c r="D377" s="15" t="s">
        <v>34</v>
      </c>
      <c r="E377" s="15">
        <v>5.23</v>
      </c>
    </row>
    <row r="378" spans="1:5" x14ac:dyDescent="0.25">
      <c r="A378" s="13" t="str">
        <f>"7234"</f>
        <v>7234</v>
      </c>
      <c r="B378" s="4">
        <v>3760001978117</v>
      </c>
      <c r="C378" s="12" t="s">
        <v>414</v>
      </c>
      <c r="D378" s="13" t="s">
        <v>34</v>
      </c>
      <c r="E378" s="13">
        <v>5.13</v>
      </c>
    </row>
    <row r="379" spans="1:5" ht="30" x14ac:dyDescent="0.25">
      <c r="A379" s="15" t="str">
        <f>"724"</f>
        <v>724</v>
      </c>
      <c r="B379" s="5"/>
      <c r="C379" s="14" t="s">
        <v>415</v>
      </c>
      <c r="D379" s="15" t="s">
        <v>13</v>
      </c>
      <c r="E379" s="15">
        <v>9.76</v>
      </c>
    </row>
    <row r="380" spans="1:5" x14ac:dyDescent="0.25">
      <c r="A380" s="13" t="str">
        <f>"72400"</f>
        <v>72400</v>
      </c>
      <c r="B380" s="4"/>
      <c r="C380" s="12" t="s">
        <v>416</v>
      </c>
      <c r="D380" s="13" t="s">
        <v>13</v>
      </c>
      <c r="E380" s="13">
        <v>9.58</v>
      </c>
    </row>
    <row r="381" spans="1:5" x14ac:dyDescent="0.25">
      <c r="A381" s="15" t="str">
        <f>"72401"</f>
        <v>72401</v>
      </c>
      <c r="B381" s="5"/>
      <c r="C381" s="14" t="s">
        <v>417</v>
      </c>
      <c r="D381" s="15" t="s">
        <v>13</v>
      </c>
      <c r="E381" s="15">
        <v>9.35</v>
      </c>
    </row>
    <row r="382" spans="1:5" x14ac:dyDescent="0.25">
      <c r="A382" s="13" t="str">
        <f>"724010"</f>
        <v>724010</v>
      </c>
      <c r="B382" s="4">
        <v>3760001972368</v>
      </c>
      <c r="C382" s="12" t="s">
        <v>418</v>
      </c>
      <c r="D382" s="13" t="s">
        <v>34</v>
      </c>
      <c r="E382" s="13">
        <v>4.58</v>
      </c>
    </row>
    <row r="383" spans="1:5" x14ac:dyDescent="0.25">
      <c r="A383" s="15" t="str">
        <f>"724011"</f>
        <v>724011</v>
      </c>
      <c r="B383" s="5"/>
      <c r="C383" s="14" t="s">
        <v>419</v>
      </c>
      <c r="D383" s="15" t="s">
        <v>13</v>
      </c>
      <c r="E383" s="15">
        <v>9.76</v>
      </c>
    </row>
    <row r="384" spans="1:5" x14ac:dyDescent="0.25">
      <c r="A384" s="13" t="str">
        <f>"724111"</f>
        <v>724111</v>
      </c>
      <c r="B384" s="4"/>
      <c r="C384" s="12" t="s">
        <v>420</v>
      </c>
      <c r="D384" s="13" t="s">
        <v>34</v>
      </c>
      <c r="E384" s="13">
        <v>5.85</v>
      </c>
    </row>
    <row r="385" spans="1:5" x14ac:dyDescent="0.25">
      <c r="A385" s="15" t="str">
        <f>"724112"</f>
        <v>724112</v>
      </c>
      <c r="B385" s="5"/>
      <c r="C385" s="14" t="s">
        <v>421</v>
      </c>
      <c r="D385" s="15" t="s">
        <v>34</v>
      </c>
      <c r="E385" s="15">
        <v>5.85</v>
      </c>
    </row>
    <row r="386" spans="1:5" x14ac:dyDescent="0.25">
      <c r="A386" s="13" t="str">
        <f>"72500"</f>
        <v>72500</v>
      </c>
      <c r="B386" s="4">
        <v>3760001979008</v>
      </c>
      <c r="C386" s="12" t="s">
        <v>422</v>
      </c>
      <c r="D386" s="13" t="s">
        <v>34</v>
      </c>
      <c r="E386" s="13">
        <v>3.88</v>
      </c>
    </row>
    <row r="387" spans="1:5" ht="30" x14ac:dyDescent="0.25">
      <c r="A387" s="15" t="str">
        <f>"72501"</f>
        <v>72501</v>
      </c>
      <c r="B387" s="5"/>
      <c r="C387" s="14" t="s">
        <v>423</v>
      </c>
      <c r="D387" s="15" t="s">
        <v>13</v>
      </c>
      <c r="E387" s="15">
        <v>9.35</v>
      </c>
    </row>
    <row r="388" spans="1:5" x14ac:dyDescent="0.25">
      <c r="A388" s="13" t="str">
        <f>"725011"</f>
        <v>725011</v>
      </c>
      <c r="B388" s="4"/>
      <c r="C388" s="12" t="s">
        <v>424</v>
      </c>
      <c r="D388" s="13" t="s">
        <v>13</v>
      </c>
      <c r="E388" s="13">
        <v>9.76</v>
      </c>
    </row>
    <row r="389" spans="1:5" x14ac:dyDescent="0.25">
      <c r="A389" s="15" t="str">
        <f>"725012"</f>
        <v>725012</v>
      </c>
      <c r="B389" s="5"/>
      <c r="C389" s="14" t="s">
        <v>425</v>
      </c>
      <c r="D389" s="15" t="s">
        <v>13</v>
      </c>
      <c r="E389" s="15">
        <v>9.7200000000000006</v>
      </c>
    </row>
    <row r="390" spans="1:5" ht="30" x14ac:dyDescent="0.25">
      <c r="A390" s="13" t="str">
        <f>"725013"</f>
        <v>725013</v>
      </c>
      <c r="B390" s="4"/>
      <c r="C390" s="12" t="s">
        <v>426</v>
      </c>
      <c r="D390" s="13" t="s">
        <v>13</v>
      </c>
      <c r="E390" s="13">
        <v>9.85</v>
      </c>
    </row>
    <row r="391" spans="1:5" x14ac:dyDescent="0.25">
      <c r="A391" s="15" t="str">
        <f>"725014"</f>
        <v>725014</v>
      </c>
      <c r="B391" s="5"/>
      <c r="C391" s="14" t="s">
        <v>427</v>
      </c>
      <c r="D391" s="15" t="s">
        <v>34</v>
      </c>
      <c r="E391" s="15">
        <v>20</v>
      </c>
    </row>
    <row r="392" spans="1:5" ht="30" x14ac:dyDescent="0.25">
      <c r="A392" s="13" t="str">
        <f>"725015"</f>
        <v>725015</v>
      </c>
      <c r="B392" s="4"/>
      <c r="C392" s="12" t="s">
        <v>428</v>
      </c>
      <c r="D392" s="13" t="s">
        <v>34</v>
      </c>
      <c r="E392" s="13">
        <v>20</v>
      </c>
    </row>
    <row r="393" spans="1:5" ht="30" x14ac:dyDescent="0.25">
      <c r="A393" s="15" t="str">
        <f>"725016"</f>
        <v>725016</v>
      </c>
      <c r="B393" s="5"/>
      <c r="C393" s="14" t="s">
        <v>429</v>
      </c>
      <c r="D393" s="15" t="s">
        <v>34</v>
      </c>
      <c r="E393" s="15">
        <v>20</v>
      </c>
    </row>
    <row r="394" spans="1:5" x14ac:dyDescent="0.25">
      <c r="A394" s="13" t="str">
        <f>"72936"</f>
        <v>72936</v>
      </c>
      <c r="B394" s="4"/>
      <c r="C394" s="12" t="s">
        <v>430</v>
      </c>
      <c r="D394" s="13" t="s">
        <v>13</v>
      </c>
      <c r="E394" s="13">
        <v>10.769</v>
      </c>
    </row>
    <row r="395" spans="1:5" ht="30" x14ac:dyDescent="0.25">
      <c r="A395" s="15" t="str">
        <f>"76"</f>
        <v>76</v>
      </c>
      <c r="B395" s="5"/>
      <c r="C395" s="14" t="s">
        <v>431</v>
      </c>
      <c r="D395" s="15" t="s">
        <v>13</v>
      </c>
      <c r="E395" s="15">
        <v>11.17</v>
      </c>
    </row>
    <row r="396" spans="1:5" ht="30" x14ac:dyDescent="0.25">
      <c r="A396" s="13" t="str">
        <f>"78"</f>
        <v>78</v>
      </c>
      <c r="B396" s="4"/>
      <c r="C396" s="12" t="s">
        <v>432</v>
      </c>
      <c r="D396" s="13" t="s">
        <v>13</v>
      </c>
      <c r="E396" s="13">
        <v>9.52</v>
      </c>
    </row>
    <row r="397" spans="1:5" x14ac:dyDescent="0.25">
      <c r="A397" s="15" t="str">
        <f>"781"</f>
        <v>781</v>
      </c>
      <c r="B397" s="5"/>
      <c r="C397" s="14" t="s">
        <v>433</v>
      </c>
      <c r="D397" s="15" t="s">
        <v>13</v>
      </c>
      <c r="E397" s="15">
        <v>13.37</v>
      </c>
    </row>
    <row r="398" spans="1:5" x14ac:dyDescent="0.25">
      <c r="A398" s="13" t="str">
        <f>"79"</f>
        <v>79</v>
      </c>
      <c r="B398" s="4"/>
      <c r="C398" s="12" t="s">
        <v>434</v>
      </c>
      <c r="D398" s="13" t="s">
        <v>13</v>
      </c>
      <c r="E398" s="13">
        <v>6.18</v>
      </c>
    </row>
    <row r="399" spans="1:5" x14ac:dyDescent="0.25">
      <c r="A399" s="15" t="str">
        <f>"792"</f>
        <v>792</v>
      </c>
      <c r="B399" s="5"/>
      <c r="C399" s="14" t="s">
        <v>435</v>
      </c>
      <c r="D399" s="15" t="s">
        <v>13</v>
      </c>
      <c r="E399" s="15">
        <v>11.8</v>
      </c>
    </row>
    <row r="400" spans="1:5" x14ac:dyDescent="0.25">
      <c r="A400" s="13" t="str">
        <f>"7920"</f>
        <v>7920</v>
      </c>
      <c r="B400" s="4"/>
      <c r="C400" s="12" t="s">
        <v>436</v>
      </c>
      <c r="D400" s="13" t="s">
        <v>13</v>
      </c>
      <c r="E400" s="13">
        <v>11.8</v>
      </c>
    </row>
    <row r="401" spans="1:5" x14ac:dyDescent="0.25">
      <c r="A401" s="15" t="str">
        <f>"81"</f>
        <v>81</v>
      </c>
      <c r="B401" s="5"/>
      <c r="C401" s="14" t="s">
        <v>437</v>
      </c>
      <c r="D401" s="15" t="s">
        <v>13</v>
      </c>
      <c r="E401" s="15">
        <v>15.99</v>
      </c>
    </row>
    <row r="402" spans="1:5" x14ac:dyDescent="0.25">
      <c r="A402" s="13" t="str">
        <f>"811"</f>
        <v>811</v>
      </c>
      <c r="B402" s="4"/>
      <c r="C402" s="12" t="s">
        <v>438</v>
      </c>
      <c r="D402" s="13" t="s">
        <v>439</v>
      </c>
      <c r="E402" s="13">
        <v>9.3800000000000008</v>
      </c>
    </row>
    <row r="403" spans="1:5" x14ac:dyDescent="0.25">
      <c r="A403" s="15" t="str">
        <f>"93"</f>
        <v>93</v>
      </c>
      <c r="B403" s="5"/>
      <c r="C403" s="14" t="s">
        <v>440</v>
      </c>
      <c r="D403" s="15" t="s">
        <v>13</v>
      </c>
      <c r="E403" s="15">
        <v>9.8699999999999992</v>
      </c>
    </row>
    <row r="404" spans="1:5" ht="30" x14ac:dyDescent="0.25">
      <c r="A404" s="13" t="str">
        <f>"95"</f>
        <v>95</v>
      </c>
      <c r="B404" s="4"/>
      <c r="C404" s="12" t="s">
        <v>441</v>
      </c>
      <c r="D404" s="13" t="s">
        <v>13</v>
      </c>
      <c r="E404" s="13">
        <v>13</v>
      </c>
    </row>
    <row r="405" spans="1:5" ht="30" x14ac:dyDescent="0.25">
      <c r="A405" s="15" t="str">
        <f>"950"</f>
        <v>950</v>
      </c>
      <c r="B405" s="5"/>
      <c r="C405" s="14" t="s">
        <v>442</v>
      </c>
      <c r="D405" s="15" t="s">
        <v>13</v>
      </c>
      <c r="E405" s="15">
        <v>20.239999999999998</v>
      </c>
    </row>
    <row r="406" spans="1:5" ht="30" x14ac:dyDescent="0.25">
      <c r="A406" s="13" t="str">
        <f>"97"</f>
        <v>97</v>
      </c>
      <c r="B406" s="4"/>
      <c r="C406" s="12" t="s">
        <v>443</v>
      </c>
      <c r="D406" s="13" t="s">
        <v>13</v>
      </c>
      <c r="E406" s="13">
        <v>12.51</v>
      </c>
    </row>
    <row r="407" spans="1:5" x14ac:dyDescent="0.25">
      <c r="A407" s="15" t="str">
        <f>"98"</f>
        <v>98</v>
      </c>
      <c r="B407" s="5"/>
      <c r="C407" s="14" t="s">
        <v>444</v>
      </c>
      <c r="D407" s="15" t="s">
        <v>13</v>
      </c>
      <c r="E407" s="15">
        <v>12.05</v>
      </c>
    </row>
    <row r="408" spans="1:5" x14ac:dyDescent="0.25">
      <c r="A408" s="13" t="str">
        <f>"9968"</f>
        <v>9968</v>
      </c>
      <c r="B408" s="4"/>
      <c r="C408" s="12" t="s">
        <v>445</v>
      </c>
      <c r="D408" s="13" t="s">
        <v>13</v>
      </c>
      <c r="E408" s="13">
        <v>11.286</v>
      </c>
    </row>
    <row r="409" spans="1:5" x14ac:dyDescent="0.25">
      <c r="A409" s="15" t="str">
        <f>"997050"</f>
        <v>997050</v>
      </c>
      <c r="B409" s="5"/>
      <c r="C409" s="14" t="s">
        <v>446</v>
      </c>
      <c r="D409" s="15" t="s">
        <v>13</v>
      </c>
      <c r="E409" s="15">
        <v>8.3800000000000008</v>
      </c>
    </row>
    <row r="410" spans="1:5" x14ac:dyDescent="0.25">
      <c r="A410" s="13" t="str">
        <f>"997210"</f>
        <v>997210</v>
      </c>
      <c r="B410" s="4"/>
      <c r="C410" s="12" t="s">
        <v>447</v>
      </c>
      <c r="D410" s="13" t="s">
        <v>13</v>
      </c>
      <c r="E410" s="13">
        <v>9.7899999999999991</v>
      </c>
    </row>
    <row r="411" spans="1:5" x14ac:dyDescent="0.25">
      <c r="A411" s="15" t="str">
        <f>"99879"</f>
        <v>99879</v>
      </c>
      <c r="B411" s="5"/>
      <c r="C411" s="14" t="s">
        <v>448</v>
      </c>
      <c r="D411" s="15" t="s">
        <v>14</v>
      </c>
      <c r="E411" s="15">
        <v>3.9</v>
      </c>
    </row>
    <row r="412" spans="1:5" x14ac:dyDescent="0.25">
      <c r="A412" s="13" t="str">
        <f>"99885"</f>
        <v>99885</v>
      </c>
      <c r="B412" s="4"/>
      <c r="C412" s="12" t="s">
        <v>449</v>
      </c>
      <c r="D412" s="13" t="s">
        <v>13</v>
      </c>
      <c r="E412" s="13">
        <v>14.99</v>
      </c>
    </row>
    <row r="413" spans="1:5" ht="30" x14ac:dyDescent="0.25">
      <c r="A413" s="15" t="s">
        <v>450</v>
      </c>
      <c r="B413" s="5"/>
      <c r="C413" s="14" t="s">
        <v>451</v>
      </c>
      <c r="D413" s="15" t="s">
        <v>13</v>
      </c>
      <c r="E413" s="15">
        <v>7.4249999999999998</v>
      </c>
    </row>
    <row r="414" spans="1:5" x14ac:dyDescent="0.25">
      <c r="A414" s="13" t="s">
        <v>452</v>
      </c>
      <c r="B414" s="4"/>
      <c r="C414" s="12" t="s">
        <v>453</v>
      </c>
      <c r="D414" s="13" t="s">
        <v>14</v>
      </c>
      <c r="E414" s="13">
        <v>0</v>
      </c>
    </row>
    <row r="415" spans="1:5" x14ac:dyDescent="0.25">
      <c r="A415" s="15" t="s">
        <v>454</v>
      </c>
      <c r="B415" s="5"/>
      <c r="C415" s="14" t="s">
        <v>455</v>
      </c>
      <c r="D415" s="15" t="s">
        <v>14</v>
      </c>
      <c r="E415" s="15">
        <v>0</v>
      </c>
    </row>
    <row r="416" spans="1:5" x14ac:dyDescent="0.25">
      <c r="A416" s="13" t="s">
        <v>456</v>
      </c>
      <c r="B416" s="4"/>
      <c r="C416" s="12" t="s">
        <v>457</v>
      </c>
      <c r="D416" s="13" t="s">
        <v>14</v>
      </c>
      <c r="E416" s="13">
        <v>0</v>
      </c>
    </row>
    <row r="417" spans="1:5" x14ac:dyDescent="0.25">
      <c r="A417" s="15" t="s">
        <v>458</v>
      </c>
      <c r="B417" s="5"/>
      <c r="C417" s="14" t="s">
        <v>459</v>
      </c>
      <c r="D417" s="15" t="s">
        <v>14</v>
      </c>
      <c r="E417" s="15">
        <v>0</v>
      </c>
    </row>
    <row r="418" spans="1:5" x14ac:dyDescent="0.25">
      <c r="A418" s="13" t="s">
        <v>460</v>
      </c>
      <c r="B418" s="4"/>
      <c r="C418" s="12" t="s">
        <v>461</v>
      </c>
      <c r="D418" s="13" t="s">
        <v>13</v>
      </c>
      <c r="E418" s="13">
        <v>0</v>
      </c>
    </row>
    <row r="419" spans="1:5" x14ac:dyDescent="0.25">
      <c r="A419" s="15" t="s">
        <v>462</v>
      </c>
      <c r="B419" s="5"/>
      <c r="C419" s="14" t="s">
        <v>463</v>
      </c>
      <c r="D419" s="15" t="s">
        <v>14</v>
      </c>
      <c r="E419" s="15">
        <v>30.501899999999999</v>
      </c>
    </row>
    <row r="420" spans="1:5" x14ac:dyDescent="0.25">
      <c r="A420" s="13" t="s">
        <v>464</v>
      </c>
      <c r="B420" s="4"/>
      <c r="C420" s="12" t="s">
        <v>465</v>
      </c>
      <c r="D420" s="13" t="s">
        <v>14</v>
      </c>
      <c r="E420" s="13">
        <v>15.188499999999999</v>
      </c>
    </row>
    <row r="421" spans="1:5" x14ac:dyDescent="0.25">
      <c r="A421" s="15" t="s">
        <v>466</v>
      </c>
      <c r="B421" s="5"/>
      <c r="C421" s="14" t="s">
        <v>467</v>
      </c>
      <c r="D421" s="15" t="s">
        <v>14</v>
      </c>
      <c r="E421" s="15">
        <v>0.13</v>
      </c>
    </row>
    <row r="422" spans="1:5" x14ac:dyDescent="0.25">
      <c r="A422" s="13" t="s">
        <v>468</v>
      </c>
      <c r="B422" s="4"/>
      <c r="C422" s="12" t="s">
        <v>469</v>
      </c>
      <c r="D422" s="13" t="s">
        <v>14</v>
      </c>
      <c r="E422" s="13">
        <v>275.64260000000002</v>
      </c>
    </row>
    <row r="423" spans="1:5" x14ac:dyDescent="0.25">
      <c r="A423" s="15" t="s">
        <v>470</v>
      </c>
      <c r="B423" s="5"/>
      <c r="C423" s="14" t="s">
        <v>471</v>
      </c>
      <c r="D423" s="15" t="s">
        <v>14</v>
      </c>
      <c r="E423" s="15">
        <v>6.6379999999999999</v>
      </c>
    </row>
    <row r="424" spans="1:5" x14ac:dyDescent="0.25">
      <c r="A424" s="13" t="s">
        <v>472</v>
      </c>
      <c r="B424" s="4"/>
      <c r="C424" s="12" t="s">
        <v>473</v>
      </c>
      <c r="D424" s="13" t="s">
        <v>14</v>
      </c>
      <c r="E424" s="13">
        <v>0</v>
      </c>
    </row>
    <row r="425" spans="1:5" x14ac:dyDescent="0.25">
      <c r="A425" s="15" t="s">
        <v>15</v>
      </c>
      <c r="B425" s="5"/>
      <c r="C425" s="14" t="s">
        <v>474</v>
      </c>
      <c r="D425" s="15" t="s">
        <v>14</v>
      </c>
      <c r="E425" s="15">
        <v>0</v>
      </c>
    </row>
    <row r="426" spans="1:5" x14ac:dyDescent="0.25">
      <c r="A426" s="13" t="s">
        <v>475</v>
      </c>
      <c r="B426" s="4"/>
      <c r="C426" s="12" t="s">
        <v>476</v>
      </c>
      <c r="D426" s="13" t="s">
        <v>14</v>
      </c>
      <c r="E426" s="13">
        <v>0</v>
      </c>
    </row>
    <row r="427" spans="1:5" x14ac:dyDescent="0.25">
      <c r="A427" s="15" t="s">
        <v>477</v>
      </c>
      <c r="B427" s="5"/>
      <c r="C427" s="14" t="s">
        <v>478</v>
      </c>
      <c r="D427" s="15" t="s">
        <v>14</v>
      </c>
      <c r="E427" s="15">
        <v>0</v>
      </c>
    </row>
    <row r="428" spans="1:5" x14ac:dyDescent="0.25">
      <c r="A428" s="13" t="s">
        <v>479</v>
      </c>
      <c r="B428" s="4"/>
      <c r="C428" s="12" t="s">
        <v>480</v>
      </c>
      <c r="D428" s="13" t="s">
        <v>13</v>
      </c>
      <c r="E428" s="13">
        <v>3.8699999999999998E-2</v>
      </c>
    </row>
    <row r="429" spans="1:5" x14ac:dyDescent="0.25">
      <c r="A429" s="15" t="s">
        <v>481</v>
      </c>
      <c r="B429" s="5"/>
      <c r="C429" s="14" t="s">
        <v>482</v>
      </c>
      <c r="D429" s="15" t="s">
        <v>13</v>
      </c>
      <c r="E429" s="15">
        <v>3.2599999999999997E-2</v>
      </c>
    </row>
    <row r="430" spans="1:5" x14ac:dyDescent="0.25">
      <c r="A430" s="13" t="s">
        <v>483</v>
      </c>
      <c r="B430" s="4"/>
      <c r="C430" s="12" t="s">
        <v>484</v>
      </c>
      <c r="D430" s="13" t="s">
        <v>13</v>
      </c>
      <c r="E430" s="13">
        <v>1.8800000000000001E-2</v>
      </c>
    </row>
    <row r="431" spans="1:5" x14ac:dyDescent="0.25">
      <c r="A431" s="15" t="s">
        <v>485</v>
      </c>
      <c r="B431" s="5"/>
      <c r="C431" s="14" t="s">
        <v>486</v>
      </c>
      <c r="D431" s="15" t="s">
        <v>14</v>
      </c>
      <c r="E431" s="15">
        <v>13.75</v>
      </c>
    </row>
    <row r="432" spans="1:5" x14ac:dyDescent="0.25">
      <c r="A432" s="13" t="s">
        <v>487</v>
      </c>
      <c r="B432" s="4"/>
      <c r="C432" s="12" t="s">
        <v>488</v>
      </c>
      <c r="D432" s="13" t="s">
        <v>14</v>
      </c>
      <c r="E432" s="13">
        <v>5.0000000000000001E-3</v>
      </c>
    </row>
    <row r="433" spans="1:5" x14ac:dyDescent="0.25">
      <c r="A433" s="15" t="s">
        <v>489</v>
      </c>
      <c r="B433" s="5"/>
      <c r="C433" s="14" t="s">
        <v>490</v>
      </c>
      <c r="D433" s="15" t="s">
        <v>14</v>
      </c>
      <c r="E433" s="15">
        <v>0</v>
      </c>
    </row>
    <row r="434" spans="1:5" x14ac:dyDescent="0.25">
      <c r="A434" s="13" t="s">
        <v>491</v>
      </c>
      <c r="B434" s="4"/>
      <c r="C434" s="12" t="s">
        <v>492</v>
      </c>
      <c r="D434" s="13" t="s">
        <v>13</v>
      </c>
      <c r="E434" s="13">
        <v>0.43869999999999998</v>
      </c>
    </row>
    <row r="435" spans="1:5" x14ac:dyDescent="0.25">
      <c r="A435" s="15" t="s">
        <v>493</v>
      </c>
      <c r="B435" s="5"/>
      <c r="C435" s="14" t="s">
        <v>494</v>
      </c>
      <c r="D435" s="15" t="s">
        <v>14</v>
      </c>
      <c r="E435" s="15">
        <v>0</v>
      </c>
    </row>
    <row r="436" spans="1:5" x14ac:dyDescent="0.25">
      <c r="A436" s="13" t="s">
        <v>495</v>
      </c>
      <c r="B436" s="4"/>
      <c r="C436" s="12" t="s">
        <v>496</v>
      </c>
      <c r="D436" s="13" t="s">
        <v>14</v>
      </c>
      <c r="E436" s="13">
        <v>0</v>
      </c>
    </row>
    <row r="437" spans="1:5" x14ac:dyDescent="0.25">
      <c r="A437" s="15" t="s">
        <v>497</v>
      </c>
      <c r="B437" s="5"/>
      <c r="C437" s="14" t="s">
        <v>498</v>
      </c>
      <c r="D437" s="15" t="s">
        <v>14</v>
      </c>
      <c r="E437" s="15">
        <v>0</v>
      </c>
    </row>
    <row r="438" spans="1:5" x14ac:dyDescent="0.25">
      <c r="A438" s="13" t="s">
        <v>499</v>
      </c>
      <c r="B438" s="4"/>
      <c r="C438" s="12" t="s">
        <v>500</v>
      </c>
      <c r="D438" s="13" t="s">
        <v>14</v>
      </c>
      <c r="E438" s="13">
        <v>12.4009</v>
      </c>
    </row>
    <row r="439" spans="1:5" x14ac:dyDescent="0.25">
      <c r="A439" s="15" t="s">
        <v>501</v>
      </c>
      <c r="B439" s="5"/>
      <c r="C439" s="14" t="s">
        <v>502</v>
      </c>
      <c r="D439" s="15" t="s">
        <v>14</v>
      </c>
      <c r="E439" s="15">
        <v>3.2599999999999997E-2</v>
      </c>
    </row>
    <row r="440" spans="1:5" x14ac:dyDescent="0.25">
      <c r="A440" s="13" t="s">
        <v>503</v>
      </c>
      <c r="B440" s="4"/>
      <c r="C440" s="12" t="s">
        <v>504</v>
      </c>
      <c r="D440" s="13" t="s">
        <v>13</v>
      </c>
      <c r="E440" s="13">
        <v>0.12620000000000001</v>
      </c>
    </row>
    <row r="441" spans="1:5" x14ac:dyDescent="0.25">
      <c r="A441" s="15" t="s">
        <v>505</v>
      </c>
      <c r="B441" s="5"/>
      <c r="C441" s="14" t="s">
        <v>506</v>
      </c>
      <c r="D441" s="15" t="s">
        <v>13</v>
      </c>
      <c r="E441" s="15">
        <v>0</v>
      </c>
    </row>
    <row r="442" spans="1:5" x14ac:dyDescent="0.25">
      <c r="A442" s="13" t="s">
        <v>507</v>
      </c>
      <c r="B442" s="4"/>
      <c r="C442" s="12" t="s">
        <v>508</v>
      </c>
      <c r="D442" s="13" t="s">
        <v>13</v>
      </c>
      <c r="E442" s="13">
        <v>0</v>
      </c>
    </row>
    <row r="443" spans="1:5" x14ac:dyDescent="0.25">
      <c r="A443" s="15" t="s">
        <v>509</v>
      </c>
      <c r="B443" s="5"/>
      <c r="C443" s="14" t="s">
        <v>510</v>
      </c>
      <c r="D443" s="15" t="s">
        <v>13</v>
      </c>
      <c r="E443" s="15">
        <v>0</v>
      </c>
    </row>
    <row r="444" spans="1:5" x14ac:dyDescent="0.25">
      <c r="A444" s="13" t="s">
        <v>511</v>
      </c>
      <c r="B444" s="4"/>
      <c r="C444" s="12" t="s">
        <v>512</v>
      </c>
      <c r="D444" s="13" t="s">
        <v>14</v>
      </c>
      <c r="E444" s="13">
        <v>0</v>
      </c>
    </row>
    <row r="445" spans="1:5" x14ac:dyDescent="0.25">
      <c r="A445" s="15" t="s">
        <v>513</v>
      </c>
      <c r="B445" s="5"/>
      <c r="C445" s="14" t="s">
        <v>514</v>
      </c>
      <c r="D445" s="15" t="s">
        <v>13</v>
      </c>
      <c r="E445" s="15">
        <v>0.16889999999999999</v>
      </c>
    </row>
    <row r="446" spans="1:5" x14ac:dyDescent="0.25">
      <c r="A446" s="13" t="s">
        <v>515</v>
      </c>
      <c r="B446" s="4"/>
      <c r="C446" s="12" t="s">
        <v>516</v>
      </c>
      <c r="D446" s="13" t="s">
        <v>13</v>
      </c>
      <c r="E446" s="13">
        <v>0</v>
      </c>
    </row>
    <row r="447" spans="1:5" x14ac:dyDescent="0.25">
      <c r="A447" s="15" t="s">
        <v>517</v>
      </c>
      <c r="B447" s="5"/>
      <c r="C447" s="14" t="s">
        <v>518</v>
      </c>
      <c r="D447" s="15" t="s">
        <v>13</v>
      </c>
      <c r="E447" s="15">
        <v>0</v>
      </c>
    </row>
    <row r="448" spans="1:5" x14ac:dyDescent="0.25">
      <c r="A448" s="13" t="s">
        <v>519</v>
      </c>
      <c r="B448" s="4"/>
      <c r="C448" s="12" t="s">
        <v>520</v>
      </c>
      <c r="D448" s="13" t="s">
        <v>13</v>
      </c>
      <c r="E448" s="13">
        <v>2.75E-2</v>
      </c>
    </row>
    <row r="449" spans="1:5" x14ac:dyDescent="0.25">
      <c r="A449" s="15" t="s">
        <v>521</v>
      </c>
      <c r="B449" s="5"/>
      <c r="C449" s="14" t="s">
        <v>522</v>
      </c>
      <c r="D449" s="15" t="s">
        <v>13</v>
      </c>
      <c r="E449" s="15">
        <v>1.38E-2</v>
      </c>
    </row>
    <row r="450" spans="1:5" x14ac:dyDescent="0.25">
      <c r="A450" s="13" t="s">
        <v>523</v>
      </c>
      <c r="B450" s="4"/>
      <c r="C450" s="12" t="s">
        <v>524</v>
      </c>
      <c r="D450" s="13" t="s">
        <v>13</v>
      </c>
      <c r="E450" s="13">
        <v>5.5100000000000003E-2</v>
      </c>
    </row>
    <row r="451" spans="1:5" x14ac:dyDescent="0.25">
      <c r="A451" s="15" t="s">
        <v>525</v>
      </c>
      <c r="B451" s="5"/>
      <c r="C451" s="14" t="s">
        <v>526</v>
      </c>
      <c r="D451" s="15" t="s">
        <v>13</v>
      </c>
      <c r="E451" s="15">
        <v>0</v>
      </c>
    </row>
    <row r="452" spans="1:5" x14ac:dyDescent="0.25">
      <c r="A452" s="13" t="s">
        <v>527</v>
      </c>
      <c r="B452" s="4"/>
      <c r="C452" s="12" t="s">
        <v>528</v>
      </c>
      <c r="D452" s="13" t="s">
        <v>13</v>
      </c>
      <c r="E452" s="13">
        <v>0</v>
      </c>
    </row>
    <row r="453" spans="1:5" x14ac:dyDescent="0.25">
      <c r="A453" s="15" t="s">
        <v>529</v>
      </c>
      <c r="B453" s="5"/>
      <c r="C453" s="14" t="s">
        <v>530</v>
      </c>
      <c r="D453" s="15" t="s">
        <v>14</v>
      </c>
      <c r="E453" s="15">
        <v>0</v>
      </c>
    </row>
    <row r="454" spans="1:5" x14ac:dyDescent="0.25">
      <c r="A454" s="13" t="s">
        <v>531</v>
      </c>
      <c r="B454" s="4"/>
      <c r="C454" s="12" t="s">
        <v>532</v>
      </c>
      <c r="D454" s="13" t="s">
        <v>14</v>
      </c>
      <c r="E454" s="13">
        <v>3.0876999999999999</v>
      </c>
    </row>
    <row r="455" spans="1:5" x14ac:dyDescent="0.25">
      <c r="A455" s="15" t="s">
        <v>533</v>
      </c>
      <c r="B455" s="5"/>
      <c r="C455" s="14" t="s">
        <v>534</v>
      </c>
      <c r="D455" s="15" t="s">
        <v>14</v>
      </c>
      <c r="E455" s="15">
        <v>0</v>
      </c>
    </row>
    <row r="456" spans="1:5" x14ac:dyDescent="0.25">
      <c r="A456" s="13" t="s">
        <v>535</v>
      </c>
      <c r="B456" s="4"/>
      <c r="C456" s="12" t="s">
        <v>536</v>
      </c>
      <c r="D456" s="13" t="s">
        <v>14</v>
      </c>
      <c r="E456" s="13">
        <v>66.966800000000006</v>
      </c>
    </row>
    <row r="457" spans="1:5" x14ac:dyDescent="0.25">
      <c r="A457" s="15" t="s">
        <v>537</v>
      </c>
      <c r="B457" s="5"/>
      <c r="C457" s="14" t="s">
        <v>538</v>
      </c>
      <c r="D457" s="15" t="s">
        <v>14</v>
      </c>
      <c r="E457" s="15">
        <v>2.7627999999999999</v>
      </c>
    </row>
    <row r="458" spans="1:5" x14ac:dyDescent="0.25">
      <c r="A458" s="13" t="s">
        <v>539</v>
      </c>
      <c r="B458" s="4"/>
      <c r="C458" s="12" t="s">
        <v>540</v>
      </c>
      <c r="D458" s="13" t="s">
        <v>14</v>
      </c>
      <c r="E458" s="13">
        <v>0</v>
      </c>
    </row>
    <row r="459" spans="1:5" x14ac:dyDescent="0.25">
      <c r="A459" s="15" t="s">
        <v>541</v>
      </c>
      <c r="B459" s="5"/>
      <c r="C459" s="14" t="s">
        <v>542</v>
      </c>
      <c r="D459" s="15" t="s">
        <v>14</v>
      </c>
      <c r="E459" s="15">
        <v>19.563700000000001</v>
      </c>
    </row>
    <row r="460" spans="1:5" x14ac:dyDescent="0.25">
      <c r="A460" s="13" t="s">
        <v>543</v>
      </c>
      <c r="B460" s="4"/>
      <c r="C460" s="12" t="s">
        <v>544</v>
      </c>
      <c r="D460" s="13" t="s">
        <v>14</v>
      </c>
      <c r="E460" s="13">
        <v>2.89</v>
      </c>
    </row>
    <row r="461" spans="1:5" x14ac:dyDescent="0.25">
      <c r="A461" s="15" t="s">
        <v>545</v>
      </c>
      <c r="B461" s="5"/>
      <c r="C461" s="14" t="s">
        <v>546</v>
      </c>
      <c r="D461" s="15" t="s">
        <v>14</v>
      </c>
      <c r="E461" s="15">
        <v>12.575900000000001</v>
      </c>
    </row>
    <row r="462" spans="1:5" x14ac:dyDescent="0.25">
      <c r="A462" s="13" t="s">
        <v>547</v>
      </c>
      <c r="B462" s="4"/>
      <c r="C462" s="12" t="s">
        <v>548</v>
      </c>
      <c r="D462" s="13" t="s">
        <v>14</v>
      </c>
      <c r="E462" s="13">
        <v>18.751200000000001</v>
      </c>
    </row>
    <row r="463" spans="1:5" x14ac:dyDescent="0.25">
      <c r="A463" s="15" t="s">
        <v>549</v>
      </c>
      <c r="B463" s="5"/>
      <c r="C463" s="14" t="s">
        <v>548</v>
      </c>
      <c r="D463" s="15" t="s">
        <v>14</v>
      </c>
      <c r="E463" s="15">
        <v>0</v>
      </c>
    </row>
    <row r="464" spans="1:5" x14ac:dyDescent="0.25">
      <c r="A464" s="13" t="s">
        <v>550</v>
      </c>
      <c r="B464" s="4"/>
      <c r="C464" s="12" t="s">
        <v>551</v>
      </c>
      <c r="D464" s="13" t="s">
        <v>14</v>
      </c>
      <c r="E464" s="13">
        <v>0</v>
      </c>
    </row>
    <row r="465" spans="1:5" x14ac:dyDescent="0.25">
      <c r="A465" s="15" t="s">
        <v>552</v>
      </c>
      <c r="B465" s="5"/>
      <c r="C465" s="14" t="s">
        <v>553</v>
      </c>
      <c r="D465" s="15" t="s">
        <v>14</v>
      </c>
      <c r="E465" s="15">
        <v>10</v>
      </c>
    </row>
    <row r="466" spans="1:5" x14ac:dyDescent="0.25">
      <c r="A466" s="13" t="s">
        <v>554</v>
      </c>
      <c r="B466" s="4"/>
      <c r="C466" s="12" t="s">
        <v>555</v>
      </c>
      <c r="D466" s="13" t="s">
        <v>14</v>
      </c>
      <c r="E466" s="13">
        <v>0</v>
      </c>
    </row>
    <row r="467" spans="1:5" x14ac:dyDescent="0.25">
      <c r="A467" s="15" t="s">
        <v>556</v>
      </c>
      <c r="B467" s="5"/>
      <c r="C467" s="14" t="s">
        <v>557</v>
      </c>
      <c r="D467" s="15" t="s">
        <v>14</v>
      </c>
      <c r="E467" s="15">
        <v>0</v>
      </c>
    </row>
    <row r="468" spans="1:5" x14ac:dyDescent="0.25">
      <c r="A468" s="13" t="s">
        <v>558</v>
      </c>
      <c r="B468" s="4"/>
      <c r="C468" s="12" t="s">
        <v>559</v>
      </c>
      <c r="D468" s="13" t="s">
        <v>14</v>
      </c>
      <c r="E468" s="13">
        <v>0</v>
      </c>
    </row>
    <row r="469" spans="1:5" x14ac:dyDescent="0.25">
      <c r="A469" s="15" t="s">
        <v>560</v>
      </c>
      <c r="B469" s="5"/>
      <c r="C469" s="14" t="s">
        <v>561</v>
      </c>
      <c r="D469" s="15" t="s">
        <v>14</v>
      </c>
      <c r="E469" s="15">
        <v>0</v>
      </c>
    </row>
    <row r="470" spans="1:5" x14ac:dyDescent="0.25">
      <c r="A470" s="13" t="s">
        <v>562</v>
      </c>
      <c r="B470" s="4"/>
      <c r="C470" s="12" t="s">
        <v>563</v>
      </c>
      <c r="D470" s="13" t="s">
        <v>14</v>
      </c>
      <c r="E470" s="13">
        <v>0</v>
      </c>
    </row>
    <row r="471" spans="1:5" x14ac:dyDescent="0.25">
      <c r="A471" s="15" t="s">
        <v>564</v>
      </c>
      <c r="B471" s="5"/>
      <c r="C471" s="14" t="s">
        <v>565</v>
      </c>
      <c r="D471" s="15" t="s">
        <v>14</v>
      </c>
      <c r="E471" s="15">
        <v>0</v>
      </c>
    </row>
    <row r="472" spans="1:5" x14ac:dyDescent="0.25">
      <c r="A472" s="13" t="s">
        <v>566</v>
      </c>
      <c r="B472" s="4"/>
      <c r="C472" s="12" t="s">
        <v>567</v>
      </c>
      <c r="D472" s="13" t="s">
        <v>14</v>
      </c>
      <c r="E472" s="13">
        <v>0</v>
      </c>
    </row>
    <row r="473" spans="1:5" x14ac:dyDescent="0.25">
      <c r="A473" s="15" t="s">
        <v>568</v>
      </c>
      <c r="B473" s="5"/>
      <c r="C473" s="14" t="s">
        <v>569</v>
      </c>
      <c r="D473" s="15" t="s">
        <v>14</v>
      </c>
      <c r="E473" s="15">
        <v>0</v>
      </c>
    </row>
    <row r="474" spans="1:5" ht="30" x14ac:dyDescent="0.25">
      <c r="A474" s="13" t="s">
        <v>570</v>
      </c>
      <c r="B474" s="4"/>
      <c r="C474" s="12" t="s">
        <v>571</v>
      </c>
      <c r="D474" s="13" t="s">
        <v>14</v>
      </c>
      <c r="E474" s="13">
        <v>12.1257</v>
      </c>
    </row>
    <row r="475" spans="1:5" x14ac:dyDescent="0.25">
      <c r="A475" s="15" t="s">
        <v>572</v>
      </c>
      <c r="B475" s="5"/>
      <c r="C475" s="14" t="s">
        <v>573</v>
      </c>
      <c r="D475" s="15" t="s">
        <v>13</v>
      </c>
      <c r="E475" s="15">
        <v>0</v>
      </c>
    </row>
    <row r="476" spans="1:5" x14ac:dyDescent="0.25">
      <c r="A476" s="13" t="s">
        <v>574</v>
      </c>
      <c r="B476" s="4"/>
      <c r="C476" s="12" t="s">
        <v>575</v>
      </c>
      <c r="D476" s="13" t="s">
        <v>14</v>
      </c>
      <c r="E476" s="13">
        <v>0</v>
      </c>
    </row>
    <row r="477" spans="1:5" x14ac:dyDescent="0.25">
      <c r="A477" s="15" t="s">
        <v>576</v>
      </c>
      <c r="B477" s="5"/>
      <c r="C477" s="14" t="s">
        <v>577</v>
      </c>
      <c r="D477" s="15" t="s">
        <v>13</v>
      </c>
      <c r="E477" s="15">
        <v>0</v>
      </c>
    </row>
    <row r="478" spans="1:5" x14ac:dyDescent="0.25">
      <c r="A478" s="13" t="s">
        <v>578</v>
      </c>
      <c r="B478" s="4"/>
      <c r="C478" s="12" t="s">
        <v>579</v>
      </c>
      <c r="D478" s="13" t="s">
        <v>14</v>
      </c>
      <c r="E478" s="13">
        <v>0</v>
      </c>
    </row>
    <row r="479" spans="1:5" x14ac:dyDescent="0.25">
      <c r="A479" s="15" t="s">
        <v>580</v>
      </c>
      <c r="B479" s="5"/>
      <c r="C479" s="14" t="s">
        <v>581</v>
      </c>
      <c r="D479" s="15" t="s">
        <v>14</v>
      </c>
      <c r="E479" s="15">
        <v>0.98</v>
      </c>
    </row>
    <row r="480" spans="1:5" x14ac:dyDescent="0.25">
      <c r="A480" s="13" t="s">
        <v>582</v>
      </c>
      <c r="B480" s="4"/>
      <c r="C480" s="12" t="s">
        <v>583</v>
      </c>
      <c r="D480" s="13" t="s">
        <v>14</v>
      </c>
      <c r="E480" s="13">
        <v>0</v>
      </c>
    </row>
    <row r="481" spans="1:5" x14ac:dyDescent="0.25">
      <c r="A481" s="15" t="s">
        <v>584</v>
      </c>
      <c r="B481" s="5"/>
      <c r="C481" s="14" t="s">
        <v>585</v>
      </c>
      <c r="D481" s="15" t="s">
        <v>14</v>
      </c>
      <c r="E481" s="15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83754-FF41-4175-860B-93FACB980A3D}">
  <sheetPr codeName="Feuil2"/>
  <dimension ref="A1:E31"/>
  <sheetViews>
    <sheetView tabSelected="1" workbookViewId="0">
      <pane ySplit="1" topLeftCell="A2" activePane="bottomLeft" state="frozen"/>
      <selection pane="bottomLeft" activeCell="A2" sqref="A2:XFD2"/>
    </sheetView>
  </sheetViews>
  <sheetFormatPr baseColWidth="10" defaultRowHeight="15" x14ac:dyDescent="0.25"/>
  <cols>
    <col min="1" max="1" width="18.5703125" style="19" customWidth="1"/>
    <col min="2" max="2" width="22.7109375" customWidth="1"/>
    <col min="3" max="3" width="54.42578125" customWidth="1"/>
  </cols>
  <sheetData>
    <row r="1" spans="1:5" ht="30" x14ac:dyDescent="0.25">
      <c r="A1" s="18" t="s">
        <v>10</v>
      </c>
      <c r="B1" s="9" t="s">
        <v>586</v>
      </c>
      <c r="C1" s="10" t="s">
        <v>11</v>
      </c>
      <c r="D1" s="10" t="s">
        <v>12</v>
      </c>
      <c r="E1" s="11" t="s">
        <v>592</v>
      </c>
    </row>
    <row r="2" spans="1:5" x14ac:dyDescent="0.25">
      <c r="A2" s="19" t="s">
        <v>593</v>
      </c>
      <c r="B2">
        <f>IFERROR(VLOOKUP($A2,Tableau1[#All],2,0),"")</f>
        <v>0</v>
      </c>
      <c r="C2" t="str">
        <f>IFERROR(VLOOKUP($A2,Tableau1[#All],3,0),"")</f>
        <v>TRIPES PROVENCALE BARQ. 3KG ENV.</v>
      </c>
      <c r="D2" t="str">
        <f>IFERROR(VLOOKUP($A2,Tableau1[#All],4,0),"")</f>
        <v>Kilo</v>
      </c>
      <c r="E2">
        <f>IFERROR(VLOOKUP($A2,Tableau1[#All],5,0),"")</f>
        <v>8.7899999999999991</v>
      </c>
    </row>
    <row r="3" spans="1:5" x14ac:dyDescent="0.25">
      <c r="B3" t="str">
        <f>IFERROR(VLOOKUP(A3,'listing-produits'!A:E,2,FALSE),"")</f>
        <v/>
      </c>
      <c r="C3" t="str">
        <f>IFERROR(VLOOKUP(A3,'listing-produits'!A:E,3,FALSE),"")</f>
        <v/>
      </c>
      <c r="D3" t="str">
        <f>IFERROR(VLOOKUP(A3,'listing-produits'!A:E,4,FALSE),"")</f>
        <v/>
      </c>
      <c r="E3" t="str">
        <f>IFERROR(VLOOKUP(A3,'listing-produits'!A:E,5,FALSE),"")</f>
        <v/>
      </c>
    </row>
    <row r="4" spans="1:5" x14ac:dyDescent="0.25">
      <c r="B4" t="str">
        <f>IFERROR(VLOOKUP(A4,'listing-produits'!A:E,2,FALSE),"")</f>
        <v/>
      </c>
      <c r="C4" t="str">
        <f>IFERROR(VLOOKUP(A4,'listing-produits'!A:E,3,FALSE),"")</f>
        <v/>
      </c>
      <c r="D4" t="str">
        <f>IFERROR(VLOOKUP(A4,'listing-produits'!A:E,4,FALSE),"")</f>
        <v/>
      </c>
      <c r="E4" t="str">
        <f>IFERROR(VLOOKUP(A4,'listing-produits'!A:E,5,FALSE),"")</f>
        <v/>
      </c>
    </row>
    <row r="5" spans="1:5" x14ac:dyDescent="0.25">
      <c r="B5" t="str">
        <f>IFERROR(VLOOKUP(A5,'listing-produits'!A:E,2,FALSE),"")</f>
        <v/>
      </c>
      <c r="C5" t="str">
        <f>IFERROR(VLOOKUP(A5,'listing-produits'!A:E,3,FALSE),"")</f>
        <v/>
      </c>
      <c r="D5" t="str">
        <f>IFERROR(VLOOKUP(A5,'listing-produits'!A:E,4,FALSE),"")</f>
        <v/>
      </c>
      <c r="E5" t="str">
        <f>IFERROR(VLOOKUP(A5,'listing-produits'!A:E,5,FALSE),"")</f>
        <v/>
      </c>
    </row>
    <row r="6" spans="1:5" x14ac:dyDescent="0.25">
      <c r="B6" t="str">
        <f>IFERROR(VLOOKUP(A6,'listing-produits'!A:E,2,FALSE),"")</f>
        <v/>
      </c>
      <c r="C6" t="str">
        <f>IFERROR(VLOOKUP(A6,'listing-produits'!A:E,3,FALSE),"")</f>
        <v/>
      </c>
      <c r="D6" t="str">
        <f>IFERROR(VLOOKUP(A6,'listing-produits'!A:E,4,FALSE),"")</f>
        <v/>
      </c>
      <c r="E6" t="str">
        <f>IFERROR(VLOOKUP(A6,'listing-produits'!A:E,5,FALSE),"")</f>
        <v/>
      </c>
    </row>
    <row r="7" spans="1:5" x14ac:dyDescent="0.25">
      <c r="B7" t="str">
        <f>IFERROR(VLOOKUP(A7,'listing-produits'!A:E,2,FALSE),"")</f>
        <v/>
      </c>
      <c r="C7" t="str">
        <f>IFERROR(VLOOKUP(A7,'listing-produits'!A:E,3,FALSE),"")</f>
        <v/>
      </c>
      <c r="D7" t="str">
        <f>IFERROR(VLOOKUP(A7,'listing-produits'!A:E,4,FALSE),"")</f>
        <v/>
      </c>
      <c r="E7" t="str">
        <f>IFERROR(VLOOKUP(A7,'listing-produits'!A:E,5,FALSE),"")</f>
        <v/>
      </c>
    </row>
    <row r="8" spans="1:5" x14ac:dyDescent="0.25">
      <c r="B8" t="str">
        <f>IFERROR(VLOOKUP(A8,'listing-produits'!A:E,2,FALSE),"")</f>
        <v/>
      </c>
      <c r="C8" t="str">
        <f>IFERROR(VLOOKUP(A8,'listing-produits'!A:E,3,FALSE),"")</f>
        <v/>
      </c>
      <c r="D8" t="str">
        <f>IFERROR(VLOOKUP(A8,'listing-produits'!A:E,4,FALSE),"")</f>
        <v/>
      </c>
      <c r="E8" t="str">
        <f>IFERROR(VLOOKUP(A8,'listing-produits'!A:E,5,FALSE),"")</f>
        <v/>
      </c>
    </row>
    <row r="9" spans="1:5" x14ac:dyDescent="0.25">
      <c r="B9" t="str">
        <f>IFERROR(VLOOKUP(A9,'listing-produits'!A:E,2,FALSE),"")</f>
        <v/>
      </c>
      <c r="C9" t="str">
        <f>IFERROR(VLOOKUP(A9,'listing-produits'!A:E,3,FALSE),"")</f>
        <v/>
      </c>
      <c r="D9" t="str">
        <f>IFERROR(VLOOKUP(A9,'listing-produits'!A:E,4,FALSE),"")</f>
        <v/>
      </c>
      <c r="E9" t="str">
        <f>IFERROR(VLOOKUP(A9,'listing-produits'!A:E,5,FALSE),"")</f>
        <v/>
      </c>
    </row>
    <row r="10" spans="1:5" x14ac:dyDescent="0.25">
      <c r="B10" t="str">
        <f>IFERROR(VLOOKUP(A10,'listing-produits'!A:E,2,FALSE),"")</f>
        <v/>
      </c>
      <c r="C10" t="str">
        <f>IFERROR(VLOOKUP(A10,'listing-produits'!A:E,3,FALSE),"")</f>
        <v/>
      </c>
      <c r="D10" t="str">
        <f>IFERROR(VLOOKUP(A10,'listing-produits'!A:E,4,FALSE),"")</f>
        <v/>
      </c>
      <c r="E10" t="str">
        <f>IFERROR(VLOOKUP(A10,'listing-produits'!A:E,5,FALSE),"")</f>
        <v/>
      </c>
    </row>
    <row r="11" spans="1:5" x14ac:dyDescent="0.25">
      <c r="B11" t="str">
        <f>IFERROR(VLOOKUP(A11,'listing-produits'!A:E,2,FALSE),"")</f>
        <v/>
      </c>
      <c r="C11" t="str">
        <f>IFERROR(VLOOKUP(A11,'listing-produits'!A:E,3,FALSE),"")</f>
        <v/>
      </c>
      <c r="D11" t="str">
        <f>IFERROR(VLOOKUP(A11,'listing-produits'!A:E,4,FALSE),"")</f>
        <v/>
      </c>
      <c r="E11" t="str">
        <f>IFERROR(VLOOKUP(A11,'listing-produits'!A:E,5,FALSE),"")</f>
        <v/>
      </c>
    </row>
    <row r="12" spans="1:5" x14ac:dyDescent="0.25">
      <c r="B12" t="str">
        <f>IFERROR(VLOOKUP(A12,'listing-produits'!A:E,2,FALSE),"")</f>
        <v/>
      </c>
      <c r="C12" t="str">
        <f>IFERROR(VLOOKUP(A12,'listing-produits'!A:E,3,FALSE),"")</f>
        <v/>
      </c>
      <c r="D12" t="str">
        <f>IFERROR(VLOOKUP(A12,'listing-produits'!A:E,4,FALSE),"")</f>
        <v/>
      </c>
      <c r="E12" t="str">
        <f>IFERROR(VLOOKUP(A12,'listing-produits'!A:E,5,FALSE),"")</f>
        <v/>
      </c>
    </row>
    <row r="13" spans="1:5" x14ac:dyDescent="0.25">
      <c r="B13" t="str">
        <f>IFERROR(VLOOKUP(A13,'listing-produits'!A:E,2,FALSE),"")</f>
        <v/>
      </c>
      <c r="C13" t="str">
        <f>IFERROR(VLOOKUP(A13,'listing-produits'!A:E,3,FALSE),"")</f>
        <v/>
      </c>
      <c r="D13" t="str">
        <f>IFERROR(VLOOKUP(A13,'listing-produits'!A:E,4,FALSE),"")</f>
        <v/>
      </c>
      <c r="E13" t="str">
        <f>IFERROR(VLOOKUP(A13,'listing-produits'!A:E,5,FALSE),"")</f>
        <v/>
      </c>
    </row>
    <row r="14" spans="1:5" x14ac:dyDescent="0.25">
      <c r="B14" t="str">
        <f>IFERROR(VLOOKUP(A14,'listing-produits'!A:E,2,FALSE),"")</f>
        <v/>
      </c>
      <c r="C14" t="str">
        <f>IFERROR(VLOOKUP(A14,'listing-produits'!A:E,3,FALSE),"")</f>
        <v/>
      </c>
      <c r="D14" t="str">
        <f>IFERROR(VLOOKUP(A14,'listing-produits'!A:E,4,FALSE),"")</f>
        <v/>
      </c>
      <c r="E14" t="str">
        <f>IFERROR(VLOOKUP(A14,'listing-produits'!A:E,5,FALSE),"")</f>
        <v/>
      </c>
    </row>
    <row r="15" spans="1:5" x14ac:dyDescent="0.25">
      <c r="B15" t="str">
        <f>IFERROR(VLOOKUP(A15,'listing-produits'!A:E,2,FALSE),"")</f>
        <v/>
      </c>
      <c r="C15" t="str">
        <f>IFERROR(VLOOKUP(A15,'listing-produits'!A:E,3,FALSE),"")</f>
        <v/>
      </c>
      <c r="D15" t="str">
        <f>IFERROR(VLOOKUP(A15,'listing-produits'!A:E,4,FALSE),"")</f>
        <v/>
      </c>
      <c r="E15" t="str">
        <f>IFERROR(VLOOKUP(A15,'listing-produits'!A:E,5,FALSE),"")</f>
        <v/>
      </c>
    </row>
    <row r="16" spans="1:5" x14ac:dyDescent="0.25">
      <c r="B16" t="str">
        <f>IFERROR(VLOOKUP(A16,'listing-produits'!A:E,2,FALSE),"")</f>
        <v/>
      </c>
      <c r="C16" t="str">
        <f>IFERROR(VLOOKUP(A16,'listing-produits'!A:E,3,FALSE),"")</f>
        <v/>
      </c>
      <c r="D16" t="str">
        <f>IFERROR(VLOOKUP(A16,'listing-produits'!A:E,4,FALSE),"")</f>
        <v/>
      </c>
      <c r="E16" t="str">
        <f>IFERROR(VLOOKUP(A16,'listing-produits'!A:E,5,FALSE),"")</f>
        <v/>
      </c>
    </row>
    <row r="17" spans="2:5" x14ac:dyDescent="0.25">
      <c r="B17" t="str">
        <f>IFERROR(VLOOKUP(A17,'listing-produits'!A:E,2,FALSE),"")</f>
        <v/>
      </c>
      <c r="C17" t="str">
        <f>IFERROR(VLOOKUP(A17,'listing-produits'!A:E,3,FALSE),"")</f>
        <v/>
      </c>
      <c r="D17" t="str">
        <f>IFERROR(VLOOKUP(A17,'listing-produits'!A:E,4,FALSE),"")</f>
        <v/>
      </c>
      <c r="E17" t="str">
        <f>IFERROR(VLOOKUP(A17,'listing-produits'!A:E,5,FALSE),"")</f>
        <v/>
      </c>
    </row>
    <row r="18" spans="2:5" x14ac:dyDescent="0.25">
      <c r="B18" t="str">
        <f>IFERROR(VLOOKUP(A18,'listing-produits'!A:E,2,FALSE),"")</f>
        <v/>
      </c>
      <c r="C18" t="str">
        <f>IFERROR(VLOOKUP(A18,'listing-produits'!A:E,3,FALSE),"")</f>
        <v/>
      </c>
      <c r="D18" t="str">
        <f>IFERROR(VLOOKUP(A18,'listing-produits'!A:E,4,FALSE),"")</f>
        <v/>
      </c>
      <c r="E18" t="str">
        <f>IFERROR(VLOOKUP(A18,'listing-produits'!A:E,5,FALSE),"")</f>
        <v/>
      </c>
    </row>
    <row r="19" spans="2:5" x14ac:dyDescent="0.25">
      <c r="B19" t="str">
        <f>IFERROR(VLOOKUP(A19,'listing-produits'!A:E,2,FALSE),"")</f>
        <v/>
      </c>
      <c r="C19" t="str">
        <f>IFERROR(VLOOKUP(A19,'listing-produits'!A:E,3,FALSE),"")</f>
        <v/>
      </c>
      <c r="D19" t="str">
        <f>IFERROR(VLOOKUP(A19,'listing-produits'!A:E,4,FALSE),"")</f>
        <v/>
      </c>
      <c r="E19" t="str">
        <f>IFERROR(VLOOKUP(A19,'listing-produits'!A:E,5,FALSE),"")</f>
        <v/>
      </c>
    </row>
    <row r="20" spans="2:5" x14ac:dyDescent="0.25">
      <c r="B20" t="str">
        <f>IFERROR(VLOOKUP(A20,'listing-produits'!A:E,2,FALSE),"")</f>
        <v/>
      </c>
      <c r="C20" t="str">
        <f>IFERROR(VLOOKUP(A20,'listing-produits'!A:E,3,FALSE),"")</f>
        <v/>
      </c>
      <c r="D20" t="str">
        <f>IFERROR(VLOOKUP(A20,'listing-produits'!A:E,4,FALSE),"")</f>
        <v/>
      </c>
      <c r="E20" t="str">
        <f>IFERROR(VLOOKUP(A20,'listing-produits'!A:E,5,FALSE),"")</f>
        <v/>
      </c>
    </row>
    <row r="21" spans="2:5" x14ac:dyDescent="0.25">
      <c r="B21" t="str">
        <f>IFERROR(VLOOKUP(A21,'listing-produits'!A:E,2,FALSE),"")</f>
        <v/>
      </c>
      <c r="C21" t="str">
        <f>IFERROR(VLOOKUP(A21,'listing-produits'!A:E,3,FALSE),"")</f>
        <v/>
      </c>
      <c r="D21" t="str">
        <f>IFERROR(VLOOKUP(A21,'listing-produits'!A:E,4,FALSE),"")</f>
        <v/>
      </c>
      <c r="E21" t="str">
        <f>IFERROR(VLOOKUP(A21,'listing-produits'!A:E,5,FALSE),"")</f>
        <v/>
      </c>
    </row>
    <row r="22" spans="2:5" x14ac:dyDescent="0.25">
      <c r="B22" t="str">
        <f>IFERROR(VLOOKUP(A22,'listing-produits'!A:E,2,FALSE),"")</f>
        <v/>
      </c>
      <c r="C22" t="str">
        <f>IFERROR(VLOOKUP(A22,'listing-produits'!A:E,3,FALSE),"")</f>
        <v/>
      </c>
      <c r="D22" t="str">
        <f>IFERROR(VLOOKUP(A22,'listing-produits'!A:E,4,FALSE),"")</f>
        <v/>
      </c>
      <c r="E22" t="str">
        <f>IFERROR(VLOOKUP(A22,'listing-produits'!A:E,5,FALSE),"")</f>
        <v/>
      </c>
    </row>
    <row r="23" spans="2:5" x14ac:dyDescent="0.25">
      <c r="B23" t="str">
        <f>IFERROR(VLOOKUP(A23,'listing-produits'!A:E,2,FALSE),"")</f>
        <v/>
      </c>
      <c r="C23" t="str">
        <f>IFERROR(VLOOKUP(A23,'listing-produits'!A:E,3,FALSE),"")</f>
        <v/>
      </c>
      <c r="D23" t="str">
        <f>IFERROR(VLOOKUP(A23,'listing-produits'!A:E,4,FALSE),"")</f>
        <v/>
      </c>
      <c r="E23" t="str">
        <f>IFERROR(VLOOKUP(A23,'listing-produits'!A:E,5,FALSE),"")</f>
        <v/>
      </c>
    </row>
    <row r="24" spans="2:5" x14ac:dyDescent="0.25">
      <c r="B24" t="str">
        <f>IFERROR(VLOOKUP(A24,'listing-produits'!A:E,2,FALSE),"")</f>
        <v/>
      </c>
      <c r="C24" t="str">
        <f>IFERROR(VLOOKUP(A24,'listing-produits'!A:E,3,FALSE),"")</f>
        <v/>
      </c>
      <c r="D24" t="str">
        <f>IFERROR(VLOOKUP(A24,'listing-produits'!A:E,4,FALSE),"")</f>
        <v/>
      </c>
      <c r="E24" t="str">
        <f>IFERROR(VLOOKUP(A24,'listing-produits'!A:E,5,FALSE),"")</f>
        <v/>
      </c>
    </row>
    <row r="25" spans="2:5" x14ac:dyDescent="0.25">
      <c r="B25" t="str">
        <f>IFERROR(VLOOKUP(A25,'listing-produits'!A:E,2,FALSE),"")</f>
        <v/>
      </c>
      <c r="C25" t="str">
        <f>IFERROR(VLOOKUP(A25,'listing-produits'!A:E,3,FALSE),"")</f>
        <v/>
      </c>
      <c r="D25" t="str">
        <f>IFERROR(VLOOKUP(A25,'listing-produits'!A:E,4,FALSE),"")</f>
        <v/>
      </c>
      <c r="E25" t="str">
        <f>IFERROR(VLOOKUP(A25,'listing-produits'!A:E,5,FALSE),"")</f>
        <v/>
      </c>
    </row>
    <row r="26" spans="2:5" x14ac:dyDescent="0.25">
      <c r="B26" t="str">
        <f>IFERROR(VLOOKUP(A26,'listing-produits'!A:E,2,FALSE),"")</f>
        <v/>
      </c>
      <c r="C26" t="str">
        <f>IFERROR(VLOOKUP(A26,'listing-produits'!A:E,3,FALSE),"")</f>
        <v/>
      </c>
      <c r="D26" t="str">
        <f>IFERROR(VLOOKUP(A26,'listing-produits'!A:E,4,FALSE),"")</f>
        <v/>
      </c>
      <c r="E26" t="str">
        <f>IFERROR(VLOOKUP(A26,'listing-produits'!A:E,5,FALSE),"")</f>
        <v/>
      </c>
    </row>
    <row r="27" spans="2:5" x14ac:dyDescent="0.25">
      <c r="B27" t="str">
        <f>IFERROR(VLOOKUP(A27,'listing-produits'!A:E,2,FALSE),"")</f>
        <v/>
      </c>
      <c r="C27" t="str">
        <f>IFERROR(VLOOKUP(A27,'listing-produits'!A:E,3,FALSE),"")</f>
        <v/>
      </c>
      <c r="D27" t="str">
        <f>IFERROR(VLOOKUP(A27,'listing-produits'!A:E,4,FALSE),"")</f>
        <v/>
      </c>
      <c r="E27" t="str">
        <f>IFERROR(VLOOKUP(A27,'listing-produits'!A:E,5,FALSE),"")</f>
        <v/>
      </c>
    </row>
    <row r="28" spans="2:5" x14ac:dyDescent="0.25">
      <c r="B28" t="str">
        <f>IFERROR(VLOOKUP(A28,'listing-produits'!A:E,2,FALSE),"")</f>
        <v/>
      </c>
      <c r="C28" t="str">
        <f>IFERROR(VLOOKUP(A28,'listing-produits'!A:E,3,FALSE),"")</f>
        <v/>
      </c>
      <c r="D28" t="str">
        <f>IFERROR(VLOOKUP(A28,'listing-produits'!A:E,4,FALSE),"")</f>
        <v/>
      </c>
      <c r="E28" t="str">
        <f>IFERROR(VLOOKUP(A28,'listing-produits'!A:E,5,FALSE),"")</f>
        <v/>
      </c>
    </row>
    <row r="29" spans="2:5" x14ac:dyDescent="0.25">
      <c r="B29" t="str">
        <f>IFERROR(VLOOKUP(A29,'listing-produits'!A:E,2,FALSE),"")</f>
        <v/>
      </c>
      <c r="C29" t="str">
        <f>IFERROR(VLOOKUP(A29,'listing-produits'!A:E,3,FALSE),"")</f>
        <v/>
      </c>
      <c r="D29" t="str">
        <f>IFERROR(VLOOKUP(A29,'listing-produits'!A:E,4,FALSE),"")</f>
        <v/>
      </c>
      <c r="E29" t="str">
        <f>IFERROR(VLOOKUP(A29,'listing-produits'!A:E,5,FALSE),"")</f>
        <v/>
      </c>
    </row>
    <row r="30" spans="2:5" x14ac:dyDescent="0.25">
      <c r="B30" t="str">
        <f>IFERROR(VLOOKUP(A30,'listing-produits'!A:E,2,FALSE),"")</f>
        <v/>
      </c>
      <c r="C30" t="str">
        <f>IFERROR(VLOOKUP(A30,'listing-produits'!A:E,3,FALSE),"")</f>
        <v/>
      </c>
      <c r="D30" t="str">
        <f>IFERROR(VLOOKUP(A30,'listing-produits'!A:E,4,FALSE),"")</f>
        <v/>
      </c>
      <c r="E30" t="str">
        <f>IFERROR(VLOOKUP(A30,'listing-produits'!A:E,5,FALSE),"")</f>
        <v/>
      </c>
    </row>
    <row r="31" spans="2:5" x14ac:dyDescent="0.25">
      <c r="E31" t="str">
        <f>IFERROR(VLOOKUP(A31,'listing-produits'!A:E,5,FALSE),"")</f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C7D1BDF9-FC94-459C-88E0-03BD14577E99}">
  <ds:schemaRefs/>
</ds:datastoreItem>
</file>

<file path=customXml/itemProps2.xml><?xml version="1.0" encoding="utf-8"?>
<ds:datastoreItem xmlns:ds="http://schemas.openxmlformats.org/officeDocument/2006/customXml" ds:itemID="{94047891-A41E-4322-8949-449D8C202A25}">
  <ds:schemaRefs/>
</ds:datastoreItem>
</file>

<file path=customXml/itemProps3.xml><?xml version="1.0" encoding="utf-8"?>
<ds:datastoreItem xmlns:ds="http://schemas.openxmlformats.org/officeDocument/2006/customXml" ds:itemID="{3ECFD356-A56F-46BB-9EE0-F7377AC115FB}">
  <ds:schemaRefs/>
</ds:datastoreItem>
</file>

<file path=customXml/itemProps4.xml><?xml version="1.0" encoding="utf-8"?>
<ds:datastoreItem xmlns:ds="http://schemas.openxmlformats.org/officeDocument/2006/customXml" ds:itemID="{C8D9F37D-E80F-4B6E-BD06-BB3173513135}">
  <ds:schemaRefs/>
</ds:datastoreItem>
</file>

<file path=customXml/itemProps5.xml><?xml version="1.0" encoding="utf-8"?>
<ds:datastoreItem xmlns:ds="http://schemas.openxmlformats.org/officeDocument/2006/customXml" ds:itemID="{231C7B1B-C987-41F3-B351-54DB032D2824}">
  <ds:schemaRefs/>
</ds:datastoreItem>
</file>

<file path=customXml/itemProps6.xml><?xml version="1.0" encoding="utf-8"?>
<ds:datastoreItem xmlns:ds="http://schemas.openxmlformats.org/officeDocument/2006/customXml" ds:itemID="{C1F3C48E-5FEB-4929-9B51-2C282FD9132C}">
  <ds:schemaRefs/>
</ds:datastoreItem>
</file>

<file path=customXml/itemProps7.xml><?xml version="1.0" encoding="utf-8"?>
<ds:datastoreItem xmlns:ds="http://schemas.openxmlformats.org/officeDocument/2006/customXml" ds:itemID="{327D1D4B-1584-4E89-BB53-DEFEDA1F4307}">
  <ds:schemaRefs/>
</ds:datastoreItem>
</file>

<file path=customXml/itemProps8.xml><?xml version="1.0" encoding="utf-8"?>
<ds:datastoreItem xmlns:ds="http://schemas.openxmlformats.org/officeDocument/2006/customXml" ds:itemID="{8200942F-7647-4C02-8121-0A46DD3112CB}">
  <ds:schemaRefs/>
</ds:datastoreItem>
</file>

<file path=customXml/itemProps9.xml><?xml version="1.0" encoding="utf-8"?>
<ds:datastoreItem xmlns:ds="http://schemas.openxmlformats.org/officeDocument/2006/customXml" ds:itemID="{3A605388-A9B5-4E94-BE12-DAE0D63FBBA2}">
  <ds:schemaRefs/>
</ds:datastoreItem>
</file>

<file path=customXml/itemProps10.xml><?xml version="1.0" encoding="utf-8"?>
<ds:datastoreItem xmlns:ds="http://schemas.openxmlformats.org/officeDocument/2006/customXml" ds:itemID="{4FD9EB17-2BE8-4BA1-ADC9-141B867838ED}">
  <ds:schemaRefs/>
</ds:datastoreItem>
</file>

<file path=customXml/itemProps11.xml><?xml version="1.0" encoding="utf-8"?>
<ds:datastoreItem xmlns:ds="http://schemas.openxmlformats.org/officeDocument/2006/customXml" ds:itemID="{E84B8254-EB54-454E-B227-0483A7AFC6F9}">
  <ds:schemaRefs/>
</ds:datastoreItem>
</file>

<file path=customXml/itemProps12.xml><?xml version="1.0" encoding="utf-8"?>
<ds:datastoreItem xmlns:ds="http://schemas.openxmlformats.org/officeDocument/2006/customXml" ds:itemID="{ABB1C847-71F5-4609-906F-971E20789269}">
  <ds:schemaRefs/>
</ds:datastoreItem>
</file>

<file path=customXml/itemProps13.xml><?xml version="1.0" encoding="utf-8"?>
<ds:datastoreItem xmlns:ds="http://schemas.openxmlformats.org/officeDocument/2006/customXml" ds:itemID="{59E06C9E-5CA8-4785-9C2E-292D022BA36E}">
  <ds:schemaRefs/>
</ds:datastoreItem>
</file>

<file path=customXml/itemProps14.xml><?xml version="1.0" encoding="utf-8"?>
<ds:datastoreItem xmlns:ds="http://schemas.openxmlformats.org/officeDocument/2006/customXml" ds:itemID="{26A35427-0D2B-4091-B81C-594A24E6DC4C}">
  <ds:schemaRefs/>
</ds:datastoreItem>
</file>

<file path=customXml/itemProps15.xml><?xml version="1.0" encoding="utf-8"?>
<ds:datastoreItem xmlns:ds="http://schemas.openxmlformats.org/officeDocument/2006/customXml" ds:itemID="{E296B237-DBE7-4E23-813E-8B80BDFBE60E}">
  <ds:schemaRefs/>
</ds:datastoreItem>
</file>

<file path=customXml/itemProps16.xml><?xml version="1.0" encoding="utf-8"?>
<ds:datastoreItem xmlns:ds="http://schemas.openxmlformats.org/officeDocument/2006/customXml" ds:itemID="{CC8FC0ED-2CD1-45C3-BAA3-8BBFD25DFA3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listing-produits</vt:lpstr>
      <vt:lpstr>POUR CLIENT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Hermet</dc:creator>
  <cp:lastModifiedBy>francis henniaux</cp:lastModifiedBy>
  <cp:lastPrinted>2025-09-10T06:15:12Z</cp:lastPrinted>
  <dcterms:created xsi:type="dcterms:W3CDTF">2025-09-09T14:25:30Z</dcterms:created>
  <dcterms:modified xsi:type="dcterms:W3CDTF">2025-09-13T07:49:50Z</dcterms:modified>
</cp:coreProperties>
</file>