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ADE94F76-EF6C-4D28-A174-3008CD4FBA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3" l="1"/>
  <c r="D9" i="3"/>
  <c r="D8" i="3"/>
  <c r="D7" i="3"/>
  <c r="D6" i="3"/>
  <c r="J18" i="1"/>
  <c r="J19" i="1"/>
  <c r="J20" i="1"/>
  <c r="J21" i="1"/>
  <c r="D10" i="1"/>
  <c r="D9" i="1"/>
  <c r="D8" i="1"/>
  <c r="D7" i="1"/>
  <c r="D6" i="1"/>
  <c r="I16" i="1" l="1"/>
  <c r="I18" i="1" s="1"/>
  <c r="N4" i="2"/>
  <c r="I21" i="1" l="1"/>
  <c r="I17" i="1"/>
  <c r="I20" i="1"/>
  <c r="I19" i="1"/>
  <c r="C7" i="3"/>
  <c r="C12" i="3" s="1"/>
  <c r="D15" i="3" s="1"/>
  <c r="I16" i="3"/>
  <c r="I18" i="3" s="1"/>
  <c r="C6" i="3"/>
  <c r="C5" i="3"/>
  <c r="B1" i="3"/>
  <c r="G4" i="1"/>
  <c r="H5" i="1" s="1"/>
  <c r="I5" i="1" s="1"/>
  <c r="J5" i="1" s="1"/>
  <c r="K5" i="1" s="1"/>
  <c r="D5" i="3" l="1"/>
  <c r="G4" i="3" s="1"/>
  <c r="D12" i="3"/>
  <c r="G3" i="3"/>
  <c r="G6" i="3"/>
  <c r="H6" i="1"/>
  <c r="I17" i="3"/>
  <c r="C7" i="1"/>
  <c r="C6" i="1"/>
  <c r="C5" i="1"/>
  <c r="D5" i="1" s="1"/>
  <c r="H7" i="3" l="1"/>
  <c r="I7" i="3" s="1"/>
  <c r="J7" i="3" s="1"/>
  <c r="K7" i="3" s="1"/>
  <c r="H8" i="3"/>
  <c r="I8" i="3" s="1"/>
  <c r="J17" i="1"/>
  <c r="C12" i="1"/>
  <c r="D12" i="1"/>
</calcChain>
</file>

<file path=xl/sharedStrings.xml><?xml version="1.0" encoding="utf-8"?>
<sst xmlns="http://schemas.openxmlformats.org/spreadsheetml/2006/main" count="55" uniqueCount="24">
  <si>
    <t>Taux horaire normal (THN)</t>
  </si>
  <si>
    <t>Multiplicateur</t>
  </si>
  <si>
    <t xml:space="preserve">Nbre d'heures normales  </t>
  </si>
  <si>
    <t>Nbre d'heures en journée (dimanche et jours fériés)</t>
  </si>
  <si>
    <t>Nbre d'heures de nuit (dimanche et jours fériés)</t>
  </si>
  <si>
    <t>Montant</t>
  </si>
  <si>
    <t>TOTAL</t>
  </si>
  <si>
    <t>Nombre d'heures</t>
  </si>
  <si>
    <t>Nbre d'heures  Supplementaires &gt;40 et &lt;49</t>
  </si>
  <si>
    <t>Nbre d'heures  Supplementaires &gt;48</t>
  </si>
  <si>
    <r>
      <t>Nombre d'heures effectuées les jours ouvrés (</t>
    </r>
    <r>
      <rPr>
        <sz val="14"/>
        <color rgb="FF0000FF"/>
        <rFont val="Calibri"/>
        <family val="2"/>
        <scheme val="minor"/>
      </rPr>
      <t>hors heures de nuit et</t>
    </r>
    <r>
      <rPr>
        <sz val="11"/>
        <color rgb="FF0000FF"/>
        <rFont val="Calibri"/>
        <family val="2"/>
        <scheme val="minor"/>
      </rPr>
      <t xml:space="preserve"> </t>
    </r>
    <r>
      <rPr>
        <sz val="14"/>
        <color rgb="FF0000FF"/>
        <rFont val="Calibri"/>
        <family val="2"/>
        <scheme val="minor"/>
      </rPr>
      <t>hors dimanches et fériés</t>
    </r>
    <r>
      <rPr>
        <sz val="11"/>
        <color rgb="FF0000FF"/>
        <rFont val="Calibri"/>
        <family val="2"/>
        <scheme val="minor"/>
      </rPr>
      <t>)</t>
    </r>
  </si>
  <si>
    <t>Nbre d'heures de nuit (jours ouvrés)</t>
  </si>
  <si>
    <t xml:space="preserve">Taux Horaire Normal </t>
  </si>
  <si>
    <t xml:space="preserve">Taux Horaire majoré </t>
  </si>
  <si>
    <t>MONTANT F cfa</t>
  </si>
  <si>
    <t>Taux horaire supplementaire THS = THN *1,2</t>
  </si>
  <si>
    <t>Taux horaire supplementaire THS = THN *1,4</t>
  </si>
  <si>
    <t>Taux horaire supplementaire THS = THN *1,65</t>
  </si>
  <si>
    <t>Taux horaire supplementaire THS = THN *2</t>
  </si>
  <si>
    <t xml:space="preserve">Salaire de Base </t>
  </si>
  <si>
    <t>Nbre d'heures  Supplementaires &gt;35 et &lt;44</t>
  </si>
  <si>
    <t>Nbre d'heures  Supplementaires &gt;52</t>
  </si>
  <si>
    <t xml:space="preserve">UN EXEMPLE QUE J ai TROUVER SUR LE NET </t>
  </si>
  <si>
    <t>Taux horaire normal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</si>
</sst>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rgb="FF0000FF"/>
      <name val="Calibri"/>
      <family val="2"/>
      <scheme val="minor"/>
    </font>
    <font>
      <i/>
      <sz val="11"/>
      <name val="Arial Narrow"/>
      <family val="2"/>
    </font>
    <font>
      <b/>
      <sz val="11"/>
      <color theme="1"/>
      <name val="Agency FB"/>
      <family val="2"/>
    </font>
    <font>
      <b/>
      <sz val="11"/>
      <name val="Agency FB"/>
      <family val="2"/>
    </font>
    <font>
      <b/>
      <sz val="14"/>
      <color rgb="FFFF0000"/>
      <name val="Calibri"/>
      <family val="2"/>
      <scheme val="minor"/>
    </font>
    <font>
      <b/>
      <i/>
      <sz val="11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rgb="FFFF0000"/>
      </right>
      <top style="thin">
        <color indexed="64"/>
      </top>
      <bottom style="dotted">
        <color rgb="FFFF0000"/>
      </bottom>
      <diagonal/>
    </border>
    <border>
      <left style="dotted">
        <color rgb="FFFF0000"/>
      </left>
      <right style="dotted">
        <color rgb="FFFF0000"/>
      </right>
      <top style="thin">
        <color indexed="64"/>
      </top>
      <bottom style="dotted">
        <color rgb="FFFF0000"/>
      </bottom>
      <diagonal/>
    </border>
    <border>
      <left style="dotted">
        <color rgb="FFFF0000"/>
      </left>
      <right style="thin">
        <color indexed="64"/>
      </right>
      <top style="thin">
        <color indexed="64"/>
      </top>
      <bottom style="dotted">
        <color rgb="FFFF0000"/>
      </bottom>
      <diagonal/>
    </border>
    <border>
      <left style="thin">
        <color indexed="64"/>
      </left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dotted">
        <color rgb="FFFF0000"/>
      </left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dotted">
        <color rgb="FFFF0000"/>
      </left>
      <right style="thin">
        <color indexed="64"/>
      </right>
      <top style="dotted">
        <color rgb="FFFF0000"/>
      </top>
      <bottom style="dotted">
        <color rgb="FFFF0000"/>
      </bottom>
      <diagonal/>
    </border>
    <border>
      <left style="thin">
        <color indexed="64"/>
      </left>
      <right style="dotted">
        <color rgb="FFFF0000"/>
      </right>
      <top style="dotted">
        <color rgb="FFFF0000"/>
      </top>
      <bottom style="thin">
        <color indexed="64"/>
      </bottom>
      <diagonal/>
    </border>
    <border>
      <left style="dotted">
        <color rgb="FFFF0000"/>
      </left>
      <right style="dotted">
        <color rgb="FFFF0000"/>
      </right>
      <top style="dotted">
        <color rgb="FFFF0000"/>
      </top>
      <bottom style="dashed">
        <color rgb="FFFF0000"/>
      </bottom>
      <diagonal/>
    </border>
    <border>
      <left style="dotted">
        <color rgb="FFFF0000"/>
      </left>
      <right style="thin">
        <color indexed="64"/>
      </right>
      <top style="dotted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3" fillId="0" borderId="1" xfId="1" applyFont="1" applyBorder="1"/>
    <xf numFmtId="0" fontId="2" fillId="3" borderId="1" xfId="0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9" fillId="3" borderId="0" xfId="1" applyFont="1" applyFill="1" applyAlignment="1">
      <alignment horizontal="center"/>
    </xf>
    <xf numFmtId="0" fontId="9" fillId="3" borderId="13" xfId="1" applyFont="1" applyFill="1" applyBorder="1" applyAlignment="1">
      <alignment horizontal="center"/>
    </xf>
    <xf numFmtId="0" fontId="9" fillId="3" borderId="0" xfId="1" applyFont="1" applyFill="1" applyBorder="1" applyAlignment="1">
      <alignment horizontal="center"/>
    </xf>
    <xf numFmtId="0" fontId="9" fillId="0" borderId="0" xfId="1" applyFont="1"/>
    <xf numFmtId="0" fontId="9" fillId="0" borderId="0" xfId="1" applyFont="1" applyAlignment="1">
      <alignment horizontal="center"/>
    </xf>
    <xf numFmtId="9" fontId="9" fillId="0" borderId="14" xfId="1" applyNumberFormat="1" applyFont="1" applyBorder="1" applyAlignment="1">
      <alignment horizontal="center" vertical="center"/>
    </xf>
    <xf numFmtId="9" fontId="9" fillId="0" borderId="15" xfId="1" applyNumberFormat="1" applyFont="1" applyBorder="1" applyAlignment="1">
      <alignment horizontal="center" vertical="center"/>
    </xf>
    <xf numFmtId="9" fontId="9" fillId="0" borderId="16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3" borderId="1" xfId="1" applyFont="1" applyFill="1" applyBorder="1" applyAlignment="1">
      <alignment horizontal="center"/>
    </xf>
    <xf numFmtId="0" fontId="9" fillId="7" borderId="0" xfId="1" applyFont="1" applyFill="1" applyAlignment="1">
      <alignment horizontal="center"/>
    </xf>
    <xf numFmtId="0" fontId="9" fillId="0" borderId="17" xfId="1" applyFont="1" applyBorder="1" applyAlignment="1">
      <alignment horizontal="center" vertical="center"/>
    </xf>
    <xf numFmtId="164" fontId="9" fillId="8" borderId="0" xfId="1" applyNumberFormat="1" applyFont="1" applyFill="1" applyAlignment="1">
      <alignment horizontal="center"/>
    </xf>
    <xf numFmtId="164" fontId="9" fillId="8" borderId="18" xfId="1" applyNumberFormat="1" applyFont="1" applyFill="1" applyBorder="1" applyAlignment="1">
      <alignment horizontal="center"/>
    </xf>
    <xf numFmtId="164" fontId="9" fillId="9" borderId="15" xfId="1" applyNumberFormat="1" applyFont="1" applyFill="1" applyBorder="1" applyAlignment="1">
      <alignment horizontal="center" vertical="center"/>
    </xf>
    <xf numFmtId="164" fontId="9" fillId="0" borderId="18" xfId="1" applyNumberFormat="1" applyFont="1" applyBorder="1" applyAlignment="1">
      <alignment horizontal="center"/>
    </xf>
    <xf numFmtId="164" fontId="9" fillId="9" borderId="17" xfId="1" applyNumberFormat="1" applyFont="1" applyFill="1" applyBorder="1" applyAlignment="1">
      <alignment horizontal="center" vertical="center"/>
    </xf>
    <xf numFmtId="164" fontId="9" fillId="9" borderId="20" xfId="1" applyNumberFormat="1" applyFont="1" applyFill="1" applyBorder="1" applyAlignment="1">
      <alignment horizontal="center" vertical="center"/>
    </xf>
    <xf numFmtId="9" fontId="3" fillId="4" borderId="5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1" fillId="10" borderId="0" xfId="0" applyFont="1" applyFill="1" applyAlignment="1">
      <alignment horizontal="center"/>
    </xf>
    <xf numFmtId="9" fontId="9" fillId="9" borderId="17" xfId="1" applyNumberFormat="1" applyFont="1" applyFill="1" applyBorder="1" applyAlignment="1">
      <alignment horizontal="center" vertical="center"/>
    </xf>
    <xf numFmtId="9" fontId="9" fillId="9" borderId="15" xfId="1" applyNumberFormat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164" fontId="3" fillId="4" borderId="7" xfId="1" applyNumberFormat="1" applyFont="1" applyFill="1" applyBorder="1" applyAlignment="1">
      <alignment horizontal="center" vertical="center"/>
    </xf>
    <xf numFmtId="164" fontId="3" fillId="4" borderId="10" xfId="1" applyNumberFormat="1" applyFont="1" applyFill="1" applyBorder="1" applyAlignment="1">
      <alignment horizontal="center" vertical="center"/>
    </xf>
    <xf numFmtId="164" fontId="9" fillId="3" borderId="19" xfId="1" applyNumberFormat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right"/>
    </xf>
    <xf numFmtId="0" fontId="4" fillId="5" borderId="12" xfId="1" applyFont="1" applyFill="1" applyBorder="1" applyAlignment="1">
      <alignment horizontal="right"/>
    </xf>
    <xf numFmtId="164" fontId="9" fillId="3" borderId="15" xfId="1" applyNumberFormat="1" applyFont="1" applyFill="1" applyBorder="1" applyAlignment="1">
      <alignment horizontal="center" vertical="center"/>
    </xf>
    <xf numFmtId="164" fontId="9" fillId="3" borderId="17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2" fontId="3" fillId="2" borderId="4" xfId="1" applyNumberFormat="1" applyFont="1" applyFill="1" applyBorder="1" applyAlignment="1">
      <alignment horizontal="center" vertical="center"/>
    </xf>
    <xf numFmtId="2" fontId="13" fillId="4" borderId="7" xfId="1" applyNumberFormat="1" applyFont="1" applyFill="1" applyBorder="1" applyAlignment="1">
      <alignment horizontal="center" vertical="center"/>
    </xf>
    <xf numFmtId="2" fontId="3" fillId="4" borderId="7" xfId="1" applyNumberFormat="1" applyFont="1" applyFill="1" applyBorder="1" applyAlignment="1">
      <alignment horizontal="center" vertical="center"/>
    </xf>
    <xf numFmtId="2" fontId="3" fillId="4" borderId="10" xfId="1" applyNumberFormat="1" applyFont="1" applyFill="1" applyBorder="1" applyAlignment="1">
      <alignment horizontal="center" vertical="center"/>
    </xf>
    <xf numFmtId="2" fontId="13" fillId="0" borderId="0" xfId="1" applyNumberFormat="1" applyFont="1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142874</xdr:colOff>
      <xdr:row>0</xdr:row>
      <xdr:rowOff>0</xdr:rowOff>
    </xdr:from>
    <xdr:to>
      <xdr:col>7</xdr:col>
      <xdr:colOff>542924</xdr:colOff>
      <xdr:row>2</xdr:row>
      <xdr:rowOff>209550</xdr:rowOff>
    </xdr:to>
    <xdr:sp macro="" textlink="">
      <xdr:nvSpPr>
        <xdr:cNvPr id="2" name="Bulle rond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943724" y="0"/>
          <a:ext cx="3381375" cy="1152525"/>
        </a:xfrm>
        <a:prstGeom prst="wedgeEllipseCallout">
          <a:avLst>
            <a:gd name="adj1" fmla="val -82224"/>
            <a:gd name="adj2" fmla="val 10264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 b="0">
              <a:solidFill>
                <a:srgbClr val="FF0000"/>
              </a:solidFill>
            </a:rPr>
            <a:t>Ma question</a:t>
          </a:r>
          <a:r>
            <a:rPr lang="en-US" sz="1400" b="0" baseline="0">
              <a:solidFill>
                <a:srgbClr val="FF0000"/>
              </a:solidFill>
            </a:rPr>
            <a:t> : est-ce que les majorations sont prises en compte ?</a:t>
          </a:r>
          <a:endParaRPr lang="en-US" sz="1400" b="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752475</xdr:colOff>
      <xdr:row>7</xdr:row>
      <xdr:rowOff>28575</xdr:rowOff>
    </xdr:from>
    <xdr:to>
      <xdr:col>12</xdr:col>
      <xdr:colOff>600075</xdr:colOff>
      <xdr:row>15</xdr:row>
      <xdr:rowOff>161925</xdr:rowOff>
    </xdr:to>
    <xdr:sp macro="" textlink="">
      <xdr:nvSpPr>
        <xdr:cNvPr id="3" name="Bulle rond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611100" y="2143125"/>
          <a:ext cx="2133600" cy="1828800"/>
        </a:xfrm>
        <a:prstGeom prst="wedgeEllipseCallout">
          <a:avLst>
            <a:gd name="adj1" fmla="val -58268"/>
            <a:gd name="adj2" fmla="val 5621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Svp ! viser</a:t>
          </a:r>
          <a:r>
            <a:rPr lang="en-US" sz="1100" baseline="0"/>
            <a:t> un peu ici vous remarquerez que les 8 heures majorées donnent un resultat differént à 20%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2</xdr:row>
      <xdr:rowOff>76200</xdr:rowOff>
    </xdr:from>
    <xdr:to>
      <xdr:col>10</xdr:col>
      <xdr:colOff>296356</xdr:colOff>
      <xdr:row>22</xdr:row>
      <xdr:rowOff>76732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457200"/>
          <a:ext cx="7744906" cy="3810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B1" workbookViewId="0">
      <selection activeCell="G8" sqref="G8"/>
    </sheetView>
  </sheetViews>
  <sheetFormatPr baseColWidth="10" defaultRowHeight="15" x14ac:dyDescent="0.25"/>
  <cols>
    <col min="1" max="1" width="42.7109375" bestFit="1" customWidth="1"/>
    <col min="2" max="2" width="13.7109375" bestFit="1" customWidth="1"/>
    <col min="3" max="3" width="16.7109375" bestFit="1" customWidth="1"/>
    <col min="4" max="4" width="17.42578125" customWidth="1"/>
    <col min="6" max="6" width="24.7109375" customWidth="1"/>
    <col min="7" max="7" width="20" customWidth="1"/>
    <col min="8" max="8" width="12.140625" customWidth="1"/>
    <col min="9" max="9" width="19" customWidth="1"/>
    <col min="10" max="10" width="12.28515625" bestFit="1" customWidth="1"/>
  </cols>
  <sheetData>
    <row r="1" spans="1:11" x14ac:dyDescent="0.25">
      <c r="A1" s="1" t="s">
        <v>0</v>
      </c>
      <c r="B1" s="10">
        <v>173.33</v>
      </c>
    </row>
    <row r="2" spans="1:11" ht="59.25" customHeight="1" x14ac:dyDescent="0.25">
      <c r="A2" s="14" t="s">
        <v>10</v>
      </c>
      <c r="B2" s="13">
        <v>50</v>
      </c>
    </row>
    <row r="3" spans="1:11" ht="24.75" customHeight="1" x14ac:dyDescent="0.25"/>
    <row r="4" spans="1:11" ht="17.25" thickBot="1" x14ac:dyDescent="0.35">
      <c r="B4" s="2" t="s">
        <v>1</v>
      </c>
      <c r="C4" s="2" t="s">
        <v>7</v>
      </c>
      <c r="D4" s="2" t="s">
        <v>5</v>
      </c>
      <c r="F4" s="15" t="s">
        <v>12</v>
      </c>
      <c r="G4" s="16">
        <f>+B1</f>
        <v>173.33</v>
      </c>
      <c r="H4" s="17"/>
      <c r="I4" s="18"/>
      <c r="J4" s="18"/>
      <c r="K4" s="18"/>
    </row>
    <row r="5" spans="1:11" ht="17.25" thickTop="1" x14ac:dyDescent="0.3">
      <c r="A5" s="9" t="s">
        <v>2</v>
      </c>
      <c r="B5" s="4">
        <v>1</v>
      </c>
      <c r="C5" s="5">
        <f>IF($B$2&gt;=40,40,$B$2)</f>
        <v>40</v>
      </c>
      <c r="D5" s="48">
        <f>IF(ISBLANK($C5),0,$C5*$B$1)</f>
        <v>6933.2000000000007</v>
      </c>
      <c r="F5" s="19" t="s">
        <v>13</v>
      </c>
      <c r="G5" s="20">
        <v>0.2</v>
      </c>
      <c r="H5" s="18">
        <f>+$G$4*(1+G5)</f>
        <v>207.99600000000001</v>
      </c>
      <c r="I5" s="18">
        <f>+H5*40</f>
        <v>8319.84</v>
      </c>
      <c r="J5" s="18">
        <f>+I5*20%</f>
        <v>1663.9680000000001</v>
      </c>
      <c r="K5" s="18">
        <f>+I5-J5</f>
        <v>6655.8720000000003</v>
      </c>
    </row>
    <row r="6" spans="1:11" ht="16.5" x14ac:dyDescent="0.3">
      <c r="A6" s="9" t="s">
        <v>8</v>
      </c>
      <c r="B6" s="6">
        <v>1.2</v>
      </c>
      <c r="C6" s="7">
        <f>IF(AND($B$2&gt;40,$B$2&lt;=48),$B$2-40,IF($B$2&gt;48,8))</f>
        <v>8</v>
      </c>
      <c r="D6" s="49">
        <f>IF(ISBLANK($C6),0,$C6*$B$1*1.2)</f>
        <v>1663.9680000000001</v>
      </c>
      <c r="F6" s="19" t="s">
        <v>13</v>
      </c>
      <c r="G6" s="21">
        <v>0.4</v>
      </c>
      <c r="H6" s="18">
        <f>+$G$4*(1+G6)</f>
        <v>242.66200000000001</v>
      </c>
      <c r="I6" s="18"/>
      <c r="J6" s="18"/>
      <c r="K6" s="18"/>
    </row>
    <row r="7" spans="1:11" ht="16.5" x14ac:dyDescent="0.3">
      <c r="A7" s="9" t="s">
        <v>9</v>
      </c>
      <c r="B7" s="6">
        <v>1.4</v>
      </c>
      <c r="C7" s="7">
        <f>IF($B$2&gt;49,$B$2-48,0)</f>
        <v>2</v>
      </c>
      <c r="D7" s="50">
        <f>IF(ISBLANK($C7),0,$C7*$B$1*$B7)</f>
        <v>485.32400000000001</v>
      </c>
      <c r="F7" s="19" t="s">
        <v>13</v>
      </c>
      <c r="G7" s="21">
        <v>0.65</v>
      </c>
      <c r="H7" s="18"/>
      <c r="I7" s="18"/>
      <c r="J7" s="18"/>
      <c r="K7" s="18"/>
    </row>
    <row r="8" spans="1:11" ht="16.5" x14ac:dyDescent="0.3">
      <c r="A8" s="9" t="s">
        <v>11</v>
      </c>
      <c r="B8" s="6">
        <v>1.65</v>
      </c>
      <c r="C8" s="11">
        <v>0</v>
      </c>
      <c r="D8" s="50">
        <f>IF(ISBLANK($C8),0,$C8*$B$1*$B8)</f>
        <v>0</v>
      </c>
      <c r="F8" s="19" t="s">
        <v>13</v>
      </c>
      <c r="G8" s="21">
        <v>0.65</v>
      </c>
      <c r="H8" s="18"/>
      <c r="I8" s="18"/>
      <c r="J8" s="18"/>
      <c r="K8" s="18"/>
    </row>
    <row r="9" spans="1:11" ht="17.25" thickBot="1" x14ac:dyDescent="0.35">
      <c r="A9" s="9" t="s">
        <v>3</v>
      </c>
      <c r="B9" s="6">
        <v>1.65</v>
      </c>
      <c r="C9" s="11">
        <v>0</v>
      </c>
      <c r="D9" s="50">
        <f>IF(ISBLANK($C9),0,$C9*$B$1*$B9)</f>
        <v>0</v>
      </c>
      <c r="F9" s="19" t="s">
        <v>13</v>
      </c>
      <c r="G9" s="22">
        <v>1</v>
      </c>
      <c r="H9" s="18"/>
      <c r="I9" s="18"/>
      <c r="J9" s="18"/>
      <c r="K9" s="18"/>
    </row>
    <row r="10" spans="1:11" ht="17.25" thickTop="1" x14ac:dyDescent="0.3">
      <c r="A10" s="9" t="s">
        <v>4</v>
      </c>
      <c r="B10" s="8">
        <v>2</v>
      </c>
      <c r="C10" s="12">
        <v>0</v>
      </c>
      <c r="D10" s="51">
        <f>IF(ISBLANK($C10),0,$C10*$B$1*$B10)</f>
        <v>0</v>
      </c>
      <c r="F10" s="18"/>
      <c r="G10" s="18"/>
      <c r="H10" s="18"/>
      <c r="I10" s="18"/>
      <c r="J10" s="18"/>
      <c r="K10" s="18"/>
    </row>
    <row r="11" spans="1:11" ht="16.5" x14ac:dyDescent="0.3">
      <c r="F11" s="18"/>
      <c r="G11" s="18"/>
      <c r="H11" s="18"/>
      <c r="I11" s="18"/>
      <c r="J11" s="18"/>
      <c r="K11" s="18"/>
    </row>
    <row r="12" spans="1:11" ht="16.5" x14ac:dyDescent="0.3">
      <c r="A12" s="43" t="s">
        <v>6</v>
      </c>
      <c r="B12" s="44"/>
      <c r="C12" s="3">
        <f>SUM($C$5:$C$10)</f>
        <v>50</v>
      </c>
      <c r="D12" s="3">
        <f>SUM($D$5:$D$10)</f>
        <v>9082.492000000002</v>
      </c>
      <c r="F12" s="18"/>
      <c r="G12" s="18"/>
      <c r="H12" s="18"/>
      <c r="I12" s="18"/>
      <c r="J12" s="18"/>
      <c r="K12" s="18"/>
    </row>
    <row r="13" spans="1:11" ht="16.5" x14ac:dyDescent="0.3">
      <c r="F13" s="18"/>
      <c r="G13" s="18"/>
      <c r="H13" s="18"/>
      <c r="I13" s="18"/>
      <c r="J13" s="18"/>
      <c r="K13" s="18"/>
    </row>
    <row r="14" spans="1:11" ht="16.5" x14ac:dyDescent="0.3">
      <c r="F14" s="18"/>
      <c r="G14" s="18"/>
      <c r="H14" s="18"/>
      <c r="I14" s="18"/>
      <c r="J14" s="18"/>
      <c r="K14" s="18"/>
    </row>
    <row r="15" spans="1:11" ht="16.5" x14ac:dyDescent="0.3">
      <c r="F15" s="23"/>
      <c r="G15" s="19"/>
      <c r="H15" s="24" t="s">
        <v>1</v>
      </c>
      <c r="I15" s="25" t="s">
        <v>14</v>
      </c>
      <c r="J15" s="18"/>
      <c r="K15" s="18"/>
    </row>
    <row r="16" spans="1:11" ht="16.5" x14ac:dyDescent="0.3">
      <c r="F16" s="23"/>
      <c r="G16" s="26" t="s">
        <v>0</v>
      </c>
      <c r="H16" s="27">
        <v>1</v>
      </c>
      <c r="I16" s="28">
        <f>40*4.33333333333333</f>
        <v>173.3333333333332</v>
      </c>
      <c r="J16" s="18"/>
      <c r="K16" s="18"/>
    </row>
    <row r="17" spans="6:11" ht="16.5" x14ac:dyDescent="0.3">
      <c r="F17" s="45" t="s">
        <v>15</v>
      </c>
      <c r="G17" s="45"/>
      <c r="H17" s="29">
        <v>1.2</v>
      </c>
      <c r="I17" s="30">
        <f>$I$16*H17</f>
        <v>207.99999999999983</v>
      </c>
      <c r="J17" s="52">
        <f>+I17*C6</f>
        <v>1663.9999999999986</v>
      </c>
      <c r="K17" s="18"/>
    </row>
    <row r="18" spans="6:11" ht="17.25" thickBot="1" x14ac:dyDescent="0.35">
      <c r="F18" s="46" t="s">
        <v>16</v>
      </c>
      <c r="G18" s="46"/>
      <c r="H18" s="31">
        <v>1.4</v>
      </c>
      <c r="I18" s="30">
        <f t="shared" ref="I18:I21" si="0">$I$16*H18</f>
        <v>242.66666666666646</v>
      </c>
      <c r="J18" s="52">
        <f t="shared" ref="J18:J21" si="1">+I18*C7</f>
        <v>485.33333333333292</v>
      </c>
      <c r="K18" s="18"/>
    </row>
    <row r="19" spans="6:11" ht="18" thickTop="1" thickBot="1" x14ac:dyDescent="0.35">
      <c r="F19" s="42" t="s">
        <v>17</v>
      </c>
      <c r="G19" s="42"/>
      <c r="H19" s="32">
        <v>1.65</v>
      </c>
      <c r="I19" s="30">
        <f t="shared" si="0"/>
        <v>285.99999999999977</v>
      </c>
      <c r="J19" s="52">
        <f t="shared" si="1"/>
        <v>0</v>
      </c>
      <c r="K19" s="18"/>
    </row>
    <row r="20" spans="6:11" ht="18" thickTop="1" thickBot="1" x14ac:dyDescent="0.35">
      <c r="F20" s="42" t="s">
        <v>17</v>
      </c>
      <c r="G20" s="42"/>
      <c r="H20" s="32">
        <v>1.65</v>
      </c>
      <c r="I20" s="30">
        <f t="shared" si="0"/>
        <v>285.99999999999977</v>
      </c>
      <c r="J20" s="52">
        <f t="shared" si="1"/>
        <v>0</v>
      </c>
      <c r="K20" s="18"/>
    </row>
    <row r="21" spans="6:11" ht="18" thickTop="1" thickBot="1" x14ac:dyDescent="0.35">
      <c r="F21" s="42" t="s">
        <v>18</v>
      </c>
      <c r="G21" s="42"/>
      <c r="H21" s="32">
        <v>2</v>
      </c>
      <c r="I21" s="30">
        <f t="shared" si="0"/>
        <v>346.6666666666664</v>
      </c>
      <c r="J21" s="52">
        <f t="shared" si="1"/>
        <v>0</v>
      </c>
      <c r="K21" s="18"/>
    </row>
    <row r="22" spans="6:11" ht="15.75" thickTop="1" x14ac:dyDescent="0.25"/>
  </sheetData>
  <mergeCells count="6">
    <mergeCell ref="F20:G20"/>
    <mergeCell ref="F21:G21"/>
    <mergeCell ref="A12:B12"/>
    <mergeCell ref="F17:G17"/>
    <mergeCell ref="F18:G18"/>
    <mergeCell ref="F19:G19"/>
  </mergeCells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N4"/>
  <sheetViews>
    <sheetView workbookViewId="0">
      <selection activeCell="L14" sqref="L14"/>
    </sheetView>
  </sheetViews>
  <sheetFormatPr baseColWidth="10" defaultRowHeight="15" x14ac:dyDescent="0.25"/>
  <sheetData>
    <row r="1" spans="3:14" ht="18.75" x14ac:dyDescent="0.3">
      <c r="C1" s="47" t="s">
        <v>22</v>
      </c>
      <c r="D1" s="47"/>
      <c r="E1" s="47"/>
      <c r="F1" s="47"/>
      <c r="G1" s="47"/>
    </row>
    <row r="4" spans="3:14" x14ac:dyDescent="0.25">
      <c r="L4" t="s">
        <v>23</v>
      </c>
      <c r="N4">
        <f>35*52/12</f>
        <v>151.66666666666666</v>
      </c>
    </row>
  </sheetData>
  <mergeCells count="1">
    <mergeCell ref="C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workbookViewId="0">
      <selection activeCell="H7" sqref="H7"/>
    </sheetView>
  </sheetViews>
  <sheetFormatPr baseColWidth="10" defaultRowHeight="15" x14ac:dyDescent="0.25"/>
  <cols>
    <col min="1" max="1" width="39.140625" customWidth="1"/>
    <col min="2" max="2" width="13.7109375" bestFit="1" customWidth="1"/>
    <col min="3" max="3" width="16.7109375" bestFit="1" customWidth="1"/>
    <col min="4" max="4" width="17.42578125" customWidth="1"/>
    <col min="6" max="6" width="24.7109375" customWidth="1"/>
    <col min="7" max="7" width="28.42578125" customWidth="1"/>
    <col min="8" max="8" width="12.140625" customWidth="1"/>
    <col min="9" max="9" width="17" customWidth="1"/>
    <col min="10" max="10" width="9" customWidth="1"/>
  </cols>
  <sheetData>
    <row r="1" spans="1:11" x14ac:dyDescent="0.25">
      <c r="A1" s="1" t="s">
        <v>0</v>
      </c>
      <c r="B1" s="10">
        <f>35*52/12</f>
        <v>151.66666666666666</v>
      </c>
    </row>
    <row r="2" spans="1:11" ht="59.25" customHeight="1" x14ac:dyDescent="0.25">
      <c r="A2" s="14" t="s">
        <v>10</v>
      </c>
      <c r="B2" s="13">
        <v>163</v>
      </c>
    </row>
    <row r="3" spans="1:11" ht="15.75" customHeight="1" x14ac:dyDescent="0.25">
      <c r="G3" s="34">
        <f>+B15/B1</f>
        <v>10.351648351648352</v>
      </c>
    </row>
    <row r="4" spans="1:11" x14ac:dyDescent="0.25">
      <c r="B4" s="2" t="s">
        <v>1</v>
      </c>
      <c r="C4" s="2" t="s">
        <v>7</v>
      </c>
      <c r="D4" s="2" t="s">
        <v>5</v>
      </c>
      <c r="G4" s="34">
        <f>+D5/C5</f>
        <v>151.66666666666666</v>
      </c>
    </row>
    <row r="5" spans="1:11" ht="16.5" x14ac:dyDescent="0.3">
      <c r="A5" s="9" t="s">
        <v>2</v>
      </c>
      <c r="B5" s="4">
        <v>1</v>
      </c>
      <c r="C5" s="5">
        <f>IF($B$2&gt;=35,35,$B$2)</f>
        <v>35</v>
      </c>
      <c r="D5" s="39">
        <f t="shared" ref="D5:D10" si="0">IF(ISBLANK($C5),0,$C5*$B$1)</f>
        <v>5308.333333333333</v>
      </c>
    </row>
    <row r="6" spans="1:11" ht="17.25" thickBot="1" x14ac:dyDescent="0.35">
      <c r="A6" s="9" t="s">
        <v>20</v>
      </c>
      <c r="B6" s="33">
        <v>0.25</v>
      </c>
      <c r="C6" s="7">
        <f>IF(AND($B$2&gt;35,$B$2&lt;=35),$B$2-35,IF($B$2&gt;35,8))</f>
        <v>8</v>
      </c>
      <c r="D6" s="40">
        <f>IF(ISBLANK($C6),0,$C6*$B$1*$B6)</f>
        <v>303.33333333333331</v>
      </c>
      <c r="F6" s="15" t="s">
        <v>12</v>
      </c>
      <c r="G6" s="16">
        <f>+B15/B1</f>
        <v>10.351648351648352</v>
      </c>
      <c r="H6" s="17"/>
      <c r="I6" s="18"/>
      <c r="J6" s="18"/>
      <c r="K6" s="18"/>
    </row>
    <row r="7" spans="1:11" ht="17.25" thickTop="1" x14ac:dyDescent="0.3">
      <c r="A7" s="9" t="s">
        <v>21</v>
      </c>
      <c r="B7" s="33">
        <v>0.5</v>
      </c>
      <c r="C7" s="7">
        <f>IF($B$2&gt;44,$B$2-52,0)</f>
        <v>111</v>
      </c>
      <c r="D7" s="40">
        <f>IF(ISBLANK($C7),0,$C7*$B$1*$B7)</f>
        <v>8417.5</v>
      </c>
      <c r="F7" s="19" t="s">
        <v>13</v>
      </c>
      <c r="G7" s="20">
        <v>0.25</v>
      </c>
      <c r="H7" s="18">
        <f>+$G$6*(1+G7)</f>
        <v>12.93956043956044</v>
      </c>
      <c r="I7" s="18">
        <f>+H7*C6</f>
        <v>103.51648351648352</v>
      </c>
      <c r="J7" s="18">
        <f>+I7*20%</f>
        <v>20.703296703296704</v>
      </c>
      <c r="K7" s="18">
        <f>+I7-J7</f>
        <v>82.813186813186817</v>
      </c>
    </row>
    <row r="8" spans="1:11" ht="16.5" x14ac:dyDescent="0.3">
      <c r="A8" s="9" t="s">
        <v>11</v>
      </c>
      <c r="B8" s="6">
        <v>1.65</v>
      </c>
      <c r="C8" s="11">
        <v>0</v>
      </c>
      <c r="D8" s="40">
        <f>IF(ISBLANK($C8),0,$C8*$B$1*$B8)</f>
        <v>0</v>
      </c>
      <c r="F8" s="19" t="s">
        <v>13</v>
      </c>
      <c r="G8" s="21">
        <v>0.5</v>
      </c>
      <c r="H8" s="18">
        <f>+$G$6*(1+G8)</f>
        <v>15.527472527472529</v>
      </c>
      <c r="I8" s="18">
        <f>+H8*C7</f>
        <v>1723.5494505494507</v>
      </c>
      <c r="J8" s="18"/>
      <c r="K8" s="18"/>
    </row>
    <row r="9" spans="1:11" ht="16.5" x14ac:dyDescent="0.3">
      <c r="A9" s="9" t="s">
        <v>3</v>
      </c>
      <c r="B9" s="6">
        <v>1.65</v>
      </c>
      <c r="C9" s="11">
        <v>0</v>
      </c>
      <c r="D9" s="40">
        <f>IF(ISBLANK($C9),0,$C9*$B$1*$B9)</f>
        <v>0</v>
      </c>
      <c r="F9" s="19" t="s">
        <v>13</v>
      </c>
      <c r="G9" s="21">
        <v>0.65</v>
      </c>
      <c r="H9" s="18"/>
      <c r="I9" s="18"/>
      <c r="J9" s="18"/>
      <c r="K9" s="18"/>
    </row>
    <row r="10" spans="1:11" ht="16.5" x14ac:dyDescent="0.3">
      <c r="A10" s="9" t="s">
        <v>4</v>
      </c>
      <c r="B10" s="8">
        <v>2</v>
      </c>
      <c r="C10" s="12">
        <v>0</v>
      </c>
      <c r="D10" s="41">
        <f>IF(ISBLANK($C10),0,$C10*$B$1*$B10)</f>
        <v>0</v>
      </c>
      <c r="F10" s="19" t="s">
        <v>13</v>
      </c>
      <c r="G10" s="21">
        <v>0.65</v>
      </c>
      <c r="H10" s="18"/>
      <c r="I10" s="18"/>
      <c r="J10" s="18"/>
      <c r="K10" s="18"/>
    </row>
    <row r="11" spans="1:11" ht="17.25" thickBot="1" x14ac:dyDescent="0.35">
      <c r="F11" s="19" t="s">
        <v>13</v>
      </c>
      <c r="G11" s="22">
        <v>1</v>
      </c>
      <c r="H11" s="18"/>
      <c r="I11" s="18"/>
      <c r="J11" s="18"/>
      <c r="K11" s="18"/>
    </row>
    <row r="12" spans="1:11" ht="17.25" thickTop="1" x14ac:dyDescent="0.3">
      <c r="A12" s="43" t="s">
        <v>6</v>
      </c>
      <c r="B12" s="44"/>
      <c r="C12" s="3">
        <f>SUM($C$5:$C$10)</f>
        <v>154</v>
      </c>
      <c r="D12" s="3">
        <f>SUM($D$5:$D$10)</f>
        <v>14029.166666666666</v>
      </c>
      <c r="F12" s="18"/>
      <c r="G12" s="18"/>
      <c r="H12" s="18"/>
      <c r="I12" s="18"/>
      <c r="J12" s="18"/>
      <c r="K12" s="18"/>
    </row>
    <row r="13" spans="1:11" ht="16.5" x14ac:dyDescent="0.3">
      <c r="F13" s="18"/>
      <c r="G13" s="18"/>
      <c r="H13" s="18"/>
      <c r="I13" s="18"/>
      <c r="J13" s="18"/>
      <c r="K13" s="18"/>
    </row>
    <row r="14" spans="1:11" ht="16.5" x14ac:dyDescent="0.3">
      <c r="F14" s="18"/>
      <c r="G14" s="18"/>
      <c r="H14" s="18"/>
      <c r="I14" s="18"/>
      <c r="J14" s="18"/>
      <c r="K14" s="18"/>
    </row>
    <row r="15" spans="1:11" ht="16.5" x14ac:dyDescent="0.3">
      <c r="A15" s="35" t="s">
        <v>19</v>
      </c>
      <c r="B15" s="36">
        <v>1570</v>
      </c>
      <c r="D15">
        <f>+B2-C12</f>
        <v>9</v>
      </c>
      <c r="F15" s="23"/>
      <c r="G15" s="19"/>
      <c r="H15" s="24" t="s">
        <v>1</v>
      </c>
      <c r="I15" s="25" t="s">
        <v>14</v>
      </c>
      <c r="J15" s="18"/>
      <c r="K15" s="18"/>
    </row>
    <row r="16" spans="1:11" ht="16.5" x14ac:dyDescent="0.3">
      <c r="F16" s="23"/>
      <c r="G16" s="26" t="s">
        <v>0</v>
      </c>
      <c r="H16" s="27">
        <v>1</v>
      </c>
      <c r="I16" s="28">
        <f>B15/+B1</f>
        <v>10.351648351648352</v>
      </c>
      <c r="J16" s="18"/>
      <c r="K16" s="18"/>
    </row>
    <row r="17" spans="6:11" ht="16.5" x14ac:dyDescent="0.3">
      <c r="F17" s="45" t="s">
        <v>15</v>
      </c>
      <c r="G17" s="45"/>
      <c r="H17" s="38">
        <v>0.25</v>
      </c>
      <c r="I17" s="30">
        <f>+$I$16*(1+H17)</f>
        <v>12.93956043956044</v>
      </c>
      <c r="J17" s="18"/>
      <c r="K17" s="18"/>
    </row>
    <row r="18" spans="6:11" ht="17.25" thickBot="1" x14ac:dyDescent="0.35">
      <c r="F18" s="46" t="s">
        <v>16</v>
      </c>
      <c r="G18" s="46"/>
      <c r="H18" s="37">
        <v>0.5</v>
      </c>
      <c r="I18" s="30">
        <f>+$I$16*(H18+1)</f>
        <v>15.527472527472529</v>
      </c>
      <c r="J18" s="18"/>
      <c r="K18" s="18"/>
    </row>
    <row r="19" spans="6:11" ht="18" thickTop="1" thickBot="1" x14ac:dyDescent="0.35">
      <c r="F19" s="42" t="s">
        <v>17</v>
      </c>
      <c r="G19" s="42"/>
      <c r="H19" s="32">
        <v>1.65</v>
      </c>
      <c r="I19" s="30"/>
      <c r="J19" s="18"/>
      <c r="K19" s="18"/>
    </row>
    <row r="20" spans="6:11" ht="18" thickTop="1" thickBot="1" x14ac:dyDescent="0.35">
      <c r="F20" s="42" t="s">
        <v>17</v>
      </c>
      <c r="G20" s="42"/>
      <c r="H20" s="32">
        <v>1.65</v>
      </c>
      <c r="I20" s="30"/>
      <c r="J20" s="18"/>
      <c r="K20" s="18"/>
    </row>
    <row r="21" spans="6:11" ht="18" thickTop="1" thickBot="1" x14ac:dyDescent="0.35">
      <c r="F21" s="42" t="s">
        <v>18</v>
      </c>
      <c r="G21" s="42"/>
      <c r="H21" s="32">
        <v>2</v>
      </c>
      <c r="I21" s="30"/>
      <c r="J21" s="18"/>
      <c r="K21" s="18"/>
    </row>
    <row r="22" spans="6:11" ht="15.75" thickTop="1" x14ac:dyDescent="0.25"/>
  </sheetData>
  <mergeCells count="6">
    <mergeCell ref="F21:G21"/>
    <mergeCell ref="A12:B12"/>
    <mergeCell ref="F17:G17"/>
    <mergeCell ref="F18:G18"/>
    <mergeCell ref="F19:G19"/>
    <mergeCell ref="F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2025-02-18T23:54:48Z</dcterms:created>
  <dcterms:modified xsi:type="dcterms:W3CDTF">2025-02-26T02:56:21Z</dcterms:modified>
</cp:coreProperties>
</file>