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57070E2B-0A31-44E2-897A-57216E3D2AD6}" xr6:coauthVersionLast="47" xr6:coauthVersionMax="47" xr10:uidLastSave="{00000000-0000-0000-0000-000000000000}"/>
  <bookViews>
    <workbookView xWindow="-120" yWindow="-120" windowWidth="29040" windowHeight="1572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_xleta.OR" hidden="1" xlm="1">#NAME?</definedName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3" l="1"/>
  <c r="F23" i="20" l="1"/>
  <c r="C30" i="20"/>
  <c r="F24" i="20"/>
  <c r="N27" i="3"/>
  <c r="M27" i="3" s="1"/>
  <c r="G27" i="3" s="1"/>
  <c r="H27" i="3" s="1"/>
  <c r="N9" i="3"/>
  <c r="M9" i="3" s="1"/>
  <c r="G9" i="3" s="1"/>
  <c r="N10" i="3"/>
  <c r="M10" i="3" s="1"/>
  <c r="N11" i="3"/>
  <c r="M11" i="3" s="1"/>
  <c r="N12" i="3"/>
  <c r="M12" i="3" s="1"/>
  <c r="G12" i="3" s="1"/>
  <c r="H12" i="3" s="1"/>
  <c r="N13" i="3"/>
  <c r="M13" i="3" s="1"/>
  <c r="G13" i="3" s="1"/>
  <c r="H13" i="3" s="1"/>
  <c r="N14" i="3"/>
  <c r="M14" i="3" s="1"/>
  <c r="G14" i="3" s="1"/>
  <c r="H14" i="3" s="1"/>
  <c r="N15" i="3"/>
  <c r="M15" i="3" s="1"/>
  <c r="G15" i="3" s="1"/>
  <c r="H15" i="3" s="1"/>
  <c r="N16" i="3"/>
  <c r="M16" i="3" s="1"/>
  <c r="G16" i="3" s="1"/>
  <c r="H16" i="3" s="1"/>
  <c r="N17" i="3"/>
  <c r="M17" i="3" s="1"/>
  <c r="G17" i="3" s="1"/>
  <c r="H17" i="3" s="1"/>
  <c r="N18" i="3"/>
  <c r="N19" i="3"/>
  <c r="M19" i="3" s="1"/>
  <c r="G19" i="3" s="1"/>
  <c r="H19" i="3" s="1"/>
  <c r="N20" i="3"/>
  <c r="M20" i="3" s="1"/>
  <c r="G20" i="3" s="1"/>
  <c r="H20" i="3" s="1"/>
  <c r="N21" i="3"/>
  <c r="M21" i="3" s="1"/>
  <c r="G21" i="3" s="1"/>
  <c r="H21" i="3" s="1"/>
  <c r="N22" i="3"/>
  <c r="M22" i="3" s="1"/>
  <c r="G22" i="3" s="1"/>
  <c r="H22" i="3" s="1"/>
  <c r="N23" i="3"/>
  <c r="M23" i="3" s="1"/>
  <c r="G23" i="3" s="1"/>
  <c r="H23" i="3" s="1"/>
  <c r="N24" i="3"/>
  <c r="M24" i="3" s="1"/>
  <c r="G24" i="3" s="1"/>
  <c r="H24" i="3" s="1"/>
  <c r="N25" i="3"/>
  <c r="M25" i="3" s="1"/>
  <c r="G25" i="3" s="1"/>
  <c r="H25" i="3" s="1"/>
  <c r="N26" i="3"/>
  <c r="M26" i="3" s="1"/>
  <c r="G26" i="3" s="1"/>
  <c r="H26" i="3" s="1"/>
  <c r="N8" i="3"/>
  <c r="M8" i="3" s="1"/>
  <c r="G8" i="3" s="1"/>
  <c r="H8" i="3" s="1"/>
  <c r="J9" i="3"/>
  <c r="J10" i="3" s="1"/>
  <c r="G23" i="20"/>
  <c r="G25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4" i="20"/>
  <c r="G24" i="20"/>
  <c r="H24" i="20"/>
  <c r="H23" i="20" s="1"/>
  <c r="M18" i="3" l="1"/>
  <c r="G18" i="3" s="1"/>
  <c r="H18" i="3" s="1"/>
  <c r="G11" i="3"/>
  <c r="H11" i="3" s="1"/>
  <c r="G10" i="3"/>
  <c r="H10" i="3" s="1"/>
  <c r="H9" i="3"/>
  <c r="E24" i="20"/>
  <c r="E23" i="20" s="1"/>
  <c r="N24" i="20"/>
  <c r="G3" i="3"/>
  <c r="J3" i="3" s="1"/>
  <c r="H6" i="3" s="1"/>
  <c r="D13" i="3"/>
  <c r="C13" i="3"/>
  <c r="H25" i="20"/>
  <c r="D8" i="3"/>
  <c r="D25" i="20"/>
  <c r="H28" i="3" l="1"/>
  <c r="E14" i="3"/>
  <c r="E25" i="20"/>
  <c r="C14" i="3"/>
  <c r="B8" i="17" l="1"/>
  <c r="B4" i="17"/>
  <c r="D23" i="20" l="1"/>
  <c r="C7" i="3" s="1"/>
  <c r="Q7" i="3"/>
  <c r="E11" i="3"/>
  <c r="D3" i="17"/>
  <c r="D10" i="3" l="1" a="1"/>
  <c r="D10" i="3" s="1"/>
  <c r="C10" i="3" a="1"/>
  <c r="C10" i="3" s="1"/>
  <c r="E10" i="7"/>
  <c r="C10" i="7"/>
  <c r="H5" i="7"/>
  <c r="H8" i="7" s="1"/>
  <c r="D6" i="7"/>
  <c r="E8" i="7" s="1"/>
  <c r="D5" i="7"/>
  <c r="B27" i="8" s="1"/>
  <c r="B5" i="7"/>
  <c r="B7" i="7" s="1"/>
  <c r="D11" i="3" l="1"/>
  <c r="C11" i="3"/>
  <c r="C15" i="3"/>
  <c r="K28" i="8"/>
  <c r="E7" i="7"/>
  <c r="I28" i="8" s="1"/>
  <c r="H6" i="7"/>
  <c r="H7" i="7" s="1"/>
  <c r="B6" i="7"/>
  <c r="B8" i="7"/>
  <c r="C12" i="3" l="1"/>
  <c r="B33" i="8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  <author>Yoan</author>
  </authors>
  <commentList>
    <comment ref="Q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E8" authorId="1" shapeId="0" xr:uid="{B4B59360-516F-0140-A710-EF97297D3807}">
      <text>
        <r>
          <rPr>
            <sz val="10"/>
            <color rgb="FF000000"/>
            <rFont val="Tahoma"/>
            <family val="2"/>
          </rPr>
          <t>Si des frais d'avenant sont affichés, il faut les supprimer dans le tableau d'amortissement</t>
        </r>
      </text>
    </comment>
    <comment ref="E10" authorId="1" shapeId="0" xr:uid="{98D861F6-299D-C64A-A4D7-B5F83224A3D1}">
      <text>
        <r>
          <rPr>
            <sz val="10"/>
            <color rgb="FF000000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rgb="FF000000"/>
            <rFont val="Tahoma"/>
            <family val="2"/>
          </rPr>
          <t>Différence entre le montant reçu par l'assurance et le montant pris en charge en fonction de la quotité assurée.
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</authors>
  <commentList>
    <comment ref="J2" authorId="0" shapeId="0" xr:uid="{916B7ACA-8D18-214C-A1A2-D421275A80BD}">
      <text>
        <r>
          <rPr>
            <sz val="10"/>
            <color rgb="FF000000"/>
            <rFont val="Tahoma"/>
            <family val="2"/>
          </rPr>
          <t xml:space="preserve">
La 1ère ligne du tableau n'est pas prise en compte dans les calculs, seul le CRD avant le décès remonte dans la simulation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<sst xmlns="http://schemas.openxmlformats.org/spreadsheetml/2006/main" count="169" uniqueCount="122">
  <si>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</si>
  <si>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</si>
  <si>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</si>
  <si>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</si>
  <si>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</si>
  <si>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</si>
  <si>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</si>
  <si>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</si>
  <si>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</si>
  <si>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</si>
  <si>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</si>
  <si>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</si>
  <si>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</si>
  <si>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</si>
  <si>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</si>
  <si>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</si>
  <si>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</si>
  <si>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</si>
  <si>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</si>
  <si>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</si>
  <si>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</si>
  <si>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</si>
  <si>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</si>
  <si>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</si>
  <si>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</si>
  <si>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</si>
  <si>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</si>
  <si>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</si>
  <si>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</si>
  <si>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</si>
  <si>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</si>
  <si>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</si>
  <si>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</si>
  <si>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</si>
  <si>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</si>
  <si>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</si>
  <si>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</si>
  <si>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</si>
  <si>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</si>
  <si>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</si>
  <si>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</si>
  <si>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</si>
  <si>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</si>
  <si>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</si>
  <si>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</si>
  <si>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</si>
  <si>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</si>
  <si>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</si>
  <si>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</si>
  <si>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</si>
  <si>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</si>
  <si>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</si>
  <si>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</si>
  <si>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</si>
  <si>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</si>
  <si>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</si>
  <si>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</si>
  <si>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</si>
  <si>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</si>
  <si>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</si>
  <si>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</si>
  <si>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</si>
  <si>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</si>
  <si>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</si>
  <si>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</si>
  <si>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</si>
  <si>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</si>
  <si>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</si>
  <si>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</si>
  <si>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</si>
  <si>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</si>
  <si>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</si>
  <si>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</si>
  <si>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</si>
  <si>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</si>
  <si>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</si>
  <si>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</si>
  <si>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</si>
  <si>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</si>
  <si>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</si>
  <si>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</si>
  <si>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</si>
  <si>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</si>
  <si>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</si>
  <si>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</si>
  <si>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</si>
  <si>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</si>
  <si>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</si>
  <si>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</si>
  <si>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</si>
  <si>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</si>
  <si>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</si>
  <si>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</si>
  <si>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</si>
  <si>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</si>
  <si>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</si>
  <si>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</si>
  <si>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</si>
  <si>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</si>
  <si>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</si>
  <si>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</si>
  <si>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</si>
  <si>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Frais accessoires / socama</t>
  </si>
  <si>
    <t>Taux de cotisation</t>
  </si>
  <si>
    <t>Commission BPI 
à prélever au client</t>
  </si>
  <si>
    <t>Assurance externe / Kereis</t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</si>
  <si>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</si>
  <si>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Nombre de cotisation(s) à rembourser</t>
  </si>
  <si>
    <t>Total à rembourser</t>
  </si>
  <si>
    <t>Cotisation mensuelle</t>
  </si>
  <si>
    <r>
      <t>Capital restant dû</t>
    </r>
    <r>
      <rPr>
        <i/>
        <sz val="11"/>
        <color theme="0"/>
        <rFont val="Calibri"/>
        <family val="2"/>
        <scheme val="minor"/>
      </rPr>
      <t xml:space="preserve">
(cotisation dégressive)</t>
    </r>
  </si>
  <si>
    <t>Compagnie d'assurance</t>
  </si>
  <si>
    <t>Assurance groupe à XX %</t>
  </si>
  <si>
    <t>Assurance groupe à 100 %</t>
  </si>
  <si>
    <t>Calcul de cotisation(s) / quotité d'assurance inférieure à 100%</t>
  </si>
  <si>
    <t>Montant assuré</t>
  </si>
  <si>
    <t>ECH</t>
  </si>
  <si>
    <t>EUR - EURO</t>
  </si>
  <si>
    <t>YOYO LE RIGOLO</t>
  </si>
  <si>
    <t>BOBBY</t>
  </si>
  <si>
    <t>1234567</t>
  </si>
  <si>
    <t>ASSUREUR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</si>
</sst>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rgb="FF000000"/>
      <name val="Tahoma"/>
      <family val="2"/>
    </font>
    <font>
      <b/>
      <sz val="14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3" fillId="10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9" fontId="43" fillId="0" borderId="0" applyFont="0" applyFill="0" applyBorder="0" applyAlignment="0" applyProtection="0"/>
  </cellStyleXfs>
  <cellXfs count="213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7" borderId="0" xfId="0" applyFill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7" fillId="14" borderId="14" xfId="0" applyFont="1" applyFill="1" applyBorder="1" applyAlignment="1">
      <alignment horizontal="centerContinuous" vertical="center"/>
    </xf>
    <xf numFmtId="0" fontId="46" fillId="14" borderId="2" xfId="0" applyFont="1" applyFill="1" applyBorder="1" applyAlignment="1">
      <alignment horizontal="centerContinuous" vertical="center"/>
    </xf>
    <xf numFmtId="0" fontId="48" fillId="0" borderId="0" xfId="0" applyFont="1" applyProtection="1">
      <protection locked="0"/>
    </xf>
    <xf numFmtId="0" fontId="44" fillId="6" borderId="4" xfId="0" applyFont="1" applyFill="1" applyBorder="1" applyAlignment="1" applyProtection="1">
      <alignment horizontal="center" vertical="center" wrapText="1"/>
      <protection locked="0"/>
    </xf>
    <xf numFmtId="1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49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4" fontId="43" fillId="0" borderId="0" xfId="0" applyNumberFormat="1" applyFont="1" applyProtection="1">
      <protection locked="0"/>
    </xf>
    <xf numFmtId="0" fontId="2" fillId="13" borderId="4" xfId="0" applyFont="1" applyFill="1" applyBorder="1" applyAlignment="1">
      <alignment horizontal="left" vertical="center"/>
    </xf>
    <xf numFmtId="0" fontId="44" fillId="3" borderId="4" xfId="0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5" fillId="7" borderId="0" xfId="0" applyFont="1" applyFill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7" borderId="32" xfId="0" applyFill="1" applyBorder="1"/>
    <xf numFmtId="0" fontId="0" fillId="7" borderId="32" xfId="0" applyFill="1" applyBorder="1" applyAlignment="1">
      <alignment horizontal="left"/>
    </xf>
    <xf numFmtId="0" fontId="2" fillId="0" borderId="0" xfId="0" applyFont="1"/>
    <xf numFmtId="0" fontId="0" fillId="0" borderId="33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9" xfId="0" applyBorder="1"/>
    <xf numFmtId="0" fontId="0" fillId="0" borderId="7" xfId="0" applyBorder="1" applyProtection="1">
      <protection locked="0"/>
    </xf>
    <xf numFmtId="0" fontId="0" fillId="0" borderId="11" xfId="0" applyBorder="1"/>
    <xf numFmtId="4" fontId="0" fillId="6" borderId="4" xfId="0" applyNumberFormat="1" applyFill="1" applyBorder="1" applyAlignment="1">
      <alignment horizontal="center" vertical="center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/>
    </xf>
    <xf numFmtId="168" fontId="0" fillId="6" borderId="4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43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ill="1" applyBorder="1" applyAlignment="1" applyProtection="1">
      <alignment horizontal="center" vertical="center"/>
      <protection hidden="1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 wrapText="1"/>
    </xf>
    <xf numFmtId="0" fontId="2" fillId="13" borderId="4" xfId="0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center" vertical="center" wrapText="1"/>
    </xf>
    <xf numFmtId="49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49" fillId="3" borderId="4" xfId="5" applyFont="1" applyFill="1" applyBorder="1" applyAlignment="1" applyProtection="1">
      <alignment horizontal="center" vertical="center" wrapText="1"/>
      <protection locked="0"/>
    </xf>
    <xf numFmtId="4" fontId="43" fillId="10" borderId="15" xfId="4" applyNumberFormat="1" applyBorder="1" applyAlignment="1" applyProtection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 hidden="1"/>
    </xf>
    <xf numFmtId="0" fontId="2" fillId="13" borderId="4" xfId="0" applyFont="1" applyFill="1" applyBorder="1" applyAlignment="1" applyProtection="1">
      <alignment horizontal="center" vertical="center"/>
      <protection locked="0" hidden="1"/>
    </xf>
    <xf numFmtId="0" fontId="0" fillId="9" borderId="3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9" fontId="20" fillId="0" borderId="0" xfId="0" applyNumberFormat="1" applyFont="1" applyAlignment="1">
      <alignment horizontal="center" vertical="center"/>
    </xf>
    <xf numFmtId="2" fontId="0" fillId="0" borderId="0" xfId="0" applyNumberFormat="1"/>
    <xf numFmtId="0" fontId="42" fillId="0" borderId="0" xfId="0" applyFont="1"/>
    <xf numFmtId="0" fontId="14" fillId="0" borderId="0" xfId="0" applyFont="1" applyAlignment="1">
      <alignment vertical="center"/>
    </xf>
    <xf numFmtId="0" fontId="0" fillId="7" borderId="13" xfId="0" applyFill="1" applyBorder="1" applyAlignment="1">
      <alignment horizontal="center" vertical="center" wrapText="1"/>
    </xf>
    <xf numFmtId="0" fontId="0" fillId="9" borderId="34" xfId="0" applyFill="1" applyBorder="1" applyAlignment="1">
      <alignment horizontal="left" vertical="center" wrapText="1"/>
    </xf>
    <xf numFmtId="4" fontId="43" fillId="10" borderId="35" xfId="4" applyNumberFormat="1" applyBorder="1" applyAlignment="1" applyProtection="1">
      <alignment horizontal="center" vertical="center"/>
    </xf>
    <xf numFmtId="4" fontId="43" fillId="10" borderId="36" xfId="4" applyNumberFormat="1" applyBorder="1" applyAlignment="1" applyProtection="1">
      <alignment horizontal="center" vertical="center"/>
    </xf>
    <xf numFmtId="4" fontId="43" fillId="17" borderId="36" xfId="0" applyNumberFormat="1" applyFont="1" applyFill="1" applyBorder="1" applyAlignment="1">
      <alignment horizontal="center" vertical="center"/>
    </xf>
    <xf numFmtId="4" fontId="14" fillId="0" borderId="0" xfId="0" applyNumberFormat="1" applyFont="1" applyAlignment="1">
      <alignment vertical="center"/>
    </xf>
    <xf numFmtId="4" fontId="43" fillId="17" borderId="4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9" borderId="34" xfId="7" applyNumberFormat="1" applyFont="1" applyFill="1" applyBorder="1" applyAlignment="1" applyProtection="1">
      <alignment horizontal="left" vertical="center" wrapText="1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43" fillId="17" borderId="29" xfId="4" applyNumberFormat="1" applyFill="1" applyBorder="1" applyAlignment="1" applyProtection="1">
      <alignment horizontal="center" vertical="center"/>
      <protection locked="0"/>
    </xf>
    <xf numFmtId="0" fontId="20" fillId="11" borderId="37" xfId="0" applyFont="1" applyFill="1" applyBorder="1" applyAlignment="1" applyProtection="1">
      <alignment horizontal="center" vertical="center"/>
      <protection locked="0"/>
    </xf>
    <xf numFmtId="1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20" fillId="11" borderId="37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3" fillId="0" borderId="1" xfId="0" applyNumberFormat="1" applyFont="1" applyBorder="1" applyAlignment="1" applyProtection="1">
      <alignment horizontal="center" vertical="center"/>
      <protection hidden="1"/>
    </xf>
    <xf numFmtId="4" fontId="43" fillId="0" borderId="3" xfId="0" applyNumberFormat="1" applyFont="1" applyBorder="1" applyAlignment="1" applyProtection="1">
      <alignment horizontal="center" vertical="center"/>
      <protection hidden="1"/>
    </xf>
    <xf numFmtId="0" fontId="1" fillId="14" borderId="10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 wrapText="1"/>
    </xf>
    <xf numFmtId="4" fontId="0" fillId="6" borderId="33" xfId="0" applyNumberForma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1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4" fontId="15" fillId="0" borderId="4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6" fillId="5" borderId="4" xfId="3" applyFill="1" applyBorder="1" applyAlignment="1" applyProtection="1">
      <alignment horizontal="center" vertical="center"/>
      <protection locked="0"/>
    </xf>
    <xf numFmtId="0" fontId="50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51">
    <dxf>
      <font>
        <b/>
        <i val="0"/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C000"/>
      </font>
    </dxf>
    <dxf>
      <font>
        <b/>
        <i val="0"/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</dxf>
    <dxf>
      <font>
        <b/>
        <i val="0"/>
      </font>
      <fill>
        <patternFill>
          <bgColor rgb="FFDFC4A3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</dxf>
  </dxfs>
  <tableStyles count="0" defaultTableStyle="TableStyleMedium2" defaultPivotStyle="PivotStyleLight16"/>
  <colors>
    <mruColors>
      <color rgb="FFFF873B"/>
      <color rgb="FFDFC4A3"/>
      <color rgb="FFAB7942"/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4</xdr:row>
          <xdr:rowOff>28575</xdr:rowOff>
        </xdr:from>
        <xdr:to>
          <xdr:col>1</xdr:col>
          <xdr:colOff>1790700</xdr:colOff>
          <xdr:row>4</xdr:row>
          <xdr:rowOff>314325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34150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44" dataDxfId="42" headerRowBorderDxfId="43" tableBorderDxfId="41">
  <autoFilter ref="A4:I8" xr:uid="{D180D7A4-6AC1-4690-8CBB-17DE72FE7FED}"/>
  <tableColumns count="9">
    <tableColumn id="1" xr3:uid="{6D61FA9C-8178-4340-96A8-4BB24E1AF516}" name="Numero de compte *" dataDxfId="40"/>
    <tableColumn id="2" xr3:uid="{F993531A-FB4B-4E50-B6DB-DE863805520A}" name="Référence opération" dataDxfId="39">
      <calculatedColumnFormula>B4</calculatedColumnFormula>
    </tableColumn>
    <tableColumn id="3" xr3:uid="{B263DC0A-D95B-4220-819F-A785FCDE372F}" name="Date de valeur *" dataDxfId="38"/>
    <tableColumn id="4" xr3:uid="{5A424E38-3296-46CB-B7D7-5312B6355A1B}" name="Montant débit *" dataDxfId="37"/>
    <tableColumn id="5" xr3:uid="{F0E1867B-95F0-4936-BFEE-EF7D41C944AF}" name="Montant crédit *" dataDxfId="36"/>
    <tableColumn id="6" xr3:uid="{059BBDB0-64F5-4B35-A4C7-52E97A1B60A0}" name="Code Opération *" dataDxfId="35"/>
    <tableColumn id="7" xr3:uid="{5D4F3052-3A24-452C-A6ED-03BCD1EFDAAB}" name="Zone Alpha" dataDxfId="34"/>
    <tableColumn id="8" xr3:uid="{F031D094-BCE9-4A0D-A354-341A0E97EDAF}" name="Libellé écriture 1" dataDxfId="33"/>
    <tableColumn id="9" xr3:uid="{15295A0C-80E9-415C-990F-055E7AB6502C}" name="Libellé écriture 2" dataDxfId="3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33"/>
  <sheetViews>
    <sheetView showGridLines="0" tabSelected="1" topLeftCell="A2" zoomScaleNormal="100" workbookViewId="0">
      <selection activeCell="C18" sqref="C18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0.7109375" style="42" customWidth="1"/>
    <col min="8" max="8" width="16.7109375" style="26" customWidth="1"/>
    <col min="9" max="9" width="22.7109375" style="26" customWidth="1"/>
    <col min="10" max="10" width="20.7109375" style="26" customWidth="1"/>
    <col min="11" max="12" width="10.7109375" style="26" customWidth="1"/>
    <col min="13" max="13" width="20.7109375" style="26" hidden="1" customWidth="1"/>
    <col min="14" max="14" width="10.7109375" style="26" hidden="1" customWidth="1"/>
    <col min="15" max="15" width="2.7109375" style="26" customWidth="1"/>
    <col min="16" max="16" width="8.42578125" style="26" customWidth="1"/>
    <col min="17" max="17" width="20.7109375" style="26" hidden="1" customWidth="1"/>
    <col min="18" max="18" width="12.140625" style="42" customWidth="1"/>
    <col min="19" max="20" width="12.140625" style="26" customWidth="1"/>
    <col min="21" max="16384" width="11.42578125" style="26"/>
  </cols>
  <sheetData>
    <row r="1" spans="1:19" s="68" customFormat="1" ht="33.950000000000003" hidden="1" customHeight="1" x14ac:dyDescent="0.25">
      <c r="A1" s="69" t="s">
        <v>101</v>
      </c>
      <c r="B1" s="70"/>
      <c r="C1" s="70"/>
      <c r="D1" s="70"/>
      <c r="E1" s="70"/>
      <c r="F1" s="70"/>
      <c r="G1" s="70"/>
      <c r="H1" s="70"/>
      <c r="I1" s="70"/>
      <c r="J1" s="70"/>
      <c r="K1" s="65"/>
      <c r="L1" s="65"/>
      <c r="M1" s="66"/>
      <c r="N1" s="66"/>
      <c r="O1" s="66"/>
      <c r="P1" s="66"/>
      <c r="Q1" s="66"/>
      <c r="R1" s="67"/>
    </row>
    <row r="2" spans="1:19" ht="30" customHeight="1" x14ac:dyDescent="0.25">
      <c r="A2" s="112" t="s">
        <v>81</v>
      </c>
      <c r="B2" s="112" t="s">
        <v>92</v>
      </c>
      <c r="C2" s="112" t="s">
        <v>84</v>
      </c>
      <c r="D2" s="103" t="s">
        <v>82</v>
      </c>
      <c r="E2" s="103" t="s">
        <v>91</v>
      </c>
      <c r="F2" s="103" t="s">
        <v>83</v>
      </c>
      <c r="G2" s="112" t="s">
        <v>93</v>
      </c>
      <c r="H2" s="112" t="s">
        <v>111</v>
      </c>
      <c r="I2" s="112" t="s">
        <v>94</v>
      </c>
      <c r="J2" s="112" t="s">
        <v>115</v>
      </c>
    </row>
    <row r="3" spans="1:19" ht="30" customHeight="1" x14ac:dyDescent="0.25">
      <c r="A3" s="73">
        <v>842</v>
      </c>
      <c r="B3" s="72" t="s">
        <v>118</v>
      </c>
      <c r="C3" s="75">
        <v>45659</v>
      </c>
      <c r="D3" s="74">
        <v>45474</v>
      </c>
      <c r="E3" s="76" t="s">
        <v>119</v>
      </c>
      <c r="F3" s="77" t="s">
        <v>120</v>
      </c>
      <c r="G3" s="101">
        <f>TA!J2</f>
        <v>108831.64</v>
      </c>
      <c r="H3" s="78" t="s">
        <v>121</v>
      </c>
      <c r="I3" s="79">
        <v>0.5</v>
      </c>
      <c r="J3" s="114">
        <f>G3*I3</f>
        <v>54415.82</v>
      </c>
      <c r="K3" s="57"/>
      <c r="L3" s="57"/>
      <c r="M3" s="57"/>
      <c r="N3" s="57"/>
      <c r="O3" s="57"/>
      <c r="P3" s="57"/>
      <c r="Q3" s="57"/>
    </row>
    <row r="4" spans="1:19" ht="6" customHeight="1" x14ac:dyDescent="0.25">
      <c r="B4" s="71"/>
      <c r="D4" s="71"/>
      <c r="E4" s="71"/>
      <c r="F4" s="71"/>
      <c r="K4" s="57"/>
      <c r="L4" s="57"/>
      <c r="M4" s="57"/>
      <c r="N4" s="57"/>
      <c r="O4" s="57"/>
      <c r="P4" s="57"/>
      <c r="Q4" s="57"/>
    </row>
    <row r="5" spans="1:19" ht="30" customHeight="1" x14ac:dyDescent="0.25">
      <c r="B5" s="80"/>
      <c r="C5" s="123" t="s">
        <v>32</v>
      </c>
      <c r="D5" s="124" t="s">
        <v>42</v>
      </c>
      <c r="F5" s="81"/>
      <c r="G5" s="158" t="s">
        <v>114</v>
      </c>
      <c r="H5" s="159"/>
      <c r="I5" s="159"/>
      <c r="J5" s="159"/>
      <c r="K5" s="42"/>
      <c r="P5" s="42"/>
      <c r="Q5" s="42"/>
    </row>
    <row r="6" spans="1:19" ht="30" customHeight="1" x14ac:dyDescent="0.25">
      <c r="B6" s="110" t="s">
        <v>0</v>
      </c>
      <c r="C6" s="111">
        <v>108900</v>
      </c>
      <c r="D6" s="111">
        <v>109000</v>
      </c>
      <c r="E6" s="110" t="s">
        <v>1</v>
      </c>
      <c r="G6" s="119" t="s">
        <v>110</v>
      </c>
      <c r="H6" s="114">
        <f>IF(I3=1,"",J3)</f>
        <v>54415.82</v>
      </c>
      <c r="I6" s="119" t="s">
        <v>106</v>
      </c>
      <c r="J6" s="104"/>
      <c r="K6" s="58"/>
      <c r="P6" s="58"/>
      <c r="Q6" s="58"/>
    </row>
    <row r="7" spans="1:19" ht="30" customHeight="1" x14ac:dyDescent="0.25">
      <c r="B7" s="164" t="s">
        <v>2</v>
      </c>
      <c r="C7" s="165">
        <f>IF(AND($I$3&lt;&gt;1,TA!F2&lt;&gt;0),TA!$D$23,IF(C9&lt;&gt;0,IF(TA!F23=0,TA!D25,TA!D23)-C9,IF(TA!F23=0,TA!D25,TA!D23)))</f>
        <v>1411.18</v>
      </c>
      <c r="D7" s="113">
        <f>IF(AND($I$3&lt;&gt;1,TA!F2&lt;&gt;0),TA!F23,IF(I3&lt;1,IF(AND(H7&lt;&gt;0,J7&lt;&gt;0),0,IF(H7&gt;0,H28,J10)),TA!F24))</f>
        <v>0</v>
      </c>
      <c r="E7" s="110" t="s">
        <v>90</v>
      </c>
      <c r="G7" s="118" t="s">
        <v>103</v>
      </c>
      <c r="H7" s="105"/>
      <c r="I7" s="118" t="s">
        <v>103</v>
      </c>
      <c r="J7" s="105"/>
      <c r="O7" s="42"/>
      <c r="P7" s="58"/>
      <c r="Q7" s="114">
        <f>IF(SUM(TA!F24:F25)&gt;0,J3,"")</f>
        <v>54415.82</v>
      </c>
    </row>
    <row r="8" spans="1:19" ht="30" customHeight="1" x14ac:dyDescent="0.25">
      <c r="B8" s="164"/>
      <c r="C8" s="165"/>
      <c r="D8" s="113">
        <f>TA!G25</f>
        <v>0</v>
      </c>
      <c r="E8" s="82" t="s">
        <v>102</v>
      </c>
      <c r="G8" s="127" t="str">
        <f t="shared" ref="G8:G27" si="0">M8</f>
        <v/>
      </c>
      <c r="H8" s="126" t="str">
        <f t="shared" ref="H8:H27" si="1">IF(G8&lt;&gt;"",N8,"")</f>
        <v/>
      </c>
      <c r="I8" s="110" t="s">
        <v>107</v>
      </c>
      <c r="J8" s="122"/>
      <c r="K8" s="61"/>
      <c r="M8" s="120" t="str">
        <f>IF(AND(TA!B3&gt;0,N8&lt;&gt;""),CONCATENATE("",TEXT(TA!B3,"jj/mm/aaaa")),"")</f>
        <v/>
      </c>
      <c r="N8" s="111" t="str">
        <f>IF($H$7="","",(TA!J2*$H$7)/12*$I$3)</f>
        <v/>
      </c>
      <c r="O8" s="42"/>
      <c r="P8" s="59"/>
      <c r="Q8" s="59"/>
    </row>
    <row r="9" spans="1:19" ht="30" customHeight="1" x14ac:dyDescent="0.25">
      <c r="A9" s="80"/>
      <c r="B9" s="110" t="s">
        <v>95</v>
      </c>
      <c r="C9" s="111"/>
      <c r="D9" s="111"/>
      <c r="E9" s="110" t="s">
        <v>104</v>
      </c>
      <c r="G9" s="127" t="str">
        <f t="shared" si="0"/>
        <v/>
      </c>
      <c r="H9" s="126" t="str">
        <f t="shared" si="1"/>
        <v/>
      </c>
      <c r="I9" s="82" t="s">
        <v>109</v>
      </c>
      <c r="J9" s="113">
        <f>((J6*J7)/12*I3)</f>
        <v>0</v>
      </c>
      <c r="K9" s="61"/>
      <c r="M9" s="120" t="str">
        <f>IF(AND(TA!B4&gt;0,N9&lt;&gt;""),CONCATENATE("",TEXT(TA!B4,"jj/mm/aaaa")),"")</f>
        <v/>
      </c>
      <c r="N9" s="111" t="str">
        <f>IF($H$7="","",(TA!J3*$H$7)/12*$I$3)</f>
        <v/>
      </c>
      <c r="O9" s="42"/>
    </row>
    <row r="10" spans="1:19" ht="30" customHeight="1" x14ac:dyDescent="0.25">
      <c r="A10" s="80"/>
      <c r="B10" s="110" t="s">
        <v>96</v>
      </c>
      <c r="C10" s="113" cm="1">
        <f t="array" ref="C10">IF(SUM(D6:D9-C6:C9)&gt;0,SUM(D6:D9-C6:C9),0)</f>
        <v>0</v>
      </c>
      <c r="D10" s="113" cm="1">
        <f t="array" ref="D10">IF(SUM(D6:D9-C6:C9)&lt;0,-SUM(D6:D9-C6:C9),0)</f>
        <v>1311.18</v>
      </c>
      <c r="E10" s="110" t="s">
        <v>97</v>
      </c>
      <c r="G10" s="127" t="str">
        <f t="shared" si="0"/>
        <v/>
      </c>
      <c r="H10" s="126" t="str">
        <f t="shared" si="1"/>
        <v/>
      </c>
      <c r="I10" s="117" t="s">
        <v>108</v>
      </c>
      <c r="J10" s="113">
        <f>J9*J8</f>
        <v>0</v>
      </c>
      <c r="M10" s="120" t="str">
        <f>IF(AND(TA!B5&gt;0,N10&lt;&gt;""),CONCATENATE("",TEXT(TA!B5,"jj/mm/aaaa")),"")</f>
        <v/>
      </c>
      <c r="N10" s="111" t="str">
        <f>IF($H$7="","",(TA!J4*$H$7)/12*$I$3)</f>
        <v/>
      </c>
      <c r="O10" s="42"/>
    </row>
    <row r="11" spans="1:19" ht="30" customHeight="1" x14ac:dyDescent="0.25">
      <c r="A11" s="80"/>
      <c r="B11" s="82" t="s">
        <v>3</v>
      </c>
      <c r="C11" s="115">
        <f>SUM(C6:C10)</f>
        <v>110311.18</v>
      </c>
      <c r="D11" s="115">
        <f>SUM(D6:D10)</f>
        <v>110311.18</v>
      </c>
      <c r="E11" s="162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27" t="str">
        <f t="shared" si="0"/>
        <v/>
      </c>
      <c r="H11" s="126" t="str">
        <f t="shared" si="1"/>
        <v/>
      </c>
      <c r="M11" s="120" t="str">
        <f>IF(AND(TA!B6&gt;0,N11&lt;&gt;""),CONCATENATE("",TEXT(TA!B6,"jj/mm/aaaa")),"")</f>
        <v/>
      </c>
      <c r="N11" s="111" t="str">
        <f>IF($H$7="","",(TA!J5*$H$7)/12*$I$3)</f>
        <v/>
      </c>
      <c r="O11" s="42"/>
    </row>
    <row r="12" spans="1:19" ht="30" customHeight="1" x14ac:dyDescent="0.25">
      <c r="A12" s="80"/>
      <c r="B12" s="110" t="s">
        <v>85</v>
      </c>
      <c r="C12" s="154">
        <f>D11-C11</f>
        <v>0</v>
      </c>
      <c r="D12" s="155"/>
      <c r="E12" s="163"/>
      <c r="F12" s="106"/>
      <c r="G12" s="127" t="str">
        <f t="shared" si="0"/>
        <v/>
      </c>
      <c r="H12" s="126" t="str">
        <f t="shared" si="1"/>
        <v/>
      </c>
      <c r="K12" s="62"/>
      <c r="M12" s="120" t="str">
        <f>IF(AND(TA!B7&gt;0,N12&lt;&gt;""),CONCATENATE("",TEXT(TA!B7,"jj/mm/aaaa")),"")</f>
        <v/>
      </c>
      <c r="N12" s="111" t="str">
        <f>IF($H$7="","",(TA!J6*$H$7)/12*$I$3)</f>
        <v/>
      </c>
      <c r="O12" s="42"/>
    </row>
    <row r="13" spans="1:19" ht="30" customHeight="1" x14ac:dyDescent="0.25">
      <c r="A13" s="153" t="s">
        <v>89</v>
      </c>
      <c r="B13" s="83" t="s">
        <v>87</v>
      </c>
      <c r="C13" s="116">
        <f>+C6+C9</f>
        <v>108900</v>
      </c>
      <c r="D13" s="116">
        <f>+D6</f>
        <v>109000</v>
      </c>
      <c r="E13" s="102" t="s">
        <v>86</v>
      </c>
      <c r="F13" s="107"/>
      <c r="G13" s="127" t="str">
        <f t="shared" si="0"/>
        <v/>
      </c>
      <c r="H13" s="126" t="str">
        <f t="shared" si="1"/>
        <v/>
      </c>
      <c r="M13" s="120" t="str">
        <f>IF(AND(TA!B8&gt;0,N13&lt;&gt;""),CONCATENATE("",TEXT(TA!B8,"jj/mm/aaaa")),"")</f>
        <v/>
      </c>
      <c r="N13" s="111" t="str">
        <f>IF($H$7="","",(TA!J7*$H$7)/12*$I$3)</f>
        <v/>
      </c>
      <c r="O13" s="42"/>
    </row>
    <row r="14" spans="1:19" ht="30" customHeight="1" x14ac:dyDescent="0.25">
      <c r="A14" s="153"/>
      <c r="B14" s="83" t="s">
        <v>88</v>
      </c>
      <c r="C14" s="156">
        <f>D13-C13</f>
        <v>100</v>
      </c>
      <c r="D14" s="157"/>
      <c r="E14" s="160">
        <f>D6-J3</f>
        <v>54584.18</v>
      </c>
      <c r="F14" s="106"/>
      <c r="G14" s="127" t="str">
        <f t="shared" si="0"/>
        <v/>
      </c>
      <c r="H14" s="126" t="str">
        <f t="shared" si="1"/>
        <v/>
      </c>
      <c r="M14" s="120" t="str">
        <f>IF(AND(TA!B9&gt;0,N14&lt;&gt;""),CONCATENATE("",TEXT(TA!B9,"jj/mm/aaaa")),"")</f>
        <v/>
      </c>
      <c r="N14" s="111" t="str">
        <f>IF($H$7="","",(TA!J8*$H$7)/12*$I$3)</f>
        <v/>
      </c>
      <c r="O14" s="42"/>
    </row>
    <row r="15" spans="1:19" ht="30" customHeight="1" x14ac:dyDescent="0.25">
      <c r="A15" s="153"/>
      <c r="B15" s="83" t="s">
        <v>85</v>
      </c>
      <c r="C15" s="166">
        <f>C14-C10-C7+(D7+D9+D8+D10)</f>
        <v>0</v>
      </c>
      <c r="D15" s="166"/>
      <c r="E15" s="161"/>
      <c r="F15" s="106"/>
      <c r="G15" s="127" t="str">
        <f t="shared" si="0"/>
        <v/>
      </c>
      <c r="H15" s="126" t="str">
        <f t="shared" si="1"/>
        <v/>
      </c>
      <c r="M15" s="120" t="str">
        <f>IF(AND(TA!B10&gt;0,N15&lt;&gt;""),CONCATENATE("",TEXT(TA!B10,"jj/mm/aaaa")),"")</f>
        <v/>
      </c>
      <c r="N15" s="111" t="str">
        <f>IF($H$7="","",(TA!J9*$H$7)/12*$I$3)</f>
        <v/>
      </c>
      <c r="O15" s="42"/>
    </row>
    <row r="16" spans="1:19" ht="30" customHeight="1" x14ac:dyDescent="0.25">
      <c r="F16" s="108"/>
      <c r="G16" s="127" t="str">
        <f t="shared" si="0"/>
        <v/>
      </c>
      <c r="H16" s="126" t="str">
        <f t="shared" si="1"/>
        <v/>
      </c>
      <c r="I16" s="109"/>
      <c r="J16" s="109"/>
      <c r="M16" s="120" t="str">
        <f>IF(AND(TA!B11&gt;0,N16&lt;&gt;""),CONCATENATE("",TEXT(TA!B11,"jj/mm/aaaa")),"")</f>
        <v/>
      </c>
      <c r="N16" s="111" t="str">
        <f>IF($H$7="","",(TA!J10*$H$7)/12*$I$3)</f>
        <v/>
      </c>
      <c r="O16" s="60"/>
      <c r="P16" s="60"/>
      <c r="Q16" s="60"/>
      <c r="R16" s="60"/>
      <c r="S16" s="64"/>
    </row>
    <row r="17" spans="2:19" ht="30" customHeight="1" x14ac:dyDescent="0.25">
      <c r="F17" s="63"/>
      <c r="G17" s="127" t="str">
        <f t="shared" si="0"/>
        <v/>
      </c>
      <c r="H17" s="126" t="str">
        <f t="shared" si="1"/>
        <v/>
      </c>
      <c r="I17" s="60"/>
      <c r="J17" s="60"/>
      <c r="K17" s="60"/>
      <c r="M17" s="120" t="str">
        <f>IF(AND(TA!B12&gt;0,N17&lt;&gt;""),CONCATENATE("",TEXT(TA!B12,"jj/mm/aaaa")),"")</f>
        <v/>
      </c>
      <c r="N17" s="111" t="str">
        <f>IF($H$7="","",(TA!J11*$H$7)/12*$I$3)</f>
        <v/>
      </c>
      <c r="O17" s="60"/>
      <c r="P17" s="60"/>
      <c r="Q17" s="60"/>
      <c r="R17" s="60"/>
      <c r="S17" s="64"/>
    </row>
    <row r="18" spans="2:19" ht="30" customHeight="1" x14ac:dyDescent="0.25">
      <c r="F18" s="63"/>
      <c r="G18" s="127" t="str">
        <f t="shared" si="0"/>
        <v/>
      </c>
      <c r="H18" s="126" t="str">
        <f t="shared" si="1"/>
        <v/>
      </c>
      <c r="I18" s="60"/>
      <c r="J18" s="60"/>
      <c r="K18" s="60"/>
      <c r="M18" s="120" t="str">
        <f>IF(AND(TA!B13&gt;0,N18&lt;&gt;""),CONCATENATE("",TEXT(TA!B13,"jj/mm/aaaa")),"")</f>
        <v/>
      </c>
      <c r="N18" s="111" t="str">
        <f>IF($H$7="","",(TA!J12*$H$7)/12*$I$3)</f>
        <v/>
      </c>
      <c r="O18" s="60"/>
      <c r="P18" s="60"/>
      <c r="Q18" s="60"/>
      <c r="R18" s="60"/>
      <c r="S18" s="64"/>
    </row>
    <row r="19" spans="2:19" ht="30" customHeight="1" x14ac:dyDescent="0.25">
      <c r="F19" s="63"/>
      <c r="G19" s="127" t="str">
        <f t="shared" si="0"/>
        <v/>
      </c>
      <c r="H19" s="126" t="str">
        <f t="shared" si="1"/>
        <v/>
      </c>
      <c r="I19" s="60"/>
      <c r="J19" s="60"/>
      <c r="K19" s="60"/>
      <c r="M19" s="120" t="str">
        <f>IF(AND(TA!B14&gt;0,N19&lt;&gt;""),CONCATENATE("",TEXT(TA!B14,"jj/mm/aaaa")),"")</f>
        <v/>
      </c>
      <c r="N19" s="111" t="str">
        <f>IF($H$7="","",(TA!J13*$H$7)/12*$I$3)</f>
        <v/>
      </c>
      <c r="O19" s="60"/>
      <c r="P19" s="60"/>
      <c r="Q19" s="60"/>
      <c r="R19" s="60"/>
      <c r="S19" s="64"/>
    </row>
    <row r="20" spans="2:19" ht="30" customHeight="1" x14ac:dyDescent="0.25">
      <c r="E20" s="60"/>
      <c r="F20" s="63"/>
      <c r="G20" s="127" t="str">
        <f t="shared" si="0"/>
        <v/>
      </c>
      <c r="H20" s="126" t="str">
        <f t="shared" si="1"/>
        <v/>
      </c>
      <c r="I20" s="60"/>
      <c r="J20" s="60"/>
      <c r="K20" s="60"/>
      <c r="M20" s="120" t="str">
        <f>IF(AND(TA!B15&gt;0,N20&lt;&gt;""),CONCATENATE("",TEXT(TA!B15,"jj/mm/aaaa")),"")</f>
        <v/>
      </c>
      <c r="N20" s="111" t="str">
        <f>IF($H$7="","",(TA!J14*$H$7)/12*$I$3)</f>
        <v/>
      </c>
      <c r="O20" s="60"/>
      <c r="P20" s="60"/>
      <c r="Q20" s="60"/>
      <c r="R20" s="60"/>
      <c r="S20" s="64"/>
    </row>
    <row r="21" spans="2:19" ht="30" customHeight="1" x14ac:dyDescent="0.25">
      <c r="E21" s="60"/>
      <c r="F21" s="63"/>
      <c r="G21" s="127" t="str">
        <f t="shared" si="0"/>
        <v/>
      </c>
      <c r="H21" s="126" t="str">
        <f t="shared" si="1"/>
        <v/>
      </c>
      <c r="I21" s="60"/>
      <c r="J21" s="60"/>
      <c r="K21" s="60"/>
      <c r="M21" s="120" t="str">
        <f>IF(AND(TA!B16&gt;0,N21&lt;&gt;""),CONCATENATE("",TEXT(TA!B16,"jj/mm/aaaa")),"")</f>
        <v/>
      </c>
      <c r="N21" s="111" t="str">
        <f>IF($H$7="","",(TA!J15*$H$7)/12*$I$3)</f>
        <v/>
      </c>
      <c r="O21" s="60"/>
      <c r="P21" s="60"/>
      <c r="Q21" s="60"/>
      <c r="R21" s="60"/>
      <c r="S21" s="64"/>
    </row>
    <row r="22" spans="2:19" ht="30" customHeight="1" x14ac:dyDescent="0.25">
      <c r="E22" s="60"/>
      <c r="F22" s="63"/>
      <c r="G22" s="127" t="str">
        <f t="shared" si="0"/>
        <v/>
      </c>
      <c r="H22" s="126" t="str">
        <f t="shared" si="1"/>
        <v/>
      </c>
      <c r="I22" s="60"/>
      <c r="J22" s="60"/>
      <c r="K22" s="60"/>
      <c r="M22" s="120" t="str">
        <f>IF(AND(TA!B17&gt;0,N22&lt;&gt;""),CONCATENATE("",TEXT(TA!B17,"jj/mm/aaaa")),"")</f>
        <v/>
      </c>
      <c r="N22" s="111" t="str">
        <f>IF($H$7="","",(TA!J16*$H$7)/12*$I$3)</f>
        <v/>
      </c>
      <c r="O22" s="60"/>
      <c r="P22" s="60"/>
      <c r="Q22" s="60"/>
      <c r="R22" s="60"/>
      <c r="S22" s="64"/>
    </row>
    <row r="23" spans="2:19" ht="30" customHeight="1" x14ac:dyDescent="0.25">
      <c r="E23" s="60"/>
      <c r="F23" s="63"/>
      <c r="G23" s="127" t="str">
        <f t="shared" si="0"/>
        <v/>
      </c>
      <c r="H23" s="126" t="str">
        <f t="shared" si="1"/>
        <v/>
      </c>
      <c r="I23" s="60"/>
      <c r="J23" s="60"/>
      <c r="K23" s="60"/>
      <c r="M23" s="120" t="str">
        <f>IF(AND(TA!B18&gt;0,N23&lt;&gt;""),CONCATENATE("",TEXT(TA!B18,"jj/mm/aaaa")),"")</f>
        <v/>
      </c>
      <c r="N23" s="111" t="str">
        <f>IF($H$7="","",(TA!J17*$H$7)/12*$I$3)</f>
        <v/>
      </c>
      <c r="O23" s="60"/>
      <c r="P23" s="60"/>
      <c r="Q23" s="60"/>
      <c r="R23" s="60"/>
      <c r="S23" s="64"/>
    </row>
    <row r="24" spans="2:19" ht="30" customHeight="1" x14ac:dyDescent="0.25">
      <c r="E24" s="60"/>
      <c r="F24" s="63"/>
      <c r="G24" s="127" t="str">
        <f t="shared" si="0"/>
        <v/>
      </c>
      <c r="H24" s="126" t="str">
        <f t="shared" si="1"/>
        <v/>
      </c>
      <c r="I24" s="60"/>
      <c r="J24" s="60"/>
      <c r="K24" s="60"/>
      <c r="M24" s="120" t="str">
        <f>IF(AND(TA!B19&gt;0,N24&lt;&gt;""),CONCATENATE("",TEXT(TA!B19,"jj/mm/aaaa")),"")</f>
        <v/>
      </c>
      <c r="N24" s="111" t="str">
        <f>IF($H$7="","",(TA!J18*$H$7)/12*$I$3)</f>
        <v/>
      </c>
      <c r="O24" s="60"/>
      <c r="P24" s="60"/>
      <c r="Q24" s="60"/>
      <c r="R24" s="60"/>
      <c r="S24" s="64"/>
    </row>
    <row r="25" spans="2:19" ht="30" customHeight="1" x14ac:dyDescent="0.3">
      <c r="B25"/>
      <c r="C25"/>
      <c r="D25" s="25"/>
      <c r="E25" s="60"/>
      <c r="F25" s="63"/>
      <c r="G25" s="127" t="str">
        <f t="shared" si="0"/>
        <v/>
      </c>
      <c r="H25" s="126" t="str">
        <f t="shared" si="1"/>
        <v/>
      </c>
      <c r="I25" s="60"/>
      <c r="J25" s="60"/>
      <c r="K25" s="60"/>
      <c r="M25" s="120" t="str">
        <f>IF(AND(TA!B20&gt;0,N25&lt;&gt;""),CONCATENATE("",TEXT(TA!B20,"jj/mm/aaaa")),"")</f>
        <v/>
      </c>
      <c r="N25" s="111" t="str">
        <f>IF($H$7="","",(TA!J19*$H$7)/12*$I$3)</f>
        <v/>
      </c>
      <c r="O25" s="60"/>
      <c r="P25" s="60"/>
      <c r="Q25" s="60"/>
      <c r="R25" s="60"/>
      <c r="S25" s="64"/>
    </row>
    <row r="26" spans="2:19" ht="30" customHeight="1" x14ac:dyDescent="0.3">
      <c r="C26"/>
      <c r="D26" s="25"/>
      <c r="E26" s="60"/>
      <c r="F26" s="63"/>
      <c r="G26" s="127" t="str">
        <f t="shared" si="0"/>
        <v/>
      </c>
      <c r="H26" s="126" t="str">
        <f t="shared" si="1"/>
        <v/>
      </c>
      <c r="I26" s="60"/>
      <c r="J26" s="60"/>
      <c r="K26" s="60"/>
      <c r="M26" s="120" t="str">
        <f>IF(AND(TA!B21&gt;0,N26&lt;&gt;""),CONCATENATE("",TEXT(TA!B21,"jj/mm/aaaa")),"")</f>
        <v/>
      </c>
      <c r="N26" s="111" t="str">
        <f>IF($H$7="","",(TA!J20*$H$7)/12*$I$3)</f>
        <v/>
      </c>
      <c r="P26" s="60"/>
      <c r="Q26" s="60"/>
      <c r="R26" s="60"/>
      <c r="S26" s="64"/>
    </row>
    <row r="27" spans="2:19" ht="30" customHeight="1" x14ac:dyDescent="0.25">
      <c r="C27"/>
      <c r="E27" s="60"/>
      <c r="F27" s="63"/>
      <c r="G27" s="127" t="str">
        <f t="shared" si="0"/>
        <v/>
      </c>
      <c r="H27" s="126" t="str">
        <f t="shared" si="1"/>
        <v/>
      </c>
      <c r="I27" s="60"/>
      <c r="J27" s="60"/>
      <c r="K27" s="60"/>
      <c r="M27" s="120" t="str">
        <f>IF(AND(TA!B22&gt;0,N27&lt;&gt;""),CONCATENATE("",TEXT(TA!B22,"jj/mm/aaaa")),"")</f>
        <v/>
      </c>
      <c r="N27" s="111" t="str">
        <f>IF($H$7="","",(TA!J21*$H$7)/12*$I$3)</f>
        <v/>
      </c>
      <c r="P27" s="60"/>
      <c r="Q27" s="60"/>
      <c r="R27" s="60"/>
      <c r="S27" s="64"/>
    </row>
    <row r="28" spans="2:19" ht="30" customHeight="1" x14ac:dyDescent="0.25">
      <c r="B28"/>
      <c r="C28"/>
      <c r="G28" s="121" t="s">
        <v>108</v>
      </c>
      <c r="H28" s="113">
        <f>SUM(H8:H27)</f>
        <v>0</v>
      </c>
    </row>
    <row r="29" spans="2:19" ht="30" customHeight="1" x14ac:dyDescent="0.25">
      <c r="B29"/>
      <c r="C29"/>
      <c r="D29"/>
      <c r="K29" s="42"/>
    </row>
    <row r="30" spans="2:19" ht="30" customHeight="1" x14ac:dyDescent="0.25">
      <c r="B30" s="88"/>
      <c r="C30"/>
      <c r="D30"/>
    </row>
    <row r="31" spans="2:19" ht="30" customHeight="1" x14ac:dyDescent="0.25">
      <c r="B31" s="89"/>
      <c r="C31"/>
      <c r="D31"/>
    </row>
    <row r="32" spans="2:19" ht="30" customHeight="1" x14ac:dyDescent="0.25">
      <c r="B32" s="90"/>
      <c r="C32" s="86"/>
      <c r="D32" s="86"/>
    </row>
    <row r="33" spans="2:4" x14ac:dyDescent="0.25">
      <c r="B33" s="91"/>
      <c r="C33" s="85"/>
      <c r="D33" s="86"/>
    </row>
  </sheetData>
  <mergeCells count="9">
    <mergeCell ref="A13:A15"/>
    <mergeCell ref="C12:D12"/>
    <mergeCell ref="C14:D14"/>
    <mergeCell ref="G5:J5"/>
    <mergeCell ref="E14:E15"/>
    <mergeCell ref="E11:E12"/>
    <mergeCell ref="B7:B8"/>
    <mergeCell ref="C7:C8"/>
    <mergeCell ref="C15:D15"/>
  </mergeCells>
  <conditionalFormatting sqref="C12:D12">
    <cfRule type="cellIs" dxfId="16" priority="8" operator="lessThan">
      <formula>0</formula>
    </cfRule>
    <cfRule type="cellIs" dxfId="15" priority="9" operator="greaterThan">
      <formula>0</formula>
    </cfRule>
  </conditionalFormatting>
  <conditionalFormatting sqref="E14">
    <cfRule type="cellIs" dxfId="14" priority="7" operator="lessThan">
      <formula>0</formula>
    </cfRule>
  </conditionalFormatting>
  <conditionalFormatting sqref="J10 J9 H6 J3 G3 D7 D8 D10 C10 C7 E14">
    <cfRule type="cellIs" dxfId="13" priority="6" operator="equal">
      <formula>0</formula>
    </cfRule>
  </conditionalFormatting>
  <conditionalFormatting sqref="C11 D11">
    <cfRule type="cellIs" dxfId="12" priority="5" operator="equal">
      <formula>0</formula>
    </cfRule>
  </conditionalFormatting>
  <conditionalFormatting sqref="J9">
    <cfRule type="expression" dxfId="11" priority="4">
      <formula>IF($J$10&lt;&gt;0,"",$J$9)</formula>
    </cfRule>
  </conditionalFormatting>
  <conditionalFormatting sqref="H6">
    <cfRule type="expression" dxfId="10" priority="3">
      <formula>IF($J$6=0,"",$J$3)</formula>
    </cfRule>
  </conditionalFormatting>
  <dataValidations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7" xr:uid="{73505311-3E7D-4A66-80E8-80284C233B0A}">
      <formula1>OR(H7=0,J7=0)</formula1>
    </dataValidation>
    <dataValidation type="custom" allowBlank="1" showInputMessage="1" showErrorMessage="1" error="Un seul taux de cotisation doit être renseigné." sqref="J7" xr:uid="{DCDC482D-049C-4503-A2EE-5E31FE3FFDA6}">
      <formula1>OR(H7=0,J7=0)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1</xdr:col>
                    <xdr:colOff>257175</xdr:colOff>
                    <xdr:row>4</xdr:row>
                    <xdr:rowOff>28575</xdr:rowOff>
                  </from>
                  <to>
                    <xdr:col>1</xdr:col>
                    <xdr:colOff>1790700</xdr:colOff>
                    <xdr:row>4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EA630B68-2B1E-4687-8E37-C5D347641250}">
            <xm:f>AND($I$3&lt;&gt;1,TA!F2&lt;&gt;0)</xm:f>
            <x14:dxf>
              <font>
                <b/>
                <i val="0"/>
                <color rgb="FFFFC000"/>
              </font>
            </x14:dxf>
          </x14:cfRule>
          <xm:sqref>C7:C8</xm:sqref>
        </x14:conditionalFormatting>
        <x14:conditionalFormatting xmlns:xm="http://schemas.microsoft.com/office/excel/2006/main">
          <x14:cfRule type="expression" priority="1" id="{45538CAB-0F4E-458D-8C69-6B751BF24DE1}">
            <xm:f>AND($I$3&lt;&gt;1,TA!F2&lt;&gt;0)</xm:f>
            <x14:dxf>
              <font>
                <b/>
                <i val="0"/>
                <color rgb="FFFFC000"/>
              </font>
            </x14:dxf>
          </x14:cfRule>
          <xm:sqref>D7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30"/>
  <sheetViews>
    <sheetView showGridLines="0" zoomScaleNormal="100" workbookViewId="0">
      <pane ySplit="1" topLeftCell="A2" activePane="bottomLeft" state="frozen"/>
      <selection pane="bottomLeft" activeCell="F23" sqref="F23"/>
    </sheetView>
  </sheetViews>
  <sheetFormatPr baseColWidth="10" defaultColWidth="11.42578125" defaultRowHeight="15" x14ac:dyDescent="0.25"/>
  <cols>
    <col min="1" max="1" width="9.7109375" customWidth="1"/>
    <col min="2" max="2" width="12.7109375" customWidth="1"/>
    <col min="3" max="3" width="25.7109375" customWidth="1"/>
    <col min="4" max="4" width="22.7109375" customWidth="1"/>
    <col min="5" max="5" width="18.7109375" customWidth="1"/>
    <col min="6" max="6" width="14.7109375" customWidth="1"/>
    <col min="7" max="7" width="16.7109375" customWidth="1"/>
    <col min="8" max="10" width="18.7109375" customWidth="1"/>
    <col min="11" max="11" width="17.140625" customWidth="1"/>
    <col min="12" max="12" width="25.42578125" customWidth="1"/>
    <col min="13" max="13" width="14.28515625" customWidth="1"/>
    <col min="14" max="14" width="10.7109375" style="129" hidden="1" customWidth="1"/>
  </cols>
  <sheetData>
    <row r="1" spans="1:16" ht="42" customHeight="1" x14ac:dyDescent="0.25">
      <c r="A1" s="128" t="s">
        <v>4</v>
      </c>
      <c r="B1" s="128" t="s">
        <v>5</v>
      </c>
      <c r="C1" s="128" t="s">
        <v>6</v>
      </c>
      <c r="D1" s="128" t="s">
        <v>7</v>
      </c>
      <c r="E1" s="128" t="s">
        <v>8</v>
      </c>
      <c r="F1" s="128" t="s">
        <v>9</v>
      </c>
      <c r="G1" s="128" t="s">
        <v>10</v>
      </c>
      <c r="H1" s="128" t="s">
        <v>11</v>
      </c>
      <c r="I1" s="128" t="s">
        <v>12</v>
      </c>
      <c r="J1" s="128" t="s">
        <v>13</v>
      </c>
      <c r="K1" s="128" t="s">
        <v>14</v>
      </c>
      <c r="L1" s="128" t="s">
        <v>15</v>
      </c>
    </row>
    <row r="2" spans="1:16" ht="15" customHeight="1" x14ac:dyDescent="0.25">
      <c r="A2" s="143" t="s">
        <v>116</v>
      </c>
      <c r="B2" s="144">
        <v>45427</v>
      </c>
      <c r="C2" s="143" t="s">
        <v>117</v>
      </c>
      <c r="D2" s="145">
        <v>500</v>
      </c>
      <c r="E2" s="145">
        <v>113.67</v>
      </c>
      <c r="F2" s="145">
        <v>97.84</v>
      </c>
      <c r="G2" s="145">
        <v>0</v>
      </c>
      <c r="H2" s="145">
        <v>288.49</v>
      </c>
      <c r="I2" s="145">
        <v>0</v>
      </c>
      <c r="J2" s="146">
        <v>108831.64</v>
      </c>
      <c r="K2" s="145">
        <v>0</v>
      </c>
      <c r="L2" s="145">
        <v>108831.64</v>
      </c>
    </row>
    <row r="3" spans="1:16" x14ac:dyDescent="0.25">
      <c r="A3" s="143" t="s">
        <v>116</v>
      </c>
      <c r="B3" s="144">
        <v>45458</v>
      </c>
      <c r="C3" s="143" t="s">
        <v>117</v>
      </c>
      <c r="D3" s="145">
        <v>500</v>
      </c>
      <c r="E3" s="145">
        <v>113.37</v>
      </c>
      <c r="F3" s="145">
        <v>97.59</v>
      </c>
      <c r="G3" s="145">
        <v>0</v>
      </c>
      <c r="H3" s="145">
        <v>289.04000000000002</v>
      </c>
      <c r="I3" s="145">
        <v>0</v>
      </c>
      <c r="J3" s="145">
        <v>108542.6</v>
      </c>
      <c r="K3" s="145">
        <v>0</v>
      </c>
      <c r="L3" s="145">
        <v>108542.6</v>
      </c>
      <c r="N3" s="130" t="str">
        <f>IF(ISERROR(SEARCH("ECH",A3)),"0","1")</f>
        <v>1</v>
      </c>
    </row>
    <row r="4" spans="1:16" x14ac:dyDescent="0.25">
      <c r="A4" s="143" t="s">
        <v>116</v>
      </c>
      <c r="B4" s="144">
        <v>45488</v>
      </c>
      <c r="C4" s="143" t="s">
        <v>117</v>
      </c>
      <c r="D4" s="145">
        <v>500</v>
      </c>
      <c r="E4" s="145">
        <v>113.07</v>
      </c>
      <c r="F4" s="145">
        <v>97.32</v>
      </c>
      <c r="G4" s="145">
        <v>0</v>
      </c>
      <c r="H4" s="145">
        <v>289.61</v>
      </c>
      <c r="I4" s="145">
        <v>0</v>
      </c>
      <c r="J4" s="145">
        <v>108252.99</v>
      </c>
      <c r="K4" s="145">
        <v>0</v>
      </c>
      <c r="L4" s="145">
        <v>108252.99</v>
      </c>
      <c r="N4" s="130" t="str">
        <f t="shared" ref="N4:N23" si="0">IF(ISERROR(SEARCH("ECH",A4)),"0","1")</f>
        <v>1</v>
      </c>
    </row>
    <row r="5" spans="1:16" x14ac:dyDescent="0.25">
      <c r="A5" s="143" t="s">
        <v>116</v>
      </c>
      <c r="B5" s="144">
        <v>45519</v>
      </c>
      <c r="C5" s="143" t="s">
        <v>117</v>
      </c>
      <c r="D5" s="145">
        <v>500</v>
      </c>
      <c r="E5" s="145">
        <v>112.76</v>
      </c>
      <c r="F5" s="145">
        <v>97.07</v>
      </c>
      <c r="G5" s="145">
        <v>0</v>
      </c>
      <c r="H5" s="145">
        <v>290.17</v>
      </c>
      <c r="I5" s="145">
        <v>0</v>
      </c>
      <c r="J5" s="145">
        <v>107962.82</v>
      </c>
      <c r="K5" s="145">
        <v>0</v>
      </c>
      <c r="L5" s="145">
        <v>107962.82</v>
      </c>
      <c r="N5" s="130" t="str">
        <f t="shared" si="0"/>
        <v>1</v>
      </c>
    </row>
    <row r="6" spans="1:16" x14ac:dyDescent="0.25">
      <c r="A6" s="143" t="s">
        <v>116</v>
      </c>
      <c r="B6" s="144">
        <v>45550</v>
      </c>
      <c r="C6" s="143" t="s">
        <v>117</v>
      </c>
      <c r="D6" s="145">
        <v>500</v>
      </c>
      <c r="E6" s="145">
        <v>112.46</v>
      </c>
      <c r="F6" s="145">
        <v>96.8</v>
      </c>
      <c r="G6" s="145">
        <v>0</v>
      </c>
      <c r="H6" s="145">
        <v>290.74</v>
      </c>
      <c r="I6" s="145">
        <v>0</v>
      </c>
      <c r="J6" s="145">
        <v>107672.08</v>
      </c>
      <c r="K6" s="145">
        <v>0</v>
      </c>
      <c r="L6" s="145">
        <v>107672.08</v>
      </c>
      <c r="N6" s="130" t="str">
        <f t="shared" si="0"/>
        <v>1</v>
      </c>
    </row>
    <row r="7" spans="1:16" x14ac:dyDescent="0.25">
      <c r="A7" s="143" t="s">
        <v>116</v>
      </c>
      <c r="B7" s="144">
        <v>45580</v>
      </c>
      <c r="C7" s="143" t="s">
        <v>117</v>
      </c>
      <c r="D7" s="145">
        <v>500</v>
      </c>
      <c r="E7" s="145">
        <v>112.16</v>
      </c>
      <c r="F7" s="145">
        <v>96.55</v>
      </c>
      <c r="G7" s="145">
        <v>0</v>
      </c>
      <c r="H7" s="145">
        <v>291.29000000000002</v>
      </c>
      <c r="I7" s="145">
        <v>0</v>
      </c>
      <c r="J7" s="145">
        <v>107380.79</v>
      </c>
      <c r="K7" s="145">
        <v>0</v>
      </c>
      <c r="L7" s="145">
        <v>107380.79</v>
      </c>
      <c r="N7" s="130" t="str">
        <f t="shared" si="0"/>
        <v>1</v>
      </c>
    </row>
    <row r="8" spans="1:16" x14ac:dyDescent="0.25">
      <c r="A8" s="143" t="s">
        <v>116</v>
      </c>
      <c r="B8" s="144">
        <v>45611</v>
      </c>
      <c r="C8" s="143" t="s">
        <v>117</v>
      </c>
      <c r="D8" s="145">
        <v>500</v>
      </c>
      <c r="E8" s="145">
        <v>111.85</v>
      </c>
      <c r="F8" s="145">
        <v>96.28</v>
      </c>
      <c r="G8" s="145">
        <v>0</v>
      </c>
      <c r="H8" s="145">
        <v>291.87</v>
      </c>
      <c r="I8" s="145">
        <v>0</v>
      </c>
      <c r="J8" s="145">
        <v>107088.92</v>
      </c>
      <c r="K8" s="145">
        <v>0</v>
      </c>
      <c r="L8" s="145">
        <v>107088.92</v>
      </c>
      <c r="N8" s="130" t="str">
        <f t="shared" si="0"/>
        <v>1</v>
      </c>
    </row>
    <row r="9" spans="1:16" x14ac:dyDescent="0.25">
      <c r="A9" s="147" t="s">
        <v>116</v>
      </c>
      <c r="B9" s="148">
        <v>45641</v>
      </c>
      <c r="C9" s="147" t="s">
        <v>117</v>
      </c>
      <c r="D9" s="145">
        <v>500</v>
      </c>
      <c r="E9" s="145">
        <v>111.55</v>
      </c>
      <c r="F9" s="145">
        <v>96.03</v>
      </c>
      <c r="G9" s="149">
        <v>0</v>
      </c>
      <c r="H9" s="145">
        <v>292.42</v>
      </c>
      <c r="I9" s="149">
        <v>0</v>
      </c>
      <c r="J9" s="149">
        <v>106796.5</v>
      </c>
      <c r="K9" s="149">
        <v>0</v>
      </c>
      <c r="L9" s="149">
        <v>106796.5</v>
      </c>
      <c r="N9" s="130" t="str">
        <f t="shared" si="0"/>
        <v>1</v>
      </c>
    </row>
    <row r="10" spans="1:16" x14ac:dyDescent="0.25">
      <c r="A10" s="147"/>
      <c r="B10" s="144"/>
      <c r="C10" s="143"/>
      <c r="D10" s="145"/>
      <c r="E10" s="145"/>
      <c r="F10" s="145"/>
      <c r="G10" s="145"/>
      <c r="H10" s="145"/>
      <c r="I10" s="145"/>
      <c r="J10" s="145"/>
      <c r="K10" s="145"/>
      <c r="L10" s="145"/>
      <c r="N10" s="130" t="str">
        <f t="shared" si="0"/>
        <v>0</v>
      </c>
    </row>
    <row r="11" spans="1:16" x14ac:dyDescent="0.25">
      <c r="A11" s="147"/>
      <c r="B11" s="148"/>
      <c r="C11" s="147"/>
      <c r="D11" s="145"/>
      <c r="E11" s="145"/>
      <c r="F11" s="145"/>
      <c r="G11" s="149"/>
      <c r="H11" s="145"/>
      <c r="I11" s="149"/>
      <c r="J11" s="149"/>
      <c r="K11" s="149"/>
      <c r="L11" s="149"/>
      <c r="N11" s="130" t="str">
        <f t="shared" si="0"/>
        <v>0</v>
      </c>
      <c r="P11" s="131"/>
    </row>
    <row r="12" spans="1:16" x14ac:dyDescent="0.25">
      <c r="A12" s="147"/>
      <c r="B12" s="144"/>
      <c r="C12" s="143"/>
      <c r="D12" s="145"/>
      <c r="E12" s="145"/>
      <c r="F12" s="145"/>
      <c r="G12" s="145"/>
      <c r="H12" s="145"/>
      <c r="I12" s="145"/>
      <c r="J12" s="145"/>
      <c r="K12" s="145"/>
      <c r="L12" s="145"/>
      <c r="N12" s="130" t="str">
        <f t="shared" si="0"/>
        <v>0</v>
      </c>
    </row>
    <row r="13" spans="1:16" x14ac:dyDescent="0.25">
      <c r="A13" s="147"/>
      <c r="B13" s="144"/>
      <c r="C13" s="143"/>
      <c r="D13" s="145"/>
      <c r="E13" s="145"/>
      <c r="F13" s="145"/>
      <c r="G13" s="145"/>
      <c r="H13" s="145"/>
      <c r="I13" s="145"/>
      <c r="J13" s="145"/>
      <c r="K13" s="145"/>
      <c r="L13" s="145"/>
      <c r="N13" s="130" t="str">
        <f t="shared" si="0"/>
        <v>0</v>
      </c>
    </row>
    <row r="14" spans="1:16" x14ac:dyDescent="0.25">
      <c r="A14" s="147"/>
      <c r="B14" s="144"/>
      <c r="C14" s="143"/>
      <c r="D14" s="145"/>
      <c r="E14" s="145"/>
      <c r="F14" s="145"/>
      <c r="G14" s="145"/>
      <c r="H14" s="145"/>
      <c r="I14" s="145"/>
      <c r="J14" s="145"/>
      <c r="K14" s="145"/>
      <c r="L14" s="145"/>
      <c r="M14" s="132"/>
      <c r="N14" s="130" t="str">
        <f t="shared" si="0"/>
        <v>0</v>
      </c>
    </row>
    <row r="15" spans="1:16" x14ac:dyDescent="0.25">
      <c r="A15" s="147"/>
      <c r="B15" s="144"/>
      <c r="C15" s="143"/>
      <c r="D15" s="145"/>
      <c r="E15" s="145"/>
      <c r="F15" s="145"/>
      <c r="G15" s="145"/>
      <c r="H15" s="145"/>
      <c r="I15" s="145"/>
      <c r="J15" s="145"/>
      <c r="K15" s="145"/>
      <c r="L15" s="145"/>
      <c r="M15" s="132"/>
      <c r="N15" s="130" t="str">
        <f t="shared" si="0"/>
        <v>0</v>
      </c>
    </row>
    <row r="16" spans="1:16" x14ac:dyDescent="0.25">
      <c r="A16" s="143"/>
      <c r="B16" s="144"/>
      <c r="C16" s="143"/>
      <c r="D16" s="145"/>
      <c r="E16" s="145"/>
      <c r="F16" s="145"/>
      <c r="G16" s="145"/>
      <c r="H16" s="145"/>
      <c r="I16" s="145"/>
      <c r="J16" s="145"/>
      <c r="K16" s="145"/>
      <c r="L16" s="145"/>
      <c r="M16" s="132"/>
      <c r="N16" s="130" t="str">
        <f t="shared" si="0"/>
        <v>0</v>
      </c>
    </row>
    <row r="17" spans="1:14" x14ac:dyDescent="0.25">
      <c r="A17" s="143"/>
      <c r="B17" s="144"/>
      <c r="C17" s="143"/>
      <c r="D17" s="145"/>
      <c r="E17" s="145"/>
      <c r="F17" s="145"/>
      <c r="G17" s="145"/>
      <c r="H17" s="145"/>
      <c r="I17" s="145"/>
      <c r="J17" s="145"/>
      <c r="K17" s="145"/>
      <c r="L17" s="145"/>
      <c r="M17" s="132"/>
      <c r="N17" s="130" t="str">
        <f t="shared" si="0"/>
        <v>0</v>
      </c>
    </row>
    <row r="18" spans="1:14" x14ac:dyDescent="0.25">
      <c r="A18" s="143"/>
      <c r="B18" s="144"/>
      <c r="C18" s="143"/>
      <c r="D18" s="145"/>
      <c r="E18" s="145"/>
      <c r="F18" s="145"/>
      <c r="G18" s="145"/>
      <c r="H18" s="145"/>
      <c r="I18" s="145"/>
      <c r="J18" s="145"/>
      <c r="K18" s="145"/>
      <c r="L18" s="145"/>
      <c r="N18" s="130" t="str">
        <f t="shared" si="0"/>
        <v>0</v>
      </c>
    </row>
    <row r="19" spans="1:14" x14ac:dyDescent="0.25">
      <c r="A19" s="143"/>
      <c r="B19" s="144"/>
      <c r="C19" s="143"/>
      <c r="D19" s="145"/>
      <c r="E19" s="145"/>
      <c r="F19" s="145"/>
      <c r="G19" s="145"/>
      <c r="H19" s="145"/>
      <c r="I19" s="145"/>
      <c r="J19" s="145"/>
      <c r="K19" s="145"/>
      <c r="L19" s="145"/>
      <c r="N19" s="130" t="str">
        <f t="shared" si="0"/>
        <v>0</v>
      </c>
    </row>
    <row r="20" spans="1:14" x14ac:dyDescent="0.25">
      <c r="A20" s="147"/>
      <c r="B20" s="148"/>
      <c r="C20" s="147"/>
      <c r="D20" s="145"/>
      <c r="E20" s="145"/>
      <c r="F20" s="145"/>
      <c r="G20" s="149"/>
      <c r="H20" s="149"/>
      <c r="I20" s="149"/>
      <c r="J20" s="149"/>
      <c r="K20" s="149"/>
      <c r="L20" s="149"/>
      <c r="N20" s="130" t="str">
        <f t="shared" si="0"/>
        <v>0</v>
      </c>
    </row>
    <row r="21" spans="1:14" x14ac:dyDescent="0.25">
      <c r="A21" s="147"/>
      <c r="B21" s="148"/>
      <c r="C21" s="147"/>
      <c r="D21" s="149"/>
      <c r="E21" s="149"/>
      <c r="F21" s="149"/>
      <c r="G21" s="149"/>
      <c r="H21" s="149"/>
      <c r="I21" s="149"/>
      <c r="J21" s="149"/>
      <c r="K21" s="149"/>
      <c r="L21" s="149"/>
      <c r="N21" s="130" t="str">
        <f t="shared" si="0"/>
        <v>0</v>
      </c>
    </row>
    <row r="22" spans="1:14" x14ac:dyDescent="0.25">
      <c r="A22" s="150"/>
      <c r="B22" s="151"/>
      <c r="C22" s="150"/>
      <c r="D22" s="152"/>
      <c r="E22" s="152"/>
      <c r="F22" s="152"/>
      <c r="G22" s="152"/>
      <c r="H22" s="152"/>
      <c r="I22" s="152"/>
      <c r="J22" s="152"/>
      <c r="K22" s="152"/>
      <c r="L22" s="152"/>
      <c r="N22" s="130" t="str">
        <f t="shared" si="0"/>
        <v>0</v>
      </c>
    </row>
    <row r="23" spans="1:14" ht="24" customHeight="1" x14ac:dyDescent="0.25">
      <c r="A23" s="133"/>
      <c r="B23" s="134"/>
      <c r="C23" s="135" t="s">
        <v>112</v>
      </c>
      <c r="D23" s="136">
        <f>E23+F23+H23</f>
        <v>1411.18</v>
      </c>
      <c r="E23" s="137">
        <f>E24*SIMULATION!I3</f>
        <v>393.60999999999996</v>
      </c>
      <c r="F23" s="137">
        <f>IF(AND(SIMULATION!H7&lt;&gt;0,SIMULATION!J7&lt;&gt;0),0,IF(SIMULATION!H7&gt;0,SIMULATION!H28,SIMULATION!J10))</f>
        <v>0</v>
      </c>
      <c r="G23" s="137">
        <f>SUM(G3:G22)</f>
        <v>0</v>
      </c>
      <c r="H23" s="138">
        <f>H24*SIMULATION!I3</f>
        <v>1017.5700000000002</v>
      </c>
      <c r="I23" s="133"/>
      <c r="J23" s="139"/>
      <c r="K23" s="133"/>
      <c r="L23" s="139"/>
      <c r="N23" s="130" t="str">
        <f t="shared" si="0"/>
        <v>0</v>
      </c>
    </row>
    <row r="24" spans="1:14" ht="24" customHeight="1" x14ac:dyDescent="0.25">
      <c r="C24" s="135" t="s">
        <v>113</v>
      </c>
      <c r="D24" s="125">
        <f>SUM(D3:D22)</f>
        <v>3500</v>
      </c>
      <c r="E24" s="125">
        <f>SUM(E3:E22)</f>
        <v>787.21999999999991</v>
      </c>
      <c r="F24" s="137">
        <f>SUM(F3:F22)</f>
        <v>677.64</v>
      </c>
      <c r="G24" s="125">
        <f>SUM(G3:G22)</f>
        <v>0</v>
      </c>
      <c r="H24" s="140">
        <f>SUM(H3:H22)</f>
        <v>2035.1400000000003</v>
      </c>
      <c r="N24" s="141">
        <f>+N3+N4+N5+N6+N7+N8+N9+N10+N11+N12+N13+N14+N15+N16+N17+N18+N19+N20+N21+N22</f>
        <v>7</v>
      </c>
    </row>
    <row r="25" spans="1:14" ht="24" customHeight="1" x14ac:dyDescent="0.25">
      <c r="C25" s="142" t="s">
        <v>105</v>
      </c>
      <c r="D25" s="136">
        <f>D24*SIMULATION!I3</f>
        <v>1750</v>
      </c>
      <c r="E25" s="137">
        <f>E24*SIMULATION!I3</f>
        <v>393.60999999999996</v>
      </c>
      <c r="F25" s="137">
        <v>0</v>
      </c>
      <c r="G25" s="137">
        <f>SUM(G3:G22)</f>
        <v>0</v>
      </c>
      <c r="H25" s="138">
        <f>H24*SIMULATION!I3</f>
        <v>1017.5700000000002</v>
      </c>
    </row>
    <row r="30" spans="1:14" hidden="1" x14ac:dyDescent="0.25">
      <c r="C30" s="142" t="str">
        <f>CONCATENATE("Assurance groupe à"," ",TEXT(SIMULATION!I3,"0%"))</f>
        <v>Assurance groupe à 50%</v>
      </c>
    </row>
  </sheetData>
  <conditionalFormatting sqref="C25">
    <cfRule type="expression" dxfId="50" priority="2">
      <formula>AND($F$24=0,$D$25&lt;&gt;0)</formula>
    </cfRule>
  </conditionalFormatting>
  <conditionalFormatting sqref="D25 F25">
    <cfRule type="expression" dxfId="49" priority="1">
      <formula>AND($F$24=0,$D$25&lt;&gt;0)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7B075820-90E9-43CE-AFFF-C2A954CDEF1E}">
            <xm:f>AND(SIMULATION!$I$3=1,$F$24&lt;&gt;0)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D24 F24</xm:sqref>
        </x14:conditionalFormatting>
        <x14:conditionalFormatting xmlns:xm="http://schemas.microsoft.com/office/excel/2006/main">
          <x14:cfRule type="expression" priority="6" stopIfTrue="1" id="{B22204BD-7A1F-46D0-A1EA-ACB1D231F24A}">
            <xm:f>OR(SIMULATION!$H$28&lt;&gt;0,SIMULATION!$J$10&lt;&gt;0)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D23 F23</xm:sqref>
        </x14:conditionalFormatting>
        <x14:conditionalFormatting xmlns:xm="http://schemas.microsoft.com/office/excel/2006/main">
          <x14:cfRule type="expression" priority="4" stopIfTrue="1" id="{11C1BAFD-784D-0F42-8912-5F317DD8DA02}">
            <xm:f>AND(SIMULATION!$I$3=1,$F$24&lt;&gt;0)</xm:f>
            <x14:dxf>
              <font>
                <b/>
                <i val="0"/>
              </font>
              <fill>
                <patternFill>
                  <bgColor rgb="FFDFC4A3"/>
                </patternFill>
              </fill>
            </x14:dxf>
          </x14:cfRule>
          <xm:sqref>C24</xm:sqref>
        </x14:conditionalFormatting>
        <x14:conditionalFormatting xmlns:xm="http://schemas.microsoft.com/office/excel/2006/main">
          <x14:cfRule type="expression" priority="3" id="{CBA40EA1-AEB5-1B4C-8D9B-C74E327DCF9A}">
            <xm:f>OR(SIMULATION!$H$28&lt;&gt;0,SIMULATION!$J$10&lt;&gt;0)</xm:f>
            <x14:dxf>
              <font>
                <b/>
                <i val="0"/>
              </font>
            </x14:dxf>
          </x14:cfRule>
          <xm:sqref>C23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67" t="s">
        <v>16</v>
      </c>
      <c r="B1" s="168"/>
      <c r="C1" s="168"/>
      <c r="D1" s="168"/>
      <c r="E1" s="168"/>
      <c r="F1" s="168"/>
      <c r="G1" s="168"/>
      <c r="H1" s="168"/>
      <c r="I1" s="169"/>
    </row>
    <row r="2" spans="1:9" ht="22.5" customHeight="1" thickBot="1" x14ac:dyDescent="0.3">
      <c r="A2" s="170" t="s">
        <v>31</v>
      </c>
      <c r="B2" s="171"/>
      <c r="C2" s="171"/>
      <c r="D2" s="171"/>
      <c r="E2" s="171"/>
      <c r="F2" s="171"/>
      <c r="G2" s="171"/>
      <c r="H2" s="171"/>
      <c r="I2" s="172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73" t="s">
        <v>28</v>
      </c>
      <c r="B10" s="173"/>
      <c r="C10" s="174" t="e">
        <f>+#REF!</f>
        <v>#REF!</v>
      </c>
      <c r="D10" s="174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29</v>
      </c>
      <c r="D33" s="4" t="s">
        <v>32</v>
      </c>
    </row>
    <row r="36" spans="1:9" ht="30" x14ac:dyDescent="0.25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198" t="s">
        <v>38</v>
      </c>
      <c r="H36" s="198"/>
      <c r="I36" s="198"/>
    </row>
    <row r="37" spans="1:9" ht="23.25" customHeight="1" x14ac:dyDescent="0.25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77" t="e">
        <f>#REF!</f>
        <v>#REF!</v>
      </c>
      <c r="I37" s="178"/>
    </row>
    <row r="38" spans="1:9" ht="23.25" customHeight="1" x14ac:dyDescent="0.25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77" t="e">
        <f>+H37</f>
        <v>#REF!</v>
      </c>
      <c r="I38" s="178"/>
    </row>
    <row r="39" spans="1:9" ht="23.25" customHeight="1" x14ac:dyDescent="0.25">
      <c r="B39" s="7" t="s">
        <v>3</v>
      </c>
      <c r="C39" s="194" t="e">
        <f>SUM(D37:D38)</f>
        <v>#REF!</v>
      </c>
      <c r="D39" s="195"/>
      <c r="E39" s="196"/>
      <c r="F39" s="196"/>
      <c r="G39" s="196"/>
      <c r="H39" s="196"/>
      <c r="I39" s="196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73" t="s">
        <v>28</v>
      </c>
      <c r="C41" s="173"/>
      <c r="D41" s="8">
        <f ca="1">TODAY()</f>
        <v>45663</v>
      </c>
      <c r="E41" s="186"/>
      <c r="F41" s="187"/>
      <c r="H41" s="197" t="e">
        <f>#REF!</f>
        <v>#REF!</v>
      </c>
      <c r="I41" s="197"/>
    </row>
    <row r="42" spans="1:9" ht="15.75" x14ac:dyDescent="0.25">
      <c r="D42" s="9"/>
    </row>
    <row r="44" spans="1:9" ht="28.5" x14ac:dyDescent="0.3">
      <c r="C44" s="3" t="s">
        <v>29</v>
      </c>
      <c r="D44" s="10" t="s">
        <v>42</v>
      </c>
      <c r="E44" s="11"/>
    </row>
    <row r="47" spans="1:9" ht="30" x14ac:dyDescent="0.25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89" t="s">
        <v>38</v>
      </c>
      <c r="H47" s="190"/>
      <c r="I47" s="191"/>
    </row>
    <row r="48" spans="1:9" ht="25.5" customHeight="1" x14ac:dyDescent="0.25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79" t="e">
        <f>+H37</f>
        <v>#REF!</v>
      </c>
      <c r="I48" s="180"/>
    </row>
    <row r="49" spans="1:9" ht="25.5" customHeight="1" x14ac:dyDescent="0.25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192" t="e">
        <f>+H37</f>
        <v>#REF!</v>
      </c>
      <c r="I49" s="193"/>
    </row>
    <row r="50" spans="1:9" ht="25.5" customHeight="1" x14ac:dyDescent="0.25">
      <c r="B50" s="7" t="s">
        <v>3</v>
      </c>
      <c r="C50" s="181" t="e">
        <f>SUM(D48:D49)</f>
        <v>#REF!</v>
      </c>
      <c r="D50" s="182"/>
      <c r="E50" s="183"/>
      <c r="F50" s="184"/>
      <c r="G50" s="184"/>
      <c r="H50" s="184"/>
      <c r="I50" s="185"/>
    </row>
    <row r="51" spans="1:9" x14ac:dyDescent="0.25">
      <c r="D51" s="12"/>
      <c r="E51" s="13"/>
    </row>
    <row r="52" spans="1:9" ht="21" x14ac:dyDescent="0.35">
      <c r="B52" s="173" t="s">
        <v>28</v>
      </c>
      <c r="C52" s="173"/>
      <c r="D52" s="8">
        <f ca="1">TODAY()</f>
        <v>45663</v>
      </c>
      <c r="E52" s="186"/>
      <c r="F52" s="187"/>
      <c r="H52" s="188" t="e">
        <f>+H41</f>
        <v>#REF!</v>
      </c>
      <c r="I52" s="188"/>
    </row>
    <row r="53" spans="1:9" ht="15.75" x14ac:dyDescent="0.25">
      <c r="B53" s="175"/>
      <c r="C53" s="176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E39:I39"/>
    <mergeCell ref="B41:C41"/>
    <mergeCell ref="E41:F41"/>
    <mergeCell ref="H41:I41"/>
    <mergeCell ref="G36:I36"/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42578125" customWidth="1"/>
    <col min="4" max="4" width="4.42578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42578125" customWidth="1"/>
  </cols>
  <sheetData>
    <row r="1" spans="2:23" x14ac:dyDescent="0.25"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P1" s="203" t="s">
        <v>45</v>
      </c>
      <c r="Q1" s="204"/>
      <c r="R1" s="204"/>
      <c r="S1" s="204"/>
      <c r="T1" s="204"/>
      <c r="U1" s="204"/>
      <c r="V1" s="204"/>
      <c r="W1" s="204"/>
    </row>
    <row r="2" spans="2:23" x14ac:dyDescent="0.25">
      <c r="P2" s="204"/>
      <c r="Q2" s="204"/>
      <c r="R2" s="204"/>
      <c r="S2" s="204"/>
      <c r="T2" s="204"/>
      <c r="U2" s="204"/>
      <c r="V2" s="204"/>
      <c r="W2" s="204"/>
    </row>
    <row r="3" spans="2:23" x14ac:dyDescent="0.25">
      <c r="P3" s="204"/>
      <c r="Q3" s="204"/>
      <c r="R3" s="204"/>
      <c r="S3" s="204"/>
      <c r="T3" s="204"/>
      <c r="U3" s="204"/>
      <c r="V3" s="204"/>
      <c r="W3" s="204"/>
    </row>
    <row r="4" spans="2:23" x14ac:dyDescent="0.25">
      <c r="P4" s="204"/>
      <c r="Q4" s="204"/>
      <c r="R4" s="204"/>
      <c r="S4" s="204"/>
      <c r="T4" s="204"/>
      <c r="U4" s="204"/>
      <c r="V4" s="204"/>
      <c r="W4" s="204"/>
    </row>
    <row r="5" spans="2:23" ht="9.75" customHeight="1" x14ac:dyDescent="0.25">
      <c r="P5" s="204"/>
      <c r="Q5" s="204"/>
      <c r="R5" s="204"/>
      <c r="S5" s="204"/>
      <c r="T5" s="204"/>
      <c r="U5" s="204"/>
      <c r="V5" s="204"/>
      <c r="W5" s="204"/>
    </row>
    <row r="6" spans="2:23" ht="18.75" x14ac:dyDescent="0.3">
      <c r="D6" s="206" t="s">
        <v>46</v>
      </c>
      <c r="E6" s="206"/>
      <c r="F6" s="206"/>
      <c r="G6" s="206"/>
      <c r="H6" s="206"/>
      <c r="I6" s="206"/>
      <c r="J6" s="206"/>
      <c r="K6" s="206"/>
      <c r="L6" s="206"/>
      <c r="M6" s="206"/>
      <c r="N6" s="206"/>
      <c r="P6" s="204"/>
      <c r="Q6" s="204"/>
      <c r="R6" s="204"/>
      <c r="S6" s="204"/>
      <c r="T6" s="204"/>
      <c r="U6" s="204"/>
      <c r="V6" s="204"/>
      <c r="W6" s="204"/>
    </row>
    <row r="7" spans="2:23" ht="26.25" x14ac:dyDescent="0.25">
      <c r="D7" s="207" t="s">
        <v>31</v>
      </c>
      <c r="E7" s="208"/>
      <c r="F7" s="208"/>
      <c r="G7" s="208"/>
      <c r="H7" s="208"/>
      <c r="I7" s="208"/>
      <c r="J7" s="208"/>
      <c r="K7" s="209"/>
      <c r="P7" s="204"/>
      <c r="Q7" s="204"/>
      <c r="R7" s="204"/>
      <c r="S7" s="204"/>
      <c r="T7" s="204"/>
      <c r="U7" s="204"/>
      <c r="V7" s="204"/>
      <c r="W7" s="204"/>
    </row>
    <row r="8" spans="2:23" x14ac:dyDescent="0.25">
      <c r="P8" s="204"/>
      <c r="Q8" s="204"/>
      <c r="R8" s="204"/>
      <c r="S8" s="204"/>
      <c r="T8" s="204"/>
      <c r="U8" s="204"/>
      <c r="V8" s="204"/>
      <c r="W8" s="204"/>
    </row>
    <row r="9" spans="2:23" x14ac:dyDescent="0.25">
      <c r="B9" s="15" t="s">
        <v>47</v>
      </c>
      <c r="P9" s="204"/>
      <c r="Q9" s="204"/>
      <c r="R9" s="204"/>
      <c r="S9" s="204"/>
      <c r="T9" s="204"/>
      <c r="U9" s="204"/>
      <c r="V9" s="204"/>
      <c r="W9" s="204"/>
    </row>
    <row r="10" spans="2:23" x14ac:dyDescent="0.25">
      <c r="P10" s="204"/>
      <c r="Q10" s="204"/>
      <c r="R10" s="204"/>
      <c r="S10" s="204"/>
      <c r="T10" s="204"/>
      <c r="U10" s="204"/>
      <c r="V10" s="204"/>
      <c r="W10" s="204"/>
    </row>
    <row r="11" spans="2:23" x14ac:dyDescent="0.25">
      <c r="B11" s="16" t="s">
        <v>48</v>
      </c>
      <c r="G11" s="192"/>
      <c r="H11" s="192"/>
      <c r="I11" s="180">
        <v>3550</v>
      </c>
      <c r="J11" s="180"/>
      <c r="P11" s="204"/>
      <c r="Q11" s="204"/>
      <c r="R11" s="204"/>
      <c r="S11" s="204"/>
      <c r="T11" s="204"/>
      <c r="U11" s="204"/>
      <c r="V11" s="204"/>
      <c r="W11" s="204"/>
    </row>
    <row r="12" spans="2:23" x14ac:dyDescent="0.25">
      <c r="P12" s="204"/>
      <c r="Q12" s="204"/>
      <c r="R12" s="204"/>
      <c r="S12" s="204"/>
      <c r="T12" s="204"/>
      <c r="U12" s="204"/>
      <c r="V12" s="204"/>
      <c r="W12" s="204"/>
    </row>
    <row r="13" spans="2:23" ht="15" customHeight="1" x14ac:dyDescent="0.25">
      <c r="B13" s="210" t="s">
        <v>45</v>
      </c>
      <c r="C13" s="210"/>
      <c r="D13" s="210"/>
      <c r="E13" s="210"/>
      <c r="F13" s="210"/>
      <c r="G13" s="210"/>
      <c r="H13" s="210"/>
      <c r="I13" s="210"/>
      <c r="J13" s="210"/>
      <c r="K13" s="210"/>
      <c r="L13" s="210"/>
      <c r="M13" s="210"/>
      <c r="N13" s="210"/>
      <c r="P13" s="204"/>
      <c r="Q13" s="204"/>
      <c r="R13" s="204"/>
      <c r="S13" s="204"/>
      <c r="T13" s="204"/>
      <c r="U13" s="204"/>
      <c r="V13" s="204"/>
      <c r="W13" s="204"/>
    </row>
    <row r="14" spans="2:23" ht="15" customHeight="1" x14ac:dyDescent="0.25">
      <c r="B14" s="210"/>
      <c r="C14" s="210"/>
      <c r="D14" s="210"/>
      <c r="E14" s="210"/>
      <c r="F14" s="210"/>
      <c r="G14" s="210"/>
      <c r="H14" s="210"/>
      <c r="I14" s="210"/>
      <c r="J14" s="210"/>
      <c r="K14" s="210"/>
      <c r="L14" s="210"/>
      <c r="M14" s="210"/>
      <c r="N14" s="210"/>
      <c r="P14" s="204"/>
      <c r="Q14" s="204"/>
      <c r="R14" s="204"/>
      <c r="S14" s="204"/>
      <c r="T14" s="204"/>
      <c r="U14" s="204"/>
      <c r="V14" s="204"/>
      <c r="W14" s="204"/>
    </row>
    <row r="15" spans="2:23" ht="15" customHeight="1" x14ac:dyDescent="0.25"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P15" s="204"/>
      <c r="Q15" s="204"/>
      <c r="R15" s="204"/>
      <c r="S15" s="204"/>
      <c r="T15" s="204"/>
      <c r="U15" s="204"/>
      <c r="V15" s="204"/>
      <c r="W15" s="204"/>
    </row>
    <row r="16" spans="2:23" ht="15" customHeight="1" x14ac:dyDescent="0.25">
      <c r="B16" s="210"/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210"/>
      <c r="N16" s="210"/>
    </row>
    <row r="17" spans="2:14" ht="15" customHeight="1" x14ac:dyDescent="0.25"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</row>
    <row r="18" spans="2:14" ht="15" customHeight="1" x14ac:dyDescent="0.25">
      <c r="B18" s="210"/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</row>
    <row r="20" spans="2:14" x14ac:dyDescent="0.25">
      <c r="B20" s="17" t="s">
        <v>49</v>
      </c>
      <c r="C20" s="17"/>
    </row>
    <row r="22" spans="2:14" ht="18.75" customHeight="1" x14ac:dyDescent="0.25">
      <c r="B22" s="205" t="s">
        <v>50</v>
      </c>
      <c r="C22" s="205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05" t="s">
        <v>55</v>
      </c>
      <c r="L22" s="205"/>
      <c r="M22" s="34"/>
    </row>
    <row r="23" spans="2:14" x14ac:dyDescent="0.25">
      <c r="D23" s="16" t="s">
        <v>56</v>
      </c>
      <c r="E23" s="16"/>
    </row>
    <row r="24" spans="2:14" ht="18" customHeight="1" x14ac:dyDescent="0.25">
      <c r="B24" s="205" t="s">
        <v>57</v>
      </c>
      <c r="C24" s="205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 x14ac:dyDescent="0.25">
      <c r="B26" s="201" t="s">
        <v>61</v>
      </c>
      <c r="C26" s="201"/>
      <c r="D26" s="201"/>
      <c r="E26" s="201"/>
      <c r="F26" s="201" t="s">
        <v>62</v>
      </c>
      <c r="G26" s="201"/>
      <c r="H26" s="201"/>
      <c r="I26" s="201" t="s">
        <v>63</v>
      </c>
      <c r="J26" s="201"/>
      <c r="K26" s="201"/>
      <c r="L26" s="201"/>
      <c r="M26" s="201"/>
      <c r="N26" s="201"/>
    </row>
    <row r="27" spans="2:14" x14ac:dyDescent="0.25">
      <c r="B27" s="200" t="e">
        <f>IF('PIECE COMPTABLE CHF'!D5&gt;0,'PIECE COMPTABLE CHF'!A7,IF('PIECE COMPTABLE CHF'!D6&gt;0,'PIECE COMPTABLE CHF'!A6,""))</f>
        <v>#REF!</v>
      </c>
      <c r="C27" s="200"/>
      <c r="D27" s="200"/>
      <c r="E27" s="200"/>
      <c r="F27" s="200" t="e">
        <f>IF(B27=56961050826,"PERTE PRET EN CHF",IF(B27=57961070815,"GAIN PRET EN CHF","PERTE PRET EN CHF"))</f>
        <v>#REF!</v>
      </c>
      <c r="G27" s="200"/>
      <c r="H27" s="200"/>
      <c r="I27" s="201" t="s">
        <v>64</v>
      </c>
      <c r="J27" s="201"/>
      <c r="K27" s="201" t="s">
        <v>65</v>
      </c>
      <c r="L27" s="201"/>
      <c r="M27" s="201"/>
      <c r="N27" s="201"/>
    </row>
    <row r="28" spans="2:14" x14ac:dyDescent="0.25">
      <c r="B28" s="200"/>
      <c r="C28" s="200"/>
      <c r="D28" s="200"/>
      <c r="E28" s="200"/>
      <c r="F28" s="200"/>
      <c r="G28" s="200"/>
      <c r="H28" s="200"/>
      <c r="I28" s="202" t="e">
        <f>IF(B27=57961070815,'PIECE COMPTABLE CHF'!E7,IF(B27=56961050826,0,'PIECE COMPTABLE CHF'!D6))</f>
        <v>#REF!</v>
      </c>
      <c r="J28" s="202"/>
      <c r="K28" s="202" t="e">
        <f>IF(B27=57961070815,'PIECE COMPTABLE CHF'!D6,IF(B27=56961050826,'PIECE COMPTABLE CHF'!D6,"0,00"))</f>
        <v>#REF!</v>
      </c>
      <c r="L28" s="202"/>
      <c r="M28" s="202"/>
      <c r="N28" s="202"/>
    </row>
    <row r="29" spans="2:14" x14ac:dyDescent="0.25">
      <c r="B29" s="200"/>
      <c r="C29" s="200"/>
      <c r="D29" s="200"/>
      <c r="E29" s="200"/>
      <c r="F29" s="200"/>
      <c r="G29" s="200"/>
      <c r="H29" s="200"/>
      <c r="I29" s="202"/>
      <c r="J29" s="202"/>
      <c r="K29" s="202"/>
      <c r="L29" s="202"/>
      <c r="M29" s="202"/>
      <c r="N29" s="202"/>
    </row>
    <row r="31" spans="2:14" x14ac:dyDescent="0.25">
      <c r="B31" s="17" t="s">
        <v>66</v>
      </c>
    </row>
    <row r="32" spans="2:14" x14ac:dyDescent="0.25">
      <c r="B32" t="e">
        <f>+#REF!</f>
        <v>#REF!</v>
      </c>
    </row>
    <row r="33" spans="2:15" ht="15.75" thickBot="1" x14ac:dyDescent="0.3">
      <c r="B33" s="199" t="e">
        <f>+#REF!</f>
        <v>#REF!</v>
      </c>
      <c r="C33" s="199"/>
      <c r="D33" s="199"/>
      <c r="E33" s="199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 x14ac:dyDescent="0.2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 x14ac:dyDescent="0.2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 x14ac:dyDescent="0.2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72</v>
      </c>
    </row>
    <row r="52" spans="2:15" x14ac:dyDescent="0.25">
      <c r="B52" s="23" t="s">
        <v>73</v>
      </c>
    </row>
    <row r="53" spans="2:15" x14ac:dyDescent="0.25">
      <c r="B53" s="23"/>
    </row>
    <row r="54" spans="2:15" x14ac:dyDescent="0.2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  <mergeCell ref="B33:E33"/>
    <mergeCell ref="B27:E29"/>
    <mergeCell ref="F27:H29"/>
    <mergeCell ref="I27:J27"/>
    <mergeCell ref="K27:N27"/>
    <mergeCell ref="I28:J29"/>
    <mergeCell ref="K28:N29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93" t="s">
        <v>77</v>
      </c>
      <c r="B1" s="98" t="s">
        <v>99</v>
      </c>
      <c r="C1"/>
      <c r="E1" s="84"/>
    </row>
    <row r="2" spans="1:5" s="25" customFormat="1" ht="15" customHeight="1" x14ac:dyDescent="0.3">
      <c r="A2" s="97" t="s">
        <v>78</v>
      </c>
      <c r="B2" s="99"/>
      <c r="C2"/>
    </row>
    <row r="3" spans="1:5" s="25" customFormat="1" ht="15" customHeight="1" x14ac:dyDescent="0.3">
      <c r="A3" s="97" t="s">
        <v>79</v>
      </c>
      <c r="B3" s="99"/>
      <c r="C3"/>
      <c r="D3" s="211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47" t="s">
        <v>80</v>
      </c>
      <c r="B4" s="100" t="str">
        <f>CONCATENATE(SIMULATION!E3," // ","SINISTRE PRET N° 0",SIMULATION!F3)</f>
        <v>BOBBY // SINISTRE PRET N° 01234567</v>
      </c>
      <c r="C4"/>
      <c r="D4" s="212"/>
    </row>
    <row r="5" spans="1:5" ht="15" customHeight="1" x14ac:dyDescent="0.25">
      <c r="B5" s="97"/>
    </row>
    <row r="6" spans="1:5" ht="15" customHeight="1" x14ac:dyDescent="0.25">
      <c r="A6" s="92"/>
      <c r="B6" s="94" t="s">
        <v>98</v>
      </c>
    </row>
    <row r="7" spans="1:5" ht="15" customHeight="1" x14ac:dyDescent="0.25">
      <c r="A7" s="92"/>
      <c r="B7" s="94"/>
    </row>
    <row r="8" spans="1:5" ht="15" customHeight="1" x14ac:dyDescent="0.25">
      <c r="A8" s="92"/>
      <c r="B8" s="95" t="str">
        <f>CONCATENATE("Suite à la réception d'un virement de l'assurance"," ",SIMULATION!H3,", ","vous trouverez ci-joint la lettre relative au traitement de ce dossier.")</f>
        <v>Suite à la réception d'un virement de l'assurance ASSUREUR, vous trouverez ci-joint la lettre relative au traitement de ce dossier.</v>
      </c>
      <c r="C8" s="86"/>
      <c r="D8" s="86"/>
    </row>
    <row r="9" spans="1:5" ht="15" customHeight="1" x14ac:dyDescent="0.25">
      <c r="A9" s="92"/>
      <c r="B9" s="96"/>
      <c r="C9" s="85"/>
      <c r="D9" s="86"/>
    </row>
    <row r="10" spans="1:5" ht="15" customHeight="1" x14ac:dyDescent="0.25">
      <c r="A10" s="92"/>
      <c r="B10" s="96" t="s">
        <v>100</v>
      </c>
      <c r="C10" s="86"/>
      <c r="D10" s="87"/>
    </row>
    <row r="11" spans="1:5" x14ac:dyDescent="0.2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5723BCC0F33A41B40E244363E17118" ma:contentTypeVersion="8" ma:contentTypeDescription="Crée un document." ma:contentTypeScope="" ma:versionID="bb8da26f80612df4f920acda47e91726">
  <xsd:schema xmlns:xsd="http://www.w3.org/2001/XMLSchema" xmlns:xs="http://www.w3.org/2001/XMLSchema" xmlns:p="http://schemas.microsoft.com/office/2006/metadata/properties" xmlns:ns2="70fdb605-4f36-40ab-9b41-d2fd0fb4a329" xmlns:ns3="f6cd01fe-978d-41eb-87f3-93fa9c0fbd4b" targetNamespace="http://schemas.microsoft.com/office/2006/metadata/properties" ma:root="true" ma:fieldsID="ae5ed54f98ef2b2be11b448170ef896e" ns2:_="" ns3:_="">
    <xsd:import namespace="70fdb605-4f36-40ab-9b41-d2fd0fb4a329"/>
    <xsd:import namespace="f6cd01fe-978d-41eb-87f3-93fa9c0fbd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db605-4f36-40ab-9b41-d2fd0fb4a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cd01fe-978d-41eb-87f3-93fa9c0fbd4b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c52eb4dc-0ef3-4aa8-8e03-025dbf6c8637" ContentTypeId="0x0101" PreviousValue="false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DEC02C-0DC2-4BD9-8498-53DE3307D2AB}">
  <ds:schemaRefs>
    <ds:schemaRef ds:uri="f6cd01fe-978d-41eb-87f3-93fa9c0fbd4b"/>
    <ds:schemaRef ds:uri="http://purl.org/dc/terms/"/>
    <ds:schemaRef ds:uri="http://schemas.microsoft.com/office/2006/documentManagement/types"/>
    <ds:schemaRef ds:uri="70fdb605-4f36-40ab-9b41-d2fd0fb4a329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6C313D7-96F7-43DA-A7A3-17D89E727D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fdb605-4f36-40ab-9b41-d2fd0fb4a329"/>
    <ds:schemaRef ds:uri="f6cd01fe-978d-41eb-87f3-93fa9c0fbd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Yoan.GUEROUX@bpaura.banquepopulaire.fr</dc:creator>
  <cp:keywords/>
  <dc:description/>
  <cp:lastModifiedBy>francis henniaux</cp:lastModifiedBy>
  <cp:revision/>
  <cp:lastPrinted>2024-12-31T14:38:58Z</cp:lastPrinted>
  <dcterms:created xsi:type="dcterms:W3CDTF">2020-04-27T06:44:54Z</dcterms:created>
  <dcterms:modified xsi:type="dcterms:W3CDTF">2025-01-06T08:27:41Z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0x010100B45723BCC0F33A41B40E244363E17118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