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4AD021C1-C215-41A2-9F31-FD100E7EB720}" xr6:coauthVersionLast="47" xr6:coauthVersionMax="47" xr10:uidLastSave="{00000000-0000-0000-0000-000000000000}"/>
  <bookViews>
    <workbookView xWindow="-120" yWindow="-120" windowWidth="29040" windowHeight="15720" activeTab="1" xr2:uid="{B5FC37AC-DFC3-44E0-AA2B-572B1CB8EE9A}"/>
  </bookViews>
  <sheets>
    <sheet name="Données" sheetId="1" r:id="rId1"/>
    <sheet name="Tableau de bord CN 2023-2024" sheetId="2" r:id="rId2"/>
  </sheets>
  <externalReferences>
    <externalReference r:id="rId3"/>
  </externalReferences>
  <definedNames>
    <definedName name="_xlchart.v1.0" hidden="1">'Tableau de bord CN 2023-2024'!$J$1:$M$1</definedName>
    <definedName name="_xlchart.v1.1" hidden="1">'Tableau de bord CN 2023-2024'!$J$2:$M$2</definedName>
    <definedName name="_xlchart.v1.2" hidden="1">'Tableau de bord CN 2023-2024'!$J$3:$M$3</definedName>
    <definedName name="_xlchart.v1.3" hidden="1">'Tableau de bord CN 2023-2024'!$J$4:$M$4</definedName>
    <definedName name="_xlchart.v1.4" hidden="1">'Tableau de bord CN 2023-2024'!$J$1:$M$1</definedName>
    <definedName name="_xlchart.v1.5" hidden="1">'Tableau de bord CN 2023-2024'!$J$2:$M$2</definedName>
    <definedName name="_xlchart.v1.6" hidden="1">'Tableau de bord CN 2023-2024'!$J$3:$M$3</definedName>
    <definedName name="_xlchart.v1.7" hidden="1">'Tableau de bord CN 2023-2024'!$J$4:$M$4</definedName>
    <definedName name="Ass">[1]Listes!$B$1:$B$8</definedName>
    <definedName name="Communes">[1]Listes!$D$1:$D$15</definedName>
    <definedName name="EPCI">[1]Listes!$E$1:$E$4</definedName>
    <definedName name="Phases">[1]Listes!$C$1:$C$15</definedName>
    <definedName name="RO">[1]Listes!$A$1:$A$7</definedName>
  </definedNames>
  <calcPr calcId="191029"/>
  <pivotCaches>
    <pivotCache cacheId="0" r:id="rId4"/>
    <pivotCache cacheId="1" r:id="rId5"/>
    <pivotCache cacheId="2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9" i="2" l="1"/>
  <c r="H69" i="2"/>
  <c r="N3" i="2"/>
  <c r="O3" i="2"/>
  <c r="P3" i="2"/>
  <c r="N4" i="2"/>
  <c r="O4" i="2"/>
  <c r="P4" i="2"/>
  <c r="O2" i="2"/>
  <c r="P2" i="2"/>
  <c r="N2" i="2"/>
  <c r="Q3" i="2"/>
  <c r="K3" i="2" a="1"/>
  <c r="K3" i="2" s="1"/>
  <c r="L3" i="2" a="1"/>
  <c r="L3" i="2" s="1"/>
  <c r="K4" i="2" a="1"/>
  <c r="K4" i="2" s="1"/>
  <c r="L4" i="2" a="1"/>
  <c r="L4" i="2" s="1"/>
  <c r="K2" i="2" a="1"/>
  <c r="K2" i="2" s="1"/>
  <c r="Q4" i="2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S118" i="1"/>
  <c r="S119" i="1"/>
  <c r="S120" i="1"/>
  <c r="S121" i="1"/>
  <c r="S122" i="1"/>
  <c r="V122" i="1" s="1"/>
  <c r="S123" i="1"/>
  <c r="V123" i="1" s="1"/>
  <c r="S124" i="1"/>
  <c r="S125" i="1"/>
  <c r="S126" i="1"/>
  <c r="S127" i="1"/>
  <c r="S128" i="1"/>
  <c r="S129" i="1"/>
  <c r="S130" i="1"/>
  <c r="V130" i="1" s="1"/>
  <c r="S131" i="1"/>
  <c r="V131" i="1" s="1"/>
  <c r="S132" i="1"/>
  <c r="S133" i="1"/>
  <c r="S134" i="1"/>
  <c r="S135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V118" i="1"/>
  <c r="V119" i="1"/>
  <c r="V120" i="1"/>
  <c r="V121" i="1"/>
  <c r="V124" i="1"/>
  <c r="V125" i="1"/>
  <c r="V126" i="1"/>
  <c r="V127" i="1"/>
  <c r="V128" i="1"/>
  <c r="V129" i="1"/>
  <c r="V132" i="1"/>
  <c r="V133" i="1"/>
  <c r="V134" i="1"/>
  <c r="V135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E118" i="1"/>
  <c r="AH118" i="1" s="1"/>
  <c r="AJ118" i="1" s="1"/>
  <c r="AE119" i="1"/>
  <c r="AH119" i="1" s="1"/>
  <c r="AJ119" i="1" s="1"/>
  <c r="AE120" i="1"/>
  <c r="AE121" i="1"/>
  <c r="AE124" i="1"/>
  <c r="AE125" i="1"/>
  <c r="AE126" i="1"/>
  <c r="AH126" i="1" s="1"/>
  <c r="AJ126" i="1" s="1"/>
  <c r="AE127" i="1"/>
  <c r="AH127" i="1" s="1"/>
  <c r="AJ127" i="1" s="1"/>
  <c r="AE128" i="1"/>
  <c r="AE129" i="1"/>
  <c r="AE132" i="1"/>
  <c r="AE133" i="1"/>
  <c r="AE134" i="1"/>
  <c r="AH134" i="1" s="1"/>
  <c r="AJ134" i="1" s="1"/>
  <c r="AE135" i="1"/>
  <c r="AH135" i="1" s="1"/>
  <c r="AJ135" i="1" s="1"/>
  <c r="AH120" i="1"/>
  <c r="AH121" i="1"/>
  <c r="AH124" i="1"/>
  <c r="AJ124" i="1" s="1"/>
  <c r="AH125" i="1"/>
  <c r="AJ125" i="1" s="1"/>
  <c r="AH128" i="1"/>
  <c r="AH129" i="1"/>
  <c r="AH132" i="1"/>
  <c r="AJ132" i="1" s="1"/>
  <c r="AH133" i="1"/>
  <c r="AJ133" i="1" s="1"/>
  <c r="AJ120" i="1"/>
  <c r="AJ121" i="1"/>
  <c r="AJ128" i="1"/>
  <c r="AJ129" i="1"/>
  <c r="V151" i="1"/>
  <c r="AI12" i="1"/>
  <c r="M4" i="2"/>
  <c r="M3" i="2"/>
  <c r="M2" i="2"/>
  <c r="AK121" i="1"/>
  <c r="AK120" i="1"/>
  <c r="AE117" i="1"/>
  <c r="AH117" i="1" s="1"/>
  <c r="AJ117" i="1" s="1"/>
  <c r="AD117" i="1"/>
  <c r="AB117" i="1"/>
  <c r="AA117" i="1"/>
  <c r="U117" i="1"/>
  <c r="S117" i="1"/>
  <c r="V117" i="1" s="1"/>
  <c r="Q117" i="1"/>
  <c r="O117" i="1"/>
  <c r="F117" i="1"/>
  <c r="E117" i="1"/>
  <c r="AD40" i="1"/>
  <c r="AB40" i="1"/>
  <c r="AA40" i="1"/>
  <c r="S40" i="1"/>
  <c r="T40" i="1" s="1"/>
  <c r="O40" i="1"/>
  <c r="F40" i="1"/>
  <c r="E40" i="1"/>
  <c r="AD98" i="1"/>
  <c r="AB98" i="1"/>
  <c r="AA98" i="1"/>
  <c r="S98" i="1"/>
  <c r="T98" i="1" s="1"/>
  <c r="O98" i="1"/>
  <c r="F98" i="1"/>
  <c r="E98" i="1"/>
  <c r="AD39" i="1"/>
  <c r="AB39" i="1"/>
  <c r="AA39" i="1"/>
  <c r="S39" i="1"/>
  <c r="T39" i="1" s="1"/>
  <c r="O39" i="1"/>
  <c r="F39" i="1"/>
  <c r="E39" i="1"/>
  <c r="AD97" i="1"/>
  <c r="AB97" i="1"/>
  <c r="AA97" i="1"/>
  <c r="S97" i="1"/>
  <c r="T97" i="1" s="1"/>
  <c r="O97" i="1"/>
  <c r="F97" i="1"/>
  <c r="E97" i="1"/>
  <c r="AD96" i="1"/>
  <c r="AB96" i="1"/>
  <c r="AA96" i="1"/>
  <c r="S96" i="1"/>
  <c r="AE96" i="1" s="1"/>
  <c r="AH96" i="1" s="1"/>
  <c r="AJ96" i="1" s="1"/>
  <c r="O96" i="1"/>
  <c r="F96" i="1"/>
  <c r="E96" i="1"/>
  <c r="AD95" i="1"/>
  <c r="AB95" i="1"/>
  <c r="AA95" i="1"/>
  <c r="S95" i="1"/>
  <c r="T95" i="1" s="1"/>
  <c r="O95" i="1"/>
  <c r="F95" i="1"/>
  <c r="E95" i="1"/>
  <c r="AD94" i="1"/>
  <c r="AB94" i="1"/>
  <c r="AA94" i="1"/>
  <c r="S94" i="1"/>
  <c r="O94" i="1"/>
  <c r="F94" i="1"/>
  <c r="E94" i="1"/>
  <c r="AD93" i="1"/>
  <c r="S93" i="1"/>
  <c r="T93" i="1" s="1"/>
  <c r="W93" i="1" s="1"/>
  <c r="O93" i="1"/>
  <c r="F93" i="1"/>
  <c r="E93" i="1"/>
  <c r="AD92" i="1"/>
  <c r="AB92" i="1"/>
  <c r="AA92" i="1"/>
  <c r="S92" i="1"/>
  <c r="O92" i="1"/>
  <c r="F92" i="1"/>
  <c r="E92" i="1"/>
  <c r="AD91" i="1"/>
  <c r="AB91" i="1"/>
  <c r="AA91" i="1"/>
  <c r="S91" i="1"/>
  <c r="T91" i="1" s="1"/>
  <c r="O91" i="1"/>
  <c r="F91" i="1"/>
  <c r="E91" i="1"/>
  <c r="AD90" i="1"/>
  <c r="AB90" i="1"/>
  <c r="AA90" i="1"/>
  <c r="S90" i="1"/>
  <c r="T90" i="1" s="1"/>
  <c r="O90" i="1"/>
  <c r="F90" i="1"/>
  <c r="E90" i="1"/>
  <c r="AD38" i="1"/>
  <c r="AB38" i="1"/>
  <c r="AA38" i="1"/>
  <c r="S38" i="1"/>
  <c r="T38" i="1" s="1"/>
  <c r="O38" i="1"/>
  <c r="F38" i="1"/>
  <c r="E38" i="1"/>
  <c r="AD89" i="1"/>
  <c r="AB89" i="1"/>
  <c r="AA89" i="1"/>
  <c r="S89" i="1"/>
  <c r="O89" i="1"/>
  <c r="F89" i="1"/>
  <c r="E89" i="1"/>
  <c r="AD37" i="1"/>
  <c r="AB37" i="1"/>
  <c r="AA37" i="1"/>
  <c r="S37" i="1"/>
  <c r="T37" i="1" s="1"/>
  <c r="O37" i="1"/>
  <c r="F37" i="1"/>
  <c r="E37" i="1"/>
  <c r="AD88" i="1"/>
  <c r="AB88" i="1"/>
  <c r="AA88" i="1"/>
  <c r="S88" i="1"/>
  <c r="T88" i="1" s="1"/>
  <c r="O88" i="1"/>
  <c r="F88" i="1"/>
  <c r="E88" i="1"/>
  <c r="AD36" i="1"/>
  <c r="AB36" i="1"/>
  <c r="AA36" i="1"/>
  <c r="S36" i="1"/>
  <c r="T36" i="1" s="1"/>
  <c r="O36" i="1"/>
  <c r="F36" i="1"/>
  <c r="E36" i="1"/>
  <c r="AD87" i="1"/>
  <c r="AB87" i="1"/>
  <c r="AA87" i="1"/>
  <c r="S87" i="1"/>
  <c r="O87" i="1"/>
  <c r="F87" i="1"/>
  <c r="E87" i="1"/>
  <c r="AD35" i="1"/>
  <c r="AB35" i="1"/>
  <c r="AA35" i="1"/>
  <c r="S35" i="1"/>
  <c r="T35" i="1" s="1"/>
  <c r="U35" i="1" s="1"/>
  <c r="O35" i="1"/>
  <c r="F35" i="1"/>
  <c r="E35" i="1"/>
  <c r="AD86" i="1"/>
  <c r="AB86" i="1"/>
  <c r="AA86" i="1"/>
  <c r="S86" i="1"/>
  <c r="O86" i="1"/>
  <c r="F86" i="1"/>
  <c r="E86" i="1"/>
  <c r="AD34" i="1"/>
  <c r="S34" i="1"/>
  <c r="T34" i="1" s="1"/>
  <c r="U34" i="1" s="1"/>
  <c r="O34" i="1"/>
  <c r="F34" i="1"/>
  <c r="E34" i="1"/>
  <c r="AD85" i="1"/>
  <c r="S85" i="1"/>
  <c r="T85" i="1" s="1"/>
  <c r="O85" i="1"/>
  <c r="F85" i="1"/>
  <c r="E85" i="1"/>
  <c r="AD84" i="1"/>
  <c r="S84" i="1"/>
  <c r="T84" i="1" s="1"/>
  <c r="W84" i="1" s="1"/>
  <c r="O84" i="1"/>
  <c r="F84" i="1"/>
  <c r="E84" i="1"/>
  <c r="AD33" i="1"/>
  <c r="S33" i="1"/>
  <c r="T33" i="1" s="1"/>
  <c r="W33" i="1" s="1"/>
  <c r="O33" i="1"/>
  <c r="F33" i="1"/>
  <c r="E33" i="1"/>
  <c r="AD83" i="1"/>
  <c r="S83" i="1"/>
  <c r="T83" i="1" s="1"/>
  <c r="O83" i="1"/>
  <c r="F83" i="1"/>
  <c r="E83" i="1"/>
  <c r="AD116" i="1"/>
  <c r="S116" i="1"/>
  <c r="T116" i="1" s="1"/>
  <c r="O116" i="1"/>
  <c r="I116" i="1"/>
  <c r="E116" i="1" s="1"/>
  <c r="AD115" i="1"/>
  <c r="S115" i="1"/>
  <c r="T115" i="1" s="1"/>
  <c r="O115" i="1"/>
  <c r="F115" i="1"/>
  <c r="E115" i="1"/>
  <c r="AD82" i="1"/>
  <c r="S82" i="1"/>
  <c r="T82" i="1" s="1"/>
  <c r="O82" i="1"/>
  <c r="F82" i="1"/>
  <c r="E82" i="1"/>
  <c r="AD32" i="1"/>
  <c r="S32" i="1"/>
  <c r="T32" i="1" s="1"/>
  <c r="U32" i="1" s="1"/>
  <c r="O32" i="1"/>
  <c r="F32" i="1"/>
  <c r="E32" i="1"/>
  <c r="AD31" i="1"/>
  <c r="S31" i="1"/>
  <c r="T31" i="1" s="1"/>
  <c r="O31" i="1"/>
  <c r="F31" i="1"/>
  <c r="E31" i="1"/>
  <c r="AD81" i="1"/>
  <c r="S81" i="1"/>
  <c r="T81" i="1" s="1"/>
  <c r="O81" i="1"/>
  <c r="F81" i="1"/>
  <c r="AD30" i="1"/>
  <c r="S30" i="1"/>
  <c r="T30" i="1" s="1"/>
  <c r="O30" i="1"/>
  <c r="F30" i="1"/>
  <c r="AD114" i="1"/>
  <c r="S114" i="1"/>
  <c r="T114" i="1" s="1"/>
  <c r="O114" i="1"/>
  <c r="F114" i="1"/>
  <c r="E114" i="1"/>
  <c r="AD80" i="1"/>
  <c r="S80" i="1"/>
  <c r="T80" i="1" s="1"/>
  <c r="O80" i="1"/>
  <c r="F80" i="1"/>
  <c r="E80" i="1"/>
  <c r="AD113" i="1"/>
  <c r="AB113" i="1"/>
  <c r="AA113" i="1"/>
  <c r="S113" i="1"/>
  <c r="O113" i="1"/>
  <c r="F113" i="1"/>
  <c r="E113" i="1"/>
  <c r="AD79" i="1"/>
  <c r="AB79" i="1"/>
  <c r="AA79" i="1"/>
  <c r="S79" i="1"/>
  <c r="T79" i="1" s="1"/>
  <c r="O79" i="1"/>
  <c r="F79" i="1"/>
  <c r="E79" i="1"/>
  <c r="AD29" i="1"/>
  <c r="AB29" i="1"/>
  <c r="AA29" i="1"/>
  <c r="S29" i="1"/>
  <c r="AE29" i="1" s="1"/>
  <c r="O29" i="1"/>
  <c r="F29" i="1"/>
  <c r="E29" i="1"/>
  <c r="AD78" i="1"/>
  <c r="AB78" i="1"/>
  <c r="AA78" i="1"/>
  <c r="S78" i="1"/>
  <c r="T78" i="1" s="1"/>
  <c r="U78" i="1" s="1"/>
  <c r="O78" i="1"/>
  <c r="F78" i="1"/>
  <c r="E78" i="1"/>
  <c r="AD28" i="1"/>
  <c r="AB28" i="1"/>
  <c r="AA28" i="1"/>
  <c r="S28" i="1"/>
  <c r="O28" i="1"/>
  <c r="F28" i="1"/>
  <c r="E28" i="1"/>
  <c r="AD77" i="1"/>
  <c r="AB77" i="1"/>
  <c r="AA77" i="1"/>
  <c r="S77" i="1"/>
  <c r="T77" i="1" s="1"/>
  <c r="O77" i="1"/>
  <c r="F77" i="1"/>
  <c r="E77" i="1"/>
  <c r="AD112" i="1"/>
  <c r="AB112" i="1"/>
  <c r="AA112" i="1"/>
  <c r="S112" i="1"/>
  <c r="AE112" i="1" s="1"/>
  <c r="O112" i="1"/>
  <c r="F112" i="1"/>
  <c r="E112" i="1"/>
  <c r="AD27" i="1"/>
  <c r="AB27" i="1"/>
  <c r="AA27" i="1"/>
  <c r="S27" i="1"/>
  <c r="T27" i="1" s="1"/>
  <c r="O27" i="1"/>
  <c r="F27" i="1"/>
  <c r="E27" i="1"/>
  <c r="AD76" i="1"/>
  <c r="AB76" i="1"/>
  <c r="AA76" i="1"/>
  <c r="S76" i="1"/>
  <c r="O76" i="1"/>
  <c r="F76" i="1"/>
  <c r="E76" i="1"/>
  <c r="AD111" i="1"/>
  <c r="S111" i="1"/>
  <c r="T111" i="1" s="1"/>
  <c r="U111" i="1" s="1"/>
  <c r="O111" i="1"/>
  <c r="F111" i="1"/>
  <c r="E111" i="1"/>
  <c r="AD26" i="1"/>
  <c r="S26" i="1"/>
  <c r="T26" i="1" s="1"/>
  <c r="Y26" i="1" s="1"/>
  <c r="Z26" i="1" s="1"/>
  <c r="AF26" i="1" s="1"/>
  <c r="O26" i="1"/>
  <c r="F26" i="1"/>
  <c r="E26" i="1"/>
  <c r="AD75" i="1"/>
  <c r="AB75" i="1"/>
  <c r="AA75" i="1"/>
  <c r="S75" i="1"/>
  <c r="O75" i="1"/>
  <c r="F75" i="1"/>
  <c r="E75" i="1"/>
  <c r="AD74" i="1"/>
  <c r="AB74" i="1"/>
  <c r="AA74" i="1"/>
  <c r="S74" i="1"/>
  <c r="O74" i="1"/>
  <c r="F74" i="1"/>
  <c r="E74" i="1"/>
  <c r="AD73" i="1"/>
  <c r="AB73" i="1"/>
  <c r="AA73" i="1"/>
  <c r="S73" i="1"/>
  <c r="O73" i="1"/>
  <c r="F73" i="1"/>
  <c r="E73" i="1"/>
  <c r="AD72" i="1"/>
  <c r="AB72" i="1"/>
  <c r="AA72" i="1"/>
  <c r="S72" i="1"/>
  <c r="T72" i="1" s="1"/>
  <c r="O72" i="1"/>
  <c r="F72" i="1"/>
  <c r="E72" i="1"/>
  <c r="AD110" i="1"/>
  <c r="S110" i="1"/>
  <c r="T110" i="1" s="1"/>
  <c r="U110" i="1" s="1"/>
  <c r="O110" i="1"/>
  <c r="F110" i="1"/>
  <c r="E110" i="1"/>
  <c r="AD71" i="1"/>
  <c r="S71" i="1"/>
  <c r="T71" i="1" s="1"/>
  <c r="U71" i="1" s="1"/>
  <c r="O71" i="1"/>
  <c r="F71" i="1"/>
  <c r="E71" i="1"/>
  <c r="AD25" i="1"/>
  <c r="S25" i="1"/>
  <c r="T25" i="1" s="1"/>
  <c r="O25" i="1"/>
  <c r="F25" i="1"/>
  <c r="E25" i="1"/>
  <c r="AD109" i="1"/>
  <c r="S109" i="1"/>
  <c r="T109" i="1" s="1"/>
  <c r="O109" i="1"/>
  <c r="F109" i="1"/>
  <c r="E109" i="1"/>
  <c r="AD70" i="1"/>
  <c r="S70" i="1"/>
  <c r="T70" i="1" s="1"/>
  <c r="O70" i="1"/>
  <c r="F70" i="1"/>
  <c r="E70" i="1"/>
  <c r="AD69" i="1"/>
  <c r="S69" i="1"/>
  <c r="T69" i="1" s="1"/>
  <c r="O69" i="1"/>
  <c r="F69" i="1"/>
  <c r="E69" i="1"/>
  <c r="AD24" i="1"/>
  <c r="S24" i="1"/>
  <c r="T24" i="1" s="1"/>
  <c r="O24" i="1"/>
  <c r="F24" i="1"/>
  <c r="E24" i="1"/>
  <c r="AD68" i="1"/>
  <c r="AB68" i="1"/>
  <c r="AA68" i="1"/>
  <c r="S68" i="1"/>
  <c r="T68" i="1" s="1"/>
  <c r="O68" i="1"/>
  <c r="F68" i="1"/>
  <c r="E68" i="1"/>
  <c r="AD67" i="1"/>
  <c r="AB67" i="1"/>
  <c r="AA67" i="1"/>
  <c r="S67" i="1"/>
  <c r="T67" i="1" s="1"/>
  <c r="V67" i="1" s="1"/>
  <c r="O67" i="1"/>
  <c r="F67" i="1"/>
  <c r="E67" i="1"/>
  <c r="AD23" i="1"/>
  <c r="AB23" i="1"/>
  <c r="AA23" i="1"/>
  <c r="S23" i="1"/>
  <c r="AE23" i="1" s="1"/>
  <c r="O23" i="1"/>
  <c r="F23" i="1"/>
  <c r="E23" i="1"/>
  <c r="AD108" i="1"/>
  <c r="S108" i="1"/>
  <c r="T108" i="1" s="1"/>
  <c r="O108" i="1"/>
  <c r="F108" i="1"/>
  <c r="E108" i="1"/>
  <c r="AD22" i="1"/>
  <c r="S22" i="1"/>
  <c r="T22" i="1" s="1"/>
  <c r="O22" i="1"/>
  <c r="F22" i="1"/>
  <c r="E22" i="1"/>
  <c r="AD66" i="1"/>
  <c r="S66" i="1"/>
  <c r="T66" i="1" s="1"/>
  <c r="V66" i="1" s="1"/>
  <c r="O66" i="1"/>
  <c r="F66" i="1"/>
  <c r="E66" i="1"/>
  <c r="AD107" i="1"/>
  <c r="S107" i="1"/>
  <c r="T107" i="1" s="1"/>
  <c r="O107" i="1"/>
  <c r="F107" i="1"/>
  <c r="E107" i="1"/>
  <c r="AD106" i="1"/>
  <c r="S106" i="1"/>
  <c r="T106" i="1" s="1"/>
  <c r="V106" i="1" s="1"/>
  <c r="O106" i="1"/>
  <c r="F106" i="1"/>
  <c r="E106" i="1"/>
  <c r="AD65" i="1"/>
  <c r="S65" i="1"/>
  <c r="T65" i="1" s="1"/>
  <c r="O65" i="1"/>
  <c r="F65" i="1"/>
  <c r="E65" i="1"/>
  <c r="AD64" i="1"/>
  <c r="S64" i="1"/>
  <c r="T64" i="1" s="1"/>
  <c r="V64" i="1" s="1"/>
  <c r="O64" i="1"/>
  <c r="F64" i="1"/>
  <c r="E64" i="1"/>
  <c r="AD21" i="1"/>
  <c r="S21" i="1"/>
  <c r="T21" i="1" s="1"/>
  <c r="O21" i="1"/>
  <c r="F21" i="1"/>
  <c r="E21" i="1"/>
  <c r="AD20" i="1"/>
  <c r="S20" i="1"/>
  <c r="T20" i="1" s="1"/>
  <c r="O20" i="1"/>
  <c r="F20" i="1"/>
  <c r="E20" i="1"/>
  <c r="AD105" i="1"/>
  <c r="AB105" i="1"/>
  <c r="AA105" i="1"/>
  <c r="S105" i="1"/>
  <c r="T105" i="1" s="1"/>
  <c r="O105" i="1"/>
  <c r="F105" i="1"/>
  <c r="E105" i="1"/>
  <c r="AD63" i="1"/>
  <c r="S63" i="1"/>
  <c r="T63" i="1" s="1"/>
  <c r="O63" i="1"/>
  <c r="F63" i="1"/>
  <c r="E63" i="1"/>
  <c r="AD19" i="1"/>
  <c r="S19" i="1"/>
  <c r="T19" i="1" s="1"/>
  <c r="V19" i="1" s="1"/>
  <c r="O19" i="1"/>
  <c r="F19" i="1"/>
  <c r="E19" i="1"/>
  <c r="AD18" i="1"/>
  <c r="S18" i="1"/>
  <c r="T18" i="1" s="1"/>
  <c r="O18" i="1"/>
  <c r="F18" i="1"/>
  <c r="E18" i="1"/>
  <c r="AE104" i="1"/>
  <c r="AD104" i="1"/>
  <c r="Z104" i="1"/>
  <c r="AA104" i="1" s="1"/>
  <c r="S104" i="1"/>
  <c r="T104" i="1" s="1"/>
  <c r="V104" i="1" s="1"/>
  <c r="O104" i="1"/>
  <c r="F104" i="1"/>
  <c r="E104" i="1"/>
  <c r="AD62" i="1"/>
  <c r="AB62" i="1"/>
  <c r="AA62" i="1"/>
  <c r="S62" i="1"/>
  <c r="AE62" i="1" s="1"/>
  <c r="O62" i="1"/>
  <c r="F62" i="1"/>
  <c r="E62" i="1"/>
  <c r="AD17" i="1"/>
  <c r="AB17" i="1"/>
  <c r="AA17" i="1"/>
  <c r="S17" i="1"/>
  <c r="AE17" i="1" s="1"/>
  <c r="O17" i="1"/>
  <c r="F17" i="1"/>
  <c r="E17" i="1"/>
  <c r="AE61" i="1"/>
  <c r="AD61" i="1"/>
  <c r="AB61" i="1"/>
  <c r="AA61" i="1"/>
  <c r="T61" i="1"/>
  <c r="U61" i="1" s="1"/>
  <c r="O61" i="1"/>
  <c r="F61" i="1"/>
  <c r="E61" i="1"/>
  <c r="AE16" i="1"/>
  <c r="AD16" i="1"/>
  <c r="AB16" i="1"/>
  <c r="AA16" i="1"/>
  <c r="T16" i="1"/>
  <c r="V16" i="1" s="1"/>
  <c r="O16" i="1"/>
  <c r="F16" i="1"/>
  <c r="E16" i="1"/>
  <c r="AD60" i="1"/>
  <c r="AB60" i="1"/>
  <c r="AA60" i="1"/>
  <c r="S60" i="1"/>
  <c r="T60" i="1" s="1"/>
  <c r="O60" i="1"/>
  <c r="F60" i="1"/>
  <c r="E60" i="1"/>
  <c r="AD15" i="1"/>
  <c r="AB15" i="1"/>
  <c r="AA15" i="1"/>
  <c r="S15" i="1"/>
  <c r="AE15" i="1" s="1"/>
  <c r="O15" i="1"/>
  <c r="F15" i="1"/>
  <c r="E15" i="1"/>
  <c r="AE59" i="1"/>
  <c r="AH59" i="1" s="1"/>
  <c r="AJ59" i="1" s="1"/>
  <c r="AD59" i="1"/>
  <c r="AB59" i="1"/>
  <c r="AA59" i="1"/>
  <c r="U59" i="1"/>
  <c r="S59" i="1"/>
  <c r="V59" i="1" s="1"/>
  <c r="Q59" i="1"/>
  <c r="O59" i="1"/>
  <c r="F59" i="1"/>
  <c r="E59" i="1"/>
  <c r="AD58" i="1"/>
  <c r="AB58" i="1"/>
  <c r="AA58" i="1"/>
  <c r="U58" i="1"/>
  <c r="S58" i="1"/>
  <c r="AE58" i="1" s="1"/>
  <c r="AH58" i="1" s="1"/>
  <c r="AJ58" i="1" s="1"/>
  <c r="Q58" i="1"/>
  <c r="O58" i="1"/>
  <c r="F58" i="1"/>
  <c r="E58" i="1"/>
  <c r="AD14" i="1"/>
  <c r="AB14" i="1"/>
  <c r="AA14" i="1"/>
  <c r="U14" i="1"/>
  <c r="S14" i="1"/>
  <c r="AE14" i="1" s="1"/>
  <c r="AH14" i="1" s="1"/>
  <c r="AJ14" i="1" s="1"/>
  <c r="Q14" i="1"/>
  <c r="O14" i="1"/>
  <c r="F14" i="1"/>
  <c r="E14" i="1"/>
  <c r="AE13" i="1"/>
  <c r="AH13" i="1" s="1"/>
  <c r="AJ13" i="1" s="1"/>
  <c r="AD13" i="1"/>
  <c r="Y13" i="1"/>
  <c r="AB13" i="1" s="1"/>
  <c r="U13" i="1"/>
  <c r="S13" i="1"/>
  <c r="V13" i="1" s="1"/>
  <c r="Q13" i="1"/>
  <c r="O13" i="1"/>
  <c r="F13" i="1"/>
  <c r="E13" i="1"/>
  <c r="AE12" i="1"/>
  <c r="AH12" i="1" s="1"/>
  <c r="AD12" i="1"/>
  <c r="AB12" i="1"/>
  <c r="AA12" i="1"/>
  <c r="U12" i="1"/>
  <c r="S12" i="1"/>
  <c r="V12" i="1" s="1"/>
  <c r="Q12" i="1"/>
  <c r="O12" i="1"/>
  <c r="F12" i="1"/>
  <c r="E12" i="1"/>
  <c r="AE103" i="1"/>
  <c r="AH103" i="1" s="1"/>
  <c r="AJ103" i="1" s="1"/>
  <c r="AD103" i="1"/>
  <c r="AB103" i="1"/>
  <c r="AA103" i="1"/>
  <c r="U103" i="1"/>
  <c r="S103" i="1"/>
  <c r="V103" i="1" s="1"/>
  <c r="Q103" i="1"/>
  <c r="O103" i="1"/>
  <c r="F103" i="1"/>
  <c r="E103" i="1"/>
  <c r="AE11" i="1"/>
  <c r="AH11" i="1" s="1"/>
  <c r="AJ11" i="1" s="1"/>
  <c r="AD11" i="1"/>
  <c r="AB11" i="1"/>
  <c r="AA11" i="1"/>
  <c r="U11" i="1"/>
  <c r="S11" i="1"/>
  <c r="V11" i="1" s="1"/>
  <c r="Q11" i="1"/>
  <c r="O11" i="1"/>
  <c r="F11" i="1"/>
  <c r="E11" i="1"/>
  <c r="AE57" i="1"/>
  <c r="AH57" i="1" s="1"/>
  <c r="AJ57" i="1" s="1"/>
  <c r="AD57" i="1"/>
  <c r="AB57" i="1"/>
  <c r="AA57" i="1"/>
  <c r="U57" i="1"/>
  <c r="S57" i="1"/>
  <c r="V57" i="1" s="1"/>
  <c r="Q57" i="1"/>
  <c r="O57" i="1"/>
  <c r="F57" i="1"/>
  <c r="E57" i="1"/>
  <c r="AE10" i="1"/>
  <c r="AH10" i="1" s="1"/>
  <c r="AJ10" i="1" s="1"/>
  <c r="AD10" i="1"/>
  <c r="AB10" i="1"/>
  <c r="AA10" i="1"/>
  <c r="U10" i="1"/>
  <c r="S10" i="1"/>
  <c r="V10" i="1" s="1"/>
  <c r="Q10" i="1"/>
  <c r="O10" i="1"/>
  <c r="F10" i="1"/>
  <c r="E10" i="1"/>
  <c r="AD56" i="1"/>
  <c r="AB56" i="1"/>
  <c r="AA56" i="1"/>
  <c r="U56" i="1"/>
  <c r="S56" i="1"/>
  <c r="AE56" i="1" s="1"/>
  <c r="AH56" i="1" s="1"/>
  <c r="AJ56" i="1" s="1"/>
  <c r="Q56" i="1"/>
  <c r="O56" i="1"/>
  <c r="F56" i="1"/>
  <c r="E56" i="1"/>
  <c r="AE102" i="1"/>
  <c r="AH102" i="1" s="1"/>
  <c r="AJ102" i="1" s="1"/>
  <c r="AD102" i="1"/>
  <c r="AB102" i="1"/>
  <c r="AA102" i="1"/>
  <c r="U102" i="1"/>
  <c r="S102" i="1"/>
  <c r="V102" i="1" s="1"/>
  <c r="Q102" i="1"/>
  <c r="O102" i="1"/>
  <c r="F102" i="1"/>
  <c r="E102" i="1"/>
  <c r="AD9" i="1"/>
  <c r="AB9" i="1"/>
  <c r="AA9" i="1"/>
  <c r="U9" i="1"/>
  <c r="S9" i="1"/>
  <c r="Q9" i="1"/>
  <c r="O9" i="1"/>
  <c r="F9" i="1"/>
  <c r="E9" i="1"/>
  <c r="AD55" i="1"/>
  <c r="AB55" i="1"/>
  <c r="AA55" i="1"/>
  <c r="U55" i="1"/>
  <c r="S55" i="1"/>
  <c r="Q55" i="1"/>
  <c r="O55" i="1"/>
  <c r="F55" i="1"/>
  <c r="E55" i="1"/>
  <c r="AD8" i="1"/>
  <c r="AB8" i="1"/>
  <c r="AA8" i="1"/>
  <c r="U8" i="1"/>
  <c r="S8" i="1"/>
  <c r="Q8" i="1"/>
  <c r="O8" i="1"/>
  <c r="F8" i="1"/>
  <c r="E8" i="1"/>
  <c r="AE101" i="1"/>
  <c r="AH101" i="1" s="1"/>
  <c r="AJ101" i="1" s="1"/>
  <c r="AD101" i="1"/>
  <c r="AB101" i="1"/>
  <c r="AA101" i="1"/>
  <c r="U101" i="1"/>
  <c r="S101" i="1"/>
  <c r="V101" i="1" s="1"/>
  <c r="Q101" i="1"/>
  <c r="O101" i="1"/>
  <c r="F101" i="1"/>
  <c r="E101" i="1"/>
  <c r="AE100" i="1"/>
  <c r="AH100" i="1" s="1"/>
  <c r="AJ100" i="1" s="1"/>
  <c r="AD100" i="1"/>
  <c r="AB100" i="1"/>
  <c r="AA100" i="1"/>
  <c r="U100" i="1"/>
  <c r="S100" i="1"/>
  <c r="V100" i="1" s="1"/>
  <c r="Q100" i="1"/>
  <c r="O100" i="1"/>
  <c r="F100" i="1"/>
  <c r="E100" i="1"/>
  <c r="AE7" i="1"/>
  <c r="AH7" i="1" s="1"/>
  <c r="AJ7" i="1" s="1"/>
  <c r="AD7" i="1"/>
  <c r="AB7" i="1"/>
  <c r="AA7" i="1"/>
  <c r="U7" i="1"/>
  <c r="S7" i="1"/>
  <c r="V7" i="1" s="1"/>
  <c r="Q7" i="1"/>
  <c r="O7" i="1"/>
  <c r="F7" i="1"/>
  <c r="E7" i="1"/>
  <c r="AD6" i="1"/>
  <c r="AB6" i="1"/>
  <c r="AA6" i="1"/>
  <c r="U6" i="1"/>
  <c r="S6" i="1"/>
  <c r="AE6" i="1" s="1"/>
  <c r="AH6" i="1" s="1"/>
  <c r="AJ6" i="1" s="1"/>
  <c r="Q6" i="1"/>
  <c r="O6" i="1"/>
  <c r="F6" i="1"/>
  <c r="E6" i="1"/>
  <c r="AD54" i="1"/>
  <c r="AB54" i="1"/>
  <c r="AA54" i="1"/>
  <c r="U54" i="1"/>
  <c r="S54" i="1"/>
  <c r="V54" i="1" s="1"/>
  <c r="Q54" i="1"/>
  <c r="O54" i="1"/>
  <c r="F54" i="1"/>
  <c r="E54" i="1"/>
  <c r="AD53" i="1"/>
  <c r="AB53" i="1"/>
  <c r="AA53" i="1"/>
  <c r="U53" i="1"/>
  <c r="S53" i="1"/>
  <c r="V53" i="1" s="1"/>
  <c r="Q53" i="1"/>
  <c r="O53" i="1"/>
  <c r="F53" i="1"/>
  <c r="E53" i="1"/>
  <c r="AD52" i="1"/>
  <c r="AB52" i="1"/>
  <c r="AA52" i="1"/>
  <c r="U52" i="1"/>
  <c r="S52" i="1"/>
  <c r="Q52" i="1"/>
  <c r="O52" i="1"/>
  <c r="F52" i="1"/>
  <c r="E52" i="1"/>
  <c r="AD5" i="1"/>
  <c r="AB5" i="1"/>
  <c r="AA5" i="1"/>
  <c r="U5" i="1"/>
  <c r="S5" i="1"/>
  <c r="V5" i="1" s="1"/>
  <c r="Q5" i="1"/>
  <c r="O5" i="1"/>
  <c r="F5" i="1"/>
  <c r="E5" i="1"/>
  <c r="AD51" i="1"/>
  <c r="AB51" i="1"/>
  <c r="AA51" i="1"/>
  <c r="U51" i="1"/>
  <c r="S51" i="1"/>
  <c r="AE51" i="1" s="1"/>
  <c r="AH51" i="1" s="1"/>
  <c r="AJ51" i="1" s="1"/>
  <c r="Q51" i="1"/>
  <c r="O51" i="1"/>
  <c r="F51" i="1"/>
  <c r="E51" i="1"/>
  <c r="AE50" i="1"/>
  <c r="AH50" i="1" s="1"/>
  <c r="AJ50" i="1" s="1"/>
  <c r="AD50" i="1"/>
  <c r="AB50" i="1"/>
  <c r="AA50" i="1"/>
  <c r="U50" i="1"/>
  <c r="S50" i="1"/>
  <c r="V50" i="1" s="1"/>
  <c r="Q50" i="1"/>
  <c r="O50" i="1"/>
  <c r="F50" i="1"/>
  <c r="E50" i="1"/>
  <c r="AD49" i="1"/>
  <c r="AB49" i="1"/>
  <c r="AA49" i="1"/>
  <c r="U49" i="1"/>
  <c r="S49" i="1"/>
  <c r="V49" i="1" s="1"/>
  <c r="Q49" i="1"/>
  <c r="O49" i="1"/>
  <c r="F49" i="1"/>
  <c r="E49" i="1"/>
  <c r="AD48" i="1"/>
  <c r="AB48" i="1"/>
  <c r="AA48" i="1"/>
  <c r="U48" i="1"/>
  <c r="S48" i="1"/>
  <c r="Q48" i="1"/>
  <c r="O48" i="1"/>
  <c r="F48" i="1"/>
  <c r="E48" i="1"/>
  <c r="AD4" i="1"/>
  <c r="AB4" i="1"/>
  <c r="AA4" i="1"/>
  <c r="U4" i="1"/>
  <c r="S4" i="1"/>
  <c r="V4" i="1" s="1"/>
  <c r="Q4" i="1"/>
  <c r="O4" i="1"/>
  <c r="F4" i="1"/>
  <c r="E4" i="1"/>
  <c r="AE99" i="1"/>
  <c r="AH99" i="1" s="1"/>
  <c r="AJ99" i="1" s="1"/>
  <c r="AD99" i="1"/>
  <c r="AB99" i="1"/>
  <c r="AA99" i="1"/>
  <c r="U99" i="1"/>
  <c r="S99" i="1"/>
  <c r="V99" i="1" s="1"/>
  <c r="Q99" i="1"/>
  <c r="O99" i="1"/>
  <c r="F99" i="1"/>
  <c r="E99" i="1"/>
  <c r="AD47" i="1"/>
  <c r="AB47" i="1"/>
  <c r="AA47" i="1"/>
  <c r="U47" i="1"/>
  <c r="S47" i="1"/>
  <c r="Q47" i="1"/>
  <c r="O47" i="1"/>
  <c r="F47" i="1"/>
  <c r="E47" i="1"/>
  <c r="AE46" i="1"/>
  <c r="AH46" i="1" s="1"/>
  <c r="AJ46" i="1" s="1"/>
  <c r="AD46" i="1"/>
  <c r="AB46" i="1"/>
  <c r="AA46" i="1"/>
  <c r="U46" i="1"/>
  <c r="S46" i="1"/>
  <c r="V46" i="1" s="1"/>
  <c r="Q46" i="1"/>
  <c r="O46" i="1"/>
  <c r="F46" i="1"/>
  <c r="E46" i="1"/>
  <c r="AD45" i="1"/>
  <c r="AB45" i="1"/>
  <c r="AA45" i="1"/>
  <c r="U45" i="1"/>
  <c r="S45" i="1"/>
  <c r="V45" i="1" s="1"/>
  <c r="Q45" i="1"/>
  <c r="O45" i="1"/>
  <c r="F45" i="1"/>
  <c r="E45" i="1"/>
  <c r="AD44" i="1"/>
  <c r="AB44" i="1"/>
  <c r="AA44" i="1"/>
  <c r="U44" i="1"/>
  <c r="S44" i="1"/>
  <c r="Q44" i="1"/>
  <c r="O44" i="1"/>
  <c r="F44" i="1"/>
  <c r="E44" i="1"/>
  <c r="AD3" i="1"/>
  <c r="AB3" i="1"/>
  <c r="AA3" i="1"/>
  <c r="U3" i="1"/>
  <c r="S3" i="1"/>
  <c r="V3" i="1" s="1"/>
  <c r="Q3" i="1"/>
  <c r="O3" i="1"/>
  <c r="F3" i="1"/>
  <c r="E3" i="1"/>
  <c r="AD43" i="1"/>
  <c r="AB43" i="1"/>
  <c r="AA43" i="1"/>
  <c r="U43" i="1"/>
  <c r="S43" i="1"/>
  <c r="AE43" i="1" s="1"/>
  <c r="AH43" i="1" s="1"/>
  <c r="AJ43" i="1" s="1"/>
  <c r="Q43" i="1"/>
  <c r="O43" i="1"/>
  <c r="F43" i="1"/>
  <c r="E43" i="1"/>
  <c r="AD2" i="1"/>
  <c r="AB2" i="1"/>
  <c r="AA2" i="1"/>
  <c r="U2" i="1"/>
  <c r="S2" i="1"/>
  <c r="AE2" i="1" s="1"/>
  <c r="AH2" i="1" s="1"/>
  <c r="AJ2" i="1" s="1"/>
  <c r="Q2" i="1"/>
  <c r="O2" i="1"/>
  <c r="F2" i="1"/>
  <c r="E2" i="1"/>
  <c r="AD42" i="1"/>
  <c r="AB42" i="1"/>
  <c r="AA42" i="1"/>
  <c r="U42" i="1"/>
  <c r="S42" i="1"/>
  <c r="AE42" i="1" s="1"/>
  <c r="AH42" i="1" s="1"/>
  <c r="AJ42" i="1" s="1"/>
  <c r="Q42" i="1"/>
  <c r="O42" i="1"/>
  <c r="F42" i="1"/>
  <c r="E42" i="1"/>
  <c r="AE41" i="1"/>
  <c r="AH41" i="1" s="1"/>
  <c r="AJ41" i="1" s="1"/>
  <c r="AD41" i="1"/>
  <c r="AB41" i="1"/>
  <c r="AA41" i="1"/>
  <c r="U41" i="1"/>
  <c r="S41" i="1"/>
  <c r="V41" i="1" s="1"/>
  <c r="Q41" i="1"/>
  <c r="O41" i="1"/>
  <c r="F41" i="1"/>
  <c r="E41" i="1"/>
  <c r="Q2" i="2" l="1"/>
  <c r="AE131" i="1"/>
  <c r="AH131" i="1" s="1"/>
  <c r="AJ131" i="1" s="1"/>
  <c r="AE123" i="1"/>
  <c r="AH123" i="1" s="1"/>
  <c r="AJ123" i="1" s="1"/>
  <c r="AE130" i="1"/>
  <c r="AH130" i="1" s="1"/>
  <c r="AJ130" i="1" s="1"/>
  <c r="AE122" i="1"/>
  <c r="AH122" i="1" s="1"/>
  <c r="AJ122" i="1" s="1"/>
  <c r="AE53" i="1"/>
  <c r="AH53" i="1" s="1"/>
  <c r="AJ53" i="1" s="1"/>
  <c r="AA137" i="1"/>
  <c r="AF61" i="1"/>
  <c r="AF16" i="1"/>
  <c r="AE3" i="1"/>
  <c r="AH3" i="1" s="1"/>
  <c r="AJ3" i="1" s="1"/>
  <c r="AJ12" i="1"/>
  <c r="V61" i="1"/>
  <c r="AE55" i="1"/>
  <c r="AH55" i="1" s="1"/>
  <c r="AJ55" i="1" s="1"/>
  <c r="V55" i="1"/>
  <c r="AE47" i="1"/>
  <c r="AH47" i="1" s="1"/>
  <c r="AJ47" i="1" s="1"/>
  <c r="V47" i="1"/>
  <c r="T15" i="1"/>
  <c r="Q15" i="1" s="1"/>
  <c r="AE97" i="1"/>
  <c r="AH97" i="1" s="1"/>
  <c r="AJ97" i="1" s="1"/>
  <c r="AE5" i="1"/>
  <c r="AH5" i="1" s="1"/>
  <c r="AJ5" i="1" s="1"/>
  <c r="W25" i="1"/>
  <c r="Z25" i="1" s="1"/>
  <c r="U25" i="1"/>
  <c r="T23" i="1"/>
  <c r="U23" i="1" s="1"/>
  <c r="U26" i="1"/>
  <c r="V42" i="1"/>
  <c r="V6" i="1"/>
  <c r="V14" i="1"/>
  <c r="Q61" i="1"/>
  <c r="W71" i="1"/>
  <c r="Z71" i="1" s="1"/>
  <c r="W26" i="1"/>
  <c r="V58" i="1"/>
  <c r="Q104" i="1"/>
  <c r="AA13" i="1"/>
  <c r="F116" i="1"/>
  <c r="V65" i="1"/>
  <c r="W65" i="1"/>
  <c r="X65" i="1" s="1"/>
  <c r="AE65" i="1" s="1"/>
  <c r="U65" i="1"/>
  <c r="Q65" i="1"/>
  <c r="W24" i="1"/>
  <c r="Z24" i="1" s="1"/>
  <c r="AF24" i="1" s="1"/>
  <c r="Q24" i="1"/>
  <c r="W30" i="1"/>
  <c r="Q30" i="1"/>
  <c r="U116" i="1"/>
  <c r="V116" i="1"/>
  <c r="AF68" i="1"/>
  <c r="U68" i="1"/>
  <c r="Q68" i="1"/>
  <c r="V68" i="1"/>
  <c r="V31" i="1"/>
  <c r="W31" i="1"/>
  <c r="X31" i="1" s="1"/>
  <c r="Y31" i="1" s="1"/>
  <c r="Z31" i="1" s="1"/>
  <c r="U31" i="1"/>
  <c r="U95" i="1"/>
  <c r="V95" i="1"/>
  <c r="Q95" i="1"/>
  <c r="V83" i="1"/>
  <c r="W83" i="1"/>
  <c r="Z83" i="1" s="1"/>
  <c r="W69" i="1"/>
  <c r="Y69" i="1" s="1"/>
  <c r="V69" i="1"/>
  <c r="U69" i="1"/>
  <c r="Q69" i="1"/>
  <c r="V51" i="1"/>
  <c r="Q16" i="1"/>
  <c r="W19" i="1"/>
  <c r="X19" i="1" s="1"/>
  <c r="AE19" i="1" s="1"/>
  <c r="T112" i="1"/>
  <c r="Q112" i="1" s="1"/>
  <c r="U84" i="1"/>
  <c r="W106" i="1"/>
  <c r="X106" i="1" s="1"/>
  <c r="AE106" i="1" s="1"/>
  <c r="V43" i="1"/>
  <c r="AE95" i="1"/>
  <c r="AH95" i="1" s="1"/>
  <c r="AJ95" i="1" s="1"/>
  <c r="T96" i="1"/>
  <c r="Q96" i="1" s="1"/>
  <c r="T17" i="1"/>
  <c r="Q17" i="1" s="1"/>
  <c r="AE45" i="1"/>
  <c r="AH45" i="1" s="1"/>
  <c r="AJ45" i="1" s="1"/>
  <c r="AE68" i="1"/>
  <c r="AE98" i="1"/>
  <c r="AH98" i="1" s="1"/>
  <c r="AJ98" i="1" s="1"/>
  <c r="U19" i="1"/>
  <c r="AE4" i="1"/>
  <c r="AH4" i="1" s="1"/>
  <c r="AJ4" i="1" s="1"/>
  <c r="AE54" i="1"/>
  <c r="AH54" i="1" s="1"/>
  <c r="AJ54" i="1" s="1"/>
  <c r="W64" i="1"/>
  <c r="Z64" i="1" s="1"/>
  <c r="T29" i="1"/>
  <c r="Q29" i="1" s="1"/>
  <c r="AE49" i="1"/>
  <c r="AH49" i="1" s="1"/>
  <c r="AJ49" i="1" s="1"/>
  <c r="Q19" i="1"/>
  <c r="Q106" i="1"/>
  <c r="AE52" i="1"/>
  <c r="AH52" i="1" s="1"/>
  <c r="AJ52" i="1" s="1"/>
  <c r="V52" i="1"/>
  <c r="Q18" i="1"/>
  <c r="W18" i="1"/>
  <c r="U18" i="1"/>
  <c r="V18" i="1"/>
  <c r="AE44" i="1"/>
  <c r="AH44" i="1" s="1"/>
  <c r="AJ44" i="1" s="1"/>
  <c r="V44" i="1"/>
  <c r="V60" i="1"/>
  <c r="U60" i="1"/>
  <c r="AF60" i="1"/>
  <c r="Q60" i="1"/>
  <c r="AE48" i="1"/>
  <c r="AH48" i="1" s="1"/>
  <c r="AJ48" i="1" s="1"/>
  <c r="V48" i="1"/>
  <c r="AE8" i="1"/>
  <c r="AH8" i="1" s="1"/>
  <c r="AJ8" i="1" s="1"/>
  <c r="V8" i="1"/>
  <c r="AE9" i="1"/>
  <c r="AH9" i="1" s="1"/>
  <c r="AJ9" i="1" s="1"/>
  <c r="V9" i="1"/>
  <c r="W21" i="1"/>
  <c r="V21" i="1"/>
  <c r="U21" i="1"/>
  <c r="Q21" i="1"/>
  <c r="U70" i="1"/>
  <c r="Q70" i="1"/>
  <c r="W70" i="1"/>
  <c r="U66" i="1"/>
  <c r="Q66" i="1"/>
  <c r="W66" i="1"/>
  <c r="U16" i="1"/>
  <c r="Q22" i="1"/>
  <c r="W22" i="1"/>
  <c r="V22" i="1"/>
  <c r="U22" i="1"/>
  <c r="V70" i="1"/>
  <c r="W81" i="1"/>
  <c r="V81" i="1"/>
  <c r="U81" i="1"/>
  <c r="Q81" i="1"/>
  <c r="AE28" i="1"/>
  <c r="T28" i="1"/>
  <c r="V2" i="1"/>
  <c r="V56" i="1"/>
  <c r="AE60" i="1"/>
  <c r="U104" i="1"/>
  <c r="Q20" i="1"/>
  <c r="W20" i="1"/>
  <c r="V20" i="1"/>
  <c r="U20" i="1"/>
  <c r="Q109" i="1"/>
  <c r="W109" i="1"/>
  <c r="V109" i="1"/>
  <c r="U109" i="1"/>
  <c r="Q114" i="1"/>
  <c r="W114" i="1"/>
  <c r="V114" i="1"/>
  <c r="U114" i="1"/>
  <c r="T62" i="1"/>
  <c r="Q63" i="1"/>
  <c r="W63" i="1"/>
  <c r="V63" i="1"/>
  <c r="U63" i="1"/>
  <c r="V105" i="1"/>
  <c r="U105" i="1"/>
  <c r="AF105" i="1"/>
  <c r="Q105" i="1"/>
  <c r="U67" i="1"/>
  <c r="AF67" i="1"/>
  <c r="Q67" i="1"/>
  <c r="AF104" i="1"/>
  <c r="AH104" i="1" s="1"/>
  <c r="AJ104" i="1" s="1"/>
  <c r="AB104" i="1"/>
  <c r="V79" i="1"/>
  <c r="U79" i="1"/>
  <c r="AF79" i="1"/>
  <c r="Q79" i="1"/>
  <c r="U108" i="1"/>
  <c r="Q108" i="1"/>
  <c r="W108" i="1"/>
  <c r="W107" i="1"/>
  <c r="V107" i="1"/>
  <c r="U107" i="1"/>
  <c r="Q107" i="1"/>
  <c r="V108" i="1"/>
  <c r="AE105" i="1"/>
  <c r="Q111" i="1"/>
  <c r="Y111" i="1"/>
  <c r="Z111" i="1" s="1"/>
  <c r="X111" i="1"/>
  <c r="AE111" i="1" s="1"/>
  <c r="V111" i="1"/>
  <c r="AE76" i="1"/>
  <c r="T76" i="1"/>
  <c r="V77" i="1"/>
  <c r="U77" i="1"/>
  <c r="AF77" i="1"/>
  <c r="Q77" i="1"/>
  <c r="V72" i="1"/>
  <c r="AF72" i="1"/>
  <c r="Q72" i="1"/>
  <c r="Q80" i="1"/>
  <c r="W80" i="1"/>
  <c r="V80" i="1"/>
  <c r="V98" i="1"/>
  <c r="U98" i="1"/>
  <c r="Q98" i="1"/>
  <c r="Q40" i="1"/>
  <c r="V40" i="1"/>
  <c r="U40" i="1"/>
  <c r="Q64" i="1"/>
  <c r="U106" i="1"/>
  <c r="U24" i="1"/>
  <c r="U72" i="1"/>
  <c r="V26" i="1"/>
  <c r="Q26" i="1"/>
  <c r="X26" i="1"/>
  <c r="AE26" i="1" s="1"/>
  <c r="AH26" i="1" s="1"/>
  <c r="AJ26" i="1" s="1"/>
  <c r="W111" i="1"/>
  <c r="AF78" i="1"/>
  <c r="Q78" i="1"/>
  <c r="V78" i="1"/>
  <c r="U80" i="1"/>
  <c r="W115" i="1"/>
  <c r="X115" i="1" s="1"/>
  <c r="V115" i="1"/>
  <c r="U115" i="1"/>
  <c r="Q115" i="1"/>
  <c r="AE67" i="1"/>
  <c r="V24" i="1"/>
  <c r="V110" i="1"/>
  <c r="Q110" i="1"/>
  <c r="AF27" i="1"/>
  <c r="Q27" i="1"/>
  <c r="V27" i="1"/>
  <c r="Q82" i="1"/>
  <c r="W82" i="1"/>
  <c r="X82" i="1" s="1"/>
  <c r="V82" i="1"/>
  <c r="U82" i="1"/>
  <c r="Z33" i="1"/>
  <c r="X33" i="1"/>
  <c r="AE33" i="1" s="1"/>
  <c r="Y33" i="1"/>
  <c r="E136" i="1"/>
  <c r="T73" i="1"/>
  <c r="AE73" i="1"/>
  <c r="T75" i="1"/>
  <c r="AE75" i="1"/>
  <c r="U27" i="1"/>
  <c r="U64" i="1"/>
  <c r="Q71" i="1"/>
  <c r="V71" i="1"/>
  <c r="W110" i="1"/>
  <c r="AB26" i="1"/>
  <c r="AA26" i="1"/>
  <c r="Q32" i="1"/>
  <c r="W32" i="1"/>
  <c r="X32" i="1" s="1"/>
  <c r="V32" i="1"/>
  <c r="V25" i="1"/>
  <c r="Q25" i="1"/>
  <c r="AE74" i="1"/>
  <c r="T74" i="1"/>
  <c r="AE113" i="1"/>
  <c r="T113" i="1"/>
  <c r="AE87" i="1"/>
  <c r="T87" i="1"/>
  <c r="AE94" i="1"/>
  <c r="AH94" i="1" s="1"/>
  <c r="AJ94" i="1" s="1"/>
  <c r="T94" i="1"/>
  <c r="AE77" i="1"/>
  <c r="AE79" i="1"/>
  <c r="W116" i="1"/>
  <c r="X116" i="1" s="1"/>
  <c r="V34" i="1"/>
  <c r="Q34" i="1"/>
  <c r="V90" i="1"/>
  <c r="U90" i="1"/>
  <c r="AF90" i="1"/>
  <c r="Q90" i="1"/>
  <c r="Q85" i="1"/>
  <c r="V85" i="1"/>
  <c r="AF36" i="1"/>
  <c r="Q36" i="1"/>
  <c r="V36" i="1"/>
  <c r="V91" i="1"/>
  <c r="U91" i="1"/>
  <c r="AF91" i="1"/>
  <c r="Q91" i="1"/>
  <c r="AE92" i="1"/>
  <c r="T92" i="1"/>
  <c r="Q97" i="1"/>
  <c r="V97" i="1"/>
  <c r="U97" i="1"/>
  <c r="AE72" i="1"/>
  <c r="U30" i="1"/>
  <c r="Q31" i="1"/>
  <c r="U85" i="1"/>
  <c r="W34" i="1"/>
  <c r="U36" i="1"/>
  <c r="V30" i="1"/>
  <c r="Q116" i="1"/>
  <c r="Q83" i="1"/>
  <c r="Q84" i="1"/>
  <c r="V84" i="1"/>
  <c r="W85" i="1"/>
  <c r="AE89" i="1"/>
  <c r="T89" i="1"/>
  <c r="AE27" i="1"/>
  <c r="AE78" i="1"/>
  <c r="V35" i="1"/>
  <c r="AF35" i="1"/>
  <c r="Q35" i="1"/>
  <c r="V88" i="1"/>
  <c r="U88" i="1"/>
  <c r="AF88" i="1"/>
  <c r="Q88" i="1"/>
  <c r="V93" i="1"/>
  <c r="U93" i="1"/>
  <c r="Q93" i="1"/>
  <c r="V33" i="1"/>
  <c r="Q33" i="1"/>
  <c r="Z84" i="1"/>
  <c r="X84" i="1"/>
  <c r="AE84" i="1" s="1"/>
  <c r="V37" i="1"/>
  <c r="U37" i="1"/>
  <c r="AF37" i="1"/>
  <c r="Q37" i="1"/>
  <c r="AF38" i="1"/>
  <c r="Q38" i="1"/>
  <c r="V38" i="1"/>
  <c r="Z93" i="1"/>
  <c r="Y93" i="1"/>
  <c r="X93" i="1"/>
  <c r="AE93" i="1" s="1"/>
  <c r="V39" i="1"/>
  <c r="U39" i="1"/>
  <c r="Q39" i="1"/>
  <c r="U83" i="1"/>
  <c r="U33" i="1"/>
  <c r="Y84" i="1"/>
  <c r="T86" i="1"/>
  <c r="AE86" i="1"/>
  <c r="U38" i="1"/>
  <c r="AE35" i="1"/>
  <c r="AE37" i="1"/>
  <c r="AE91" i="1"/>
  <c r="AE88" i="1"/>
  <c r="AE90" i="1"/>
  <c r="AE39" i="1"/>
  <c r="AH39" i="1" s="1"/>
  <c r="AJ39" i="1" s="1"/>
  <c r="AE36" i="1"/>
  <c r="AE38" i="1"/>
  <c r="AE40" i="1"/>
  <c r="AH40" i="1" s="1"/>
  <c r="AJ40" i="1" s="1"/>
  <c r="AF112" i="1" l="1"/>
  <c r="AH112" i="1" s="1"/>
  <c r="AJ112" i="1" s="1"/>
  <c r="X83" i="1"/>
  <c r="AE83" i="1" s="1"/>
  <c r="Q23" i="1"/>
  <c r="AE31" i="1"/>
  <c r="AH16" i="1"/>
  <c r="AJ16" i="1" s="1"/>
  <c r="AF23" i="1"/>
  <c r="AH23" i="1" s="1"/>
  <c r="AJ23" i="1" s="1"/>
  <c r="AH61" i="1"/>
  <c r="AJ61" i="1" s="1"/>
  <c r="Y83" i="1"/>
  <c r="AA83" i="1" s="1"/>
  <c r="AH37" i="1"/>
  <c r="AJ37" i="1" s="1"/>
  <c r="AH91" i="1"/>
  <c r="AJ91" i="1" s="1"/>
  <c r="AH78" i="1"/>
  <c r="AJ78" i="1" s="1"/>
  <c r="AH90" i="1"/>
  <c r="AJ90" i="1" s="1"/>
  <c r="AH88" i="1"/>
  <c r="AJ88" i="1" s="1"/>
  <c r="AH67" i="1"/>
  <c r="AJ67" i="1" s="1"/>
  <c r="AH79" i="1"/>
  <c r="AJ79" i="1" s="1"/>
  <c r="AH68" i="1"/>
  <c r="AJ68" i="1" s="1"/>
  <c r="AH35" i="1"/>
  <c r="AJ35" i="1" s="1"/>
  <c r="AH36" i="1"/>
  <c r="AJ36" i="1" s="1"/>
  <c r="AH105" i="1"/>
  <c r="AJ105" i="1" s="1"/>
  <c r="AH60" i="1"/>
  <c r="AJ60" i="1" s="1"/>
  <c r="AH38" i="1"/>
  <c r="AJ38" i="1" s="1"/>
  <c r="AH27" i="1"/>
  <c r="AJ27" i="1" s="1"/>
  <c r="AH72" i="1"/>
  <c r="AJ72" i="1" s="1"/>
  <c r="AH77" i="1"/>
  <c r="AJ77" i="1" s="1"/>
  <c r="V23" i="1"/>
  <c r="Y25" i="1"/>
  <c r="AB25" i="1" s="1"/>
  <c r="X25" i="1"/>
  <c r="AE25" i="1" s="1"/>
  <c r="Y71" i="1"/>
  <c r="AB71" i="1" s="1"/>
  <c r="X71" i="1"/>
  <c r="AE71" i="1" s="1"/>
  <c r="AF29" i="1"/>
  <c r="AF17" i="1"/>
  <c r="AF15" i="1"/>
  <c r="V15" i="1"/>
  <c r="U15" i="1"/>
  <c r="Y24" i="1"/>
  <c r="AB24" i="1" s="1"/>
  <c r="V17" i="1"/>
  <c r="U17" i="1"/>
  <c r="X24" i="1"/>
  <c r="AE24" i="1" s="1"/>
  <c r="AH24" i="1" s="1"/>
  <c r="AJ24" i="1" s="1"/>
  <c r="Y106" i="1"/>
  <c r="Z106" i="1"/>
  <c r="X30" i="1"/>
  <c r="Z30" i="1"/>
  <c r="AF30" i="1" s="1"/>
  <c r="X64" i="1"/>
  <c r="AE64" i="1" s="1"/>
  <c r="V112" i="1"/>
  <c r="U112" i="1"/>
  <c r="Y19" i="1"/>
  <c r="Z19" i="1"/>
  <c r="V96" i="1"/>
  <c r="U96" i="1"/>
  <c r="Y64" i="1"/>
  <c r="AA64" i="1" s="1"/>
  <c r="Z69" i="1"/>
  <c r="AA69" i="1" s="1"/>
  <c r="X69" i="1"/>
  <c r="AE69" i="1" s="1"/>
  <c r="V29" i="1"/>
  <c r="U29" i="1"/>
  <c r="Y65" i="1"/>
  <c r="Z65" i="1"/>
  <c r="Z85" i="1"/>
  <c r="X85" i="1"/>
  <c r="AE85" i="1" s="1"/>
  <c r="Y85" i="1"/>
  <c r="Q74" i="1"/>
  <c r="V74" i="1"/>
  <c r="AF74" i="1"/>
  <c r="U74" i="1"/>
  <c r="Y82" i="1"/>
  <c r="Z82" i="1" s="1"/>
  <c r="AE82" i="1"/>
  <c r="Z107" i="1"/>
  <c r="Y107" i="1"/>
  <c r="X107" i="1"/>
  <c r="AE107" i="1" s="1"/>
  <c r="Z109" i="1"/>
  <c r="Y109" i="1"/>
  <c r="X109" i="1"/>
  <c r="AE109" i="1" s="1"/>
  <c r="Q28" i="1"/>
  <c r="V28" i="1"/>
  <c r="U28" i="1"/>
  <c r="AF28" i="1"/>
  <c r="Z22" i="1"/>
  <c r="Y22" i="1"/>
  <c r="X22" i="1"/>
  <c r="AE22" i="1" s="1"/>
  <c r="Y116" i="1"/>
  <c r="Z116" i="1" s="1"/>
  <c r="AE116" i="1"/>
  <c r="AF83" i="1"/>
  <c r="AE115" i="1"/>
  <c r="Y115" i="1"/>
  <c r="Z115" i="1" s="1"/>
  <c r="Z114" i="1"/>
  <c r="X114" i="1"/>
  <c r="Z20" i="1"/>
  <c r="Y20" i="1"/>
  <c r="X20" i="1"/>
  <c r="AE20" i="1" s="1"/>
  <c r="AF71" i="1"/>
  <c r="Y32" i="1"/>
  <c r="Z32" i="1" s="1"/>
  <c r="AE32" i="1"/>
  <c r="Q92" i="1"/>
  <c r="V92" i="1"/>
  <c r="U92" i="1"/>
  <c r="AF92" i="1"/>
  <c r="Z70" i="1"/>
  <c r="Y70" i="1"/>
  <c r="X70" i="1"/>
  <c r="AE70" i="1" s="1"/>
  <c r="AB93" i="1"/>
  <c r="AA93" i="1"/>
  <c r="AF93" i="1"/>
  <c r="X34" i="1"/>
  <c r="AE34" i="1" s="1"/>
  <c r="Z34" i="1"/>
  <c r="Y34" i="1"/>
  <c r="Q75" i="1"/>
  <c r="V75" i="1"/>
  <c r="U75" i="1"/>
  <c r="AF75" i="1"/>
  <c r="Q76" i="1"/>
  <c r="V76" i="1"/>
  <c r="U76" i="1"/>
  <c r="AF76" i="1"/>
  <c r="Z63" i="1"/>
  <c r="Y63" i="1"/>
  <c r="X63" i="1"/>
  <c r="AE63" i="1" s="1"/>
  <c r="Q94" i="1"/>
  <c r="V94" i="1"/>
  <c r="U94" i="1"/>
  <c r="Q113" i="1"/>
  <c r="V113" i="1"/>
  <c r="U113" i="1"/>
  <c r="AF113" i="1"/>
  <c r="Z108" i="1"/>
  <c r="Y108" i="1"/>
  <c r="X108" i="1"/>
  <c r="AE108" i="1" s="1"/>
  <c r="AF64" i="1"/>
  <c r="AF25" i="1"/>
  <c r="AB111" i="1"/>
  <c r="AF111" i="1"/>
  <c r="AA111" i="1"/>
  <c r="V86" i="1"/>
  <c r="Q86" i="1"/>
  <c r="AF86" i="1"/>
  <c r="U86" i="1"/>
  <c r="AB84" i="1"/>
  <c r="AF84" i="1"/>
  <c r="AA84" i="1"/>
  <c r="Q89" i="1"/>
  <c r="V89" i="1"/>
  <c r="U89" i="1"/>
  <c r="AF89" i="1"/>
  <c r="V73" i="1"/>
  <c r="U73" i="1"/>
  <c r="Q73" i="1"/>
  <c r="AF73" i="1"/>
  <c r="AB33" i="1"/>
  <c r="AF33" i="1"/>
  <c r="AA33" i="1"/>
  <c r="Z80" i="1"/>
  <c r="X80" i="1"/>
  <c r="V62" i="1"/>
  <c r="U62" i="1"/>
  <c r="AF62" i="1"/>
  <c r="Q62" i="1"/>
  <c r="X81" i="1"/>
  <c r="Z81" i="1"/>
  <c r="X21" i="1"/>
  <c r="AE21" i="1" s="1"/>
  <c r="Z21" i="1"/>
  <c r="Y21" i="1"/>
  <c r="Z18" i="1"/>
  <c r="X18" i="1"/>
  <c r="AE18" i="1" s="1"/>
  <c r="Y18" i="1"/>
  <c r="X110" i="1"/>
  <c r="AE110" i="1" s="1"/>
  <c r="Z110" i="1"/>
  <c r="Y110" i="1"/>
  <c r="Q87" i="1"/>
  <c r="V87" i="1"/>
  <c r="U87" i="1"/>
  <c r="AF87" i="1"/>
  <c r="AB31" i="1"/>
  <c r="AA31" i="1"/>
  <c r="AF31" i="1"/>
  <c r="Z66" i="1"/>
  <c r="Y66" i="1"/>
  <c r="X66" i="1"/>
  <c r="AE66" i="1" s="1"/>
  <c r="AB83" i="1" l="1"/>
  <c r="AH84" i="1"/>
  <c r="AJ84" i="1" s="1"/>
  <c r="AH25" i="1"/>
  <c r="AJ25" i="1" s="1"/>
  <c r="AH83" i="1"/>
  <c r="AJ83" i="1" s="1"/>
  <c r="AH15" i="1"/>
  <c r="AJ15" i="1" s="1"/>
  <c r="AH89" i="1"/>
  <c r="AJ89" i="1" s="1"/>
  <c r="AH86" i="1"/>
  <c r="AJ86" i="1" s="1"/>
  <c r="AH93" i="1"/>
  <c r="AJ93" i="1" s="1"/>
  <c r="AH17" i="1"/>
  <c r="AJ17" i="1" s="1"/>
  <c r="AH31" i="1"/>
  <c r="AJ31" i="1" s="1"/>
  <c r="AH75" i="1"/>
  <c r="AJ75" i="1" s="1"/>
  <c r="AH74" i="1"/>
  <c r="AJ74" i="1" s="1"/>
  <c r="AH29" i="1"/>
  <c r="AJ29" i="1" s="1"/>
  <c r="AH76" i="1"/>
  <c r="AJ76" i="1" s="1"/>
  <c r="AH92" i="1"/>
  <c r="AJ92" i="1" s="1"/>
  <c r="AH64" i="1"/>
  <c r="AJ64" i="1" s="1"/>
  <c r="AH33" i="1"/>
  <c r="AJ33" i="1" s="1"/>
  <c r="AH113" i="1"/>
  <c r="AJ113" i="1" s="1"/>
  <c r="AH87" i="1"/>
  <c r="AJ87" i="1" s="1"/>
  <c r="AH62" i="1"/>
  <c r="AJ62" i="1" s="1"/>
  <c r="AH73" i="1"/>
  <c r="AJ73" i="1" s="1"/>
  <c r="AH111" i="1"/>
  <c r="AJ111" i="1" s="1"/>
  <c r="AH71" i="1"/>
  <c r="AJ71" i="1" s="1"/>
  <c r="AH28" i="1"/>
  <c r="AJ28" i="1" s="1"/>
  <c r="AA71" i="1"/>
  <c r="AA25" i="1"/>
  <c r="AB64" i="1"/>
  <c r="AA24" i="1"/>
  <c r="AA65" i="1"/>
  <c r="AF65" i="1"/>
  <c r="AB65" i="1"/>
  <c r="AE30" i="1"/>
  <c r="AH30" i="1" s="1"/>
  <c r="AJ30" i="1" s="1"/>
  <c r="Y30" i="1"/>
  <c r="AF106" i="1"/>
  <c r="AB106" i="1"/>
  <c r="AA106" i="1"/>
  <c r="AF19" i="1"/>
  <c r="AA19" i="1"/>
  <c r="AB19" i="1"/>
  <c r="AF69" i="1"/>
  <c r="AB69" i="1"/>
  <c r="AF82" i="1"/>
  <c r="AB82" i="1"/>
  <c r="AA82" i="1"/>
  <c r="AB85" i="1"/>
  <c r="AA85" i="1"/>
  <c r="AF85" i="1"/>
  <c r="AB66" i="1"/>
  <c r="AA66" i="1"/>
  <c r="AF66" i="1"/>
  <c r="Y80" i="1"/>
  <c r="AB80" i="1" s="1"/>
  <c r="AE80" i="1"/>
  <c r="AF115" i="1"/>
  <c r="AB115" i="1"/>
  <c r="AA115" i="1"/>
  <c r="AA63" i="1"/>
  <c r="AF63" i="1"/>
  <c r="AB63" i="1"/>
  <c r="AA80" i="1"/>
  <c r="AF80" i="1"/>
  <c r="AF21" i="1"/>
  <c r="AB21" i="1"/>
  <c r="AA21" i="1"/>
  <c r="AF18" i="1"/>
  <c r="AB18" i="1"/>
  <c r="AA18" i="1"/>
  <c r="AB32" i="1"/>
  <c r="AA32" i="1"/>
  <c r="AF32" i="1"/>
  <c r="AF20" i="1"/>
  <c r="AB20" i="1"/>
  <c r="AA20" i="1"/>
  <c r="Y114" i="1"/>
  <c r="AB114" i="1" s="1"/>
  <c r="AE114" i="1"/>
  <c r="AA22" i="1"/>
  <c r="AF22" i="1"/>
  <c r="AB22" i="1"/>
  <c r="AF107" i="1"/>
  <c r="AB107" i="1"/>
  <c r="AA107" i="1"/>
  <c r="AF81" i="1"/>
  <c r="AB70" i="1"/>
  <c r="AA70" i="1"/>
  <c r="AF70" i="1"/>
  <c r="AF114" i="1"/>
  <c r="AA109" i="1"/>
  <c r="AF109" i="1"/>
  <c r="AB109" i="1"/>
  <c r="AB110" i="1"/>
  <c r="AF110" i="1"/>
  <c r="AA110" i="1"/>
  <c r="AB116" i="1"/>
  <c r="AA116" i="1"/>
  <c r="AF116" i="1"/>
  <c r="AE81" i="1"/>
  <c r="Y81" i="1"/>
  <c r="AA81" i="1" s="1"/>
  <c r="AB108" i="1"/>
  <c r="AA108" i="1"/>
  <c r="AF108" i="1"/>
  <c r="AB34" i="1"/>
  <c r="AF34" i="1"/>
  <c r="AA34" i="1"/>
  <c r="AH66" i="1" l="1"/>
  <c r="AJ66" i="1" s="1"/>
  <c r="AH106" i="1"/>
  <c r="AJ106" i="1" s="1"/>
  <c r="AH81" i="1"/>
  <c r="AJ81" i="1" s="1"/>
  <c r="AH63" i="1"/>
  <c r="AJ63" i="1" s="1"/>
  <c r="AH18" i="1"/>
  <c r="AJ18" i="1" s="1"/>
  <c r="AH69" i="1"/>
  <c r="AJ69" i="1" s="1"/>
  <c r="AH116" i="1"/>
  <c r="AJ116" i="1" s="1"/>
  <c r="AH107" i="1"/>
  <c r="AJ107" i="1" s="1"/>
  <c r="AH20" i="1"/>
  <c r="AJ20" i="1" s="1"/>
  <c r="AH65" i="1"/>
  <c r="AJ65" i="1" s="1"/>
  <c r="AH34" i="1"/>
  <c r="AJ34" i="1" s="1"/>
  <c r="AH114" i="1"/>
  <c r="AJ114" i="1" s="1"/>
  <c r="AH32" i="1"/>
  <c r="AJ32" i="1" s="1"/>
  <c r="AH21" i="1"/>
  <c r="AJ21" i="1" s="1"/>
  <c r="AH115" i="1"/>
  <c r="AJ115" i="1" s="1"/>
  <c r="AH19" i="1"/>
  <c r="AJ19" i="1" s="1"/>
  <c r="AH85" i="1"/>
  <c r="AJ85" i="1" s="1"/>
  <c r="AH70" i="1"/>
  <c r="AJ70" i="1" s="1"/>
  <c r="AH22" i="1"/>
  <c r="AJ22" i="1" s="1"/>
  <c r="AH80" i="1"/>
  <c r="AJ80" i="1" s="1"/>
  <c r="AH109" i="1"/>
  <c r="AJ109" i="1" s="1"/>
  <c r="AH108" i="1"/>
  <c r="AJ108" i="1" s="1"/>
  <c r="AH110" i="1"/>
  <c r="AJ110" i="1" s="1"/>
  <c r="AH82" i="1"/>
  <c r="AJ82" i="1" s="1"/>
  <c r="L2" i="2" a="1"/>
  <c r="L2" i="2" s="1"/>
  <c r="AA114" i="1"/>
  <c r="AB30" i="1"/>
  <c r="AA30" i="1"/>
  <c r="AB81" i="1"/>
  <c r="AJ136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<sst xmlns="http://schemas.openxmlformats.org/spreadsheetml/2006/main" count="768" uniqueCount="86">
  <si>
    <t>OPERATION</t>
  </si>
  <si>
    <t>BASSIN</t>
  </si>
  <si>
    <t>Prog</t>
  </si>
  <si>
    <t>TYPE</t>
  </si>
  <si>
    <t>N</t>
  </si>
  <si>
    <t>N hors REHAB</t>
  </si>
  <si>
    <t>LLS</t>
  </si>
  <si>
    <t>LLTS</t>
  </si>
  <si>
    <t>PLS</t>
  </si>
  <si>
    <t>REHAB</t>
  </si>
  <si>
    <t>VEFA / PROPRE</t>
  </si>
  <si>
    <t>Arrêté LBU</t>
  </si>
  <si>
    <t>OS démarrage</t>
  </si>
  <si>
    <t>ANNEE DEMARRAGE</t>
  </si>
  <si>
    <t>ECART Arrêté DEAL / OS</t>
  </si>
  <si>
    <t>Délai chantier initial</t>
  </si>
  <si>
    <t>Délai chantier réel</t>
  </si>
  <si>
    <t>Achèvement fondations</t>
  </si>
  <si>
    <t>Date réception entreprise prévue initialement</t>
  </si>
  <si>
    <t>Date réception entreprise recalée</t>
  </si>
  <si>
    <t>Fin GPA</t>
  </si>
  <si>
    <t>Retard de réception</t>
  </si>
  <si>
    <t>Date achèvement VEFA</t>
  </si>
  <si>
    <t>Date Livraison initiale VEFA</t>
  </si>
  <si>
    <t>Date livraison contractuelle y/c avenant</t>
  </si>
  <si>
    <t>Date Livraison VEFA estimée avec retards constatés</t>
  </si>
  <si>
    <t>Retard livraison VEFA (mois)</t>
  </si>
  <si>
    <t>Retard livraison VEFA (jour)</t>
  </si>
  <si>
    <t>DAACT</t>
  </si>
  <si>
    <t>DATE LIMITE DAACT CREDIT IMPOT (Fondations + 24 mois)</t>
  </si>
  <si>
    <t>Date inauguration initiale</t>
  </si>
  <si>
    <t>Date inauguration recalée</t>
  </si>
  <si>
    <t>Année Inauguration</t>
  </si>
  <si>
    <t>Retard Inauguration (m)</t>
  </si>
  <si>
    <t>Loyer mensuel</t>
  </si>
  <si>
    <t>Perte loyer</t>
  </si>
  <si>
    <t>CIVIS</t>
  </si>
  <si>
    <t>VEFA</t>
  </si>
  <si>
    <t>CA SUD</t>
  </si>
  <si>
    <t>propre</t>
  </si>
  <si>
    <t>TCO</t>
  </si>
  <si>
    <t>x</t>
  </si>
  <si>
    <t>Propre</t>
  </si>
  <si>
    <t>CIREST</t>
  </si>
  <si>
    <t>non inscrit</t>
  </si>
  <si>
    <t>Total</t>
  </si>
  <si>
    <t>FIN.MOIS([@[Contrat de prêt]];0)+1</t>
  </si>
  <si>
    <t>Étiquettes de lignes</t>
  </si>
  <si>
    <t>Somme de N</t>
  </si>
  <si>
    <t>ANNEE</t>
  </si>
  <si>
    <t>Programmation</t>
  </si>
  <si>
    <t>Livraisons</t>
  </si>
  <si>
    <t>Objectif</t>
  </si>
  <si>
    <t>Total général</t>
  </si>
  <si>
    <t>OBJECTIF</t>
  </si>
  <si>
    <t>(Plusieurs éléments)</t>
  </si>
  <si>
    <t>Étiquettes de colonnes</t>
  </si>
  <si>
    <t>A</t>
  </si>
  <si>
    <t>B</t>
  </si>
  <si>
    <t>C</t>
  </si>
  <si>
    <t xml:space="preserve">D </t>
  </si>
  <si>
    <t>E</t>
  </si>
  <si>
    <t>F</t>
  </si>
  <si>
    <t>G</t>
  </si>
  <si>
    <t>H</t>
  </si>
  <si>
    <t>I</t>
  </si>
  <si>
    <t>f</t>
  </si>
  <si>
    <t>d</t>
  </si>
  <si>
    <t>r</t>
  </si>
  <si>
    <t>e</t>
  </si>
  <si>
    <t>t</t>
  </si>
  <si>
    <t>g</t>
  </si>
  <si>
    <t>h</t>
  </si>
  <si>
    <t>k</t>
  </si>
  <si>
    <t>q</t>
  </si>
  <si>
    <t>j</t>
  </si>
  <si>
    <t>z</t>
  </si>
  <si>
    <t>b</t>
  </si>
  <si>
    <t>l</t>
  </si>
  <si>
    <t>m</t>
  </si>
  <si>
    <t>o</t>
  </si>
  <si>
    <t>u</t>
  </si>
  <si>
    <t>ds</t>
  </si>
  <si>
    <t>rf</t>
  </si>
  <si>
    <t>s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</si>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</sst>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#,##0;0;&quot;-&quot;"/>
    <numFmt numFmtId="165" formatCode="_-* #,##0_-;\-* #,##0_-;_-* &quot;-&quot;??_-;_-@_-"/>
    <numFmt numFmtId="166" formatCode="dd/mm/yy;@"/>
    <numFmt numFmtId="167" formatCode="#,##0.0;0;&quot;-&quot;"/>
    <numFmt numFmtId="168" formatCode="#,##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505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1"/>
        <bgColor theme="1"/>
      </patternFill>
    </fill>
    <fill>
      <patternFill patternType="solid">
        <fgColor rgb="FFFFFF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 tint="0.499984740745262"/>
        <bgColor theme="1"/>
      </patternFill>
    </fill>
    <fill>
      <patternFill patternType="solid">
        <fgColor rgb="FF00B050"/>
        <bgColor theme="1"/>
      </patternFill>
    </fill>
    <fill>
      <patternFill patternType="solid">
        <fgColor theme="5" tint="-0.249977111117893"/>
        <bgColor theme="1"/>
      </patternFill>
    </fill>
    <fill>
      <patternFill patternType="solid">
        <fgColor rgb="FFFFC000"/>
        <bgColor theme="1"/>
      </patternFill>
    </fill>
    <fill>
      <patternFill patternType="solid">
        <fgColor theme="4" tint="-0.249977111117893"/>
        <bgColor theme="1"/>
      </patternFill>
    </fill>
    <fill>
      <patternFill patternType="solid">
        <fgColor rgb="FF7030A0"/>
        <bgColor theme="1"/>
      </patternFill>
    </fill>
    <fill>
      <patternFill patternType="solid">
        <fgColor theme="4" tint="0.39997558519241921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auto="1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theme="1"/>
      </top>
      <bottom style="thin">
        <color indexed="64"/>
      </bottom>
      <diagonal/>
    </border>
    <border>
      <left style="medium">
        <color rgb="FFFF0000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7030A0"/>
      </left>
      <right style="medium">
        <color rgb="FF7030A0"/>
      </right>
      <top style="thin">
        <color auto="1"/>
      </top>
      <bottom style="thin">
        <color auto="1"/>
      </bottom>
      <diagonal/>
    </border>
    <border>
      <left style="medium">
        <color rgb="FF7030A0"/>
      </left>
      <right style="medium">
        <color rgb="FF7030A0"/>
      </right>
      <top style="thin">
        <color theme="1"/>
      </top>
      <bottom style="thin">
        <color theme="1"/>
      </bottom>
      <diagonal/>
    </border>
    <border>
      <left style="medium">
        <color rgb="FF7030A0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7030A0"/>
      </left>
      <right/>
      <top style="thin">
        <color theme="1"/>
      </top>
      <bottom/>
      <diagonal/>
    </border>
    <border>
      <left style="medium">
        <color rgb="FFFF0000"/>
      </left>
      <right style="medium">
        <color rgb="FFFF0000"/>
      </right>
      <top style="thin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rgb="FFFF0000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thin">
        <color auto="1"/>
      </right>
      <top/>
      <bottom/>
      <diagonal/>
    </border>
    <border>
      <left/>
      <right style="medium">
        <color rgb="FF7030A0"/>
      </right>
      <top/>
      <bottom/>
      <diagonal/>
    </border>
    <border>
      <left style="medium">
        <color rgb="FF7030A0"/>
      </left>
      <right style="medium">
        <color rgb="FF7030A0"/>
      </right>
      <top/>
      <bottom/>
      <diagonal/>
    </border>
    <border>
      <left style="medium">
        <color rgb="FF7030A0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6"/>
      </left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7030A0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FF0000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0"/>
      </right>
      <top/>
      <bottom style="thin">
        <color theme="1"/>
      </bottom>
      <diagonal/>
    </border>
    <border>
      <left style="thin">
        <color theme="0"/>
      </left>
      <right style="thin">
        <color theme="0"/>
      </right>
      <top/>
      <bottom style="thin">
        <color theme="1"/>
      </bottom>
      <diagonal/>
    </border>
    <border>
      <left style="thin">
        <color theme="0"/>
      </left>
      <right style="thin">
        <color theme="1"/>
      </right>
      <top/>
      <bottom style="thin">
        <color theme="1"/>
      </bottom>
      <diagonal/>
    </border>
    <border>
      <left/>
      <right style="thin">
        <color theme="5"/>
      </right>
      <top/>
      <bottom/>
      <diagonal/>
    </border>
    <border>
      <left style="medium">
        <color rgb="FFFF0000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2" borderId="0" applyNumberFormat="0" applyBorder="0" applyAlignment="0" applyProtection="0"/>
  </cellStyleXfs>
  <cellXfs count="154">
    <xf numFmtId="0" fontId="0" fillId="0" borderId="0" xfId="0"/>
    <xf numFmtId="0" fontId="0" fillId="0" borderId="0" xfId="0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14" fontId="5" fillId="3" borderId="1" xfId="3" applyNumberFormat="1" applyFont="1" applyFill="1" applyBorder="1" applyAlignment="1">
      <alignment horizontal="center" vertical="center"/>
    </xf>
    <xf numFmtId="166" fontId="5" fillId="0" borderId="1" xfId="3" applyNumberFormat="1" applyFont="1" applyFill="1" applyBorder="1" applyAlignment="1">
      <alignment horizontal="center" vertical="center"/>
    </xf>
    <xf numFmtId="166" fontId="5" fillId="0" borderId="5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" fontId="5" fillId="0" borderId="1" xfId="1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166" fontId="0" fillId="0" borderId="1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/>
    </xf>
    <xf numFmtId="166" fontId="5" fillId="0" borderId="6" xfId="1" applyNumberFormat="1" applyFont="1" applyFill="1" applyBorder="1" applyAlignment="1">
      <alignment horizontal="center" vertical="center"/>
    </xf>
    <xf numFmtId="166" fontId="5" fillId="0" borderId="7" xfId="1" applyNumberFormat="1" applyFont="1" applyFill="1" applyBorder="1" applyAlignment="1">
      <alignment horizontal="center" vertical="center"/>
    </xf>
    <xf numFmtId="1" fontId="0" fillId="0" borderId="8" xfId="0" applyNumberFormat="1" applyBorder="1" applyAlignment="1">
      <alignment horizontal="center"/>
    </xf>
    <xf numFmtId="166" fontId="5" fillId="0" borderId="9" xfId="0" applyNumberFormat="1" applyFont="1" applyBorder="1" applyAlignment="1">
      <alignment horizontal="center" vertical="center"/>
    </xf>
    <xf numFmtId="166" fontId="5" fillId="0" borderId="9" xfId="1" applyNumberFormat="1" applyFont="1" applyFill="1" applyBorder="1" applyAlignment="1">
      <alignment horizontal="center" vertical="center"/>
    </xf>
    <xf numFmtId="167" fontId="0" fillId="4" borderId="10" xfId="0" applyNumberFormat="1" applyFill="1" applyBorder="1" applyAlignment="1">
      <alignment horizontal="center" vertical="center"/>
    </xf>
    <xf numFmtId="164" fontId="0" fillId="4" borderId="10" xfId="0" applyNumberFormat="1" applyFill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66" fontId="0" fillId="0" borderId="11" xfId="0" applyNumberFormat="1" applyBorder="1" applyAlignment="1">
      <alignment horizontal="center"/>
    </xf>
    <xf numFmtId="166" fontId="5" fillId="0" borderId="5" xfId="1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0" borderId="3" xfId="1" applyNumberFormat="1" applyFont="1" applyFill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66" fontId="0" fillId="0" borderId="12" xfId="0" applyNumberForma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/>
    </xf>
    <xf numFmtId="0" fontId="5" fillId="5" borderId="3" xfId="1" applyNumberFormat="1" applyFont="1" applyFill="1" applyBorder="1" applyAlignment="1">
      <alignment horizontal="center" vertical="center"/>
    </xf>
    <xf numFmtId="0" fontId="5" fillId="5" borderId="3" xfId="1" applyNumberFormat="1" applyFont="1" applyFill="1" applyBorder="1" applyAlignment="1">
      <alignment horizontal="center" vertical="center" wrapText="1"/>
    </xf>
    <xf numFmtId="0" fontId="1" fillId="5" borderId="3" xfId="1" applyNumberFormat="1" applyFont="1" applyFill="1" applyBorder="1" applyAlignment="1">
      <alignment horizontal="center" vertical="center" wrapText="1"/>
    </xf>
    <xf numFmtId="0" fontId="0" fillId="0" borderId="1" xfId="0" applyBorder="1"/>
    <xf numFmtId="166" fontId="0" fillId="0" borderId="9" xfId="0" applyNumberFormat="1" applyBorder="1" applyAlignment="1">
      <alignment horizontal="center" vertical="center"/>
    </xf>
    <xf numFmtId="166" fontId="0" fillId="0" borderId="11" xfId="0" applyNumberFormat="1" applyBorder="1" applyAlignment="1">
      <alignment horizontal="center" vertical="center"/>
    </xf>
    <xf numFmtId="166" fontId="0" fillId="0" borderId="12" xfId="0" applyNumberFormat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" fontId="5" fillId="0" borderId="1" xfId="2" applyNumberFormat="1" applyFont="1" applyFill="1" applyBorder="1" applyAlignment="1">
      <alignment horizontal="center" vertical="center"/>
    </xf>
    <xf numFmtId="166" fontId="3" fillId="0" borderId="9" xfId="1" applyNumberFormat="1" applyFont="1" applyFill="1" applyBorder="1" applyAlignment="1">
      <alignment horizontal="center" vertical="center"/>
    </xf>
    <xf numFmtId="1" fontId="5" fillId="0" borderId="9" xfId="1" applyNumberFormat="1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6" fontId="5" fillId="0" borderId="7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14" fontId="0" fillId="5" borderId="11" xfId="0" applyNumberFormat="1" applyFill="1" applyBorder="1" applyAlignment="1">
      <alignment horizontal="center" vertical="center"/>
    </xf>
    <xf numFmtId="166" fontId="0" fillId="5" borderId="11" xfId="0" applyNumberFormat="1" applyFill="1" applyBorder="1" applyAlignment="1">
      <alignment horizontal="center"/>
    </xf>
    <xf numFmtId="166" fontId="5" fillId="0" borderId="5" xfId="1" applyNumberFormat="1" applyFont="1" applyFill="1" applyBorder="1" applyAlignment="1">
      <alignment horizontal="center" vertical="center" wrapText="1"/>
    </xf>
    <xf numFmtId="166" fontId="5" fillId="0" borderId="7" xfId="1" applyNumberFormat="1" applyFont="1" applyFill="1" applyBorder="1" applyAlignment="1">
      <alignment horizontal="center" vertical="center" wrapText="1"/>
    </xf>
    <xf numFmtId="166" fontId="5" fillId="5" borderId="1" xfId="3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6" fontId="3" fillId="0" borderId="5" xfId="1" applyNumberFormat="1" applyFont="1" applyFill="1" applyBorder="1" applyAlignment="1">
      <alignment horizontal="center" vertical="center"/>
    </xf>
    <xf numFmtId="166" fontId="5" fillId="5" borderId="9" xfId="1" applyNumberFormat="1" applyFont="1" applyFill="1" applyBorder="1" applyAlignment="1">
      <alignment horizontal="center" vertical="center"/>
    </xf>
    <xf numFmtId="166" fontId="3" fillId="0" borderId="5" xfId="0" applyNumberFormat="1" applyFont="1" applyBorder="1" applyAlignment="1">
      <alignment horizontal="center" vertical="center"/>
    </xf>
    <xf numFmtId="168" fontId="0" fillId="0" borderId="1" xfId="0" applyNumberFormat="1" applyBorder="1" applyAlignment="1">
      <alignment horizontal="center"/>
    </xf>
    <xf numFmtId="0" fontId="3" fillId="0" borderId="3" xfId="1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43" fontId="1" fillId="0" borderId="1" xfId="1" applyFont="1" applyFill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3" borderId="15" xfId="0" applyFill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5" xfId="0" applyBorder="1"/>
    <xf numFmtId="0" fontId="5" fillId="0" borderId="15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3" fillId="0" borderId="26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/>
    <xf numFmtId="0" fontId="0" fillId="0" borderId="0" xfId="0" applyAlignment="1">
      <alignment horizontal="center" vertical="center"/>
    </xf>
    <xf numFmtId="165" fontId="0" fillId="0" borderId="0" xfId="0" applyNumberFormat="1"/>
    <xf numFmtId="14" fontId="0" fillId="0" borderId="0" xfId="0" applyNumberFormat="1"/>
    <xf numFmtId="0" fontId="0" fillId="0" borderId="0" xfId="0" applyAlignment="1">
      <alignment horizontal="left"/>
    </xf>
    <xf numFmtId="3" fontId="0" fillId="0" borderId="0" xfId="0" applyNumberFormat="1"/>
    <xf numFmtId="0" fontId="4" fillId="0" borderId="30" xfId="0" applyFont="1" applyBorder="1"/>
    <xf numFmtId="0" fontId="4" fillId="0" borderId="31" xfId="0" applyFont="1" applyBorder="1"/>
    <xf numFmtId="0" fontId="0" fillId="0" borderId="0" xfId="0" pivotButton="1"/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3" borderId="1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0" fillId="0" borderId="3" xfId="0" applyBorder="1"/>
    <xf numFmtId="14" fontId="0" fillId="0" borderId="4" xfId="0" applyNumberFormat="1" applyBorder="1" applyAlignment="1">
      <alignment horizontal="center"/>
    </xf>
    <xf numFmtId="1" fontId="0" fillId="0" borderId="32" xfId="0" applyNumberFormat="1" applyBorder="1" applyAlignment="1">
      <alignment horizontal="center"/>
    </xf>
    <xf numFmtId="14" fontId="0" fillId="0" borderId="16" xfId="0" applyNumberFormat="1" applyBorder="1" applyAlignment="1">
      <alignment horizontal="center" vertical="center"/>
    </xf>
    <xf numFmtId="166" fontId="0" fillId="0" borderId="18" xfId="0" applyNumberFormat="1" applyBorder="1" applyAlignment="1">
      <alignment horizontal="center"/>
    </xf>
    <xf numFmtId="166" fontId="0" fillId="0" borderId="19" xfId="0" applyNumberForma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8" fillId="9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0" fillId="3" borderId="33" xfId="0" applyFont="1" applyFill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166" fontId="5" fillId="5" borderId="33" xfId="3" applyNumberFormat="1" applyFont="1" applyFill="1" applyBorder="1" applyAlignment="1">
      <alignment horizontal="center" vertical="center"/>
    </xf>
    <xf numFmtId="166" fontId="5" fillId="0" borderId="34" xfId="0" applyNumberFormat="1" applyFont="1" applyBorder="1" applyAlignment="1">
      <alignment horizontal="center" vertical="center"/>
    </xf>
    <xf numFmtId="166" fontId="5" fillId="0" borderId="17" xfId="1" applyNumberFormat="1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166" fontId="3" fillId="0" borderId="17" xfId="1" applyNumberFormat="1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 wrapText="1"/>
    </xf>
    <xf numFmtId="166" fontId="5" fillId="2" borderId="33" xfId="3" applyNumberFormat="1" applyFont="1" applyBorder="1" applyAlignment="1">
      <alignment horizontal="center" vertical="center"/>
    </xf>
    <xf numFmtId="166" fontId="3" fillId="0" borderId="34" xfId="0" applyNumberFormat="1" applyFont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0" fillId="3" borderId="33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center"/>
    </xf>
    <xf numFmtId="0" fontId="3" fillId="3" borderId="33" xfId="0" applyFont="1" applyFill="1" applyBorder="1" applyAlignment="1">
      <alignment horizontal="center" vertical="center"/>
    </xf>
    <xf numFmtId="0" fontId="0" fillId="0" borderId="33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0" fontId="0" fillId="0" borderId="35" xfId="0" applyFont="1" applyBorder="1" applyAlignment="1">
      <alignment horizontal="center"/>
    </xf>
    <xf numFmtId="0" fontId="0" fillId="0" borderId="35" xfId="0" applyNumberFormat="1" applyFont="1" applyBorder="1" applyAlignment="1">
      <alignment horizontal="center"/>
    </xf>
    <xf numFmtId="0" fontId="7" fillId="10" borderId="35" xfId="0" applyFont="1" applyFill="1" applyBorder="1" applyAlignment="1">
      <alignment horizontal="center"/>
    </xf>
    <xf numFmtId="0" fontId="7" fillId="10" borderId="1" xfId="0" applyFont="1" applyFill="1" applyBorder="1" applyAlignment="1">
      <alignment horizontal="center"/>
    </xf>
    <xf numFmtId="0" fontId="2" fillId="8" borderId="36" xfId="0" applyFont="1" applyFill="1" applyBorder="1" applyAlignment="1">
      <alignment horizontal="center" vertical="center"/>
    </xf>
    <xf numFmtId="0" fontId="2" fillId="15" borderId="37" xfId="0" applyFont="1" applyFill="1" applyBorder="1" applyAlignment="1">
      <alignment horizontal="center" vertical="center"/>
    </xf>
    <xf numFmtId="0" fontId="2" fillId="14" borderId="37" xfId="0" applyFont="1" applyFill="1" applyBorder="1" applyAlignment="1">
      <alignment horizontal="center" vertical="center"/>
    </xf>
    <xf numFmtId="0" fontId="2" fillId="13" borderId="37" xfId="0" applyFont="1" applyFill="1" applyBorder="1" applyAlignment="1">
      <alignment horizontal="center" vertical="center"/>
    </xf>
    <xf numFmtId="0" fontId="2" fillId="11" borderId="37" xfId="0" applyFont="1" applyFill="1" applyBorder="1" applyAlignment="1">
      <alignment horizontal="center" vertical="center"/>
    </xf>
    <xf numFmtId="0" fontId="2" fillId="16" borderId="37" xfId="0" applyFont="1" applyFill="1" applyBorder="1" applyAlignment="1">
      <alignment horizontal="center" vertical="center"/>
    </xf>
    <xf numFmtId="0" fontId="2" fillId="12" borderId="37" xfId="0" applyFont="1" applyFill="1" applyBorder="1" applyAlignment="1">
      <alignment horizontal="center" vertical="center"/>
    </xf>
    <xf numFmtId="0" fontId="2" fillId="8" borderId="38" xfId="0" applyFont="1" applyFill="1" applyBorder="1" applyAlignment="1">
      <alignment horizontal="center" vertical="center"/>
    </xf>
    <xf numFmtId="0" fontId="7" fillId="10" borderId="13" xfId="0" applyFont="1" applyFill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3" xfId="0" applyNumberFormat="1" applyFont="1" applyBorder="1" applyAlignment="1">
      <alignment horizontal="center"/>
    </xf>
    <xf numFmtId="0" fontId="2" fillId="7" borderId="29" xfId="0" applyFont="1" applyFill="1" applyBorder="1" applyAlignment="1">
      <alignment horizontal="center" vertical="center" wrapText="1"/>
    </xf>
    <xf numFmtId="0" fontId="2" fillId="7" borderId="0" xfId="0" applyFont="1" applyFill="1" applyBorder="1" applyAlignment="1">
      <alignment horizontal="center" vertical="center" wrapText="1"/>
    </xf>
    <xf numFmtId="0" fontId="2" fillId="7" borderId="39" xfId="0" applyFont="1" applyFill="1" applyBorder="1" applyAlignment="1">
      <alignment horizontal="center" vertical="center" wrapText="1"/>
    </xf>
    <xf numFmtId="0" fontId="0" fillId="3" borderId="20" xfId="0" applyFont="1" applyFill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0" borderId="23" xfId="0" applyNumberFormat="1" applyFont="1" applyBorder="1" applyAlignment="1">
      <alignment horizontal="center" vertical="center"/>
    </xf>
    <xf numFmtId="0" fontId="5" fillId="17" borderId="20" xfId="0" applyFont="1" applyFill="1" applyBorder="1" applyAlignment="1">
      <alignment horizontal="center" vertical="center"/>
    </xf>
  </cellXfs>
  <cellStyles count="4">
    <cellStyle name="60 % - Accent1" xfId="3" builtinId="32"/>
    <cellStyle name="Milliers" xfId="1" builtinId="3"/>
    <cellStyle name="Normal" xfId="0" builtinId="0"/>
    <cellStyle name="Pourcentage" xfId="2" builtinId="5"/>
  </cellStyles>
  <dxfs count="14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ill>
        <patternFill>
          <bgColor theme="1" tint="0.49998474074526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1" tint="0.49998474074526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5"/>
          <bgColor theme="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outline="0">
        <top style="thin">
          <color theme="6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 tint="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theme="1"/>
        </bottom>
      </border>
    </dxf>
    <dxf>
      <border outline="0">
        <top style="thin">
          <color theme="1"/>
        </top>
        <bottom style="thin">
          <color indexed="64"/>
        </bottom>
      </border>
    </dxf>
    <dxf>
      <fill>
        <patternFill>
          <bgColor theme="1" tint="0.49998474074526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ont>
        <color rgb="FFFF0000"/>
      </font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1" tint="0.49998474074526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</font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</font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</font>
      <numFmt numFmtId="168" formatCode="#,##0.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</font>
      <numFmt numFmtId="166" formatCode="dd/mm/yy;@"/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medium">
          <color rgb="FFFF0000"/>
        </right>
        <top style="thin">
          <color theme="1"/>
        </top>
        <bottom style="thin">
          <color theme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rgb="FF7030A0"/>
        </left>
        <right style="thin">
          <color theme="1"/>
        </right>
        <top/>
        <bottom/>
      </border>
    </dxf>
    <dxf>
      <font>
        <b val="0"/>
      </font>
      <numFmt numFmtId="166" formatCode="dd/mm/yy;@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 patternType="solid">
          <fgColor indexed="64"/>
          <bgColor rgb="FFCC99FF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7030A0"/>
        </left>
        <right style="medium">
          <color rgb="FF7030A0"/>
        </right>
        <top/>
        <bottom/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7030A0"/>
        </left>
        <right/>
        <top style="thin">
          <color theme="1"/>
        </top>
        <bottom/>
      </border>
    </dxf>
    <dxf>
      <fill>
        <patternFill patternType="solid">
          <fgColor indexed="64"/>
          <bgColor rgb="FFCC99FF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7030A0"/>
        </left>
        <right style="medium">
          <color rgb="FF7030A0"/>
        </right>
        <top/>
        <bottom/>
      </border>
    </dxf>
    <dxf>
      <font>
        <b val="0"/>
      </font>
      <numFmt numFmtId="164" formatCode="#,##0;0;&quot;-&quot;"/>
      <fill>
        <patternFill patternType="solid">
          <fgColor indexed="64"/>
          <bgColor rgb="FFCC99FF"/>
        </patternFill>
      </fill>
      <alignment horizontal="center" vertical="center" textRotation="0" indent="0" justifyLastLine="0" shrinkToFit="0" readingOrder="0"/>
      <border diagonalUp="0" diagonalDown="0" outline="0">
        <left style="medium">
          <color rgb="FF7030A0"/>
        </left>
        <right style="medium">
          <color rgb="FF7030A0"/>
        </right>
        <top style="thin">
          <color theme="1"/>
        </top>
        <bottom style="thin">
          <color theme="1"/>
        </bottom>
      </border>
    </dxf>
    <dxf>
      <fill>
        <patternFill patternType="solid">
          <fgColor indexed="64"/>
          <bgColor rgb="FFCC99FF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7030A0"/>
        </left>
        <right style="medium">
          <color rgb="FF7030A0"/>
        </right>
        <top/>
        <bottom/>
      </border>
    </dxf>
    <dxf>
      <font>
        <b val="0"/>
      </font>
      <numFmt numFmtId="167" formatCode="#,##0.0;0;&quot;-&quot;"/>
      <fill>
        <patternFill patternType="solid">
          <fgColor indexed="64"/>
          <bgColor rgb="FFCC99FF"/>
        </patternFill>
      </fill>
      <alignment horizontal="center" vertical="center" textRotation="0" indent="0" justifyLastLine="0" shrinkToFit="0" readingOrder="0"/>
      <border diagonalUp="0" diagonalDown="0" outline="0">
        <left style="medium">
          <color rgb="FF7030A0"/>
        </left>
        <right style="medium">
          <color rgb="FF7030A0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7030A0"/>
        </left>
        <right style="medium">
          <color rgb="FF7030A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7030A0"/>
        </left>
        <right style="medium">
          <color rgb="FF7030A0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7030A0"/>
        </left>
        <right style="medium">
          <color rgb="FF7030A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7030A0"/>
        </left>
        <right style="medium">
          <color rgb="FF7030A0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7030A0"/>
        </left>
        <right style="medium">
          <color rgb="FF7030A0"/>
        </right>
        <top/>
        <bottom/>
      </border>
    </dxf>
    <dxf>
      <font>
        <b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numFmt numFmtId="166" formatCode="dd/mm/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7030A0"/>
        </left>
        <right style="medium">
          <color rgb="FF7030A0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7030A0"/>
        </left>
        <right style="medium">
          <color rgb="FF7030A0"/>
        </right>
        <top/>
        <bottom/>
      </border>
    </dxf>
    <dxf>
      <font>
        <b val="0"/>
        <color rgb="FFFF0000"/>
      </font>
      <numFmt numFmtId="166" formatCode="dd/mm/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7030A0"/>
        </left>
        <right style="medium">
          <color rgb="FF7030A0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medium">
          <color rgb="FF7030A0"/>
        </right>
        <top/>
        <bottom/>
      </border>
    </dxf>
    <dxf>
      <font>
        <b val="0"/>
      </font>
      <numFmt numFmtId="1" formatCode="0"/>
      <alignment horizont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7030A0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thin">
          <color theme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font>
        <b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numFmt numFmtId="166" formatCode="dd/mm/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rgb="FFFF0000"/>
        </right>
        <top/>
        <bottom/>
      </border>
    </dxf>
    <dxf>
      <font>
        <b val="0"/>
      </font>
      <numFmt numFmtId="19" formatCode="dd/mm/yyyy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medium">
          <color rgb="FFFF0000"/>
        </right>
        <top style="thin">
          <color auto="1"/>
        </top>
        <bottom style="thin">
          <color auto="1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</font>
      <numFmt numFmtId="0" formatCode="General"/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</font>
      <numFmt numFmtId="1" formatCode="0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color auto="1"/>
      </font>
      <numFmt numFmtId="166" formatCode="dd/mm/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b val="0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</font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family val="2"/>
      </font>
    </dxf>
    <dxf>
      <font>
        <b val="0"/>
        <family val="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2.xml"/><Relationship Id="rId10" Type="http://schemas.openxmlformats.org/officeDocument/2006/relationships/sheetMetadata" Target="metadata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Programmation</a:t>
            </a:r>
            <a:r>
              <a:rPr lang="fr-FR" baseline="0"/>
              <a:t> et Livraisons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'Tableau de bord CN 2023-2024'!$K$1</c:f>
              <c:strCache>
                <c:ptCount val="1"/>
                <c:pt idx="0">
                  <c:v>Programmation</c:v>
                </c:pt>
              </c:strCache>
            </c:strRef>
          </c:tx>
          <c:spPr>
            <a:solidFill>
              <a:schemeClr val="accent4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'Tableau de bord CN 2023-2024'!$K$2:$K$4</c:f>
              <c:numCache>
                <c:formatCode>General</c:formatCode>
                <c:ptCount val="3"/>
                <c:pt idx="0">
                  <c:v>227</c:v>
                </c:pt>
                <c:pt idx="1">
                  <c:v>271</c:v>
                </c:pt>
                <c:pt idx="2">
                  <c:v>619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35-4188-B1BC-76D7C569AB3F}"/>
            </c:ext>
          </c:extLst>
        </c:ser>
        <c:ser>
          <c:idx val="2"/>
          <c:order val="2"/>
          <c:tx>
            <c:strRef>
              <c:f>'Tableau de bord CN 2023-2024'!$L$1</c:f>
              <c:strCache>
                <c:ptCount val="1"/>
                <c:pt idx="0">
                  <c:v>Livraisons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'Tableau de bord CN 2023-2024'!$L$2:$L$4</c:f>
              <c:numCache>
                <c:formatCode>General</c:formatCode>
                <c:ptCount val="3"/>
                <c:pt idx="0">
                  <c:v>231</c:v>
                </c:pt>
                <c:pt idx="1">
                  <c:v>455</c:v>
                </c:pt>
                <c:pt idx="2">
                  <c:v>114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235-4188-B1BC-76D7C569AB3F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1521034351"/>
        <c:axId val="785139791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'Tableau de bord CN 2023-2024'!$J$1</c15:sqref>
                        </c15:formulaRef>
                      </c:ext>
                    </c:extLst>
                    <c:strCache>
                      <c:ptCount val="1"/>
                      <c:pt idx="0">
                        <c:v>ANNEE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6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6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val>
                  <c:numRef>
                    <c:extLst>
                      <c:ext uri="{02D57815-91ED-43cb-92C2-25804820EDAC}">
                        <c15:formulaRef>
                          <c15:sqref>'Tableau de bord CN 2023-2024'!$J$2:$J$4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F235-4188-B1BC-76D7C569AB3F}"/>
                  </c:ext>
                </c:extLst>
              </c15:ser>
            </c15:filteredBarSeries>
          </c:ext>
        </c:extLst>
      </c:barChart>
      <c:lineChart>
        <c:grouping val="standard"/>
        <c:varyColors val="0"/>
        <c:ser>
          <c:idx val="3"/>
          <c:order val="3"/>
          <c:tx>
            <c:strRef>
              <c:f>'Tableau de bord CN 2023-2024'!$M$1</c:f>
              <c:strCache>
                <c:ptCount val="1"/>
                <c:pt idx="0">
                  <c:v>Objectif</c:v>
                </c:pt>
              </c:strCache>
            </c:strRef>
          </c:tx>
          <c:spPr>
            <a:ln w="317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'Tableau de bord CN 2023-2024'!$M$2:$M$4</c:f>
              <c:numCache>
                <c:formatCode>General</c:formatCode>
                <c:ptCount val="3"/>
                <c:pt idx="0">
                  <c:v>300</c:v>
                </c:pt>
                <c:pt idx="1">
                  <c:v>300</c:v>
                </c:pt>
                <c:pt idx="2">
                  <c:v>300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235-4188-B1BC-76D7C569AB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1034351"/>
        <c:axId val="785139791"/>
      </c:lineChart>
      <c:catAx>
        <c:axId val="15210343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5139791"/>
        <c:crosses val="autoZero"/>
        <c:auto val="1"/>
        <c:lblAlgn val="ctr"/>
        <c:lblOffset val="100"/>
        <c:noMultiLvlLbl val="0"/>
      </c:catAx>
      <c:valAx>
        <c:axId val="7851397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10343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PROGRAMMATION 2023-2024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'[1]Analyse PROG'!$B$10</c:f>
              <c:strCache>
                <c:ptCount val="1"/>
                <c:pt idx="0">
                  <c:v>LLS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'[1]Analyse PROG'!$A$11:$A$12</c:f>
              <c:numCache>
                <c:formatCode>General</c:formatCode>
                <c:ptCount val="2"/>
                <c:pt idx="0">
                  <c:v>2023</c:v>
                </c:pt>
                <c:pt idx="1">
                  <c:v>2024</c:v>
                </c:pt>
              </c:numCache>
            </c:numRef>
          </c:cat>
          <c:val>
            <c:numRef>
              <c:f>'[1]Analyse PROG'!$B$11:$B$12</c:f>
              <c:numCache>
                <c:formatCode>General</c:formatCode>
                <c:ptCount val="2"/>
                <c:pt idx="0">
                  <c:v>60</c:v>
                </c:pt>
                <c:pt idx="1">
                  <c:v>218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F21-455B-9816-CA7F73D71933}"/>
            </c:ext>
          </c:extLst>
        </c:ser>
        <c:ser>
          <c:idx val="1"/>
          <c:order val="1"/>
          <c:tx>
            <c:strRef>
              <c:f>'[1]Analyse PROG'!$C$10</c:f>
              <c:strCache>
                <c:ptCount val="1"/>
                <c:pt idx="0">
                  <c:v>LLTS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'[1]Analyse PROG'!$A$11:$A$12</c:f>
              <c:numCache>
                <c:formatCode>General</c:formatCode>
                <c:ptCount val="2"/>
                <c:pt idx="0">
                  <c:v>2023</c:v>
                </c:pt>
                <c:pt idx="1">
                  <c:v>2024</c:v>
                </c:pt>
              </c:numCache>
            </c:numRef>
          </c:cat>
          <c:val>
            <c:numRef>
              <c:f>'[1]Analyse PROG'!$C$11:$C$12</c:f>
              <c:numCache>
                <c:formatCode>General</c:formatCode>
                <c:ptCount val="2"/>
                <c:pt idx="0">
                  <c:v>160</c:v>
                </c:pt>
                <c:pt idx="1">
                  <c:v>220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F21-455B-9816-CA7F73D71933}"/>
            </c:ext>
          </c:extLst>
        </c:ser>
        <c:ser>
          <c:idx val="2"/>
          <c:order val="2"/>
          <c:tx>
            <c:strRef>
              <c:f>'[1]Analyse PROG'!$D$10</c:f>
              <c:strCache>
                <c:ptCount val="1"/>
                <c:pt idx="0">
                  <c:v>PLS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'[1]Analyse PROG'!$A$11:$A$12</c:f>
              <c:numCache>
                <c:formatCode>General</c:formatCode>
                <c:ptCount val="2"/>
                <c:pt idx="0">
                  <c:v>2023</c:v>
                </c:pt>
                <c:pt idx="1">
                  <c:v>2024</c:v>
                </c:pt>
              </c:numCache>
            </c:numRef>
          </c:cat>
          <c:val>
            <c:numRef>
              <c:f>'[1]Analyse PROG'!$D$11:$D$12</c:f>
              <c:numCache>
                <c:formatCode>General</c:formatCode>
                <c:ptCount val="2"/>
                <c:pt idx="0">
                  <c:v>51</c:v>
                </c:pt>
                <c:pt idx="1">
                  <c:v>186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F21-455B-9816-CA7F73D71933}"/>
            </c:ext>
          </c:extLst>
        </c:ser>
        <c:ser>
          <c:idx val="3"/>
          <c:order val="3"/>
          <c:tx>
            <c:strRef>
              <c:f>'[1]Analyse PROG'!$E$10</c:f>
              <c:strCache>
                <c:ptCount val="1"/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'[1]Analyse PROG'!$A$11:$A$12</c:f>
              <c:numCache>
                <c:formatCode>General</c:formatCode>
                <c:ptCount val="2"/>
                <c:pt idx="0">
                  <c:v>2023</c:v>
                </c:pt>
                <c:pt idx="1">
                  <c:v>2024</c:v>
                </c:pt>
              </c:numCache>
            </c:numRef>
          </c:cat>
          <c:val>
            <c:numRef>
              <c:f>'[1]Analyse PROG'!$E$11:$E$12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3-DF21-455B-9816-CA7F73D71933}"/>
            </c:ext>
          </c:extLst>
        </c:ser>
        <c:ser>
          <c:idx val="4"/>
          <c:order val="4"/>
          <c:tx>
            <c:strRef>
              <c:f>'[1]Analyse PROG'!$F$10</c:f>
              <c:strCache>
                <c:ptCount val="1"/>
                <c:pt idx="0">
                  <c:v>Total général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dLbl>
              <c:idx val="1"/>
              <c:layout>
                <c:manualLayout>
                  <c:x val="0"/>
                  <c:y val="0.1193932493485969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F21-455B-9816-CA7F73D7193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'[1]Analyse PROG'!$A$11:$A$12</c:f>
              <c:numCache>
                <c:formatCode>General</c:formatCode>
                <c:ptCount val="2"/>
                <c:pt idx="0">
                  <c:v>2023</c:v>
                </c:pt>
                <c:pt idx="1">
                  <c:v>2024</c:v>
                </c:pt>
              </c:numCache>
            </c:numRef>
          </c:cat>
          <c:val>
            <c:numRef>
              <c:f>'[1]Analyse PROG'!$F$11:$F$12</c:f>
              <c:numCache>
                <c:formatCode>General</c:formatCode>
                <c:ptCount val="2"/>
                <c:pt idx="0">
                  <c:v>271</c:v>
                </c:pt>
                <c:pt idx="1">
                  <c:v>624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F21-455B-9816-CA7F73D7193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914981312"/>
        <c:axId val="1914984192"/>
      </c:barChart>
      <c:catAx>
        <c:axId val="1914981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14984192"/>
        <c:crosses val="autoZero"/>
        <c:auto val="1"/>
        <c:lblAlgn val="ctr"/>
        <c:lblOffset val="100"/>
        <c:noMultiLvlLbl val="0"/>
      </c:catAx>
      <c:valAx>
        <c:axId val="1914984192"/>
        <c:scaling>
          <c:orientation val="minMax"/>
          <c:max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149813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3"/>
        <c:delete val="1"/>
      </c:legendEntry>
      <c:legendEntry>
        <c:idx val="4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[zeldanat28_Combiner sur un même graphique plusieurs données et courbe d'objectif.xlsx]Tableau de bord CN 2023-2024!Tableau croisé dynamique6</c:name>
    <c:fmtId val="0"/>
  </c:pivotSource>
  <c:chart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00B05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'Tableau de bord CN 2023-2024'!$G$95:$G$96</c:f>
              <c:strCache>
                <c:ptCount val="1"/>
                <c:pt idx="0">
                  <c:v>LLS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 CN 2023-2024'!$F$97:$F$100</c:f>
              <c:strCach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strCache>
            </c:strRef>
          </c:cat>
          <c:val>
            <c:numRef>
              <c:f>'Tableau de bord CN 2023-2024'!$G$97:$G$100</c:f>
              <c:numCache>
                <c:formatCode>General</c:formatCode>
                <c:ptCount val="3"/>
                <c:pt idx="0">
                  <c:v>63</c:v>
                </c:pt>
                <c:pt idx="1">
                  <c:v>60</c:v>
                </c:pt>
                <c:pt idx="2">
                  <c:v>218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810-478C-A303-478604C2E4BB}"/>
            </c:ext>
          </c:extLst>
        </c:ser>
        <c:ser>
          <c:idx val="1"/>
          <c:order val="1"/>
          <c:tx>
            <c:strRef>
              <c:f>'Tableau de bord CN 2023-2024'!$H$95:$H$96</c:f>
              <c:strCache>
                <c:ptCount val="1"/>
                <c:pt idx="0">
                  <c:v>LLTS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 CN 2023-2024'!$F$97:$F$100</c:f>
              <c:strCach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strCache>
            </c:strRef>
          </c:cat>
          <c:val>
            <c:numRef>
              <c:f>'Tableau de bord CN 2023-2024'!$H$97:$H$100</c:f>
              <c:numCache>
                <c:formatCode>General</c:formatCode>
                <c:ptCount val="3"/>
                <c:pt idx="0">
                  <c:v>54</c:v>
                </c:pt>
                <c:pt idx="1">
                  <c:v>160</c:v>
                </c:pt>
                <c:pt idx="2">
                  <c:v>220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810-478C-A303-478604C2E4BB}"/>
            </c:ext>
          </c:extLst>
        </c:ser>
        <c:ser>
          <c:idx val="2"/>
          <c:order val="2"/>
          <c:tx>
            <c:strRef>
              <c:f>'Tableau de bord CN 2023-2024'!$I$95:$I$96</c:f>
              <c:strCache>
                <c:ptCount val="1"/>
                <c:pt idx="0">
                  <c:v>PLS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 CN 2023-2024'!$F$97:$F$100</c:f>
              <c:strCach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strCache>
            </c:strRef>
          </c:cat>
          <c:val>
            <c:numRef>
              <c:f>'Tableau de bord CN 2023-2024'!$I$97:$I$100</c:f>
              <c:numCache>
                <c:formatCode>General</c:formatCode>
                <c:ptCount val="3"/>
                <c:pt idx="0">
                  <c:v>110</c:v>
                </c:pt>
                <c:pt idx="1">
                  <c:v>51</c:v>
                </c:pt>
                <c:pt idx="2">
                  <c:v>186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810-478C-A303-478604C2E4B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583666928"/>
        <c:axId val="651591696"/>
      </c:barChart>
      <c:catAx>
        <c:axId val="583666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1591696"/>
        <c:crosses val="autoZero"/>
        <c:auto val="1"/>
        <c:lblAlgn val="ctr"/>
        <c:lblOffset val="100"/>
        <c:noMultiLvlLbl val="0"/>
      </c:catAx>
      <c:valAx>
        <c:axId val="651591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66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 CN 2023-2024'!$K$1</c:f>
              <c:strCache>
                <c:ptCount val="1"/>
                <c:pt idx="0">
                  <c:v>Programmation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 w="127000"/>
            </a:sp3d>
          </c:spPr>
          <c:invertIfNegative val="0"/>
          <c:val>
            <c:numRef>
              <c:f>'Tableau de bord CN 2023-2024'!$K$2:$K$4</c:f>
              <c:numCache>
                <c:formatCode>General</c:formatCode>
                <c:ptCount val="3"/>
                <c:pt idx="0">
                  <c:v>227</c:v>
                </c:pt>
                <c:pt idx="1">
                  <c:v>271</c:v>
                </c:pt>
                <c:pt idx="2">
                  <c:v>619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A44-419D-8CD9-6AEDBB999F8D}"/>
            </c:ext>
          </c:extLst>
        </c:ser>
        <c:ser>
          <c:idx val="3"/>
          <c:order val="1"/>
          <c:tx>
            <c:strRef>
              <c:f>'Tableau de bord CN 2023-2024'!$L$1</c:f>
              <c:strCache>
                <c:ptCount val="1"/>
                <c:pt idx="0">
                  <c:v>Livraisons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 w="127000"/>
            </a:sp3d>
          </c:spPr>
          <c:invertIfNegative val="0"/>
          <c:val>
            <c:numRef>
              <c:f>'Tableau de bord CN 2023-2024'!$L$2:$L$4</c:f>
              <c:numCache>
                <c:formatCode>General</c:formatCode>
                <c:ptCount val="3"/>
                <c:pt idx="0">
                  <c:v>231</c:v>
                </c:pt>
                <c:pt idx="1">
                  <c:v>455</c:v>
                </c:pt>
                <c:pt idx="2">
                  <c:v>114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A44-419D-8CD9-6AEDBB999F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9"/>
        <c:axId val="423335784"/>
        <c:axId val="423331464"/>
      </c:barChart>
      <c:lineChart>
        <c:grouping val="standard"/>
        <c:varyColors val="0"/>
        <c:ser>
          <c:idx val="1"/>
          <c:order val="2"/>
          <c:tx>
            <c:strRef>
              <c:f>'Tableau de bord CN 2023-2024'!$M$1</c:f>
              <c:strCache>
                <c:ptCount val="1"/>
                <c:pt idx="0">
                  <c:v>Objectif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'Tableau de bord CN 2023-2024'!$M$2:$M$4</c:f>
              <c:numCache>
                <c:formatCode>General</c:formatCode>
                <c:ptCount val="3"/>
                <c:pt idx="0">
                  <c:v>300</c:v>
                </c:pt>
                <c:pt idx="1">
                  <c:v>300</c:v>
                </c:pt>
                <c:pt idx="2">
                  <c:v>300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CA44-419D-8CD9-6AEDBB999F8D}"/>
            </c:ext>
          </c:extLst>
        </c:ser>
        <c:ser>
          <c:idx val="4"/>
          <c:order val="4"/>
          <c:tx>
            <c:strRef>
              <c:f>'Tableau de bord CN 2023-2024'!$O$1</c:f>
              <c:strCache>
                <c:ptCount val="1"/>
                <c:pt idx="0">
                  <c:v>LLTS</c:v>
                </c:pt>
              </c:strCache>
            </c:strRef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'Tableau de bord CN 2023-2024'!$O$2:$O$4</c:f>
              <c:numCache>
                <c:formatCode>General</c:formatCode>
                <c:ptCount val="3"/>
                <c:pt idx="0">
                  <c:v>54</c:v>
                </c:pt>
                <c:pt idx="1">
                  <c:v>160</c:v>
                </c:pt>
                <c:pt idx="2">
                  <c:v>220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CA44-419D-8CD9-6AEDBB999F8D}"/>
            </c:ext>
          </c:extLst>
        </c:ser>
        <c:ser>
          <c:idx val="5"/>
          <c:order val="5"/>
          <c:tx>
            <c:strRef>
              <c:f>'Tableau de bord CN 2023-2024'!$P$1</c:f>
              <c:strCache>
                <c:ptCount val="1"/>
                <c:pt idx="0">
                  <c:v>PLS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'Tableau de bord CN 2023-2024'!$P$2:$P$4</c:f>
              <c:numCache>
                <c:formatCode>General</c:formatCode>
                <c:ptCount val="3"/>
                <c:pt idx="0">
                  <c:v>110</c:v>
                </c:pt>
                <c:pt idx="1">
                  <c:v>51</c:v>
                </c:pt>
                <c:pt idx="2">
                  <c:v>186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CA44-419D-8CD9-6AEDBB999F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3335784"/>
        <c:axId val="423331464"/>
      </c:lineChart>
      <c:lineChart>
        <c:grouping val="standard"/>
        <c:varyColors val="0"/>
        <c:ser>
          <c:idx val="2"/>
          <c:order val="3"/>
          <c:tx>
            <c:strRef>
              <c:f>'Tableau de bord CN 2023-2024'!$N$1</c:f>
              <c:strCache>
                <c:ptCount val="1"/>
                <c:pt idx="0">
                  <c:v>LLS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'Tableau de bord CN 2023-2024'!$N$2:$N$4</c:f>
              <c:numCache>
                <c:formatCode>General</c:formatCode>
                <c:ptCount val="3"/>
                <c:pt idx="0">
                  <c:v>63</c:v>
                </c:pt>
                <c:pt idx="1">
                  <c:v>60</c:v>
                </c:pt>
                <c:pt idx="2">
                  <c:v>218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CA44-419D-8CD9-6AEDBB999F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17735392"/>
        <c:axId val="717735752"/>
      </c:lineChart>
      <c:catAx>
        <c:axId val="423335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3331464"/>
        <c:crosses val="autoZero"/>
        <c:auto val="1"/>
        <c:lblAlgn val="ctr"/>
        <c:lblOffset val="100"/>
        <c:noMultiLvlLbl val="0"/>
      </c:catAx>
      <c:valAx>
        <c:axId val="423331464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3335784"/>
        <c:crosses val="autoZero"/>
        <c:crossBetween val="between"/>
      </c:valAx>
      <c:valAx>
        <c:axId val="71773575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7735392"/>
        <c:crosses val="max"/>
        <c:crossBetween val="between"/>
      </c:valAx>
      <c:catAx>
        <c:axId val="717735392"/>
        <c:scaling>
          <c:orientation val="minMax"/>
        </c:scaling>
        <c:delete val="1"/>
        <c:axPos val="b"/>
        <c:majorTickMark val="out"/>
        <c:minorTickMark val="none"/>
        <c:tickLblPos val="nextTo"/>
        <c:crossAx val="717735752"/>
        <c:auto val="1"/>
        <c:lblAlgn val="ctr"/>
        <c:lblOffset val="100"/>
        <c:noMultiLvlLbl val="0"/>
      </c:catAx>
      <c:spPr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16200000" scaled="1"/>
          <a:tileRect/>
        </a:gradFill>
        <a:ln>
          <a:noFill/>
        </a:ln>
        <a:effectLst/>
        <a:scene3d>
          <a:camera prst="orthographicFront"/>
          <a:lightRig rig="threePt" dir="t"/>
        </a:scene3d>
        <a:sp3d>
          <a:bevelT prst="slope"/>
        </a:sp3d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  <a:scene3d>
      <a:camera prst="orthographicFront"/>
      <a:lightRig rig="threePt" dir="t"/>
    </a:scene3d>
    <a:sp3d>
      <a:bevelT prst="convex"/>
    </a:sp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515471</xdr:colOff>
      <xdr:row>72</xdr:row>
      <xdr:rowOff>158788</xdr:rowOff>
    </xdr:from>
    <xdr:to>
      <xdr:col>13</xdr:col>
      <xdr:colOff>514798</xdr:colOff>
      <xdr:row>88</xdr:row>
      <xdr:rowOff>112059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AF874BF-1A2B-4396-ACB5-FFA8605929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73</xdr:row>
      <xdr:rowOff>0</xdr:rowOff>
    </xdr:from>
    <xdr:to>
      <xdr:col>19</xdr:col>
      <xdr:colOff>172571</xdr:colOff>
      <xdr:row>88</xdr:row>
      <xdr:rowOff>117607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E7339E26-DB37-44E3-AFD8-5D7F524AFB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779033</xdr:colOff>
      <xdr:row>91</xdr:row>
      <xdr:rowOff>169210</xdr:rowOff>
    </xdr:from>
    <xdr:to>
      <xdr:col>16</xdr:col>
      <xdr:colOff>448235</xdr:colOff>
      <xdr:row>107</xdr:row>
      <xdr:rowOff>57039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6CF7C750-71D9-3D57-D5DC-F4EFB4C8EC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1473573</xdr:colOff>
      <xdr:row>5</xdr:row>
      <xdr:rowOff>11214</xdr:rowOff>
    </xdr:from>
    <xdr:to>
      <xdr:col>17</xdr:col>
      <xdr:colOff>190500</xdr:colOff>
      <xdr:row>19</xdr:row>
      <xdr:rowOff>87414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8F05F8E5-6D74-84A8-4930-CB5ECADACD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FS01\Organisation\4%20-%20DOP\40%20-%20%20DOP%20G&#233;n&#233;ral\suivi%20d'activit&#233;\3.%20TABLEAUX%20DE%20BORD\Tableau%20de%20bord%20NBL\Tableau%20de%20bord%20g&#233;n&#233;ral.xlsx" TargetMode="External"/><Relationship Id="rId1" Type="http://schemas.openxmlformats.org/officeDocument/2006/relationships/externalLinkPath" Target="file:///\\FS01\Organisation\4%20-%20DOP\40%20-%20%20DOP%20G&#233;n&#233;ral\suivi%20d'activit&#233;\3.%20TABLEAUX%20DE%20BORD\Tableau%20de%20bord%20NBL\Tableau%20de%20bord%20g&#233;n&#233;r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YNTHESE"/>
      <sheetName val="Analyse PROG"/>
      <sheetName val="Conformité administrative"/>
      <sheetName val="Données"/>
      <sheetName val="Tableau de bord CN 2023-2024"/>
      <sheetName val="Calcul pénalités VEFA"/>
      <sheetName val="RECAP TAMPON"/>
      <sheetName val="Délais études_travaux"/>
      <sheetName val="Plan de financement"/>
      <sheetName val="Plan de charge"/>
      <sheetName val="Trésorerie"/>
      <sheetName val="Analyse Plan Fin"/>
      <sheetName val="EVOLUTION GLOBALE"/>
      <sheetName val="Livraisons réelles"/>
      <sheetName val="Analyse_Livraisons"/>
      <sheetName val="Analyse rapide par année"/>
      <sheetName val="Listes"/>
    </sheetNames>
    <sheetDataSet>
      <sheetData sheetId="0"/>
      <sheetData sheetId="1">
        <row r="10">
          <cell r="B10" t="str">
            <v>LLS</v>
          </cell>
          <cell r="C10" t="str">
            <v>LLTS</v>
          </cell>
          <cell r="D10" t="str">
            <v>PLS</v>
          </cell>
          <cell r="F10" t="str">
            <v>Total général</v>
          </cell>
        </row>
        <row r="11">
          <cell r="A11">
            <v>2023</v>
          </cell>
          <cell r="B11">
            <v>60</v>
          </cell>
          <cell r="C11">
            <v>160</v>
          </cell>
          <cell r="D11">
            <v>51</v>
          </cell>
          <cell r="F11">
            <v>271</v>
          </cell>
        </row>
        <row r="12">
          <cell r="A12">
            <v>2024</v>
          </cell>
          <cell r="B12">
            <v>218</v>
          </cell>
          <cell r="C12">
            <v>220</v>
          </cell>
          <cell r="D12">
            <v>186</v>
          </cell>
          <cell r="F12">
            <v>624</v>
          </cell>
        </row>
      </sheetData>
      <sheetData sheetId="2"/>
      <sheetData sheetId="3"/>
      <sheetData sheetId="4">
        <row r="74">
          <cell r="E74" t="str">
            <v>ANNEE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JPI</v>
          </cell>
          <cell r="B1" t="str">
            <v>A définir</v>
          </cell>
          <cell r="C1" t="str">
            <v>Prosp</v>
          </cell>
          <cell r="D1" t="str">
            <v>Avirons</v>
          </cell>
          <cell r="E1" t="str">
            <v>CA SUD</v>
          </cell>
        </row>
        <row r="2">
          <cell r="A2" t="str">
            <v>LCYC</v>
          </cell>
          <cell r="B2" t="str">
            <v>DAM</v>
          </cell>
          <cell r="C2" t="str">
            <v>Faisa</v>
          </cell>
          <cell r="D2" t="str">
            <v>Cilaos</v>
          </cell>
          <cell r="E2" t="str">
            <v>CIREST</v>
          </cell>
        </row>
        <row r="3">
          <cell r="A3" t="str">
            <v>LLA</v>
          </cell>
          <cell r="B3" t="str">
            <v>DBA</v>
          </cell>
          <cell r="C3" t="str">
            <v>Etude urbaine</v>
          </cell>
          <cell r="D3" t="str">
            <v>Entre-Deux</v>
          </cell>
          <cell r="E3" t="str">
            <v>CIVIS</v>
          </cell>
        </row>
        <row r="4">
          <cell r="A4" t="str">
            <v>MCL</v>
          </cell>
          <cell r="B4" t="str">
            <v>DBE</v>
          </cell>
          <cell r="C4" t="str">
            <v>ESQ</v>
          </cell>
          <cell r="D4" t="str">
            <v>Etang-Salé</v>
          </cell>
          <cell r="E4" t="str">
            <v>TCO</v>
          </cell>
        </row>
        <row r="5">
          <cell r="A5" t="str">
            <v>NILE</v>
          </cell>
          <cell r="B5" t="str">
            <v>ECL</v>
          </cell>
          <cell r="C5" t="str">
            <v>APS</v>
          </cell>
          <cell r="D5" t="str">
            <v>La Possession</v>
          </cell>
        </row>
        <row r="6">
          <cell r="A6" t="str">
            <v>YFR</v>
          </cell>
          <cell r="B6" t="str">
            <v>MMA</v>
          </cell>
          <cell r="C6" t="str">
            <v>PC</v>
          </cell>
          <cell r="D6" t="str">
            <v>Petite-Ile</v>
          </cell>
        </row>
        <row r="7">
          <cell r="A7" t="str">
            <v>NBL / SGM</v>
          </cell>
          <cell r="B7" t="str">
            <v>NLE</v>
          </cell>
          <cell r="C7" t="str">
            <v>APD</v>
          </cell>
          <cell r="D7" t="str">
            <v>Plaine des Palmistes</v>
          </cell>
        </row>
        <row r="8">
          <cell r="B8" t="str">
            <v>SRI</v>
          </cell>
          <cell r="C8" t="str">
            <v>PRO</v>
          </cell>
          <cell r="D8" t="str">
            <v>St Joseph</v>
          </cell>
        </row>
        <row r="9">
          <cell r="C9" t="str">
            <v>DCE</v>
          </cell>
          <cell r="D9" t="str">
            <v>St Leu</v>
          </cell>
        </row>
        <row r="10">
          <cell r="C10" t="str">
            <v>AO</v>
          </cell>
          <cell r="D10" t="str">
            <v>St Louis</v>
          </cell>
        </row>
        <row r="11">
          <cell r="C11" t="str">
            <v>Tvx</v>
          </cell>
          <cell r="D11" t="str">
            <v>St Paul</v>
          </cell>
        </row>
        <row r="12">
          <cell r="C12" t="str">
            <v>GPA</v>
          </cell>
          <cell r="D12" t="str">
            <v>St Philippe</v>
          </cell>
        </row>
        <row r="13">
          <cell r="C13" t="str">
            <v>patrimoine</v>
          </cell>
          <cell r="D13" t="str">
            <v>St Pierre</v>
          </cell>
        </row>
        <row r="14">
          <cell r="C14" t="str">
            <v>cloture</v>
          </cell>
          <cell r="D14" t="str">
            <v>Tampon</v>
          </cell>
        </row>
        <row r="15">
          <cell r="C15" t="str">
            <v>stand by</v>
          </cell>
          <cell r="D15" t="str">
            <v>Trois Bassins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FS01\Organisation\4%20-%20DOP\40%20-%20%20DOP%20G&#233;n&#233;ral\suivi%20d'activit&#233;\3.%20TABLEAUX%20DE%20BORD\Tableau%20de%20bord%20NBL\Tableau%20de%20bord%20g&#233;n&#233;ral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FS01\Organisation\4%20-%20DOP\40%20-%20%20DOP%20G&#233;n&#233;ral\suivi%20d'activit&#233;\3.%20TABLEAUX%20DE%20BORD\Tableau%20de%20bord%20NBL\Tableau%20de%20bord%20g&#233;n&#233;ral.xlsx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BLANDINO" refreshedDate="45201.675149074072" createdVersion="8" refreshedVersion="8" minRefreshableVersion="3" recordCount="167" xr:uid="{4C3145FD-624A-4AC8-AF52-747B567C3A4D}">
  <cacheSource type="worksheet">
    <worksheetSource name="Données" r:id="rId2"/>
  </cacheSource>
  <cacheFields count="71">
    <cacheField name="OPERATION" numFmtId="0">
      <sharedItems/>
    </cacheField>
    <cacheField name="COMMUNE" numFmtId="0">
      <sharedItems count="14">
        <s v="Avirons"/>
        <s v="St Joseph"/>
        <s v="Etang-Salé"/>
        <s v="St Paul"/>
        <s v="St Louis"/>
        <s v="St Philippe"/>
        <s v="St Pierre"/>
        <s v="Tampon"/>
        <s v="Entre-Deux"/>
        <s v="Petite-Ile"/>
        <s v="Cilaos"/>
        <s v="La Possession"/>
        <s v="St Leu"/>
        <s v="Plaine des Palmistes"/>
      </sharedItems>
    </cacheField>
    <cacheField name="BASSIN" numFmtId="0">
      <sharedItems count="4">
        <s v="CIVIS"/>
        <s v="CA SUD"/>
        <s v="TCO"/>
        <s v="CIREST"/>
      </sharedItems>
    </cacheField>
    <cacheField name="Prog" numFmtId="0">
      <sharedItems containsBlank="1" containsMixedTypes="1" containsNumber="1" containsInteger="1" minValue="2015" maxValue="2028" count="16">
        <n v="2016"/>
        <n v="2015"/>
        <m/>
        <n v="2017"/>
        <n v="2018"/>
        <n v="2019"/>
        <n v="2020"/>
        <n v="2021"/>
        <n v="2022"/>
        <n v="2023"/>
        <n v="2024"/>
        <n v="2025"/>
        <n v="2026"/>
        <s v="non inscrit"/>
        <n v="2027"/>
        <n v="2028"/>
      </sharedItems>
    </cacheField>
    <cacheField name="CODE" numFmtId="0">
      <sharedItems containsBlank="1"/>
    </cacheField>
    <cacheField name="RO" numFmtId="0">
      <sharedItems containsBlank="1" count="10">
        <m/>
        <s v="MCL"/>
        <s v="LCYC"/>
        <s v="NBL / SGM"/>
        <s v="NILE"/>
        <s v="LLA"/>
        <s v="YFR" u="1"/>
        <s v="OPO" u="1"/>
        <s v="GLE" u="1"/>
        <s v="JER" u="1"/>
      </sharedItems>
    </cacheField>
    <cacheField name="CT" numFmtId="0">
      <sharedItems containsBlank="1"/>
    </cacheField>
    <cacheField name="ASSISTANTE" numFmtId="0">
      <sharedItems containsBlank="1" count="9">
        <s v="ECL"/>
        <s v="MMA"/>
        <s v="DBE"/>
        <s v="DAM"/>
        <m/>
        <s v="SRI"/>
        <s v="NLE"/>
        <s v="DBA"/>
        <s v="A définir" u="1"/>
      </sharedItems>
    </cacheField>
    <cacheField name="Avancement" numFmtId="0">
      <sharedItems containsBlank="1" count="15">
        <s v="patrimoine"/>
        <s v="cloture"/>
        <m/>
        <s v="GPA"/>
        <s v="Tvx"/>
        <s v="AO"/>
        <s v="PRO"/>
        <s v="PC"/>
        <s v="DCE"/>
        <s v="Faisa"/>
        <s v="APD"/>
        <s v="ESQ"/>
        <s v="APS"/>
        <s v="stand by"/>
        <s v="Prosp"/>
      </sharedItems>
    </cacheField>
    <cacheField name="Parcelle" numFmtId="0">
      <sharedItems containsBlank="1"/>
    </cacheField>
    <cacheField name="TYPE" numFmtId="0">
      <sharedItems count="4">
        <s v="LLTS"/>
        <s v="LLS"/>
        <s v="PLS"/>
        <s v="Rehab"/>
      </sharedItems>
    </cacheField>
    <cacheField name="N" numFmtId="0">
      <sharedItems containsSemiMixedTypes="0" containsString="0" containsNumber="1" containsInteger="1" minValue="2" maxValue="200"/>
    </cacheField>
    <cacheField name="N hors REHAB" numFmtId="0">
      <sharedItems containsSemiMixedTypes="0" containsString="0" containsNumber="1" containsInteger="1" minValue="0" maxValue="200"/>
    </cacheField>
    <cacheField name="LLS" numFmtId="0">
      <sharedItems containsString="0" containsBlank="1" containsNumber="1" containsInteger="1" minValue="10" maxValue="80"/>
    </cacheField>
    <cacheField name="LLTS" numFmtId="0">
      <sharedItems containsString="0" containsBlank="1" containsNumber="1" containsInteger="1" minValue="2" maxValue="150"/>
    </cacheField>
    <cacheField name="PLS" numFmtId="0">
      <sharedItems containsString="0" containsBlank="1" containsNumber="1" containsInteger="1" minValue="6" maxValue="200"/>
    </cacheField>
    <cacheField name="REHAB" numFmtId="0">
      <sharedItems containsString="0" containsBlank="1" containsNumber="1" containsInteger="1" minValue="6" maxValue="128"/>
    </cacheField>
    <cacheField name="SHAB y/c V" numFmtId="4">
      <sharedItems containsString="0" containsBlank="1" containsNumber="1" minValue="109.88" maxValue="6231.35"/>
    </cacheField>
    <cacheField name="SF priorisée" numFmtId="4">
      <sharedItems containsString="0" containsBlank="1" containsNumber="1" minValue="109.88" maxValue="7551.86"/>
    </cacheField>
    <cacheField name="SHAB / lgt" numFmtId="164">
      <sharedItems containsSemiMixedTypes="0" containsString="0" containsNumber="1" minValue="0" maxValue="92.481363636363639"/>
    </cacheField>
    <cacheField name="SF / lgt" numFmtId="0">
      <sharedItems containsSemiMixedTypes="0" containsString="0" containsNumber="1" minValue="0" maxValue="100.1675"/>
    </cacheField>
    <cacheField name="Ratio SHAB/SF" numFmtId="9">
      <sharedItems containsSemiMixedTypes="0" containsString="0" containsNumber="1" minValue="0" maxValue="1"/>
    </cacheField>
    <cacheField name="Loyer moyen / lgt" numFmtId="0">
      <sharedItems containsString="0" containsBlank="1" containsNumber="1" minValue="331.1" maxValue="868.81"/>
    </cacheField>
    <cacheField name="VEFA / PROPRE" numFmtId="0">
      <sharedItems containsBlank="1" count="3">
        <s v="VEFA"/>
        <s v="propre"/>
        <m/>
      </sharedItems>
    </cacheField>
    <cacheField name="CREDIT D'IMPOT" numFmtId="0">
      <sharedItems containsBlank="1"/>
    </cacheField>
    <cacheField name="Prix Achat TTC" numFmtId="165">
      <sharedItems containsString="0" containsBlank="1" containsNumber="1" minValue="680220.73" maxValue="15566166"/>
    </cacheField>
    <cacheField name="Prix achat /m² SHAB" numFmtId="164">
      <sharedItems containsSemiMixedTypes="0" containsString="0" containsNumber="1" minValue="0" maxValue="3573.5000000000005"/>
    </cacheField>
    <cacheField name="Prix achat /m² SF" numFmtId="164">
      <sharedItems containsMixedTypes="1" containsNumber="1" minValue="0" maxValue="3012.388442867812"/>
    </cacheField>
    <cacheField name="Prix achat / lgt" numFmtId="164">
      <sharedItems containsSemiMixedTypes="0" containsString="0" containsNumber="1" minValue="0" maxValue="268905.87500000006"/>
    </cacheField>
    <cacheField name="Demande LBU" numFmtId="166">
      <sharedItems containsNonDate="0" containsDate="1" containsString="0" containsBlank="1" minDate="2015-03-30T00:00:00" maxDate="2023-04-15T00:00:00"/>
    </cacheField>
    <cacheField name="Arrêté LBU" numFmtId="166">
      <sharedItems containsNonDate="0" containsDate="1" containsString="0" containsBlank="1" minDate="2015-09-01T00:00:00" maxDate="2023-09-21T00:00:00"/>
    </cacheField>
    <cacheField name="Transmission à DAF" numFmtId="166">
      <sharedItems containsNonDate="0" containsDate="1" containsString="0" containsBlank="1" minDate="2015-11-27T00:00:00" maxDate="2023-09-21T00:00:00"/>
    </cacheField>
    <cacheField name="Délai obtention LBU" numFmtId="3">
      <sharedItems containsSemiMixedTypes="0" containsString="0" containsNumber="1" minValue="0" maxValue="9.2666666666666675"/>
    </cacheField>
    <cacheField name="Dde édition prêt" numFmtId="166">
      <sharedItems containsNonDate="0" containsDate="1" containsString="0" containsBlank="1" minDate="2014-10-20T00:00:00" maxDate="2023-09-28T00:00:00"/>
    </cacheField>
    <cacheField name="Contrat de prêt" numFmtId="166">
      <sharedItems containsNonDate="0" containsDate="1" containsString="0" containsBlank="1" minDate="2015-01-23T00:00:00" maxDate="2023-06-17T00:00:00"/>
    </cacheField>
    <cacheField name="Délai obtention prêt" numFmtId="164">
      <sharedItems containsSemiMixedTypes="0" containsString="0" containsNumber="1" minValue="0" maxValue="9.9"/>
    </cacheField>
    <cacheField name="Limite validité Ct prêt - Prise d'effet du contrat (1e j du mois suivant la signature)" numFmtId="166">
      <sharedItems containsDate="1" containsMixedTypes="1" minDate="2015-02-28T00:00:00" maxDate="2023-08-01T00:00:00"/>
    </cacheField>
    <cacheField name="Transmission contrat prêt DAF" numFmtId="166">
      <sharedItems containsDate="1" containsBlank="1" containsMixedTypes="1" minDate="2015-03-11T00:00:00" maxDate="2023-06-20T00:00:00"/>
    </cacheField>
    <cacheField name="Début préfinancement (1e jour du mois suivant la prise d'effet du contrat)" numFmtId="166">
      <sharedItems containsNonDate="0" containsDate="1" containsString="0" containsBlank="1" minDate="2015-05-01T00:00:00" maxDate="2023-07-06T00:00:00"/>
    </cacheField>
    <cacheField name="Durée de préfinancement" numFmtId="1">
      <sharedItems containsString="0" containsBlank="1" containsNumber="1" containsInteger="1" minValue="24" maxValue="36"/>
    </cacheField>
    <cacheField name="1e échéance de prêt (24 mois préfi + 12 mois différé = 36 mois)" numFmtId="166">
      <sharedItems containsSemiMixedTypes="0" containsNonDate="0" containsDate="1" containsString="0" minDate="1900-12-31T00:00:00" maxDate="2027-07-06T00:00:00"/>
    </cacheField>
    <cacheField name="Montant échéance annuelle" numFmtId="0">
      <sharedItems containsString="0" containsBlank="1" containsNumber="1" minValue="12906" maxValue="673237.89"/>
    </cacheField>
    <cacheField name="PROBLEME" numFmtId="0">
      <sharedItems/>
    </cacheField>
    <cacheField name="Mois de loyers avant 1e échéance" numFmtId="0">
      <sharedItems containsSemiMixedTypes="0" containsString="0" containsNumber="1" minValue="-1572.1" maxValue="23.766666666666666"/>
    </cacheField>
    <cacheField name="Montant des loyers perçus avant 1e échéance" numFmtId="3">
      <sharedItems containsMixedTypes="1" containsNumber="1" minValue="-26596625.733333334" maxValue="868355.92666136182"/>
    </cacheField>
    <cacheField name="Coût réel 1e annuité" numFmtId="3">
      <sharedItems containsMixedTypes="1" containsNumber="1" minValue="-26596625.733333334" maxValue="221851.5"/>
    </cacheField>
    <cacheField name="Loyers manquants" numFmtId="164">
      <sharedItems containsSemiMixedTypes="0" containsString="0" containsNumber="1" minValue="0" maxValue="26596625.733333334"/>
    </cacheField>
    <cacheField name="OS démarrage" numFmtId="166">
      <sharedItems containsNonDate="0" containsDate="1" containsString="0" containsBlank="1" minDate="2016-08-01T00:00:00" maxDate="2029-11-24T00:00:00" count="76">
        <d v="2016-08-01T00:00:00"/>
        <d v="2017-02-20T00:00:00"/>
        <d v="2017-02-14T00:00:00"/>
        <d v="2017-02-06T00:00:00"/>
        <d v="2017-02-16T00:00:00"/>
        <d v="2017-07-31T00:00:00"/>
        <d v="2017-02-01T00:00:00"/>
        <d v="2018-01-22T00:00:00"/>
        <d v="2017-12-22T00:00:00"/>
        <d v="2018-03-09T00:00:00"/>
        <d v="2018-03-05T00:00:00"/>
        <d v="2018-06-12T00:00:00"/>
        <d v="2018-01-01T00:00:00"/>
        <d v="2018-01-29T00:00:00"/>
        <d v="2018-12-18T00:00:00"/>
        <d v="2019-07-04T00:00:00"/>
        <d v="2018-09-12T00:00:00"/>
        <d v="2018-09-20T00:00:00"/>
        <d v="2019-04-30T00:00:00"/>
        <d v="2018-12-07T00:00:00"/>
        <d v="2018-09-19T00:00:00"/>
        <d v="2019-07-19T00:00:00"/>
        <d v="2019-09-30T00:00:00"/>
        <d v="2019-04-01T00:00:00"/>
        <d v="2020-02-12T00:00:00"/>
        <d v="2019-07-22T00:00:00"/>
        <d v="2020-01-20T00:00:00"/>
        <d v="2020-05-26T00:00:00"/>
        <d v="2021-02-15T00:00:00"/>
        <d v="2021-02-04T00:00:00"/>
        <d v="2020-12-14T00:00:00"/>
        <d v="2020-06-15T00:00:00"/>
        <d v="2020-11-13T00:00:00"/>
        <d v="2020-12-21T00:00:00"/>
        <d v="2021-03-01T00:00:00"/>
        <d v="2022-03-16T00:00:00"/>
        <d v="2022-04-26T00:00:00"/>
        <d v="2022-08-10T00:00:00"/>
        <d v="2021-04-15T00:00:00"/>
        <d v="2021-06-21T00:00:00"/>
        <d v="2021-12-28T00:00:00"/>
        <d v="2022-07-18T00:00:00"/>
        <d v="2023-04-06T00:00:00"/>
        <d v="2022-07-05T00:00:00"/>
        <d v="2023-05-30T00:00:00"/>
        <d v="2022-11-08T00:00:00"/>
        <d v="2022-08-31T00:00:00"/>
        <d v="2022-09-06T00:00:00"/>
        <d v="2023-09-30T00:00:00"/>
        <d v="2024-03-15T00:00:00"/>
        <d v="2023-10-05T00:00:00"/>
        <d v="2024-02-15T00:00:00"/>
        <d v="2024-04-15T00:00:00"/>
        <d v="2024-06-15T00:00:00"/>
        <d v="2023-09-27T00:00:00"/>
        <d v="2024-03-30T00:00:00"/>
        <d v="2024-04-01T00:00:00"/>
        <d v="2025-02-15T00:00:00"/>
        <d v="2025-02-23T00:00:00"/>
        <d v="2024-06-01T00:00:00"/>
        <d v="2024-09-01T00:00:00"/>
        <d v="2024-09-15T00:00:00"/>
        <d v="2025-03-15T00:00:00"/>
        <d v="2025-05-05T00:00:00"/>
        <d v="2025-07-15T00:00:00"/>
        <d v="2025-09-15T00:00:00"/>
        <d v="2026-11-23T00:00:00"/>
        <d v="2026-03-15T00:00:00"/>
        <d v="2026-09-01T00:00:00"/>
        <d v="2027-09-01T00:00:00"/>
        <d v="2027-02-15T00:00:00"/>
        <d v="2027-06-15T00:00:00"/>
        <d v="2028-09-01T00:00:00"/>
        <d v="2029-09-01T00:00:00"/>
        <d v="2029-11-23T00:00:00"/>
        <m/>
      </sharedItems>
    </cacheField>
    <cacheField name="ANNEE DEMARRAGE" numFmtId="0">
      <sharedItems containsString="0" containsBlank="1" containsNumber="1" containsInteger="1" minValue="2016" maxValue="2023" count="9">
        <n v="2016"/>
        <n v="2017"/>
        <n v="2018"/>
        <n v="2019"/>
        <n v="2020"/>
        <n v="2021"/>
        <n v="2022"/>
        <n v="2023"/>
        <m/>
      </sharedItems>
    </cacheField>
    <cacheField name="ECART Arrêté DEAL / OS" numFmtId="1">
      <sharedItems containsSemiMixedTypes="0" containsString="0" containsNumber="1" minValue="0" maxValue="1581.5"/>
    </cacheField>
    <cacheField name="Délai chantier initial" numFmtId="1">
      <sharedItems containsSemiMixedTypes="0" containsString="0" containsNumber="1" containsInteger="1" minValue="3" maxValue="41"/>
    </cacheField>
    <cacheField name="Délai chantier réel" numFmtId="0">
      <sharedItems containsSemiMixedTypes="0" containsString="0" containsNumber="1" containsInteger="1" minValue="4" maxValue="42"/>
    </cacheField>
    <cacheField name="Achèvement fondations" numFmtId="0">
      <sharedItems containsNonDate="0" containsDate="1" containsString="0" containsBlank="1" minDate="2016-12-08T00:00:00" maxDate="2023-04-26T00:00:00"/>
    </cacheField>
    <cacheField name="Date réception entreprise prévue initialement" numFmtId="14">
      <sharedItems containsSemiMixedTypes="0" containsNonDate="0" containsDate="1" containsString="0" minDate="1901-08-31T00:00:00" maxDate="2030-11-24T00:00:00"/>
    </cacheField>
    <cacheField name="Date réception entreprise recalée" numFmtId="166">
      <sharedItems containsSemiMixedTypes="0" containsNonDate="0" containsDate="1" containsString="0" minDate="1901-10-01T00:00:00" maxDate="2030-12-24T00:00:00"/>
    </cacheField>
    <cacheField name="Fin GPA" numFmtId="166">
      <sharedItems containsSemiMixedTypes="0" containsNonDate="0" containsDate="1" containsString="0" minDate="1902-10-01T00:00:00" maxDate="2031-12-24T00:00:00"/>
    </cacheField>
    <cacheField name="Retard de réception" numFmtId="1">
      <sharedItems containsSemiMixedTypes="0" containsString="0" containsNumber="1" minValue="-3.5333333333333332" maxValue="16.766666666666666"/>
    </cacheField>
    <cacheField name="Date achèvement VEFA" numFmtId="166">
      <sharedItems containsNonDate="0" containsDate="1" containsString="0" containsBlank="1" minDate="2018-10-23T00:00:00" maxDate="2029-03-16T00:00:00"/>
    </cacheField>
    <cacheField name="Date Livraison initiale VEFA" numFmtId="166">
      <sharedItems containsNonDate="0" containsDate="1" containsString="0" containsBlank="1" minDate="2018-10-23T00:00:00" maxDate="2029-03-16T00:00:00"/>
    </cacheField>
    <cacheField name="Date livraison contractuelle y/c avenant" numFmtId="0">
      <sharedItems containsNonDate="0" containsDate="1" containsString="0" containsBlank="1" minDate="2018-10-23T00:00:00" maxDate="2029-03-16T00:00:00"/>
    </cacheField>
    <cacheField name="Date Livraison VEFA estimée avec retards constatés" numFmtId="0">
      <sharedItems containsNonDate="0" containsDate="1" containsString="0" containsBlank="1" minDate="2018-10-23T00:00:00" maxDate="2029-03-16T00:00:00"/>
    </cacheField>
    <cacheField name="Retard livraison VEFA (mois)" numFmtId="167">
      <sharedItems containsSemiMixedTypes="0" containsString="0" containsNumber="1" minValue="-1.0333333333333334" maxValue="9.7333333333333325"/>
    </cacheField>
    <cacheField name="Retard livraison VEFA (jour)" numFmtId="164">
      <sharedItems containsSemiMixedTypes="0" containsString="0" containsNumber="1" containsInteger="1" minValue="-31" maxValue="292"/>
    </cacheField>
    <cacheField name="DAACT" numFmtId="14">
      <sharedItems containsNonDate="0" containsDate="1" containsString="0" containsBlank="1" minDate="2021-11-04T00:00:00" maxDate="2023-09-05T00:00:00"/>
    </cacheField>
    <cacheField name="DATE LIMITE DAACT CREDIT IMPOT (Fondations + 24 mois)" numFmtId="166">
      <sharedItems containsDate="1" containsMixedTypes="1" minDate="2018-12-08T00:00:00" maxDate="2025-04-26T00:00:00"/>
    </cacheField>
    <cacheField name="Date inauguration initiale" numFmtId="166">
      <sharedItems containsSemiMixedTypes="0" containsNonDate="0" containsDate="1" containsString="0" minDate="1901-09-30T00:00:00" maxDate="2030-12-24T00:00:00"/>
    </cacheField>
    <cacheField name="Date inauguration recalée" numFmtId="166">
      <sharedItems containsNonDate="0" containsDate="1" containsString="0" containsBlank="1" minDate="2018-05-22T00:00:00" maxDate="2031-01-24T00:00:00" count="81">
        <d v="2018-05-22T00:00:00"/>
        <d v="2018-08-24T00:00:00"/>
        <d v="2018-08-30T00:00:00"/>
        <d v="2018-09-27T00:00:00"/>
        <d v="2019-02-19T00:00:00"/>
        <d v="2019-06-18T00:00:00"/>
        <d v="2019-06-22T00:00:00"/>
        <d v="2019-08-05T00:00:00"/>
        <d v="2019-08-20T00:00:00"/>
        <d v="2019-09-24T00:00:00"/>
        <d v="2020-01-20T00:00:00"/>
        <d v="2020-05-28T00:00:00"/>
        <d v="2020-12-01T00:00:00"/>
        <d v="2020-12-02T00:00:00"/>
        <d v="2020-12-07T00:00:00"/>
        <d v="2020-12-08T00:00:00"/>
        <d v="2020-12-09T00:00:00"/>
        <d v="2020-12-10T00:00:00"/>
        <d v="2020-12-15T00:00:00"/>
        <d v="2020-12-16T00:00:00"/>
        <d v="2021-05-18T00:00:00"/>
        <d v="2021-05-20T00:00:00"/>
        <d v="2021-07-13T00:00:00"/>
        <d v="2021-08-07T00:00:00"/>
        <d v="2021-08-19T00:00:00"/>
        <d v="2022-07-26T00:00:00"/>
        <d v="2022-08-02T00:00:00"/>
        <d v="2022-11-09T00:00:00"/>
        <d v="2022-11-24T00:00:00"/>
        <d v="2022-12-06T00:00:00"/>
        <d v="2023-07-31T00:00:00"/>
        <d v="2023-10-10T00:00:00"/>
        <d v="2023-11-08T00:00:00"/>
        <d v="2023-10-16T00:00:00"/>
        <d v="2023-10-26T00:00:00"/>
        <d v="2023-07-19T00:00:00"/>
        <d v="2023-10-30T00:00:00"/>
        <d v="2023-11-01T00:00:00"/>
        <d v="2023-08-29T00:00:00"/>
        <d v="2023-11-15T00:00:00"/>
        <d v="2024-06-02T00:00:00"/>
        <d v="2024-04-18T00:00:00"/>
        <d v="2024-06-06T00:00:00"/>
        <d v="2024-07-05T00:00:00"/>
        <d v="2025-05-04T00:00:00"/>
        <d v="2024-08-06T00:00:00"/>
        <d v="2024-08-08T00:00:00"/>
        <d v="2024-10-02T00:00:00"/>
        <d v="2024-11-30T00:00:00"/>
        <d v="2025-10-30T00:00:00"/>
        <d v="2025-05-15T00:00:00"/>
        <d v="2025-06-05T00:00:00"/>
        <d v="2025-06-15T00:00:00"/>
        <d v="2025-08-15T00:00:00"/>
        <d v="2025-07-27T00:00:00"/>
        <d v="2025-11-15T00:00:00"/>
        <d v="2026-05-30T00:00:00"/>
        <d v="2024-08-30T00:00:00"/>
        <d v="2026-06-01T00:00:00"/>
        <d v="2026-04-15T00:00:00"/>
        <d v="2026-04-23T00:00:00"/>
        <d v="2026-08-01T00:00:00"/>
        <d v="2026-08-15T00:00:00"/>
        <d v="2026-11-01T00:00:00"/>
        <d v="2026-07-15T00:00:00"/>
        <d v="2026-10-15T00:00:00"/>
        <d v="2027-04-15T00:00:00"/>
        <d v="2027-08-15T00:00:00"/>
        <d v="2027-05-15T00:00:00"/>
        <d v="2027-07-05T00:00:00"/>
        <d v="2028-01-23T00:00:00"/>
        <d v="2028-01-15T00:00:00"/>
        <d v="2028-03-01T00:00:00"/>
        <d v="2028-05-01T00:00:00"/>
        <d v="2028-11-01T00:00:00"/>
        <d v="2030-02-15T00:00:00"/>
        <d v="2029-04-15T00:00:00"/>
        <d v="2029-11-01T00:00:00"/>
        <d v="2030-11-01T00:00:00"/>
        <d v="2031-01-23T00:00:00"/>
        <m/>
      </sharedItems>
    </cacheField>
    <cacheField name="Année Inauguration" numFmtId="0">
      <sharedItems containsString="0" containsBlank="1" containsNumber="1" containsInteger="1" minValue="2018" maxValue="2023" count="7">
        <n v="2018"/>
        <n v="2019"/>
        <n v="2020"/>
        <n v="2021"/>
        <n v="2022"/>
        <n v="2023"/>
        <m/>
      </sharedItems>
    </cacheField>
    <cacheField name="Retard Inauguration (m)" numFmtId="0">
      <sharedItems containsSemiMixedTypes="0" containsString="0" containsNumber="1" minValue="0" maxValue="15.733333333333333"/>
    </cacheField>
    <cacheField name="Loyer mensuel" numFmtId="3">
      <sharedItems containsString="0" containsBlank="1" containsNumber="1" minValue="1657.9788718809748" maxValue="60163.228175152086"/>
    </cacheField>
    <cacheField name="Perte loyer" numFmtId="3">
      <sharedItems containsMixedTypes="1" containsNumber="1" minValue="0" maxValue="360717.1"/>
    </cacheField>
  </cacheFields>
  <extLst>
    <ext xmlns:x14="http://schemas.microsoft.com/office/spreadsheetml/2009/9/main" uri="{725AE2AE-9491-48be-B2B4-4EB974FC3084}">
      <x14:pivotCacheDefinition pivotCacheId="2112760678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BLANDINO" refreshedDate="45207.37008645833" createdVersion="8" refreshedVersion="8" minRefreshableVersion="3" recordCount="67" xr:uid="{1E327E5D-6160-4423-BD33-BD8DC93ED5E0}">
  <cacheSource type="worksheet">
    <worksheetSource name="TDB_CN" r:id="rId2"/>
  </cacheSource>
  <cacheFields count="9">
    <cacheField name="OPERATION" numFmtId="0">
      <sharedItems/>
    </cacheField>
    <cacheField name="COMMUNE" numFmtId="0">
      <sharedItems/>
    </cacheField>
    <cacheField name="BASSIN" numFmtId="0">
      <sharedItems count="4">
        <s v="TCO"/>
        <s v="CA SUD"/>
        <s v="CIVIS"/>
        <s v="CIREST"/>
      </sharedItems>
    </cacheField>
    <cacheField name="Prog" numFmtId="0">
      <sharedItems containsSemiMixedTypes="0" containsString="0" containsNumber="1" containsInteger="1" minValue="2017" maxValue="2024"/>
    </cacheField>
    <cacheField name="TYPE" numFmtId="0">
      <sharedItems/>
    </cacheField>
    <cacheField name="N" numFmtId="0">
      <sharedItems containsSemiMixedTypes="0" containsString="0" containsNumber="1" containsInteger="1" minValue="2" maxValue="98"/>
    </cacheField>
    <cacheField name="Arrêté LBU" numFmtId="166">
      <sharedItems containsNonDate="0" containsDate="1" containsString="0" containsBlank="1" minDate="2017-07-13T00:00:00" maxDate="2023-10-05T00:00:00"/>
    </cacheField>
    <cacheField name="OS démarrage" numFmtId="166">
      <sharedItems containsSemiMixedTypes="0" containsNonDate="0" containsDate="1" containsString="0" minDate="2020-06-15T00:00:00" maxDate="2026-03-16T00:00:00"/>
    </cacheField>
    <cacheField name="Date inauguration recalée" numFmtId="166">
      <sharedItems containsSemiMixedTypes="0" containsNonDate="0" containsDate="1" containsString="0" minDate="2023-07-19T00:00:00" maxDate="2028-01-16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BLANDINO" refreshedDate="45207.389397685183" createdVersion="8" refreshedVersion="8" minRefreshableVersion="3" recordCount="167" xr:uid="{71445DF2-8DB0-4027-B33B-B429F947F046}">
  <cacheSource type="worksheet">
    <worksheetSource name="Données"/>
  </cacheSource>
  <cacheFields count="71">
    <cacheField name="OPERATION" numFmtId="0">
      <sharedItems/>
    </cacheField>
    <cacheField name="COMMUNE" numFmtId="0">
      <sharedItems/>
    </cacheField>
    <cacheField name="BASSIN" numFmtId="0">
      <sharedItems/>
    </cacheField>
    <cacheField name="Prog" numFmtId="0">
      <sharedItems containsBlank="1" containsMixedTypes="1" containsNumber="1" containsInteger="1" minValue="2015" maxValue="2028" count="16">
        <n v="2016"/>
        <n v="2015"/>
        <m/>
        <n v="2017"/>
        <n v="2018"/>
        <n v="2019"/>
        <n v="2020"/>
        <n v="2021"/>
        <n v="2022"/>
        <n v="2025"/>
        <n v="2026"/>
        <n v="2023"/>
        <n v="2024"/>
        <s v="non inscrit"/>
        <n v="2027"/>
        <n v="2028"/>
      </sharedItems>
    </cacheField>
    <cacheField name="CODE" numFmtId="0">
      <sharedItems containsBlank="1"/>
    </cacheField>
    <cacheField name="RO" numFmtId="0">
      <sharedItems containsBlank="1"/>
    </cacheField>
    <cacheField name="CT" numFmtId="0">
      <sharedItems containsBlank="1"/>
    </cacheField>
    <cacheField name="ASSISTANTE" numFmtId="0">
      <sharedItems containsBlank="1"/>
    </cacheField>
    <cacheField name="Avancement" numFmtId="0">
      <sharedItems containsBlank="1"/>
    </cacheField>
    <cacheField name="Parcelle" numFmtId="0">
      <sharedItems containsBlank="1"/>
    </cacheField>
    <cacheField name="TYPE" numFmtId="0">
      <sharedItems count="4">
        <s v="LLTS"/>
        <s v="LLS"/>
        <s v="PLS"/>
        <s v="Rehab"/>
      </sharedItems>
    </cacheField>
    <cacheField name="N" numFmtId="0">
      <sharedItems containsSemiMixedTypes="0" containsString="0" containsNumber="1" containsInteger="1" minValue="2" maxValue="200"/>
    </cacheField>
    <cacheField name="N hors REHAB" numFmtId="0">
      <sharedItems containsSemiMixedTypes="0" containsString="0" containsNumber="1" containsInteger="1" minValue="0" maxValue="200"/>
    </cacheField>
    <cacheField name="LLS" numFmtId="0">
      <sharedItems containsString="0" containsBlank="1" containsNumber="1" containsInteger="1" minValue="10" maxValue="80"/>
    </cacheField>
    <cacheField name="LLTS" numFmtId="0">
      <sharedItems containsString="0" containsBlank="1" containsNumber="1" containsInteger="1" minValue="2" maxValue="150"/>
    </cacheField>
    <cacheField name="PLS" numFmtId="0">
      <sharedItems containsString="0" containsBlank="1" containsNumber="1" containsInteger="1" minValue="6" maxValue="200"/>
    </cacheField>
    <cacheField name="REHAB" numFmtId="0">
      <sharedItems containsString="0" containsBlank="1" containsNumber="1" containsInteger="1" minValue="6" maxValue="128"/>
    </cacheField>
    <cacheField name="SHAB y/c V" numFmtId="4">
      <sharedItems containsString="0" containsBlank="1" containsNumber="1" minValue="109.88" maxValue="6231.35"/>
    </cacheField>
    <cacheField name="SF priorisée" numFmtId="4">
      <sharedItems containsString="0" containsBlank="1" containsNumber="1" minValue="109.88" maxValue="7551.86"/>
    </cacheField>
    <cacheField name="SHAB / lgt" numFmtId="164">
      <sharedItems containsSemiMixedTypes="0" containsString="0" containsNumber="1" minValue="0" maxValue="92.481363636363639"/>
    </cacheField>
    <cacheField name="SF / lgt" numFmtId="0">
      <sharedItems containsSemiMixedTypes="0" containsString="0" containsNumber="1" minValue="0" maxValue="100.1675"/>
    </cacheField>
    <cacheField name="Ratio SHAB/SF" numFmtId="9">
      <sharedItems containsSemiMixedTypes="0" containsString="0" containsNumber="1" minValue="0" maxValue="1"/>
    </cacheField>
    <cacheField name="Loyer moyen / lgt" numFmtId="0">
      <sharedItems containsString="0" containsBlank="1" containsNumber="1" minValue="331.1" maxValue="868.81"/>
    </cacheField>
    <cacheField name="VEFA / PROPRE" numFmtId="0">
      <sharedItems containsBlank="1"/>
    </cacheField>
    <cacheField name="CREDIT D'IMPOT" numFmtId="0">
      <sharedItems containsBlank="1"/>
    </cacheField>
    <cacheField name="Prix Achat TTC" numFmtId="165">
      <sharedItems containsString="0" containsBlank="1" containsNumber="1" minValue="680220.73" maxValue="15566166"/>
    </cacheField>
    <cacheField name="Prix achat /m² SHAB" numFmtId="164">
      <sharedItems containsSemiMixedTypes="0" containsString="0" containsNumber="1" minValue="0" maxValue="3573.5000000000005"/>
    </cacheField>
    <cacheField name="Prix achat /m² SF" numFmtId="164">
      <sharedItems containsMixedTypes="1" containsNumber="1" minValue="0" maxValue="3012.388442867812"/>
    </cacheField>
    <cacheField name="Prix achat / lgt" numFmtId="164">
      <sharedItems containsSemiMixedTypes="0" containsString="0" containsNumber="1" minValue="0" maxValue="268905.87500000006"/>
    </cacheField>
    <cacheField name="Demande LBU" numFmtId="166">
      <sharedItems containsNonDate="0" containsDate="1" containsString="0" containsBlank="1" minDate="2015-03-30T00:00:00" maxDate="2023-04-15T00:00:00"/>
    </cacheField>
    <cacheField name="Arrêté LBU" numFmtId="166">
      <sharedItems containsNonDate="0" containsDate="1" containsString="0" containsBlank="1" minDate="2015-09-01T00:00:00" maxDate="2023-10-05T00:00:00"/>
    </cacheField>
    <cacheField name="Transmission à DAF" numFmtId="166">
      <sharedItems containsNonDate="0" containsDate="1" containsString="0" containsBlank="1" minDate="2015-11-27T00:00:00" maxDate="2023-09-21T00:00:00"/>
    </cacheField>
    <cacheField name="Délai obtention LBU" numFmtId="3">
      <sharedItems containsSemiMixedTypes="0" containsString="0" containsNumber="1" minValue="0" maxValue="9.2666666666666675"/>
    </cacheField>
    <cacheField name="Dde édition prêt" numFmtId="166">
      <sharedItems containsNonDate="0" containsDate="1" containsString="0" containsBlank="1" minDate="2014-10-20T00:00:00" maxDate="2023-09-28T00:00:00"/>
    </cacheField>
    <cacheField name="Contrat de prêt" numFmtId="166">
      <sharedItems containsNonDate="0" containsDate="1" containsString="0" containsBlank="1" minDate="2015-01-23T00:00:00" maxDate="2023-06-17T00:00:00"/>
    </cacheField>
    <cacheField name="Délai obtention prêt" numFmtId="164">
      <sharedItems containsSemiMixedTypes="0" containsString="0" containsNumber="1" minValue="0" maxValue="9.9"/>
    </cacheField>
    <cacheField name="Limite validité Ct prêt - Prise d'effet du contrat (1e j du mois suivant la signature)" numFmtId="166">
      <sharedItems containsDate="1" containsMixedTypes="1" minDate="2015-02-28T00:00:00" maxDate="2023-08-01T00:00:00"/>
    </cacheField>
    <cacheField name="Transmission contrat prêt DAF" numFmtId="166">
      <sharedItems containsDate="1" containsBlank="1" containsMixedTypes="1" minDate="2015-03-11T00:00:00" maxDate="2023-06-20T00:00:00"/>
    </cacheField>
    <cacheField name="Début préfinancement (1e jour du mois suivant la prise d'effet du contrat)" numFmtId="166">
      <sharedItems containsNonDate="0" containsDate="1" containsString="0" containsBlank="1" minDate="2015-05-01T00:00:00" maxDate="2023-07-06T00:00:00"/>
    </cacheField>
    <cacheField name="Durée de préfinancement" numFmtId="1">
      <sharedItems containsString="0" containsBlank="1" containsNumber="1" containsInteger="1" minValue="24" maxValue="36"/>
    </cacheField>
    <cacheField name="1e échéance de prêt (24 mois préfi + 12 mois différé = 36 mois)" numFmtId="166">
      <sharedItems containsSemiMixedTypes="0" containsNonDate="0" containsDate="1" containsString="0" minDate="1900-12-31T00:00:00" maxDate="2027-07-06T00:00:00"/>
    </cacheField>
    <cacheField name="Montant échéance annuelle" numFmtId="0">
      <sharedItems containsString="0" containsBlank="1" containsNumber="1" minValue="12906" maxValue="673237.89"/>
    </cacheField>
    <cacheField name="PROBLEME" numFmtId="0">
      <sharedItems/>
    </cacheField>
    <cacheField name="Mois de loyers avant 1e échéance" numFmtId="0">
      <sharedItems containsSemiMixedTypes="0" containsString="0" containsNumber="1" minValue="-1572.1" maxValue="23.766666666666666"/>
    </cacheField>
    <cacheField name="Montant des loyers perçus avant 1e échéance" numFmtId="3">
      <sharedItems containsMixedTypes="1" containsNumber="1" minValue="-26596625.733333334" maxValue="868355.92666136182"/>
    </cacheField>
    <cacheField name="Coût réel 1e annuité" numFmtId="3">
      <sharedItems containsMixedTypes="1" containsNumber="1" minValue="-26596625.733333334" maxValue="221851.5"/>
    </cacheField>
    <cacheField name="Loyers manquants" numFmtId="164">
      <sharedItems containsSemiMixedTypes="0" containsString="0" containsNumber="1" minValue="0" maxValue="26596625.733333334"/>
    </cacheField>
    <cacheField name="OS démarrage" numFmtId="166">
      <sharedItems containsNonDate="0" containsDate="1" containsString="0" containsBlank="1" minDate="2016-08-01T00:00:00" maxDate="2029-11-24T00:00:00"/>
    </cacheField>
    <cacheField name="ANNEE DEMARRAGE" numFmtId="0">
      <sharedItems containsString="0" containsBlank="1" containsNumber="1" containsInteger="1" minValue="2016" maxValue="2023"/>
    </cacheField>
    <cacheField name="ECART Arrêté DEAL / OS" numFmtId="1">
      <sharedItems containsSemiMixedTypes="0" containsString="0" containsNumber="1" minValue="0" maxValue="1581.5"/>
    </cacheField>
    <cacheField name="Délai chantier initial" numFmtId="1">
      <sharedItems containsSemiMixedTypes="0" containsString="0" containsNumber="1" containsInteger="1" minValue="3" maxValue="41"/>
    </cacheField>
    <cacheField name="Délai chantier réel" numFmtId="0">
      <sharedItems containsSemiMixedTypes="0" containsString="0" containsNumber="1" containsInteger="1" minValue="4" maxValue="42"/>
    </cacheField>
    <cacheField name="Achèvement fondations" numFmtId="0">
      <sharedItems containsNonDate="0" containsDate="1" containsString="0" containsBlank="1" minDate="2016-12-08T00:00:00" maxDate="2023-04-26T00:00:00"/>
    </cacheField>
    <cacheField name="Date réception entreprise prévue initialement" numFmtId="14">
      <sharedItems containsSemiMixedTypes="0" containsNonDate="0" containsDate="1" containsString="0" minDate="1901-08-31T00:00:00" maxDate="2030-11-24T00:00:00"/>
    </cacheField>
    <cacheField name="Date réception entreprise recalée" numFmtId="166">
      <sharedItems containsSemiMixedTypes="0" containsNonDate="0" containsDate="1" containsString="0" minDate="1901-10-01T00:00:00" maxDate="2030-12-24T00:00:00"/>
    </cacheField>
    <cacheField name="Fin GPA" numFmtId="166">
      <sharedItems containsSemiMixedTypes="0" containsNonDate="0" containsDate="1" containsString="0" minDate="1902-10-01T00:00:00" maxDate="2031-12-24T00:00:00"/>
    </cacheField>
    <cacheField name="Retard de réception" numFmtId="1">
      <sharedItems containsSemiMixedTypes="0" containsString="0" containsNumber="1" minValue="-3.5333333333333332" maxValue="16.766666666666666"/>
    </cacheField>
    <cacheField name="Date achèvement VEFA" numFmtId="166">
      <sharedItems containsNonDate="0" containsDate="1" containsString="0" containsBlank="1" minDate="2018-10-23T00:00:00" maxDate="2029-03-16T00:00:00"/>
    </cacheField>
    <cacheField name="Date Livraison initiale VEFA" numFmtId="166">
      <sharedItems containsNonDate="0" containsDate="1" containsString="0" containsBlank="1" minDate="2018-10-23T00:00:00" maxDate="2029-03-16T00:00:00"/>
    </cacheField>
    <cacheField name="Date livraison contractuelle y/c avenant" numFmtId="0">
      <sharedItems containsNonDate="0" containsDate="1" containsString="0" containsBlank="1" minDate="2018-10-23T00:00:00" maxDate="2029-03-16T00:00:00"/>
    </cacheField>
    <cacheField name="Date Livraison VEFA estimée avec retards constatés" numFmtId="0">
      <sharedItems containsNonDate="0" containsDate="1" containsString="0" containsBlank="1" minDate="2018-10-23T00:00:00" maxDate="2029-03-16T00:00:00"/>
    </cacheField>
    <cacheField name="Retard livraison VEFA (mois)" numFmtId="167">
      <sharedItems containsSemiMixedTypes="0" containsString="0" containsNumber="1" minValue="-1.0333333333333334" maxValue="9.7333333333333325"/>
    </cacheField>
    <cacheField name="Retard livraison VEFA (jour)" numFmtId="164">
      <sharedItems containsSemiMixedTypes="0" containsString="0" containsNumber="1" containsInteger="1" minValue="-31" maxValue="292"/>
    </cacheField>
    <cacheField name="DAACT" numFmtId="14">
      <sharedItems containsNonDate="0" containsDate="1" containsString="0" containsBlank="1" minDate="2021-11-04T00:00:00" maxDate="2023-09-05T00:00:00"/>
    </cacheField>
    <cacheField name="DATE LIMITE DAACT CREDIT IMPOT (Fondations + 24 mois)" numFmtId="166">
      <sharedItems containsDate="1" containsMixedTypes="1" minDate="2018-12-08T00:00:00" maxDate="2025-04-26T00:00:00"/>
    </cacheField>
    <cacheField name="Date inauguration initiale" numFmtId="166">
      <sharedItems containsSemiMixedTypes="0" containsNonDate="0" containsDate="1" containsString="0" minDate="1901-09-30T00:00:00" maxDate="2030-12-24T00:00:00"/>
    </cacheField>
    <cacheField name="Date inauguration recalée" numFmtId="166">
      <sharedItems containsNonDate="0" containsDate="1" containsString="0" containsBlank="1" minDate="2018-05-22T00:00:00" maxDate="2031-01-24T00:00:00"/>
    </cacheField>
    <cacheField name="Année Inauguration" numFmtId="0">
      <sharedItems containsString="0" containsBlank="1" containsNumber="1" containsInteger="1" minValue="2018" maxValue="2023"/>
    </cacheField>
    <cacheField name="Retard Inauguration (m)" numFmtId="0">
      <sharedItems containsSemiMixedTypes="0" containsString="0" containsNumber="1" minValue="0" maxValue="15.733333333333333"/>
    </cacheField>
    <cacheField name="Loyer mensuel" numFmtId="3">
      <sharedItems containsString="0" containsBlank="1" containsNumber="1" minValue="1657.9788718809748" maxValue="60163.228175152086"/>
    </cacheField>
    <cacheField name="Perte loyer" numFmtId="3">
      <sharedItems containsMixedTypes="1" containsNumber="1" minValue="0" maxValue="360717.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7">
  <r>
    <s v="VEFA Paule &amp; Gaston RPA"/>
    <x v="0"/>
    <x v="0"/>
    <x v="0"/>
    <s v="PRLC 0191"/>
    <x v="0"/>
    <m/>
    <x v="0"/>
    <x v="0"/>
    <s v="AS 473/1384"/>
    <x v="0"/>
    <n v="23"/>
    <n v="23"/>
    <m/>
    <n v="23"/>
    <m/>
    <m/>
    <n v="1332.5"/>
    <n v="1536.11"/>
    <n v="57.934782608695649"/>
    <n v="66.787391304347821"/>
    <n v="0.86745089869866099"/>
    <n v="370.82"/>
    <x v="0"/>
    <m/>
    <n v="2973918"/>
    <n v="2231.8333958724202"/>
    <n v="1936.0058849952154"/>
    <n v="129300.78260869565"/>
    <d v="2016-03-30T00:00:00"/>
    <d v="2016-06-22T00:00:00"/>
    <m/>
    <n v="2.8"/>
    <d v="2016-08-24T00:00:00"/>
    <d v="2016-09-07T00:00:00"/>
    <n v="0.46666666666666667"/>
    <d v="2016-10-31T00:00:00"/>
    <d v="2016-10-11T00:00:00"/>
    <d v="2017-01-01T00:00:00"/>
    <n v="24"/>
    <d v="2020-01-01T00:00:00"/>
    <n v="48526"/>
    <s v="non"/>
    <n v="19.633333333333333"/>
    <n v="184339.87998276405"/>
    <n v="135813.87998276405"/>
    <n v="0"/>
    <x v="0"/>
    <x v="0"/>
    <n v="1.3333333333333333"/>
    <n v="18"/>
    <n v="20"/>
    <d v="2016-12-08T00:00:00"/>
    <d v="2018-02-01T00:00:00"/>
    <d v="2018-04-20T00:00:00"/>
    <d v="2019-04-20T00:00:00"/>
    <n v="2.6"/>
    <d v="2018-10-23T00:00:00"/>
    <d v="2018-10-23T00:00:00"/>
    <d v="2018-10-23T00:00:00"/>
    <d v="2018-10-23T00:00:00"/>
    <n v="0"/>
    <n v="0"/>
    <m/>
    <d v="2018-12-08T00:00:00"/>
    <d v="2018-11-23T00:00:00"/>
    <x v="0"/>
    <x v="0"/>
    <n v="0"/>
    <n v="9389.1280127044502"/>
    <n v="0"/>
  </r>
  <r>
    <s v="Lacaussade 3"/>
    <x v="1"/>
    <x v="1"/>
    <x v="1"/>
    <s v="PRLC 0166"/>
    <x v="0"/>
    <m/>
    <x v="0"/>
    <x v="0"/>
    <m/>
    <x v="0"/>
    <n v="20"/>
    <n v="20"/>
    <m/>
    <n v="20"/>
    <m/>
    <m/>
    <n v="1299.51"/>
    <n v="1299.51"/>
    <n v="64.975499999999997"/>
    <n v="64.975499999999997"/>
    <n v="1"/>
    <n v="363.43"/>
    <x v="1"/>
    <m/>
    <m/>
    <n v="0"/>
    <n v="0"/>
    <n v="0"/>
    <d v="2015-03-30T00:00:00"/>
    <d v="2015-09-02T00:00:00"/>
    <m/>
    <n v="5.2"/>
    <d v="2016-08-24T00:00:00"/>
    <d v="2016-09-07T00:00:00"/>
    <n v="0.46666666666666667"/>
    <d v="2016-10-31T00:00:00"/>
    <d v="2016-10-03T00:00:00"/>
    <d v="2017-01-01T00:00:00"/>
    <n v="24"/>
    <d v="2020-01-01T00:00:00"/>
    <n v="41890"/>
    <s v="non"/>
    <n v="16.5"/>
    <n v="142632.46203927579"/>
    <n v="100742.46203927579"/>
    <n v="0"/>
    <x v="1"/>
    <x v="1"/>
    <n v="17.899999999999999"/>
    <n v="14"/>
    <n v="17"/>
    <d v="2017-08-31T00:00:00"/>
    <d v="2018-04-20T00:00:00"/>
    <d v="2018-08-14T00:00:00"/>
    <d v="2019-08-14T00:00:00"/>
    <n v="3.8666666666666667"/>
    <m/>
    <m/>
    <m/>
    <m/>
    <n v="0"/>
    <n v="0"/>
    <m/>
    <d v="2019-08-31T00:00:00"/>
    <d v="2018-05-20T00:00:00"/>
    <x v="1"/>
    <x v="0"/>
    <n v="3.2"/>
    <n v="8644.3916387439876"/>
    <n v="27662.053243980761"/>
  </r>
  <r>
    <s v="FAHAM (Ilôt 5.6)"/>
    <x v="2"/>
    <x v="0"/>
    <x v="0"/>
    <s v="PRLC 0156"/>
    <x v="0"/>
    <m/>
    <x v="1"/>
    <x v="0"/>
    <m/>
    <x v="1"/>
    <n v="30"/>
    <n v="30"/>
    <n v="30"/>
    <m/>
    <m/>
    <m/>
    <n v="2366.15"/>
    <n v="2678.39"/>
    <n v="78.87166666666667"/>
    <n v="89.279666666666657"/>
    <n v="0.88342250381759202"/>
    <n v="570.15"/>
    <x v="1"/>
    <m/>
    <m/>
    <n v="0"/>
    <n v="0"/>
    <n v="0"/>
    <d v="2016-03-30T00:00:00"/>
    <d v="2016-08-19T00:00:00"/>
    <d v="2016-09-13T00:00:00"/>
    <n v="4.7333333333333334"/>
    <d v="2014-10-20T00:00:00"/>
    <d v="2015-01-23T00:00:00"/>
    <n v="3.1666666666666665"/>
    <d v="2015-02-28T00:00:00"/>
    <d v="2015-03-11T00:00:00"/>
    <d v="2015-05-01T00:00:00"/>
    <n v="24"/>
    <d v="2018-05-01T00:00:00"/>
    <n v="112746"/>
    <s v="oui"/>
    <n v="-4.0333333333333332"/>
    <n v="-79048.77520287309"/>
    <n v="-191794.7752028731"/>
    <n v="191794.7752028731"/>
    <x v="2"/>
    <x v="1"/>
    <n v="5.9666666666666668"/>
    <n v="16"/>
    <n v="17"/>
    <d v="2017-07-20T00:00:00"/>
    <d v="2018-06-14T00:00:00"/>
    <d v="2018-08-08T00:00:00"/>
    <d v="2019-08-08T00:00:00"/>
    <n v="1.8333333333333333"/>
    <m/>
    <m/>
    <m/>
    <m/>
    <n v="0"/>
    <n v="0"/>
    <m/>
    <d v="2019-07-20T00:00:00"/>
    <d v="2018-07-14T00:00:00"/>
    <x v="2"/>
    <x v="0"/>
    <n v="1.5666666666666667"/>
    <n v="19598.869885009859"/>
    <n v="30704.896153182111"/>
  </r>
  <r>
    <s v="Anne Caze (Plaine St Paul)"/>
    <x v="3"/>
    <x v="2"/>
    <x v="1"/>
    <s v="PRLC 0167"/>
    <x v="0"/>
    <m/>
    <x v="2"/>
    <x v="0"/>
    <m/>
    <x v="0"/>
    <n v="18"/>
    <n v="18"/>
    <m/>
    <n v="18"/>
    <m/>
    <m/>
    <n v="1480.6299999999999"/>
    <n v="1708.71"/>
    <n v="82.257222222222211"/>
    <n v="94.928333333333342"/>
    <n v="0.86651918698901498"/>
    <n v="476.85"/>
    <x v="1"/>
    <m/>
    <m/>
    <n v="0"/>
    <n v="0"/>
    <n v="0"/>
    <d v="2015-03-30T00:00:00"/>
    <d v="2015-11-12T00:00:00"/>
    <m/>
    <n v="7.5666666666666664"/>
    <d v="2016-08-26T00:00:00"/>
    <d v="2016-09-07T00:00:00"/>
    <n v="0.4"/>
    <d v="2016-10-31T00:00:00"/>
    <d v="2016-10-05T00:00:00"/>
    <d v="2017-01-01T00:00:00"/>
    <n v="24"/>
    <d v="2020-01-01T00:00:00"/>
    <n v="55466.880000000005"/>
    <s v="non"/>
    <n v="15.366666666666667"/>
    <n v="156033.90354922268"/>
    <n v="100567.02354922268"/>
    <n v="0"/>
    <x v="3"/>
    <x v="1"/>
    <n v="15.066666666666666"/>
    <n v="16"/>
    <n v="18"/>
    <d v="2017-07-07T00:00:00"/>
    <d v="2018-06-06T00:00:00"/>
    <d v="2018-09-03T00:00:00"/>
    <d v="2019-09-03T00:00:00"/>
    <n v="2.9666666666666668"/>
    <m/>
    <m/>
    <m/>
    <m/>
    <n v="0"/>
    <n v="0"/>
    <m/>
    <d v="2019-07-07T00:00:00"/>
    <d v="2018-07-06T00:00:00"/>
    <x v="3"/>
    <x v="0"/>
    <n v="2.7666666666666666"/>
    <n v="10154.050122509068"/>
    <n v="28092.87200560842"/>
  </r>
  <r>
    <s v="Christiane - Amata (HE 168) LLS"/>
    <x v="4"/>
    <x v="0"/>
    <x v="1"/>
    <s v="PRLC 0129"/>
    <x v="1"/>
    <m/>
    <x v="3"/>
    <x v="1"/>
    <m/>
    <x v="1"/>
    <n v="46"/>
    <n v="46"/>
    <n v="46"/>
    <m/>
    <m/>
    <m/>
    <n v="3586.65"/>
    <n v="4035.6650000000013"/>
    <n v="77.970652173913052"/>
    <n v="87.731847826086991"/>
    <n v="0.88873828724633952"/>
    <n v="562"/>
    <x v="1"/>
    <m/>
    <m/>
    <n v="0"/>
    <n v="0"/>
    <n v="0"/>
    <d v="2015-03-30T00:00:00"/>
    <d v="2015-10-27T00:00:00"/>
    <d v="2015-11-27T00:00:00"/>
    <n v="7.0333333333333332"/>
    <d v="2016-09-01T00:00:00"/>
    <d v="2016-09-07T00:00:00"/>
    <n v="0.2"/>
    <d v="2016-10-31T00:00:00"/>
    <m/>
    <d v="2017-01-01T00:00:00"/>
    <n v="24"/>
    <d v="2020-01-01T00:00:00"/>
    <n v="170249"/>
    <s v="non"/>
    <n v="10.533333333333333"/>
    <n v="280537.77777777775"/>
    <n v="110288.77777777775"/>
    <n v="0"/>
    <x v="4"/>
    <x v="1"/>
    <n v="15.933333333333334"/>
    <n v="18"/>
    <n v="23"/>
    <d v="2018-03-01T00:00:00"/>
    <d v="2018-08-16T00:00:00"/>
    <d v="2019-02-07T00:00:00"/>
    <d v="2020-02-07T00:00:00"/>
    <n v="5.833333333333333"/>
    <m/>
    <m/>
    <m/>
    <m/>
    <n v="0"/>
    <n v="0"/>
    <m/>
    <d v="2020-03-01T00:00:00"/>
    <d v="2018-09-16T00:00:00"/>
    <x v="4"/>
    <x v="1"/>
    <n v="5.2"/>
    <n v="26633.333333333332"/>
    <n v="138493.33333333334"/>
  </r>
  <r>
    <s v="Christiane - Amata (HE 168) LLTS"/>
    <x v="4"/>
    <x v="0"/>
    <x v="1"/>
    <s v="PRLC 0129"/>
    <x v="0"/>
    <m/>
    <x v="4"/>
    <x v="2"/>
    <s v="HE 168/169"/>
    <x v="0"/>
    <n v="12"/>
    <n v="12"/>
    <m/>
    <n v="12"/>
    <m/>
    <m/>
    <n v="677.26"/>
    <n v="677.26"/>
    <n v="56.438333333333333"/>
    <n v="56.438333333333333"/>
    <n v="1"/>
    <n v="331.1"/>
    <x v="1"/>
    <m/>
    <m/>
    <n v="0"/>
    <n v="0"/>
    <n v="0"/>
    <d v="2015-03-30T00:00:00"/>
    <d v="2015-10-29T00:00:00"/>
    <d v="2015-11-27T00:00:00"/>
    <n v="7.1"/>
    <d v="2016-09-01T00:00:00"/>
    <d v="2016-09-09T00:00:00"/>
    <n v="0.26666666666666666"/>
    <d v="2016-10-31T00:00:00"/>
    <m/>
    <d v="2017-01-01T00:00:00"/>
    <n v="24"/>
    <d v="2020-01-01T00:00:00"/>
    <n v="20906"/>
    <s v="non"/>
    <n v="10.533333333333333"/>
    <n v="43209.488888888889"/>
    <n v="22303.488888888889"/>
    <n v="0"/>
    <x v="4"/>
    <x v="1"/>
    <n v="15.866666666666667"/>
    <n v="18"/>
    <n v="23"/>
    <d v="2018-03-01T00:00:00"/>
    <d v="2018-08-16T00:00:00"/>
    <d v="2019-02-07T00:00:00"/>
    <d v="2020-02-07T00:00:00"/>
    <n v="5.833333333333333"/>
    <m/>
    <m/>
    <m/>
    <m/>
    <n v="0"/>
    <n v="0"/>
    <m/>
    <d v="2020-03-01T00:00:00"/>
    <d v="2018-09-16T00:00:00"/>
    <x v="4"/>
    <x v="1"/>
    <n v="5.2"/>
    <n v="4102.166666666667"/>
    <n v="21331.26666666667"/>
  </r>
  <r>
    <s v="Hélène TONRU (RPA mixte St Philippe)"/>
    <x v="5"/>
    <x v="1"/>
    <x v="1"/>
    <s v="PRLC 0174"/>
    <x v="0"/>
    <m/>
    <x v="1"/>
    <x v="1"/>
    <m/>
    <x v="0"/>
    <n v="19"/>
    <n v="19"/>
    <m/>
    <n v="19"/>
    <m/>
    <m/>
    <n v="1201.58"/>
    <n v="1201.58"/>
    <n v="63.241052631578945"/>
    <n v="63.241052631578945"/>
    <n v="1"/>
    <n v="357.37715014736841"/>
    <x v="1"/>
    <m/>
    <m/>
    <n v="0"/>
    <n v="0"/>
    <n v="0"/>
    <d v="2015-03-30T00:00:00"/>
    <d v="2015-09-01T00:00:00"/>
    <m/>
    <n v="5.166666666666667"/>
    <d v="2016-06-27T00:00:00"/>
    <d v="2016-07-08T00:00:00"/>
    <n v="0.36666666666666664"/>
    <d v="2016-08-31T00:00:00"/>
    <m/>
    <d v="2016-11-01T00:00:00"/>
    <n v="24"/>
    <d v="2019-11-01T00:00:00"/>
    <n v="36685"/>
    <s v="oui"/>
    <n v="4.5333333333333332"/>
    <n v="31735.222222222223"/>
    <n v="-4949.7777777777774"/>
    <n v="4949.7777777777774"/>
    <x v="5"/>
    <x v="1"/>
    <n v="23.3"/>
    <n v="15"/>
    <n v="22"/>
    <d v="2018-02-13T00:00:00"/>
    <d v="2018-10-31T00:00:00"/>
    <d v="2019-06-18T00:00:00"/>
    <d v="2020-06-18T00:00:00"/>
    <n v="7.666666666666667"/>
    <m/>
    <m/>
    <m/>
    <m/>
    <n v="0"/>
    <n v="0"/>
    <m/>
    <d v="2020-02-13T00:00:00"/>
    <d v="2018-11-30T00:00:00"/>
    <x v="5"/>
    <x v="1"/>
    <n v="6.666666666666667"/>
    <n v="7000.416666666667"/>
    <n v="46669.444444444445"/>
  </r>
  <r>
    <s v="VEFA Maurice Lebon RPA"/>
    <x v="1"/>
    <x v="1"/>
    <x v="1"/>
    <s v="PRLC 0163"/>
    <x v="0"/>
    <m/>
    <x v="3"/>
    <x v="0"/>
    <m/>
    <x v="0"/>
    <n v="55"/>
    <n v="55"/>
    <m/>
    <n v="55"/>
    <m/>
    <m/>
    <n v="3155.3"/>
    <n v="3234.2999999999997"/>
    <n v="57.369090909090914"/>
    <n v="58.805454545454538"/>
    <n v="0.9755743128343074"/>
    <n v="340.06"/>
    <x v="0"/>
    <m/>
    <n v="6373285"/>
    <n v="2019.8665737013912"/>
    <n v="1970.5299446557217"/>
    <n v="115877.90909090909"/>
    <d v="2015-03-30T00:00:00"/>
    <d v="2015-11-12T00:00:00"/>
    <m/>
    <n v="7.5666666666666664"/>
    <d v="2016-11-23T00:00:00"/>
    <d v="2016-12-15T00:00:00"/>
    <n v="0.73333333333333328"/>
    <d v="2017-01-31T00:00:00"/>
    <d v="2016-12-23T00:00:00"/>
    <d v="2017-04-01T00:00:00"/>
    <n v="24"/>
    <d v="2020-04-01T00:00:00"/>
    <n v="105402"/>
    <s v="non"/>
    <n v="9.4666666666666668"/>
    <n v="183855.28888888887"/>
    <n v="78453.28888888887"/>
    <n v="0"/>
    <x v="6"/>
    <x v="1"/>
    <n v="14.9"/>
    <n v="22"/>
    <n v="24"/>
    <d v="2017-06-09T00:00:00"/>
    <d v="2018-12-01T00:00:00"/>
    <d v="2019-02-28T00:00:00"/>
    <d v="2020-02-28T00:00:00"/>
    <n v="2.9666666666666668"/>
    <d v="2018-12-23T00:00:00"/>
    <d v="2018-12-23T00:00:00"/>
    <d v="2018-12-23T00:00:00"/>
    <d v="2018-12-23T00:00:00"/>
    <n v="0"/>
    <n v="0"/>
    <m/>
    <d v="2019-06-09T00:00:00"/>
    <d v="2019-01-23T00:00:00"/>
    <x v="6"/>
    <x v="1"/>
    <n v="5"/>
    <n v="19421.333333333332"/>
    <n v="97106.666666666657"/>
  </r>
  <r>
    <s v="FANJAN (Ilot 6.2)"/>
    <x v="2"/>
    <x v="0"/>
    <x v="1"/>
    <s v="PRLC 0157"/>
    <x v="0"/>
    <m/>
    <x v="2"/>
    <x v="0"/>
    <m/>
    <x v="0"/>
    <n v="18"/>
    <n v="18"/>
    <m/>
    <n v="18"/>
    <m/>
    <m/>
    <n v="1306.4099999999999"/>
    <n v="1463.16"/>
    <n v="72.578333333333319"/>
    <n v="81.286666666666676"/>
    <n v="0.89286885918149739"/>
    <n v="425.19"/>
    <x v="1"/>
    <s v="x"/>
    <m/>
    <n v="0"/>
    <n v="0"/>
    <n v="0"/>
    <d v="2015-03-30T00:00:00"/>
    <d v="2015-10-21T00:00:00"/>
    <m/>
    <n v="6.833333333333333"/>
    <d v="2017-05-30T00:00:00"/>
    <d v="2017-07-13T00:00:00"/>
    <n v="1.4666666666666666"/>
    <d v="2017-08-31T00:00:00"/>
    <d v="2017-08-10T00:00:00"/>
    <d v="2017-11-01T00:00:00"/>
    <n v="24"/>
    <d v="2020-11-01T00:00:00"/>
    <n v="69930"/>
    <s v="non"/>
    <n v="15.133333333333333"/>
    <n v="116912.56666666667"/>
    <n v="46982.566666666666"/>
    <n v="0"/>
    <x v="7"/>
    <x v="2"/>
    <n v="27.466666666666665"/>
    <n v="15"/>
    <n v="17"/>
    <d v="2018-05-02T00:00:00"/>
    <d v="2019-04-22T00:00:00"/>
    <d v="2019-06-26T00:00:00"/>
    <d v="2020-06-26T00:00:00"/>
    <n v="2.1666666666666665"/>
    <m/>
    <m/>
    <m/>
    <m/>
    <n v="0"/>
    <n v="0"/>
    <m/>
    <d v="2020-05-02T00:00:00"/>
    <d v="2019-05-22T00:00:00"/>
    <x v="7"/>
    <x v="1"/>
    <n v="2.5"/>
    <n v="7725.5"/>
    <n v="19313.75"/>
  </r>
  <r>
    <s v="VEFA CROUS St Pierre"/>
    <x v="6"/>
    <x v="0"/>
    <x v="2"/>
    <s v="PRLC 0193"/>
    <x v="0"/>
    <m/>
    <x v="3"/>
    <x v="0"/>
    <s v="EN 1337 p"/>
    <x v="2"/>
    <n v="200"/>
    <n v="200"/>
    <m/>
    <m/>
    <n v="200"/>
    <m/>
    <n v="3391.22"/>
    <n v="4050.95"/>
    <n v="16.956099999999999"/>
    <n v="20.254749999999998"/>
    <n v="0.83714190498525032"/>
    <m/>
    <x v="0"/>
    <s v="x"/>
    <m/>
    <n v="0"/>
    <n v="0"/>
    <n v="0"/>
    <d v="2017-03-30T00:00:00"/>
    <d v="2017-10-16T00:00:00"/>
    <m/>
    <n v="6.666666666666667"/>
    <d v="2017-11-16T00:00:00"/>
    <d v="2017-12-05T00:00:00"/>
    <n v="0.6333333333333333"/>
    <d v="2018-01-31T00:00:00"/>
    <m/>
    <d v="2018-04-01T00:00:00"/>
    <n v="24"/>
    <d v="2021-04-01T00:00:00"/>
    <n v="338981"/>
    <s v="oui"/>
    <n v="19.666666666666668"/>
    <n v="0"/>
    <n v="-338981"/>
    <n v="338981"/>
    <x v="8"/>
    <x v="1"/>
    <n v="2.2333333333333334"/>
    <n v="18"/>
    <n v="19"/>
    <d v="2018-05-31T00:00:00"/>
    <d v="2019-06-22T00:00:00"/>
    <d v="2019-08-16T00:00:00"/>
    <d v="2020-08-16T00:00:00"/>
    <n v="1.8333333333333333"/>
    <d v="2019-08-16T00:00:00"/>
    <d v="2019-08-16T00:00:00"/>
    <d v="2019-08-16T00:00:00"/>
    <d v="2019-08-16T00:00:00"/>
    <n v="0"/>
    <n v="0"/>
    <m/>
    <d v="2020-05-31T00:00:00"/>
    <d v="2019-09-16T00:00:00"/>
    <x v="8"/>
    <x v="1"/>
    <n v="0"/>
    <m/>
    <n v="0"/>
  </r>
  <r>
    <s v="VEFA CROUS Tampon"/>
    <x v="7"/>
    <x v="1"/>
    <x v="2"/>
    <s v="PRLC 0194"/>
    <x v="0"/>
    <m/>
    <x v="3"/>
    <x v="0"/>
    <s v="BW 683 p et suivants"/>
    <x v="2"/>
    <n v="100"/>
    <n v="100"/>
    <m/>
    <m/>
    <n v="100"/>
    <m/>
    <n v="1701.83"/>
    <n v="1923.47"/>
    <n v="17.0183"/>
    <n v="19.2347"/>
    <n v="0.88477075285811579"/>
    <m/>
    <x v="0"/>
    <s v="x"/>
    <m/>
    <n v="0"/>
    <n v="0"/>
    <n v="0"/>
    <d v="2017-03-30T00:00:00"/>
    <d v="2018-01-02T00:00:00"/>
    <d v="2018-01-16T00:00:00"/>
    <n v="9.2666666666666675"/>
    <d v="2018-01-12T00:00:00"/>
    <d v="2018-02-13T00:00:00"/>
    <n v="1.0666666666666667"/>
    <d v="2018-03-31T00:00:00"/>
    <d v="2018-03-01T00:00:00"/>
    <d v="2018-06-01T00:00:00"/>
    <n v="24"/>
    <d v="2021-06-01T00:00:00"/>
    <n v="180630"/>
    <s v="oui"/>
    <n v="21.7"/>
    <n v="0"/>
    <n v="-180630"/>
    <n v="180630"/>
    <x v="9"/>
    <x v="2"/>
    <n v="2.2000000000000002"/>
    <n v="17"/>
    <n v="17"/>
    <d v="2018-09-05T00:00:00"/>
    <d v="2019-08-09T00:00:00"/>
    <d v="2019-08-16T00:00:00"/>
    <d v="2020-08-16T00:00:00"/>
    <n v="0.23333333333333334"/>
    <d v="2019-08-16T00:00:00"/>
    <d v="2019-08-16T00:00:00"/>
    <d v="2019-08-16T00:00:00"/>
    <d v="2019-08-16T00:00:00"/>
    <n v="0"/>
    <n v="0"/>
    <m/>
    <d v="2020-09-05T00:00:00"/>
    <d v="2019-09-16T00:00:00"/>
    <x v="8"/>
    <x v="1"/>
    <n v="0"/>
    <m/>
    <n v="0"/>
  </r>
  <r>
    <s v="Kakis"/>
    <x v="8"/>
    <x v="1"/>
    <x v="0"/>
    <s v="PRLC 0181"/>
    <x v="0"/>
    <m/>
    <x v="2"/>
    <x v="0"/>
    <s v="AO 433"/>
    <x v="0"/>
    <n v="35"/>
    <n v="35"/>
    <m/>
    <n v="35"/>
    <m/>
    <m/>
    <n v="2317.34"/>
    <n v="2317.34"/>
    <n v="66.209714285714284"/>
    <n v="66.209714285714284"/>
    <n v="1"/>
    <n v="368.79"/>
    <x v="1"/>
    <s v="x"/>
    <m/>
    <n v="0"/>
    <n v="0"/>
    <n v="0"/>
    <d v="2016-03-30T00:00:00"/>
    <d v="2016-10-17T00:00:00"/>
    <m/>
    <n v="6.7"/>
    <d v="2017-05-31T00:00:00"/>
    <d v="2017-07-13T00:00:00"/>
    <n v="1.4333333333333333"/>
    <d v="2017-08-31T00:00:00"/>
    <d v="2017-08-10T00:00:00"/>
    <d v="2017-11-01T00:00:00"/>
    <n v="24"/>
    <d v="2020-11-01T00:00:00"/>
    <n v="120190"/>
    <s v="non"/>
    <n v="13.466666666666667"/>
    <n v="208205.67108185217"/>
    <n v="88015.671081852168"/>
    <n v="0"/>
    <x v="10"/>
    <x v="2"/>
    <n v="16.8"/>
    <n v="14"/>
    <n v="18"/>
    <d v="2018-09-12T00:00:00"/>
    <d v="2019-05-05T00:00:00"/>
    <d v="2019-09-24T00:00:00"/>
    <d v="2020-09-24T00:00:00"/>
    <n v="4.7333333333333334"/>
    <m/>
    <m/>
    <m/>
    <m/>
    <n v="0"/>
    <n v="0"/>
    <m/>
    <d v="2020-09-12T00:00:00"/>
    <d v="2019-06-05T00:00:00"/>
    <x v="9"/>
    <x v="1"/>
    <n v="3.7"/>
    <n v="15460.817159543478"/>
    <n v="57205.023490310872"/>
  </r>
  <r>
    <s v="Les Platanes "/>
    <x v="9"/>
    <x v="0"/>
    <x v="0"/>
    <s v="PRLC 0179"/>
    <x v="0"/>
    <m/>
    <x v="3"/>
    <x v="0"/>
    <s v="AH 449 à 451"/>
    <x v="0"/>
    <n v="28"/>
    <n v="28"/>
    <m/>
    <n v="28"/>
    <m/>
    <m/>
    <n v="1885.87"/>
    <n v="1885.87"/>
    <n v="67.352499999999992"/>
    <n v="67.352499999999992"/>
    <n v="1"/>
    <n v="372.96841640000031"/>
    <x v="1"/>
    <s v="x"/>
    <m/>
    <n v="0"/>
    <n v="0"/>
    <n v="0"/>
    <d v="2016-03-30T00:00:00"/>
    <d v="2016-08-22T00:00:00"/>
    <d v="2016-10-03T00:00:00"/>
    <n v="4.833333333333333"/>
    <d v="2017-05-22T00:00:00"/>
    <d v="2017-07-13T00:00:00"/>
    <n v="1.7333333333333334"/>
    <d v="2017-08-31T00:00:00"/>
    <m/>
    <d v="2017-08-01T00:00:00"/>
    <n v="24"/>
    <d v="2020-08-01T00:00:00"/>
    <n v="93066"/>
    <s v="oui"/>
    <n v="6.4666666666666668"/>
    <n v="69573.307100666672"/>
    <n v="-23492.692899333328"/>
    <n v="23492.692899333328"/>
    <x v="11"/>
    <x v="2"/>
    <n v="21.966666666666665"/>
    <n v="16"/>
    <n v="19"/>
    <d v="2018-12-19T00:00:00"/>
    <d v="2019-10-12T00:00:00"/>
    <d v="2020-01-20T00:00:00"/>
    <d v="2021-01-20T00:00:00"/>
    <n v="3.3333333333333335"/>
    <m/>
    <m/>
    <m/>
    <m/>
    <n v="0"/>
    <n v="0"/>
    <m/>
    <d v="2020-12-19T00:00:00"/>
    <d v="2019-11-12T00:00:00"/>
    <x v="10"/>
    <x v="2"/>
    <n v="2.2999999999999998"/>
    <n v="10758.758830000001"/>
    <n v="24745.145309"/>
  </r>
  <r>
    <s v="VEFA Raisins Marines (Hopital) RPA"/>
    <x v="6"/>
    <x v="0"/>
    <x v="3"/>
    <s v="PRLC 0195"/>
    <x v="0"/>
    <m/>
    <x v="3"/>
    <x v="0"/>
    <s v="ET 909 / 1256"/>
    <x v="0"/>
    <n v="30"/>
    <n v="30"/>
    <m/>
    <n v="30"/>
    <m/>
    <m/>
    <n v="1699.31"/>
    <n v="1708.31"/>
    <n v="56.643666666666668"/>
    <n v="56.943666666666665"/>
    <n v="0.99473163535892195"/>
    <n v="333.5"/>
    <x v="0"/>
    <s v="x"/>
    <n v="3564776"/>
    <n v="2097.7785101011586"/>
    <n v="2086.7266479737286"/>
    <n v="118825.86666666667"/>
    <d v="2017-03-30T00:00:00"/>
    <d v="2017-06-23T00:00:00"/>
    <m/>
    <n v="2.8333333333333335"/>
    <d v="2017-08-20T00:00:00"/>
    <d v="2017-10-09T00:00:00"/>
    <n v="1.6666666666666667"/>
    <d v="2017-11-30T00:00:00"/>
    <s v="OK"/>
    <d v="2017-11-06T00:00:00"/>
    <n v="24"/>
    <d v="2020-11-06T00:00:00"/>
    <n v="90322"/>
    <s v="oui"/>
    <n v="5.4"/>
    <n v="55663.200000000004"/>
    <n v="-34658.799999999996"/>
    <n v="34658.799999999996"/>
    <x v="12"/>
    <x v="2"/>
    <n v="6.4"/>
    <n v="15"/>
    <n v="28"/>
    <d v="2018-02-14T00:00:00"/>
    <d v="2019-04-01T00:00:00"/>
    <d v="2020-05-14T00:00:00"/>
    <d v="2021-05-14T00:00:00"/>
    <n v="13.633333333333333"/>
    <d v="2019-10-31T00:00:00"/>
    <d v="2019-10-31T00:00:00"/>
    <d v="2019-10-31T00:00:00"/>
    <d v="2019-10-31T00:00:00"/>
    <n v="0"/>
    <n v="0"/>
    <m/>
    <d v="2020-02-14T00:00:00"/>
    <d v="2019-11-30T00:00:00"/>
    <x v="11"/>
    <x v="2"/>
    <n v="6"/>
    <n v="10308"/>
    <n v="61848"/>
  </r>
  <r>
    <s v="Hilaire Fontaine (CD 61 Rue Bertaut LLS)"/>
    <x v="7"/>
    <x v="1"/>
    <x v="1"/>
    <s v="PRLC 0173"/>
    <x v="0"/>
    <m/>
    <x v="5"/>
    <x v="0"/>
    <m/>
    <x v="1"/>
    <n v="20"/>
    <n v="20"/>
    <n v="20"/>
    <m/>
    <m/>
    <m/>
    <n v="1765.6399999999996"/>
    <n v="1940.6399999999996"/>
    <n v="88.281999999999982"/>
    <n v="97.031999999999982"/>
    <n v="0.90982356336054082"/>
    <n v="606.02026719999992"/>
    <x v="1"/>
    <s v="x"/>
    <m/>
    <n v="0"/>
    <n v="0"/>
    <n v="0"/>
    <d v="2015-03-30T00:00:00"/>
    <d v="2015-12-16T00:00:00"/>
    <d v="2016-01-11T00:00:00"/>
    <n v="8.6999999999999993"/>
    <d v="2017-06-13T00:00:00"/>
    <d v="2017-07-13T00:00:00"/>
    <n v="1"/>
    <d v="2017-08-31T00:00:00"/>
    <m/>
    <d v="2017-11-01T00:00:00"/>
    <n v="24"/>
    <d v="2020-11-01T00:00:00"/>
    <n v="90205.94"/>
    <s v="oui"/>
    <n v="-1"/>
    <n v="-12346"/>
    <n v="-102551.94"/>
    <n v="102551.94"/>
    <x v="13"/>
    <x v="2"/>
    <n v="25.833333333333332"/>
    <n v="21"/>
    <n v="33"/>
    <d v="2018-12-12T00:00:00"/>
    <d v="2019-10-29T00:00:00"/>
    <d v="2020-11-15T00:00:00"/>
    <d v="2021-11-15T00:00:00"/>
    <n v="12.766666666666667"/>
    <m/>
    <m/>
    <m/>
    <m/>
    <n v="0"/>
    <n v="0"/>
    <m/>
    <d v="2020-12-12T00:00:00"/>
    <d v="2019-11-29T00:00:00"/>
    <x v="12"/>
    <x v="2"/>
    <n v="12.266666666666667"/>
    <n v="12346"/>
    <n v="151444.26666666666"/>
  </r>
  <r>
    <s v="Hilaire Fontaine (CD 61 Rue Bertaut LLTS)"/>
    <x v="7"/>
    <x v="1"/>
    <x v="0"/>
    <s v="PRLC 0173"/>
    <x v="0"/>
    <m/>
    <x v="4"/>
    <x v="2"/>
    <m/>
    <x v="0"/>
    <n v="69"/>
    <n v="69"/>
    <m/>
    <n v="69"/>
    <m/>
    <m/>
    <n v="4096.6099999999997"/>
    <n v="4990.08"/>
    <n v="59.37115942028985"/>
    <n v="72.319999999999993"/>
    <n v="0.82095076632037955"/>
    <n v="428.50409507760696"/>
    <x v="1"/>
    <s v="x"/>
    <m/>
    <n v="0"/>
    <n v="0"/>
    <n v="0"/>
    <d v="2016-03-30T00:00:00"/>
    <d v="2016-04-02T00:00:00"/>
    <d v="2016-05-20T00:00:00"/>
    <n v="0.1"/>
    <d v="2017-06-13T00:00:00"/>
    <d v="2017-07-13T00:00:00"/>
    <n v="1"/>
    <d v="2017-08-31T00:00:00"/>
    <m/>
    <d v="2017-08-01T00:00:00"/>
    <n v="24"/>
    <d v="2020-08-01T00:00:00"/>
    <n v="235126.41"/>
    <s v="oui"/>
    <n v="-4.0666666666666664"/>
    <n v="-103263.34921612065"/>
    <n v="-338389.75921612064"/>
    <n v="338389.75921612064"/>
    <x v="13"/>
    <x v="2"/>
    <n v="22.233333333333334"/>
    <n v="21"/>
    <n v="33"/>
    <d v="2018-12-12T00:00:00"/>
    <d v="2019-10-29T00:00:00"/>
    <d v="2020-11-15T00:00:00"/>
    <d v="2021-11-15T00:00:00"/>
    <n v="12.766666666666667"/>
    <m/>
    <m/>
    <m/>
    <m/>
    <n v="0"/>
    <n v="0"/>
    <m/>
    <d v="2020-12-12T00:00:00"/>
    <d v="2019-11-29T00:00:00"/>
    <x v="12"/>
    <x v="2"/>
    <n v="12.266666666666667"/>
    <n v="25392.626856423114"/>
    <n v="311482.88943879021"/>
  </r>
  <r>
    <s v="Caramboles"/>
    <x v="8"/>
    <x v="1"/>
    <x v="3"/>
    <m/>
    <x v="1"/>
    <m/>
    <x v="3"/>
    <x v="0"/>
    <s v="AP 1375"/>
    <x v="3"/>
    <n v="6"/>
    <n v="0"/>
    <m/>
    <m/>
    <m/>
    <n v="6"/>
    <m/>
    <m/>
    <n v="0"/>
    <n v="0"/>
    <n v="0"/>
    <m/>
    <x v="2"/>
    <m/>
    <m/>
    <n v="0"/>
    <s v="-"/>
    <n v="0"/>
    <d v="2017-03-30T00:00:00"/>
    <d v="2017-09-27T00:00:00"/>
    <m/>
    <n v="6.0333333333333332"/>
    <d v="2017-12-12T00:00:00"/>
    <d v="2018-05-14T00:00:00"/>
    <n v="5.0999999999999996"/>
    <d v="2018-06-30T00:00:00"/>
    <m/>
    <d v="2018-09-01T00:00:00"/>
    <n v="24"/>
    <d v="2021-09-01T00:00:00"/>
    <m/>
    <s v=""/>
    <n v="0"/>
    <s v=""/>
    <s v=""/>
    <n v="0"/>
    <x v="14"/>
    <x v="2"/>
    <n v="14.9"/>
    <n v="7"/>
    <n v="23"/>
    <m/>
    <d v="2019-07-18T00:00:00"/>
    <d v="2020-12-02T00:00:00"/>
    <d v="2021-12-02T00:00:00"/>
    <n v="16.766666666666666"/>
    <m/>
    <m/>
    <m/>
    <m/>
    <n v="0"/>
    <n v="0"/>
    <m/>
    <s v=""/>
    <d v="2019-08-18T00:00:00"/>
    <x v="13"/>
    <x v="2"/>
    <n v="15.733333333333333"/>
    <m/>
    <s v=""/>
  </r>
  <r>
    <s v="Poinsétias"/>
    <x v="8"/>
    <x v="1"/>
    <x v="4"/>
    <m/>
    <x v="1"/>
    <m/>
    <x v="6"/>
    <x v="0"/>
    <s v="AS 1450"/>
    <x v="3"/>
    <n v="34"/>
    <n v="0"/>
    <m/>
    <m/>
    <m/>
    <n v="34"/>
    <m/>
    <m/>
    <n v="0"/>
    <n v="0"/>
    <n v="0"/>
    <m/>
    <x v="2"/>
    <m/>
    <m/>
    <n v="0"/>
    <s v="-"/>
    <n v="0"/>
    <d v="2018-03-30T00:00:00"/>
    <d v="2018-08-23T00:00:00"/>
    <d v="2019-02-06T00:00:00"/>
    <n v="4.8666666666666663"/>
    <d v="2018-10-23T00:00:00"/>
    <d v="2019-01-22T00:00:00"/>
    <n v="3.0333333333333332"/>
    <d v="2019-02-28T00:00:00"/>
    <d v="2019-02-05T00:00:00"/>
    <d v="2019-03-01T00:00:00"/>
    <n v="24"/>
    <d v="2022-03-01T00:00:00"/>
    <n v="27026"/>
    <s v=""/>
    <n v="0"/>
    <s v=""/>
    <s v=""/>
    <n v="0"/>
    <x v="15"/>
    <x v="3"/>
    <n v="10.5"/>
    <n v="10"/>
    <n v="17"/>
    <m/>
    <d v="2020-05-04T00:00:00"/>
    <d v="2020-12-07T00:00:00"/>
    <d v="2021-12-07T00:00:00"/>
    <n v="7.2333333333333334"/>
    <m/>
    <m/>
    <m/>
    <m/>
    <n v="0"/>
    <n v="0"/>
    <m/>
    <s v=""/>
    <d v="2020-06-04T00:00:00"/>
    <x v="14"/>
    <x v="2"/>
    <n v="6.2"/>
    <m/>
    <s v=""/>
  </r>
  <r>
    <s v="Hubert Delisle"/>
    <x v="7"/>
    <x v="1"/>
    <x v="3"/>
    <m/>
    <x v="1"/>
    <m/>
    <x v="6"/>
    <x v="0"/>
    <s v="BR 1091"/>
    <x v="3"/>
    <n v="74"/>
    <n v="0"/>
    <m/>
    <m/>
    <m/>
    <n v="74"/>
    <m/>
    <m/>
    <n v="0"/>
    <n v="0"/>
    <n v="0"/>
    <m/>
    <x v="2"/>
    <m/>
    <m/>
    <n v="0"/>
    <s v="-"/>
    <n v="0"/>
    <d v="2017-03-30T00:00:00"/>
    <d v="2017-10-31T00:00:00"/>
    <m/>
    <n v="7.166666666666667"/>
    <d v="2017-12-12T00:00:00"/>
    <d v="2018-05-15T00:00:00"/>
    <n v="5.1333333333333337"/>
    <d v="2018-06-30T00:00:00"/>
    <m/>
    <d v="2018-09-01T00:00:00"/>
    <n v="24"/>
    <d v="2021-09-01T00:00:00"/>
    <m/>
    <s v=""/>
    <n v="0"/>
    <s v=""/>
    <s v=""/>
    <n v="0"/>
    <x v="16"/>
    <x v="2"/>
    <n v="10.533333333333333"/>
    <n v="12"/>
    <n v="26"/>
    <m/>
    <d v="2019-09-12T00:00:00"/>
    <d v="2020-12-08T00:00:00"/>
    <d v="2021-12-08T00:00:00"/>
    <n v="15.1"/>
    <m/>
    <m/>
    <m/>
    <m/>
    <n v="0"/>
    <n v="0"/>
    <m/>
    <s v=""/>
    <d v="2019-10-12T00:00:00"/>
    <x v="15"/>
    <x v="2"/>
    <n v="14.1"/>
    <m/>
    <s v=""/>
  </r>
  <r>
    <s v="Bougainvillées"/>
    <x v="1"/>
    <x v="1"/>
    <x v="3"/>
    <m/>
    <x v="1"/>
    <m/>
    <x v="0"/>
    <x v="0"/>
    <s v="BT 607"/>
    <x v="3"/>
    <n v="26"/>
    <n v="0"/>
    <m/>
    <m/>
    <m/>
    <n v="26"/>
    <m/>
    <m/>
    <n v="0"/>
    <n v="0"/>
    <n v="0"/>
    <m/>
    <x v="2"/>
    <m/>
    <m/>
    <n v="0"/>
    <s v="-"/>
    <n v="0"/>
    <d v="2017-03-30T00:00:00"/>
    <d v="2017-09-27T00:00:00"/>
    <m/>
    <n v="6.0333333333333332"/>
    <d v="2017-12-12T00:00:00"/>
    <d v="2018-05-15T00:00:00"/>
    <n v="5.1333333333333337"/>
    <d v="2018-06-30T00:00:00"/>
    <m/>
    <d v="2018-09-01T00:00:00"/>
    <n v="24"/>
    <d v="2021-09-01T00:00:00"/>
    <m/>
    <s v=""/>
    <n v="0"/>
    <s v=""/>
    <s v=""/>
    <n v="0"/>
    <x v="17"/>
    <x v="2"/>
    <n v="11.933333333333334"/>
    <n v="12"/>
    <n v="26"/>
    <m/>
    <d v="2019-09-20T00:00:00"/>
    <d v="2020-12-09T00:00:00"/>
    <d v="2021-12-09T00:00:00"/>
    <n v="14.866666666666667"/>
    <m/>
    <m/>
    <m/>
    <m/>
    <n v="0"/>
    <n v="0"/>
    <m/>
    <s v=""/>
    <d v="2019-10-20T00:00:00"/>
    <x v="16"/>
    <x v="2"/>
    <n v="13.866666666666667"/>
    <m/>
    <s v=""/>
  </r>
  <r>
    <s v="Jean Marc HOARAU (Californie)"/>
    <x v="7"/>
    <x v="1"/>
    <x v="3"/>
    <s v="PRLC 0186"/>
    <x v="0"/>
    <m/>
    <x v="7"/>
    <x v="0"/>
    <s v="EK 286"/>
    <x v="0"/>
    <n v="24"/>
    <n v="24"/>
    <m/>
    <n v="24"/>
    <m/>
    <m/>
    <n v="1539.6699999999996"/>
    <n v="1796.56"/>
    <n v="64.152916666666655"/>
    <n v="74.856666666666669"/>
    <n v="0.85701006367724963"/>
    <n v="404.62"/>
    <x v="1"/>
    <s v="x"/>
    <m/>
    <n v="0"/>
    <n v="0"/>
    <n v="0"/>
    <d v="2017-03-30T00:00:00"/>
    <d v="2017-06-30T00:00:00"/>
    <d v="2017-10-02T00:00:00"/>
    <n v="3.0666666666666669"/>
    <d v="2018-06-28T00:00:00"/>
    <d v="2018-09-13T00:00:00"/>
    <n v="2.5666666666666669"/>
    <d v="2018-10-31T00:00:00"/>
    <d v="2018-10-12T00:00:00"/>
    <d v="2019-01-01T00:00:00"/>
    <n v="24"/>
    <d v="2022-01-01T00:00:00"/>
    <n v="60415"/>
    <s v="non"/>
    <n v="12.933333333333334"/>
    <n v="125556.8"/>
    <n v="65141.8"/>
    <n v="0"/>
    <x v="18"/>
    <x v="3"/>
    <n v="22.3"/>
    <n v="16"/>
    <n v="18"/>
    <d v="2019-10-01T00:00:00"/>
    <d v="2020-08-30T00:00:00"/>
    <d v="2020-11-12T00:00:00"/>
    <d v="2021-11-12T00:00:00"/>
    <n v="2.4666666666666668"/>
    <m/>
    <m/>
    <m/>
    <m/>
    <n v="0"/>
    <n v="0"/>
    <m/>
    <d v="2021-10-01T00:00:00"/>
    <d v="2020-09-30T00:00:00"/>
    <x v="16"/>
    <x v="2"/>
    <n v="2.3333333333333335"/>
    <n v="9708"/>
    <n v="22652"/>
  </r>
  <r>
    <s v="Bras des Etangs"/>
    <x v="10"/>
    <x v="0"/>
    <x v="3"/>
    <m/>
    <x v="1"/>
    <m/>
    <x v="6"/>
    <x v="0"/>
    <s v="AI 1718"/>
    <x v="3"/>
    <n v="31"/>
    <n v="0"/>
    <m/>
    <m/>
    <m/>
    <n v="31"/>
    <m/>
    <m/>
    <n v="0"/>
    <n v="0"/>
    <n v="0"/>
    <m/>
    <x v="2"/>
    <m/>
    <m/>
    <n v="0"/>
    <s v="-"/>
    <n v="0"/>
    <d v="2017-03-30T00:00:00"/>
    <d v="2017-10-31T00:00:00"/>
    <m/>
    <n v="7.166666666666667"/>
    <d v="2017-12-12T00:00:00"/>
    <d v="2018-05-14T00:00:00"/>
    <n v="5.0999999999999996"/>
    <d v="2018-06-30T00:00:00"/>
    <m/>
    <d v="2018-09-01T00:00:00"/>
    <n v="24"/>
    <d v="2021-09-01T00:00:00"/>
    <m/>
    <s v=""/>
    <n v="0"/>
    <s v=""/>
    <s v=""/>
    <n v="0"/>
    <x v="19"/>
    <x v="2"/>
    <n v="13.4"/>
    <n v="12"/>
    <n v="24"/>
    <m/>
    <d v="2019-12-07T00:00:00"/>
    <d v="2020-12-10T00:00:00"/>
    <d v="2021-12-10T00:00:00"/>
    <n v="12.3"/>
    <m/>
    <m/>
    <m/>
    <m/>
    <n v="0"/>
    <n v="0"/>
    <m/>
    <s v=""/>
    <d v="2020-01-07T00:00:00"/>
    <x v="17"/>
    <x v="2"/>
    <n v="11.266666666666667"/>
    <m/>
    <s v=""/>
  </r>
  <r>
    <s v="100 Marches"/>
    <x v="1"/>
    <x v="1"/>
    <x v="3"/>
    <m/>
    <x v="1"/>
    <m/>
    <x v="7"/>
    <x v="0"/>
    <s v="BR 617"/>
    <x v="3"/>
    <n v="10"/>
    <n v="0"/>
    <m/>
    <m/>
    <m/>
    <n v="10"/>
    <m/>
    <m/>
    <n v="0"/>
    <n v="0"/>
    <n v="0"/>
    <m/>
    <x v="2"/>
    <m/>
    <m/>
    <n v="0"/>
    <s v="-"/>
    <n v="0"/>
    <d v="2017-03-30T00:00:00"/>
    <d v="2017-09-27T00:00:00"/>
    <m/>
    <n v="6.0333333333333332"/>
    <d v="2017-12-12T00:00:00"/>
    <d v="2018-05-15T00:00:00"/>
    <n v="5.1333333333333337"/>
    <d v="2018-06-30T00:00:00"/>
    <m/>
    <d v="2018-09-01T00:00:00"/>
    <n v="24"/>
    <d v="2021-09-01T00:00:00"/>
    <m/>
    <s v=""/>
    <n v="0"/>
    <s v=""/>
    <s v=""/>
    <n v="0"/>
    <x v="20"/>
    <x v="2"/>
    <n v="11.9"/>
    <n v="12"/>
    <n v="8"/>
    <m/>
    <d v="2019-09-19T00:00:00"/>
    <d v="2019-06-05T00:00:00"/>
    <d v="2020-06-05T00:00:00"/>
    <n v="-3.5333333333333332"/>
    <m/>
    <m/>
    <m/>
    <m/>
    <n v="0"/>
    <n v="0"/>
    <m/>
    <s v=""/>
    <d v="2019-10-19T00:00:00"/>
    <x v="18"/>
    <x v="1"/>
    <n v="14.1"/>
    <m/>
    <s v=""/>
  </r>
  <r>
    <s v="Citronnelles"/>
    <x v="7"/>
    <x v="1"/>
    <x v="3"/>
    <m/>
    <x v="1"/>
    <m/>
    <x v="6"/>
    <x v="0"/>
    <s v="BK 1082"/>
    <x v="3"/>
    <n v="45"/>
    <n v="0"/>
    <m/>
    <m/>
    <m/>
    <n v="45"/>
    <m/>
    <m/>
    <n v="0"/>
    <n v="0"/>
    <n v="0"/>
    <m/>
    <x v="2"/>
    <m/>
    <m/>
    <n v="0"/>
    <s v="-"/>
    <n v="0"/>
    <d v="2017-03-30T00:00:00"/>
    <d v="2017-10-24T00:00:00"/>
    <m/>
    <n v="6.9333333333333336"/>
    <d v="2017-12-12T00:00:00"/>
    <d v="2018-05-15T00:00:00"/>
    <n v="5.1333333333333337"/>
    <d v="2018-06-30T00:00:00"/>
    <m/>
    <d v="2018-09-01T00:00:00"/>
    <n v="24"/>
    <d v="2021-09-01T00:00:00"/>
    <m/>
    <s v=""/>
    <n v="0"/>
    <s v=""/>
    <s v=""/>
    <n v="0"/>
    <x v="20"/>
    <x v="2"/>
    <n v="11"/>
    <n v="12"/>
    <n v="26"/>
    <m/>
    <d v="2019-09-19T00:00:00"/>
    <d v="2020-12-15T00:00:00"/>
    <d v="2021-12-15T00:00:00"/>
    <n v="15.1"/>
    <m/>
    <m/>
    <m/>
    <m/>
    <n v="0"/>
    <n v="0"/>
    <m/>
    <s v=""/>
    <d v="2019-10-19T00:00:00"/>
    <x v="18"/>
    <x v="2"/>
    <n v="14.1"/>
    <m/>
    <s v=""/>
  </r>
  <r>
    <s v="Canal Lilis"/>
    <x v="1"/>
    <x v="1"/>
    <x v="4"/>
    <m/>
    <x v="1"/>
    <m/>
    <x v="0"/>
    <x v="0"/>
    <s v="BN 1004"/>
    <x v="3"/>
    <n v="23"/>
    <n v="0"/>
    <m/>
    <m/>
    <m/>
    <n v="23"/>
    <m/>
    <m/>
    <n v="0"/>
    <n v="0"/>
    <n v="0"/>
    <m/>
    <x v="2"/>
    <m/>
    <m/>
    <n v="0"/>
    <s v="-"/>
    <n v="0"/>
    <d v="2018-03-30T00:00:00"/>
    <d v="2018-08-23T00:00:00"/>
    <d v="2019-02-06T00:00:00"/>
    <n v="4.8666666666666663"/>
    <d v="2018-10-23T00:00:00"/>
    <d v="2019-01-22T00:00:00"/>
    <n v="3.0333333333333332"/>
    <d v="2019-02-28T00:00:00"/>
    <d v="2019-02-05T00:00:00"/>
    <d v="2019-05-01T00:00:00"/>
    <n v="24"/>
    <d v="2022-05-01T00:00:00"/>
    <n v="38208.400000000001"/>
    <s v=""/>
    <n v="0"/>
    <s v=""/>
    <s v=""/>
    <n v="0"/>
    <x v="21"/>
    <x v="3"/>
    <n v="11"/>
    <n v="8"/>
    <n v="16"/>
    <m/>
    <d v="2020-03-19T00:00:00"/>
    <d v="2020-12-16T00:00:00"/>
    <d v="2021-12-16T00:00:00"/>
    <n v="9.0666666666666664"/>
    <m/>
    <m/>
    <m/>
    <m/>
    <n v="0"/>
    <n v="0"/>
    <m/>
    <s v=""/>
    <d v="2020-04-19T00:00:00"/>
    <x v="19"/>
    <x v="2"/>
    <n v="8.0333333333333332"/>
    <m/>
    <s v=""/>
  </r>
  <r>
    <s v="RPA DU PARC"/>
    <x v="1"/>
    <x v="1"/>
    <x v="0"/>
    <s v="PRLC 0176"/>
    <x v="0"/>
    <m/>
    <x v="5"/>
    <x v="1"/>
    <s v="BO 206-352"/>
    <x v="0"/>
    <n v="40"/>
    <n v="40"/>
    <m/>
    <n v="40"/>
    <m/>
    <m/>
    <n v="2318.6500000000005"/>
    <n v="2342.34"/>
    <n v="57.966250000000016"/>
    <n v="58.558500000000002"/>
    <n v="0.9898861821938747"/>
    <n v="339.25"/>
    <x v="1"/>
    <s v="x"/>
    <m/>
    <n v="0"/>
    <n v="0"/>
    <n v="0"/>
    <d v="2016-03-30T00:00:00"/>
    <d v="2016-09-16T00:00:00"/>
    <d v="2016-10-14T00:00:00"/>
    <n v="5.666666666666667"/>
    <d v="2018-05-21T00:00:00"/>
    <d v="2018-09-25T00:00:00"/>
    <n v="4.2333333333333334"/>
    <d v="2018-10-31T00:00:00"/>
    <m/>
    <d v="2019-01-01T00:00:00"/>
    <n v="24"/>
    <d v="2022-01-01T00:00:00"/>
    <n v="76363"/>
    <s v="non"/>
    <n v="7.6"/>
    <n v="103253.59999999999"/>
    <n v="26890.599999999991"/>
    <n v="0"/>
    <x v="22"/>
    <x v="3"/>
    <n v="36.966666666666669"/>
    <n v="16"/>
    <n v="19"/>
    <d v="2020-03-12T00:00:00"/>
    <d v="2021-01-30T00:00:00"/>
    <d v="2021-05-17T00:00:00"/>
    <d v="2022-05-17T00:00:00"/>
    <n v="3.5666666666666669"/>
    <m/>
    <m/>
    <m/>
    <m/>
    <n v="0"/>
    <n v="0"/>
    <m/>
    <d v="2022-03-12T00:00:00"/>
    <d v="2021-02-28T00:00:00"/>
    <x v="20"/>
    <x v="3"/>
    <n v="2.6333333333333333"/>
    <n v="13586"/>
    <n v="35776.466666666667"/>
  </r>
  <r>
    <s v="Charles Emmanuel GRONDIN (Fourragères)"/>
    <x v="0"/>
    <x v="0"/>
    <x v="3"/>
    <s v="PRLC 0184"/>
    <x v="0"/>
    <s v="JPI"/>
    <x v="1"/>
    <x v="0"/>
    <s v="AD 133 / 132"/>
    <x v="0"/>
    <n v="21"/>
    <n v="21"/>
    <m/>
    <n v="21"/>
    <m/>
    <m/>
    <n v="1596.04"/>
    <n v="1596.04"/>
    <n v="76.001904761904754"/>
    <n v="76.001904761904754"/>
    <n v="1"/>
    <n v="406.06"/>
    <x v="1"/>
    <s v="x"/>
    <m/>
    <n v="0"/>
    <n v="0"/>
    <n v="0"/>
    <d v="2017-03-30T00:00:00"/>
    <d v="2017-10-09T00:00:00"/>
    <d v="2017-11-06T00:00:00"/>
    <n v="6.4333333333333336"/>
    <d v="2018-03-09T00:00:00"/>
    <d v="2018-05-29T00:00:00"/>
    <n v="2.7"/>
    <d v="2018-06-30T00:00:00"/>
    <m/>
    <d v="2018-09-01T00:00:00"/>
    <n v="24"/>
    <d v="2021-09-01T00:00:00"/>
    <n v="86976"/>
    <s v="oui"/>
    <n v="3.4666666666666668"/>
    <n v="30946.933333333334"/>
    <n v="-56029.066666666666"/>
    <n v="56029.066666666666"/>
    <x v="23"/>
    <x v="3"/>
    <n v="17.966666666666665"/>
    <n v="17"/>
    <n v="23"/>
    <d v="2019-08-06T00:00:00"/>
    <d v="2020-09-01T00:00:00"/>
    <d v="2021-03-22T00:00:00"/>
    <d v="2022-03-22T00:00:00"/>
    <n v="6.7333333333333334"/>
    <m/>
    <m/>
    <m/>
    <m/>
    <n v="0"/>
    <n v="0"/>
    <m/>
    <d v="2021-08-06T00:00:00"/>
    <d v="2020-10-01T00:00:00"/>
    <x v="21"/>
    <x v="3"/>
    <n v="7.7"/>
    <n v="8927"/>
    <n v="68737.900000000009"/>
  </r>
  <r>
    <s v="Opale "/>
    <x v="2"/>
    <x v="0"/>
    <x v="4"/>
    <s v="PRLC 0197"/>
    <x v="0"/>
    <m/>
    <x v="2"/>
    <x v="0"/>
    <m/>
    <x v="1"/>
    <n v="17"/>
    <n v="17"/>
    <n v="17"/>
    <m/>
    <m/>
    <m/>
    <n v="1353.27"/>
    <n v="1559.645"/>
    <n v="79.604117647058828"/>
    <n v="91.74382352941177"/>
    <n v="0.8676782216465927"/>
    <n v="586.03"/>
    <x v="1"/>
    <s v="x"/>
    <m/>
    <n v="0"/>
    <n v="0"/>
    <n v="0"/>
    <d v="2018-03-30T00:00:00"/>
    <d v="2018-08-22T00:00:00"/>
    <m/>
    <n v="4.833333333333333"/>
    <d v="2018-09-04T00:00:00"/>
    <d v="2019-01-22T00:00:00"/>
    <n v="4.666666666666667"/>
    <d v="2019-02-28T00:00:00"/>
    <m/>
    <d v="2019-05-01T00:00:00"/>
    <n v="24"/>
    <d v="2022-05-01T00:00:00"/>
    <n v="90998.060000000012"/>
    <s v="non"/>
    <n v="9.7333333333333325"/>
    <n v="97002.4"/>
    <n v="6004.339999999982"/>
    <n v="0"/>
    <x v="22"/>
    <x v="3"/>
    <n v="13.466666666666667"/>
    <n v="14"/>
    <n v="21"/>
    <d v="2020-11-30T00:00:00"/>
    <d v="2020-11-30T00:00:00"/>
    <d v="2021-06-30T00:00:00"/>
    <d v="2022-06-30T00:00:00"/>
    <n v="7.0666666666666664"/>
    <m/>
    <m/>
    <m/>
    <m/>
    <n v="0"/>
    <n v="0"/>
    <d v="2021-11-04T00:00:00"/>
    <d v="2022-11-30T00:00:00"/>
    <d v="2020-12-30T00:00:00"/>
    <x v="22"/>
    <x v="3"/>
    <n v="6.5"/>
    <n v="9966"/>
    <n v="64779"/>
  </r>
  <r>
    <s v="La Cure"/>
    <x v="1"/>
    <x v="1"/>
    <x v="4"/>
    <m/>
    <x v="1"/>
    <m/>
    <x v="0"/>
    <x v="0"/>
    <s v="BN 781"/>
    <x v="3"/>
    <n v="30"/>
    <n v="0"/>
    <m/>
    <m/>
    <m/>
    <n v="30"/>
    <m/>
    <m/>
    <n v="0"/>
    <n v="0"/>
    <n v="0"/>
    <m/>
    <x v="2"/>
    <m/>
    <m/>
    <n v="0"/>
    <s v="-"/>
    <n v="0"/>
    <d v="2018-03-30T00:00:00"/>
    <d v="2018-08-23T00:00:00"/>
    <d v="2019-02-06T00:00:00"/>
    <n v="4.8666666666666663"/>
    <d v="2018-10-23T00:00:00"/>
    <d v="2019-01-22T00:00:00"/>
    <n v="3.0333333333333332"/>
    <d v="2019-02-28T00:00:00"/>
    <d v="2019-02-05T00:00:00"/>
    <d v="2019-05-01T00:00:00"/>
    <n v="24"/>
    <d v="2022-05-01T00:00:00"/>
    <n v="31121.89"/>
    <s v=""/>
    <n v="0"/>
    <s v=""/>
    <s v=""/>
    <n v="0"/>
    <x v="24"/>
    <x v="4"/>
    <n v="17.933333333333334"/>
    <n v="10"/>
    <n v="16"/>
    <m/>
    <d v="2020-12-12T00:00:00"/>
    <d v="2021-07-07T00:00:00"/>
    <d v="2022-07-07T00:00:00"/>
    <n v="6.9"/>
    <m/>
    <m/>
    <m/>
    <m/>
    <n v="0"/>
    <n v="0"/>
    <m/>
    <s v=""/>
    <d v="2021-01-12T00:00:00"/>
    <x v="23"/>
    <x v="3"/>
    <n v="6.9"/>
    <m/>
    <s v=""/>
  </r>
  <r>
    <s v="Bellevue A-B-C"/>
    <x v="7"/>
    <x v="1"/>
    <x v="4"/>
    <m/>
    <x v="1"/>
    <m/>
    <x v="6"/>
    <x v="0"/>
    <s v="BW 2862"/>
    <x v="3"/>
    <n v="128"/>
    <n v="0"/>
    <m/>
    <m/>
    <m/>
    <n v="128"/>
    <m/>
    <m/>
    <n v="0"/>
    <n v="0"/>
    <n v="0"/>
    <m/>
    <x v="2"/>
    <m/>
    <m/>
    <n v="0"/>
    <s v="-"/>
    <n v="0"/>
    <d v="2018-03-30T00:00:00"/>
    <d v="2018-11-30T00:00:00"/>
    <d v="2019-02-06T00:00:00"/>
    <n v="8.1666666666666661"/>
    <d v="2018-07-30T00:00:00"/>
    <d v="2019-05-23T00:00:00"/>
    <n v="9.9"/>
    <d v="2019-06-30T00:00:00"/>
    <d v="2019-05-23T00:00:00"/>
    <d v="2019-05-23T00:00:00"/>
    <n v="24"/>
    <d v="2022-05-23T00:00:00"/>
    <m/>
    <s v=""/>
    <n v="0"/>
    <s v=""/>
    <s v=""/>
    <n v="0"/>
    <x v="25"/>
    <x v="3"/>
    <n v="7.8"/>
    <n v="12"/>
    <n v="24"/>
    <m/>
    <d v="2020-07-22T00:00:00"/>
    <d v="2021-08-19T00:00:00"/>
    <d v="2022-08-19T00:00:00"/>
    <n v="13.1"/>
    <m/>
    <m/>
    <m/>
    <m/>
    <n v="0"/>
    <n v="0"/>
    <m/>
    <s v=""/>
    <d v="2020-08-22T00:00:00"/>
    <x v="24"/>
    <x v="3"/>
    <n v="12.066666666666666"/>
    <m/>
    <s v=""/>
  </r>
  <r>
    <s v="VEFA Roland Garros LLS"/>
    <x v="7"/>
    <x v="1"/>
    <x v="5"/>
    <s v="PRLC 0207"/>
    <x v="0"/>
    <m/>
    <x v="4"/>
    <x v="2"/>
    <s v="BZ 90"/>
    <x v="1"/>
    <n v="34"/>
    <n v="34"/>
    <n v="34"/>
    <m/>
    <m/>
    <m/>
    <n v="2190.89"/>
    <n v="2667.21"/>
    <n v="64.437941176470588"/>
    <n v="78.447352941176476"/>
    <n v="0.82141638641126868"/>
    <m/>
    <x v="0"/>
    <s v="x"/>
    <n v="5587360.3181897784"/>
    <n v="2550.269670403251"/>
    <n v="2094.8332970368956"/>
    <n v="164334.12700558171"/>
    <d v="2019-03-30T00:00:00"/>
    <d v="2019-07-19T00:00:00"/>
    <m/>
    <n v="3.7"/>
    <d v="2019-08-19T00:00:00"/>
    <d v="2019-10-23T00:00:00"/>
    <n v="2.1666666666666665"/>
    <d v="2019-11-30T00:00:00"/>
    <d v="2019-10-23T00:00:00"/>
    <d v="2019-11-01T00:00:00"/>
    <n v="24"/>
    <d v="2022-11-01T00:00:00"/>
    <n v="168338.03"/>
    <s v="oui"/>
    <n v="3.2666666666666666"/>
    <n v="52571.283333333333"/>
    <n v="-115766.74666666667"/>
    <n v="115766.74666666667"/>
    <x v="26"/>
    <x v="4"/>
    <n v="6.166666666666667"/>
    <n v="21"/>
    <n v="29"/>
    <d v="2020-10-27T00:00:00"/>
    <d v="2021-10-20T00:00:00"/>
    <d v="2022-07-18T00:00:00"/>
    <d v="2023-07-18T00:00:00"/>
    <n v="9.0333333333333332"/>
    <d v="2022-02-24T00:00:00"/>
    <d v="2021-11-30T00:00:00"/>
    <d v="2022-03-24T00:00:00"/>
    <d v="2022-07-18T00:00:00"/>
    <n v="3.8666666666666667"/>
    <n v="116"/>
    <d v="2022-09-07T00:00:00"/>
    <d v="2022-10-27T00:00:00"/>
    <d v="2021-12-30T00:00:00"/>
    <x v="25"/>
    <x v="4"/>
    <n v="6.9333333333333336"/>
    <n v="16093.25"/>
    <n v="111579.86666666667"/>
  </r>
  <r>
    <s v="VEFA Roland Garros PLS"/>
    <x v="7"/>
    <x v="1"/>
    <x v="5"/>
    <s v="PRLC 0207"/>
    <x v="0"/>
    <m/>
    <x v="3"/>
    <x v="3"/>
    <s v="BZ 90"/>
    <x v="2"/>
    <n v="24"/>
    <n v="24"/>
    <m/>
    <m/>
    <n v="24"/>
    <m/>
    <n v="1921.19"/>
    <n v="2245.5"/>
    <n v="80.049583333333331"/>
    <n v="93.5625"/>
    <n v="0.85557336896014258"/>
    <m/>
    <x v="0"/>
    <s v="x"/>
    <n v="4673399.6836694162"/>
    <n v="2432.554658138662"/>
    <n v="2081.2289840433828"/>
    <n v="194724.98681955901"/>
    <d v="2019-03-30T00:00:00"/>
    <d v="2019-07-04T00:00:00"/>
    <d v="2019-07-04T00:00:00"/>
    <n v="3.2"/>
    <d v="2019-08-19T00:00:00"/>
    <d v="2019-10-23T00:00:00"/>
    <n v="2.1666666666666665"/>
    <d v="2019-11-30T00:00:00"/>
    <d v="2019-10-23T00:00:00"/>
    <d v="2019-11-01T00:00:00"/>
    <n v="24"/>
    <d v="2022-11-01T00:00:00"/>
    <n v="171299.22999999998"/>
    <s v="oui"/>
    <n v="3.2666666666666666"/>
    <n v="55449.216666666667"/>
    <n v="-115850.01333333331"/>
    <n v="115850.01333333331"/>
    <x v="26"/>
    <x v="4"/>
    <n v="6.666666666666667"/>
    <n v="21"/>
    <n v="29"/>
    <d v="2020-10-27T00:00:00"/>
    <d v="2021-10-20T00:00:00"/>
    <d v="2022-07-18T00:00:00"/>
    <d v="2023-07-18T00:00:00"/>
    <n v="9.0333333333333332"/>
    <d v="2022-02-24T00:00:00"/>
    <d v="2021-11-30T00:00:00"/>
    <d v="2022-03-24T00:00:00"/>
    <d v="2022-07-18T00:00:00"/>
    <n v="3.8666666666666667"/>
    <n v="116"/>
    <d v="2022-09-07T00:00:00"/>
    <d v="2022-10-27T00:00:00"/>
    <d v="2021-12-30T00:00:00"/>
    <x v="25"/>
    <x v="4"/>
    <n v="6.9333333333333336"/>
    <n v="16974.25"/>
    <n v="117688.13333333333"/>
  </r>
  <r>
    <s v="VEFA Miami"/>
    <x v="11"/>
    <x v="2"/>
    <x v="5"/>
    <s v="PRLC 0205"/>
    <x v="2"/>
    <s v="JPI"/>
    <x v="3"/>
    <x v="3"/>
    <s v="AP 1270 / 1274 / 1280 "/>
    <x v="2"/>
    <n v="60"/>
    <n v="60"/>
    <m/>
    <m/>
    <n v="60"/>
    <m/>
    <n v="4493.62"/>
    <n v="5286.96"/>
    <n v="74.893666666666661"/>
    <n v="88.116"/>
    <n v="0.84994401319472812"/>
    <n v="868.81"/>
    <x v="0"/>
    <s v="x"/>
    <n v="11077420.598029997"/>
    <n v="2465.1440482350527"/>
    <n v="2095.2344254599993"/>
    <n v="184623.6766338333"/>
    <d v="2019-03-27T00:00:00"/>
    <d v="2019-06-11T00:00:00"/>
    <m/>
    <n v="2.5333333333333332"/>
    <d v="2019-10-07T00:00:00"/>
    <d v="2019-12-03T00:00:00"/>
    <n v="1.9"/>
    <d v="2020-01-31T00:00:00"/>
    <d v="2019-11-25T00:00:00"/>
    <d v="2020-02-01T00:00:00"/>
    <n v="24"/>
    <d v="2023-02-01T00:00:00"/>
    <n v="404911.89"/>
    <s v="oui"/>
    <n v="6.1"/>
    <n v="253838.28333333333"/>
    <n v="-151073.60666666669"/>
    <n v="151073.60666666669"/>
    <x v="27"/>
    <x v="4"/>
    <n v="11.666666666666666"/>
    <n v="21"/>
    <n v="22"/>
    <d v="2020-10-07T00:00:00"/>
    <d v="2022-02-26T00:00:00"/>
    <d v="2022-04-25T00:00:00"/>
    <d v="2023-04-25T00:00:00"/>
    <n v="1.9333333333333333"/>
    <d v="2022-03-25T00:00:00"/>
    <d v="2022-04-25T00:00:00"/>
    <d v="2022-04-25T00:00:00"/>
    <d v="2022-08-02T00:00:00"/>
    <n v="3.3"/>
    <n v="99"/>
    <m/>
    <d v="2022-10-07T00:00:00"/>
    <d v="2022-05-25T00:00:00"/>
    <x v="26"/>
    <x v="4"/>
    <n v="2.2999999999999998"/>
    <n v="41612.833333333336"/>
    <n v="95709.516666666663"/>
  </r>
  <r>
    <s v="COCO TURPIN"/>
    <x v="4"/>
    <x v="0"/>
    <x v="4"/>
    <s v="PRLC 0198"/>
    <x v="3"/>
    <m/>
    <x v="7"/>
    <x v="3"/>
    <s v="EM 628 p"/>
    <x v="1"/>
    <n v="39"/>
    <n v="39"/>
    <n v="39"/>
    <m/>
    <m/>
    <m/>
    <n v="2870.9"/>
    <n v="2870.9"/>
    <n v="73.61282051282052"/>
    <n v="73.61282051282052"/>
    <n v="1"/>
    <n v="497.46"/>
    <x v="1"/>
    <s v="x"/>
    <m/>
    <n v="0"/>
    <n v="0"/>
    <n v="0"/>
    <d v="2018-03-30T00:00:00"/>
    <d v="2018-09-28T00:00:00"/>
    <m/>
    <n v="6.0666666666666664"/>
    <d v="2020-09-10T00:00:00"/>
    <d v="2020-11-27T00:00:00"/>
    <n v="2.6"/>
    <d v="2020-12-31T00:00:00"/>
    <d v="2021-02-18T00:00:00"/>
    <d v="2020-12-01T00:00:00"/>
    <n v="24"/>
    <d v="2023-12-01T00:00:00"/>
    <n v="202456"/>
    <s v="non"/>
    <n v="12.9"/>
    <n v="250608.30000000002"/>
    <n v="48152.300000000017"/>
    <n v="0"/>
    <x v="28"/>
    <x v="5"/>
    <n v="29.033333333333335"/>
    <n v="18"/>
    <n v="20"/>
    <d v="2021-08-16T00:00:00"/>
    <d v="2022-08-15T00:00:00"/>
    <d v="2022-11-09T00:00:00"/>
    <d v="2023-11-09T00:00:00"/>
    <n v="2.8666666666666667"/>
    <m/>
    <m/>
    <m/>
    <m/>
    <n v="0"/>
    <n v="0"/>
    <m/>
    <d v="2023-08-16T00:00:00"/>
    <d v="2022-09-15T00:00:00"/>
    <x v="27"/>
    <x v="4"/>
    <n v="1.8333333333333333"/>
    <n v="19427"/>
    <n v="35616.166666666664"/>
  </r>
  <r>
    <s v="Julien Hoarau (Palissandre)"/>
    <x v="7"/>
    <x v="1"/>
    <x v="0"/>
    <s v="PRLC 0110"/>
    <x v="3"/>
    <m/>
    <x v="7"/>
    <x v="3"/>
    <m/>
    <x v="1"/>
    <n v="30"/>
    <n v="30"/>
    <n v="30"/>
    <m/>
    <m/>
    <m/>
    <n v="2141.6999999999998"/>
    <n v="2544.34"/>
    <n v="71.39"/>
    <n v="84.811333333333337"/>
    <n v="0.84175070941776642"/>
    <n v="548.97"/>
    <x v="1"/>
    <s v="x"/>
    <m/>
    <n v="0"/>
    <n v="0"/>
    <n v="0"/>
    <d v="2016-03-30T00:00:00"/>
    <d v="2016-09-05T00:00:00"/>
    <d v="2016-10-03T00:00:00"/>
    <n v="5.3"/>
    <d v="2020-11-12T00:00:00"/>
    <d v="2020-12-09T00:00:00"/>
    <n v="0.9"/>
    <d v="2021-01-31T00:00:00"/>
    <m/>
    <d v="2021-01-01T00:00:00"/>
    <n v="24"/>
    <d v="2024-01-01T00:00:00"/>
    <m/>
    <s v="non"/>
    <n v="13.433333333333334"/>
    <n v="221851.5"/>
    <n v="221851.5"/>
    <n v="0"/>
    <x v="29"/>
    <x v="5"/>
    <n v="53.766666666666666"/>
    <n v="17"/>
    <n v="21"/>
    <d v="2021-09-10T00:00:00"/>
    <d v="2022-07-04T00:00:00"/>
    <d v="2022-11-09T00:00:00"/>
    <d v="2023-11-09T00:00:00"/>
    <n v="4.2666666666666666"/>
    <m/>
    <m/>
    <m/>
    <m/>
    <n v="0"/>
    <n v="0"/>
    <d v="2022-09-05T00:00:00"/>
    <d v="2023-09-10T00:00:00"/>
    <d v="2022-08-04T00:00:00"/>
    <x v="28"/>
    <x v="4"/>
    <n v="3.7333333333333334"/>
    <n v="16515"/>
    <n v="61656"/>
  </r>
  <r>
    <s v="VEFA SENARDIERE (JARDINS DE MONTAIGNE)"/>
    <x v="7"/>
    <x v="1"/>
    <x v="6"/>
    <s v="PRLC 0221"/>
    <x v="3"/>
    <m/>
    <x v="7"/>
    <x v="3"/>
    <s v="BP 593"/>
    <x v="2"/>
    <n v="44"/>
    <n v="44"/>
    <m/>
    <m/>
    <n v="44"/>
    <m/>
    <n v="3447.6800000000007"/>
    <n v="4029.5250000000001"/>
    <n v="78.356363636363653"/>
    <n v="91.580113636363635"/>
    <n v="0.85560456877671698"/>
    <n v="829.01886363636368"/>
    <x v="0"/>
    <s v="x"/>
    <n v="8370000"/>
    <n v="2427.7195099313158"/>
    <n v="2077.1679044056059"/>
    <n v="190227.27272727274"/>
    <d v="2020-04-06T00:00:00"/>
    <d v="2020-06-11T00:00:00"/>
    <d v="2020-06-11T00:00:00"/>
    <n v="2.2000000000000002"/>
    <d v="2020-09-17T00:00:00"/>
    <d v="2020-10-19T00:00:00"/>
    <n v="1.0666666666666667"/>
    <d v="2020-11-30T00:00:00"/>
    <m/>
    <d v="2020-11-01T00:00:00"/>
    <n v="24"/>
    <d v="2023-11-01T00:00:00"/>
    <n v="299258"/>
    <s v="non"/>
    <n v="11"/>
    <n v="360273.24354997982"/>
    <n v="61015.243549979816"/>
    <n v="0"/>
    <x v="30"/>
    <x v="4"/>
    <n v="6.2"/>
    <n v="19"/>
    <n v="22"/>
    <d v="2021-04-27T00:00:00"/>
    <d v="2022-07-14T00:00:00"/>
    <d v="2022-10-16T00:00:00"/>
    <d v="2023-10-16T00:00:00"/>
    <n v="3.1333333333333333"/>
    <d v="2022-11-16T00:00:00"/>
    <d v="2022-12-16T00:00:00"/>
    <d v="2022-12-16T00:00:00"/>
    <d v="2022-11-15T00:00:00"/>
    <n v="-1.0333333333333334"/>
    <n v="-31"/>
    <m/>
    <d v="2023-04-27T00:00:00"/>
    <d v="2023-01-16T00:00:00"/>
    <x v="29"/>
    <x v="4"/>
    <n v="0"/>
    <n v="32752.113049998166"/>
    <n v="0"/>
  </r>
  <r>
    <s v="VEFA Jean PAYET (BERGAMOTE TROIS MARES LLS)"/>
    <x v="7"/>
    <x v="1"/>
    <x v="5"/>
    <s v="PRLC 0210"/>
    <x v="3"/>
    <m/>
    <x v="7"/>
    <x v="4"/>
    <s v="En 339/343/568/570"/>
    <x v="1"/>
    <n v="46"/>
    <n v="46"/>
    <n v="46"/>
    <m/>
    <m/>
    <m/>
    <n v="3562.01"/>
    <n v="4176.8500000000004"/>
    <n v="77.435000000000002"/>
    <n v="90.801086956521743"/>
    <n v="0.85279816129379793"/>
    <n v="585.70000000000005"/>
    <x v="0"/>
    <s v="x"/>
    <n v="8484480.0359200016"/>
    <n v="2381.9360518134426"/>
    <n v="2031.3106853059126"/>
    <n v="184445.21817217395"/>
    <d v="2019-03-28T00:00:00"/>
    <d v="2019-10-07T00:00:00"/>
    <d v="2019-10-15T00:00:00"/>
    <n v="6.4333333333333336"/>
    <d v="2019-10-04T00:00:00"/>
    <d v="2019-11-15T00:00:00"/>
    <n v="1.4"/>
    <d v="2019-12-31T00:00:00"/>
    <d v="2019-11-25T00:00:00"/>
    <d v="2019-12-01T00:00:00"/>
    <n v="24"/>
    <d v="2022-12-01T00:00:00"/>
    <n v="251163.06"/>
    <s v="oui"/>
    <n v="-8.0666666666666664"/>
    <n v="-208337.8"/>
    <n v="-459500.86"/>
    <n v="459500.86"/>
    <x v="31"/>
    <x v="4"/>
    <n v="8.4"/>
    <n v="21"/>
    <n v="28"/>
    <d v="2020-11-02T00:00:00"/>
    <d v="2022-03-15T00:00:00"/>
    <d v="2022-10-15T00:00:00"/>
    <d v="2023-10-15T00:00:00"/>
    <n v="7.1333333333333337"/>
    <d v="2022-04-07T00:00:00"/>
    <d v="2022-05-07T00:00:00"/>
    <d v="2022-09-23T00:00:00"/>
    <d v="2023-07-12T00:00:00"/>
    <n v="9.7333333333333325"/>
    <n v="292"/>
    <m/>
    <d v="2022-11-02T00:00:00"/>
    <d v="2022-06-07T00:00:00"/>
    <x v="30"/>
    <x v="5"/>
    <n v="13.966666666666667"/>
    <n v="25827"/>
    <n v="360717.1"/>
  </r>
  <r>
    <s v="VEFA Jean PAYET (BERGAMOTE TROIS MARES LLTS)"/>
    <x v="7"/>
    <x v="1"/>
    <x v="5"/>
    <s v="PRLC 0210"/>
    <x v="0"/>
    <m/>
    <x v="4"/>
    <x v="2"/>
    <s v="En 339/343/568/570"/>
    <x v="0"/>
    <n v="20"/>
    <n v="20"/>
    <m/>
    <n v="20"/>
    <m/>
    <m/>
    <n v="920.8"/>
    <n v="1253"/>
    <n v="46.04"/>
    <n v="62.65"/>
    <n v="0.73487629688747003"/>
    <n v="362.32"/>
    <x v="0"/>
    <s v="x"/>
    <n v="2121120.0089800004"/>
    <n v="2303.5621296481327"/>
    <n v="1692.8332074860339"/>
    <n v="106056.00044900001"/>
    <d v="2019-03-28T00:00:00"/>
    <d v="2019-10-07T00:00:00"/>
    <d v="2019-10-15T00:00:00"/>
    <n v="6.4333333333333336"/>
    <d v="2019-10-04T00:00:00"/>
    <d v="2019-11-15T00:00:00"/>
    <n v="1.4"/>
    <d v="2019-12-31T00:00:00"/>
    <d v="2019-11-25T00:00:00"/>
    <d v="2019-12-01T00:00:00"/>
    <n v="24"/>
    <d v="2022-12-01T00:00:00"/>
    <n v="44377.919999999998"/>
    <s v="oui"/>
    <n v="-8.0666666666666664"/>
    <n v="-49579.75"/>
    <n v="-93957.67"/>
    <n v="93957.67"/>
    <x v="31"/>
    <x v="4"/>
    <n v="8.4"/>
    <n v="21"/>
    <n v="28"/>
    <d v="2020-11-02T00:00:00"/>
    <d v="2022-03-15T00:00:00"/>
    <d v="2022-10-15T00:00:00"/>
    <d v="2023-10-15T00:00:00"/>
    <n v="7.1333333333333337"/>
    <d v="2022-04-07T00:00:00"/>
    <d v="2022-05-07T00:00:00"/>
    <d v="2022-09-23T00:00:00"/>
    <d v="2023-07-12T00:00:00"/>
    <n v="9.7333333333333325"/>
    <n v="292"/>
    <m/>
    <d v="2022-11-02T00:00:00"/>
    <d v="2022-06-07T00:00:00"/>
    <x v="30"/>
    <x v="5"/>
    <n v="13.966666666666667"/>
    <n v="6146.25"/>
    <n v="85842.625"/>
  </r>
  <r>
    <s v="INDIGO Tranche 1"/>
    <x v="12"/>
    <x v="2"/>
    <x v="3"/>
    <s v="PRLC 0185"/>
    <x v="4"/>
    <s v="JPI"/>
    <x v="2"/>
    <x v="4"/>
    <s v="DD783 / 1298"/>
    <x v="0"/>
    <n v="84"/>
    <n v="84"/>
    <m/>
    <n v="84"/>
    <m/>
    <m/>
    <n v="5759.1800000000012"/>
    <n v="6451.5850000000009"/>
    <n v="68.561666666666682"/>
    <n v="76.804583333333341"/>
    <n v="0.89267676082699066"/>
    <n v="412.03"/>
    <x v="1"/>
    <s v="x"/>
    <m/>
    <n v="0"/>
    <n v="0"/>
    <n v="0"/>
    <d v="2017-03-30T00:00:00"/>
    <d v="2017-07-13T00:00:00"/>
    <d v="2017-10-02T00:00:00"/>
    <n v="3.5"/>
    <d v="2020-08-31T00:00:00"/>
    <d v="2020-10-22T00:00:00"/>
    <n v="1.7333333333333334"/>
    <d v="2020-11-30T00:00:00"/>
    <m/>
    <d v="2020-11-01T00:00:00"/>
    <n v="24"/>
    <d v="2023-11-01T00:00:00"/>
    <m/>
    <s v="non"/>
    <n v="0.73333333333333328"/>
    <n v="25357.199999999997"/>
    <n v="25357.199999999997"/>
    <n v="0"/>
    <x v="32"/>
    <x v="4"/>
    <n v="40.633333333333333"/>
    <n v="26"/>
    <n v="34"/>
    <d v="2021-11-09T00:00:00"/>
    <d v="2023-01-13T00:00:00"/>
    <d v="2023-09-26T00:00:00"/>
    <d v="2024-09-26T00:00:00"/>
    <n v="8.5333333333333332"/>
    <m/>
    <m/>
    <m/>
    <m/>
    <n v="0"/>
    <n v="0"/>
    <m/>
    <d v="2023-11-09T00:00:00"/>
    <d v="2023-02-13T00:00:00"/>
    <x v="31"/>
    <x v="6"/>
    <n v="7.9666666666666668"/>
    <n v="34578"/>
    <n v="275471.40000000002"/>
  </r>
  <r>
    <s v="INDIGO Tranche 2 LLS"/>
    <x v="12"/>
    <x v="2"/>
    <x v="4"/>
    <s v="PRLC 0192"/>
    <x v="4"/>
    <s v="JPI"/>
    <x v="2"/>
    <x v="4"/>
    <s v="DD783 / 1298"/>
    <x v="1"/>
    <n v="22"/>
    <n v="22"/>
    <n v="22"/>
    <m/>
    <m/>
    <m/>
    <n v="2034.59"/>
    <n v="2079.59"/>
    <n v="92.481363636363639"/>
    <n v="94.526818181818186"/>
    <n v="0.97836111925908464"/>
    <n v="599.32000000000005"/>
    <x v="1"/>
    <s v="x"/>
    <m/>
    <n v="0"/>
    <n v="0"/>
    <n v="0"/>
    <d v="2018-03-30T00:00:00"/>
    <d v="2018-08-22T00:00:00"/>
    <m/>
    <n v="4.833333333333333"/>
    <d v="2020-08-31T00:00:00"/>
    <d v="2020-10-22T00:00:00"/>
    <n v="1.7333333333333334"/>
    <d v="2020-11-30T00:00:00"/>
    <m/>
    <d v="2020-11-01T00:00:00"/>
    <n v="24"/>
    <d v="2023-11-01T00:00:00"/>
    <m/>
    <s v="oui"/>
    <n v="-0.23333333333333334"/>
    <n v="-3087.2333333333336"/>
    <n v="-3087.2333333333336"/>
    <n v="3087.2333333333336"/>
    <x v="32"/>
    <x v="4"/>
    <n v="27.133333333333333"/>
    <n v="26"/>
    <n v="35"/>
    <d v="2021-12-08T00:00:00"/>
    <d v="2023-01-13T00:00:00"/>
    <d v="2023-10-31T00:00:00"/>
    <d v="2024-10-31T00:00:00"/>
    <n v="9.6999999999999993"/>
    <m/>
    <m/>
    <m/>
    <m/>
    <n v="0"/>
    <n v="0"/>
    <m/>
    <d v="2023-12-08T00:00:00"/>
    <d v="2023-02-13T00:00:00"/>
    <x v="32"/>
    <x v="6"/>
    <n v="8.9333333333333336"/>
    <n v="13231"/>
    <n v="118196.93333333333"/>
  </r>
  <r>
    <s v="INDIGO Tranche 2 LLTS"/>
    <x v="12"/>
    <x v="2"/>
    <x v="4"/>
    <m/>
    <x v="0"/>
    <m/>
    <x v="4"/>
    <x v="2"/>
    <s v="DD783 / 1298"/>
    <x v="0"/>
    <n v="34"/>
    <n v="34"/>
    <m/>
    <n v="34"/>
    <m/>
    <m/>
    <n v="2357.27"/>
    <n v="2623.27"/>
    <n v="69.331470588235291"/>
    <n v="77.155000000000001"/>
    <n v="0.89859983913207564"/>
    <n v="413.12"/>
    <x v="1"/>
    <s v="x"/>
    <m/>
    <n v="0"/>
    <n v="0"/>
    <n v="0"/>
    <d v="2018-03-30T00:00:00"/>
    <d v="2018-08-22T00:00:00"/>
    <m/>
    <n v="4.833333333333333"/>
    <d v="2020-08-31T00:00:00"/>
    <d v="2020-10-22T00:00:00"/>
    <n v="1.7333333333333334"/>
    <d v="2020-11-30T00:00:00"/>
    <m/>
    <d v="2020-11-01T00:00:00"/>
    <n v="24"/>
    <d v="2023-11-01T00:00:00"/>
    <m/>
    <s v="oui"/>
    <n v="-0.23333333333333334"/>
    <n v="-3289.7666666666669"/>
    <n v="-3289.7666666666669"/>
    <n v="3289.7666666666669"/>
    <x v="32"/>
    <x v="4"/>
    <n v="27.133333333333333"/>
    <n v="26"/>
    <n v="35"/>
    <d v="2021-12-08T00:00:00"/>
    <d v="2023-01-13T00:00:00"/>
    <d v="2023-10-31T00:00:00"/>
    <d v="2024-10-31T00:00:00"/>
    <n v="9.6999999999999993"/>
    <m/>
    <m/>
    <m/>
    <m/>
    <n v="0"/>
    <n v="0"/>
    <m/>
    <d v="2023-12-08T00:00:00"/>
    <d v="2023-02-13T00:00:00"/>
    <x v="32"/>
    <x v="6"/>
    <n v="8.9333333333333336"/>
    <n v="14099"/>
    <n v="125951.06666666667"/>
  </r>
  <r>
    <s v="VEFA Résidence BERTAUT LLS RPA"/>
    <x v="7"/>
    <x v="1"/>
    <x v="6"/>
    <s v="PRLC 0219"/>
    <x v="5"/>
    <s v="JPI"/>
    <x v="1"/>
    <x v="4"/>
    <s v="BX 176"/>
    <x v="1"/>
    <n v="30"/>
    <n v="30"/>
    <n v="30"/>
    <m/>
    <m/>
    <m/>
    <n v="1484.3"/>
    <n v="1730.8"/>
    <n v="49.476666666666667"/>
    <n v="57.693333333333335"/>
    <n v="0.85758030968338339"/>
    <m/>
    <x v="0"/>
    <s v="x"/>
    <n v="3183988.5"/>
    <n v="2145.1111635114194"/>
    <n v="1839.6050959094061"/>
    <n v="106132.95"/>
    <d v="2020-02-28T00:00:00"/>
    <d v="2020-06-11T00:00:00"/>
    <d v="2020-07-24T00:00:00"/>
    <n v="3.4666666666666668"/>
    <d v="2020-11-18T00:00:00"/>
    <d v="2020-12-08T00:00:00"/>
    <n v="0.66666666666666663"/>
    <d v="2021-01-31T00:00:00"/>
    <d v="2020-12-08T00:00:00"/>
    <d v="2021-01-01T00:00:00"/>
    <n v="36"/>
    <d v="2025-01-01T00:00:00"/>
    <n v="116104.68"/>
    <s v="non"/>
    <n v="14.766666666666667"/>
    <n v="168987.51696541088"/>
    <n v="52882.836965410883"/>
    <n v="0"/>
    <x v="33"/>
    <x v="4"/>
    <n v="6.4333333333333336"/>
    <n v="29"/>
    <n v="33"/>
    <d v="2021-12-10T00:00:00"/>
    <d v="2023-05-21T00:00:00"/>
    <d v="2023-10-01T00:00:00"/>
    <d v="2024-10-01T00:00:00"/>
    <n v="4.4333333333333336"/>
    <d v="2023-05-31T00:00:00"/>
    <d v="2023-05-31T00:00:00"/>
    <d v="2023-10-12T00:00:00"/>
    <d v="2023-09-30T00:00:00"/>
    <n v="-0.4"/>
    <n v="-12"/>
    <m/>
    <d v="2023-12-10T00:00:00"/>
    <d v="2023-06-30T00:00:00"/>
    <x v="33"/>
    <x v="6"/>
    <n v="3.6"/>
    <n v="11443.849907364167"/>
    <n v="41197.859666511002"/>
  </r>
  <r>
    <s v="VEFA Résidence BERTAUT PLS"/>
    <x v="7"/>
    <x v="1"/>
    <x v="6"/>
    <s v="PRLC 0219"/>
    <x v="0"/>
    <m/>
    <x v="4"/>
    <x v="2"/>
    <s v="BX 176"/>
    <x v="2"/>
    <n v="93"/>
    <n v="93"/>
    <m/>
    <m/>
    <n v="93"/>
    <m/>
    <n v="6231.35"/>
    <n v="7551.86"/>
    <n v="67.003763440860226"/>
    <n v="81.202795698924731"/>
    <n v="0.82514109106895528"/>
    <m/>
    <x v="0"/>
    <s v="x"/>
    <n v="15566166"/>
    <n v="2498.0407134890511"/>
    <n v="2061.2360398630271"/>
    <n v="167378.12903225806"/>
    <d v="2020-02-28T00:00:00"/>
    <d v="2020-05-26T00:00:00"/>
    <m/>
    <n v="2.9333333333333331"/>
    <d v="2020-11-18T00:00:00"/>
    <d v="2020-12-05T00:00:00"/>
    <n v="0.56666666666666665"/>
    <d v="2021-01-31T00:00:00"/>
    <d v="2020-12-08T00:00:00"/>
    <d v="2021-01-01T00:00:00"/>
    <n v="36"/>
    <d v="2025-01-01T00:00:00"/>
    <n v="673237.89"/>
    <s v="non"/>
    <n v="14.433333333333334"/>
    <n v="868355.92666136182"/>
    <n v="195118.03666136181"/>
    <n v="0"/>
    <x v="33"/>
    <x v="4"/>
    <n v="6.9666666666666668"/>
    <n v="29"/>
    <n v="33"/>
    <d v="2021-12-10T00:00:00"/>
    <d v="2023-05-21T00:00:00"/>
    <d v="2023-10-01T00:00:00"/>
    <d v="2024-10-01T00:00:00"/>
    <n v="4.4333333333333336"/>
    <d v="2023-05-31T00:00:00"/>
    <d v="2023-05-31T00:00:00"/>
    <d v="2023-10-12T00:00:00"/>
    <d v="2023-09-30T00:00:00"/>
    <n v="-0.4"/>
    <n v="-12"/>
    <m/>
    <d v="2023-12-10T00:00:00"/>
    <d v="2023-06-30T00:00:00"/>
    <x v="34"/>
    <x v="6"/>
    <n v="3.9333333333333331"/>
    <n v="60163.228175152086"/>
    <n v="236642.03082226485"/>
  </r>
  <r>
    <s v="VEFA LAURE FONTAINE (Ex Alverdy)"/>
    <x v="7"/>
    <x v="1"/>
    <x v="6"/>
    <s v="PRLC 0224"/>
    <x v="2"/>
    <s v="JPI"/>
    <x v="3"/>
    <x v="4"/>
    <s v="BX 1134"/>
    <x v="1"/>
    <n v="30"/>
    <n v="30"/>
    <n v="30"/>
    <m/>
    <m/>
    <m/>
    <n v="2086.91"/>
    <n v="2470.27"/>
    <n v="69.563666666666663"/>
    <n v="82.342333333333329"/>
    <n v="0.84481048630311661"/>
    <m/>
    <x v="0"/>
    <s v="x"/>
    <n v="5000788.6536800005"/>
    <n v="2396.2646466210813"/>
    <n v="2024.3895014229215"/>
    <n v="166692.9551226667"/>
    <d v="2020-02-28T00:00:00"/>
    <d v="2020-07-15T00:00:00"/>
    <d v="2020-07-24T00:00:00"/>
    <n v="4.5999999999999996"/>
    <d v="2020-12-28T00:00:00"/>
    <d v="2021-02-02T00:00:00"/>
    <n v="1.2"/>
    <d v="2021-03-31T00:00:00"/>
    <d v="2021-02-26T00:00:00"/>
    <d v="2021-03-01T00:00:00"/>
    <n v="36"/>
    <d v="2025-03-01T00:00:00"/>
    <n v="173379.25"/>
    <s v="non"/>
    <n v="19.7"/>
    <n v="293915.79166666669"/>
    <n v="120536.54166666669"/>
    <n v="0"/>
    <x v="34"/>
    <x v="5"/>
    <n v="7.6333333333333337"/>
    <n v="18"/>
    <n v="26"/>
    <d v="2021-09-20T00:00:00"/>
    <d v="2022-09-01T00:00:00"/>
    <d v="2023-05-30T00:00:00"/>
    <d v="2024-05-30T00:00:00"/>
    <n v="9.0333333333333332"/>
    <d v="2022-09-30T00:00:00"/>
    <d v="2022-12-30T00:00:00"/>
    <d v="2023-04-03T00:00:00"/>
    <d v="2023-06-29T00:00:00"/>
    <n v="2.9"/>
    <n v="87"/>
    <d v="2023-03-30T00:00:00"/>
    <d v="2023-09-20T00:00:00"/>
    <d v="2023-01-30T00:00:00"/>
    <x v="35"/>
    <x v="5"/>
    <n v="5.666666666666667"/>
    <n v="14919.583333333334"/>
    <n v="84544.305555555562"/>
  </r>
  <r>
    <s v="Casabianca"/>
    <x v="8"/>
    <x v="1"/>
    <x v="6"/>
    <m/>
    <x v="1"/>
    <m/>
    <x v="3"/>
    <x v="4"/>
    <s v="AP 1535"/>
    <x v="3"/>
    <n v="16"/>
    <n v="0"/>
    <m/>
    <m/>
    <m/>
    <n v="16"/>
    <m/>
    <m/>
    <n v="0"/>
    <n v="0"/>
    <n v="0"/>
    <m/>
    <x v="2"/>
    <m/>
    <m/>
    <n v="0"/>
    <s v="-"/>
    <n v="0"/>
    <d v="2020-05-28T00:00:00"/>
    <d v="2020-08-28T00:00:00"/>
    <d v="2020-09-03T00:00:00"/>
    <n v="3.0666666666666669"/>
    <d v="2021-09-28T00:00:00"/>
    <d v="2021-12-27T00:00:00"/>
    <n v="3"/>
    <d v="2022-01-31T00:00:00"/>
    <d v="2021-12-27T00:00:00"/>
    <d v="2022-01-01T00:00:00"/>
    <n v="24"/>
    <d v="2025-01-01T00:00:00"/>
    <m/>
    <s v=""/>
    <n v="0"/>
    <s v=""/>
    <s v=""/>
    <n v="0"/>
    <x v="35"/>
    <x v="6"/>
    <n v="18.833333333333332"/>
    <n v="12"/>
    <n v="18"/>
    <m/>
    <d v="2023-03-16T00:00:00"/>
    <d v="2023-09-30T00:00:00"/>
    <d v="2024-09-30T00:00:00"/>
    <n v="6.6"/>
    <m/>
    <m/>
    <m/>
    <m/>
    <n v="0"/>
    <n v="0"/>
    <m/>
    <s v=""/>
    <d v="2023-04-16T00:00:00"/>
    <x v="36"/>
    <x v="6"/>
    <n v="6.5666666666666664"/>
    <m/>
    <s v=""/>
  </r>
  <r>
    <s v="La Cure 2"/>
    <x v="1"/>
    <x v="1"/>
    <x v="6"/>
    <m/>
    <x v="1"/>
    <m/>
    <x v="0"/>
    <x v="4"/>
    <m/>
    <x v="3"/>
    <n v="18"/>
    <n v="0"/>
    <m/>
    <m/>
    <m/>
    <n v="18"/>
    <m/>
    <m/>
    <n v="0"/>
    <n v="0"/>
    <n v="0"/>
    <m/>
    <x v="2"/>
    <s v="x"/>
    <m/>
    <n v="0"/>
    <s v="-"/>
    <n v="0"/>
    <d v="2020-05-28T00:00:00"/>
    <d v="2020-08-28T00:00:00"/>
    <d v="2020-09-03T00:00:00"/>
    <n v="3.0666666666666669"/>
    <d v="2021-09-28T00:00:00"/>
    <d v="2021-12-27T00:00:00"/>
    <n v="3"/>
    <d v="2022-01-31T00:00:00"/>
    <d v="2021-12-27T00:00:00"/>
    <d v="2022-01-01T00:00:00"/>
    <n v="24"/>
    <d v="2025-01-01T00:00:00"/>
    <m/>
    <s v=""/>
    <n v="0"/>
    <s v=""/>
    <s v=""/>
    <n v="0"/>
    <x v="36"/>
    <x v="6"/>
    <n v="20.2"/>
    <n v="12"/>
    <n v="17"/>
    <m/>
    <d v="2023-04-26T00:00:00"/>
    <d v="2023-09-30T00:00:00"/>
    <d v="2024-09-30T00:00:00"/>
    <n v="5.2333333333333334"/>
    <m/>
    <m/>
    <m/>
    <m/>
    <n v="0"/>
    <n v="0"/>
    <m/>
    <s v=""/>
    <d v="2023-05-26T00:00:00"/>
    <x v="36"/>
    <x v="6"/>
    <n v="5.2333333333333334"/>
    <m/>
    <s v=""/>
  </r>
  <r>
    <s v="Choka Bleu"/>
    <x v="1"/>
    <x v="1"/>
    <x v="6"/>
    <m/>
    <x v="1"/>
    <m/>
    <x v="6"/>
    <x v="4"/>
    <s v="BN 813 / 812"/>
    <x v="3"/>
    <n v="26"/>
    <n v="0"/>
    <m/>
    <m/>
    <m/>
    <n v="26"/>
    <m/>
    <m/>
    <n v="0"/>
    <n v="0"/>
    <n v="0"/>
    <m/>
    <x v="2"/>
    <s v="x"/>
    <m/>
    <n v="0"/>
    <s v="-"/>
    <n v="0"/>
    <d v="2020-05-28T00:00:00"/>
    <d v="2020-08-28T00:00:00"/>
    <d v="2020-09-03T00:00:00"/>
    <n v="3.0666666666666669"/>
    <d v="2021-09-28T00:00:00"/>
    <d v="2021-12-27T00:00:00"/>
    <n v="3"/>
    <d v="2022-01-31T00:00:00"/>
    <d v="2021-12-27T00:00:00"/>
    <d v="2022-01-01T00:00:00"/>
    <n v="24"/>
    <d v="2025-01-01T00:00:00"/>
    <m/>
    <s v=""/>
    <n v="0"/>
    <s v=""/>
    <s v=""/>
    <n v="0"/>
    <x v="37"/>
    <x v="6"/>
    <n v="23.733333333333334"/>
    <n v="12"/>
    <n v="13"/>
    <m/>
    <d v="2023-08-10T00:00:00"/>
    <d v="2023-10-01T00:00:00"/>
    <d v="2024-10-01T00:00:00"/>
    <n v="1.7333333333333334"/>
    <m/>
    <m/>
    <m/>
    <m/>
    <n v="0"/>
    <n v="0"/>
    <m/>
    <s v=""/>
    <d v="2023-09-10T00:00:00"/>
    <x v="37"/>
    <x v="6"/>
    <n v="1.7333333333333334"/>
    <m/>
    <s v=""/>
  </r>
  <r>
    <s v="Bras de la Plaine LLS"/>
    <x v="8"/>
    <x v="1"/>
    <x v="6"/>
    <s v="PRLC 0180"/>
    <x v="0"/>
    <m/>
    <x v="4"/>
    <x v="2"/>
    <m/>
    <x v="1"/>
    <n v="10"/>
    <n v="10"/>
    <n v="10"/>
    <m/>
    <m/>
    <m/>
    <n v="737.57"/>
    <n v="857.75"/>
    <n v="73.757000000000005"/>
    <n v="85.775000000000006"/>
    <n v="0.85988924511804143"/>
    <m/>
    <x v="1"/>
    <s v="x"/>
    <m/>
    <n v="0"/>
    <n v="0"/>
    <n v="0"/>
    <d v="2020-10-30T00:00:00"/>
    <d v="2020-12-10T00:00:00"/>
    <m/>
    <n v="1.3666666666666667"/>
    <d v="2020-12-17T00:00:00"/>
    <d v="2021-02-02T00:00:00"/>
    <n v="1.5666666666666667"/>
    <d v="2021-03-31T00:00:00"/>
    <d v="2021-03-18T00:00:00"/>
    <d v="2021-03-01T00:00:00"/>
    <n v="24"/>
    <d v="2024-03-01T00:00:00"/>
    <n v="56454"/>
    <s v="oui"/>
    <n v="6.166666666666667"/>
    <n v="36331.687665455524"/>
    <n v="-20122.312334544476"/>
    <n v="20122.312334544476"/>
    <x v="38"/>
    <x v="5"/>
    <n v="4.2"/>
    <n v="18"/>
    <n v="28"/>
    <d v="2021-10-05T00:00:00"/>
    <d v="2022-10-15T00:00:00"/>
    <d v="2023-08-24T00:00:00"/>
    <d v="2024-08-24T00:00:00"/>
    <n v="10.433333333333334"/>
    <m/>
    <m/>
    <m/>
    <m/>
    <n v="0"/>
    <n v="0"/>
    <d v="2023-09-04T00:00:00"/>
    <d v="2023-10-05T00:00:00"/>
    <d v="2022-11-15T00:00:00"/>
    <x v="38"/>
    <x v="5"/>
    <n v="9.5666666666666664"/>
    <n v="5891.6250268306248"/>
    <n v="56363.212756679641"/>
  </r>
  <r>
    <s v="Bras de la Plaine LLTS"/>
    <x v="8"/>
    <x v="1"/>
    <x v="6"/>
    <s v="PRLC 0180"/>
    <x v="4"/>
    <s v="JPI"/>
    <x v="2"/>
    <x v="4"/>
    <s v="AS 603"/>
    <x v="0"/>
    <n v="8"/>
    <n v="8"/>
    <m/>
    <n v="8"/>
    <m/>
    <m/>
    <n v="419.99"/>
    <n v="517.59"/>
    <n v="52.498750000000001"/>
    <n v="64.698750000000004"/>
    <n v="0.81143376031221615"/>
    <n v="418.66"/>
    <x v="1"/>
    <s v="x"/>
    <m/>
    <n v="0"/>
    <n v="0"/>
    <n v="0"/>
    <d v="2020-10-30T00:00:00"/>
    <d v="2020-12-10T00:00:00"/>
    <m/>
    <n v="1.3666666666666667"/>
    <d v="2020-12-17T00:00:00"/>
    <d v="2021-02-02T00:00:00"/>
    <n v="1.5666666666666667"/>
    <d v="2021-03-31T00:00:00"/>
    <d v="2021-03-18T00:00:00"/>
    <d v="2021-03-01T00:00:00"/>
    <n v="24"/>
    <d v="2024-03-01T00:00:00"/>
    <n v="27928"/>
    <s v="oui"/>
    <n v="6.166666666666667"/>
    <n v="16842.587184908687"/>
    <n v="-11085.412815091313"/>
    <n v="11085.412815091313"/>
    <x v="38"/>
    <x v="5"/>
    <n v="4.2"/>
    <n v="18"/>
    <n v="28"/>
    <d v="2021-10-05T00:00:00"/>
    <d v="2022-10-15T00:00:00"/>
    <d v="2023-08-24T00:00:00"/>
    <d v="2024-08-24T00:00:00"/>
    <n v="10.433333333333334"/>
    <m/>
    <m/>
    <m/>
    <m/>
    <n v="0"/>
    <n v="0"/>
    <d v="2023-09-04T00:00:00"/>
    <d v="2023-10-05T00:00:00"/>
    <d v="2022-11-15T00:00:00"/>
    <x v="38"/>
    <x v="5"/>
    <n v="9.5666666666666664"/>
    <n v="2731.2303543095168"/>
    <n v="26128.770389561043"/>
  </r>
  <r>
    <s v="VEFA Frantz SANASSAMA (Ex ADJIBI LLS)"/>
    <x v="7"/>
    <x v="1"/>
    <x v="6"/>
    <s v="PRLC 0218"/>
    <x v="0"/>
    <m/>
    <x v="4"/>
    <x v="2"/>
    <m/>
    <x v="1"/>
    <n v="53"/>
    <n v="53"/>
    <n v="53"/>
    <m/>
    <m/>
    <m/>
    <n v="4239.1400000000003"/>
    <n v="4689.26"/>
    <n v="79.983773584905663"/>
    <n v="88.476603773584912"/>
    <n v="0.90401044087979765"/>
    <m/>
    <x v="0"/>
    <s v="x"/>
    <n v="10202184.244999999"/>
    <n v="2406.6636735281209"/>
    <n v="2175.64908855555"/>
    <n v="192494.04235849055"/>
    <d v="2020-02-28T00:00:00"/>
    <d v="2020-07-15T00:00:00"/>
    <d v="2020-07-24T00:00:00"/>
    <n v="4.5999999999999996"/>
    <d v="2021-02-02T00:00:00"/>
    <d v="2021-03-24T00:00:00"/>
    <n v="1.6666666666666667"/>
    <d v="2021-04-30T00:00:00"/>
    <d v="2021-03-24T00:00:00"/>
    <d v="2021-04-01T00:00:00"/>
    <n v="24"/>
    <d v="2024-04-01T00:00:00"/>
    <n v="306799.05000000005"/>
    <s v="oui"/>
    <n v="4.5999999999999996"/>
    <n v="147386.68468820504"/>
    <n v="-159412.365311795"/>
    <n v="159412.365311795"/>
    <x v="39"/>
    <x v="5"/>
    <n v="11.366666666666667"/>
    <n v="24"/>
    <n v="29"/>
    <d v="2021-12-13T00:00:00"/>
    <d v="2023-06-21T00:00:00"/>
    <d v="2023-11-28T00:00:00"/>
    <d v="2024-11-28T00:00:00"/>
    <n v="5.333333333333333"/>
    <d v="2023-06-01T00:00:00"/>
    <d v="2023-06-01T00:00:00"/>
    <d v="2023-06-01T00:00:00"/>
    <d v="2023-11-01T00:00:00"/>
    <n v="5.0999999999999996"/>
    <n v="153"/>
    <m/>
    <d v="2023-12-13T00:00:00"/>
    <d v="2023-07-01T00:00:00"/>
    <x v="39"/>
    <x v="6"/>
    <n v="4.5666666666666664"/>
    <n v="32040.583627870667"/>
    <n v="146318.66523394271"/>
  </r>
  <r>
    <s v="VEFA Frantz SANASSAMA (Ex ADJIBI LLTS)"/>
    <x v="7"/>
    <x v="1"/>
    <x v="6"/>
    <s v="PRLC 0218"/>
    <x v="3"/>
    <m/>
    <x v="7"/>
    <x v="4"/>
    <s v="AK 931"/>
    <x v="0"/>
    <n v="25"/>
    <n v="25"/>
    <m/>
    <n v="25"/>
    <m/>
    <m/>
    <n v="1337.56"/>
    <n v="1496.73"/>
    <n v="53.502399999999994"/>
    <n v="59.869199999999999"/>
    <n v="0.89365483420523406"/>
    <m/>
    <x v="0"/>
    <s v="x"/>
    <n v="3473070.3560000001"/>
    <n v="2596.5716349173122"/>
    <n v="2320.4387939040444"/>
    <n v="138922.81424000001"/>
    <d v="2020-02-28T00:00:00"/>
    <d v="2020-07-15T00:00:00"/>
    <d v="2020-07-24T00:00:00"/>
    <n v="4.5999999999999996"/>
    <d v="2021-02-02T00:00:00"/>
    <d v="2021-03-24T00:00:00"/>
    <n v="1.6666666666666667"/>
    <d v="2021-04-30T00:00:00"/>
    <d v="2021-03-24T00:00:00"/>
    <d v="2021-04-01T00:00:00"/>
    <n v="24"/>
    <d v="2024-04-01T00:00:00"/>
    <n v="81881.390000000014"/>
    <s v="oui"/>
    <n v="4.5999999999999996"/>
    <n v="37250.502284343573"/>
    <n v="-44630.887715656441"/>
    <n v="44630.887715656441"/>
    <x v="39"/>
    <x v="5"/>
    <n v="11.366666666666667"/>
    <n v="24"/>
    <n v="29"/>
    <d v="2021-12-13T00:00:00"/>
    <d v="2023-06-21T00:00:00"/>
    <d v="2023-11-28T00:00:00"/>
    <d v="2024-11-28T00:00:00"/>
    <n v="5.333333333333333"/>
    <d v="2023-06-01T00:00:00"/>
    <d v="2023-06-01T00:00:00"/>
    <d v="2023-06-01T00:00:00"/>
    <d v="2023-11-01T00:00:00"/>
    <n v="5.0999999999999996"/>
    <n v="153"/>
    <m/>
    <d v="2023-12-13T00:00:00"/>
    <d v="2023-07-01T00:00:00"/>
    <x v="39"/>
    <x v="6"/>
    <n v="4.5666666666666664"/>
    <n v="8097.935279205125"/>
    <n v="36980.571108370066"/>
  </r>
  <r>
    <s v="VEFA HORUS"/>
    <x v="7"/>
    <x v="1"/>
    <x v="7"/>
    <s v="PRLC 0228"/>
    <x v="2"/>
    <m/>
    <x v="3"/>
    <x v="4"/>
    <s v="BZ 273"/>
    <x v="2"/>
    <n v="78"/>
    <n v="78"/>
    <m/>
    <m/>
    <n v="78"/>
    <m/>
    <n v="5550.65"/>
    <n v="6482.8999999999987"/>
    <n v="71.162179487179486"/>
    <n v="83.114102564102552"/>
    <n v="0.85619861481744297"/>
    <m/>
    <x v="0"/>
    <s v="x"/>
    <n v="13868582.50292"/>
    <n v="2498.5510711214001"/>
    <n v="2139.2559661447813"/>
    <n v="177802.33978102563"/>
    <d v="2021-02-23T00:00:00"/>
    <d v="2021-07-21T00:00:00"/>
    <d v="2021-08-02T00:00:00"/>
    <n v="4.9333333333333336"/>
    <d v="2021-09-27T00:00:00"/>
    <d v="2021-11-19T00:00:00"/>
    <n v="1.7666666666666666"/>
    <d v="2021-12-31T00:00:00"/>
    <d v="2021-11-22T00:00:00"/>
    <d v="2022-01-01T00:00:00"/>
    <n v="24"/>
    <d v="2025-01-01T00:00:00"/>
    <n v="521156.32999999996"/>
    <s v="oui"/>
    <n v="7.1"/>
    <n v="382828.13277007942"/>
    <n v="-138328.19722992054"/>
    <n v="138328.19722992054"/>
    <x v="40"/>
    <x v="5"/>
    <n v="5.333333333333333"/>
    <n v="26"/>
    <n v="27"/>
    <d v="2022-08-19T00:00:00"/>
    <d v="2024-02-28T00:00:00"/>
    <d v="2024-03-28T00:00:00"/>
    <d v="2025-03-28T00:00:00"/>
    <n v="0.96666666666666667"/>
    <d v="2024-02-29T00:00:00"/>
    <d v="2024-02-29T00:00:00"/>
    <d v="2024-04-02T00:00:00"/>
    <d v="2024-05-02T00:00:00"/>
    <n v="1"/>
    <n v="30"/>
    <m/>
    <d v="2024-08-19T00:00:00"/>
    <d v="2024-03-29T00:00:00"/>
    <x v="40"/>
    <x v="6"/>
    <n v="2.1666666666666665"/>
    <n v="53919.455319729495"/>
    <n v="116825.48652608057"/>
  </r>
  <r>
    <s v="BOULANGER LLS"/>
    <x v="7"/>
    <x v="1"/>
    <x v="6"/>
    <s v="PRLC 0212"/>
    <x v="3"/>
    <s v="JPI"/>
    <x v="7"/>
    <x v="4"/>
    <s v="BD 1427p/1428p"/>
    <x v="1"/>
    <n v="21"/>
    <n v="21"/>
    <n v="21"/>
    <m/>
    <m/>
    <m/>
    <n v="1626.52"/>
    <n v="1843.49"/>
    <n v="77.453333333333333"/>
    <n v="87.7852380952381"/>
    <n v="0.8823047589083749"/>
    <m/>
    <x v="1"/>
    <s v="x"/>
    <m/>
    <n v="0"/>
    <n v="0"/>
    <n v="0"/>
    <d v="2020-02-26T00:00:00"/>
    <d v="2020-06-11T00:00:00"/>
    <d v="2020-07-24T00:00:00"/>
    <n v="3.5333333333333332"/>
    <d v="2022-02-28T00:00:00"/>
    <d v="2022-03-30T00:00:00"/>
    <n v="1"/>
    <d v="2022-04-30T00:00:00"/>
    <d v="2022-05-31T00:00:00"/>
    <d v="2022-04-01T00:00:00"/>
    <n v="36"/>
    <d v="2026-04-01T00:00:00"/>
    <n v="147200"/>
    <s v="non"/>
    <n v="23.766666666666666"/>
    <n v="269751.48933218181"/>
    <n v="122551.48933218181"/>
    <n v="0"/>
    <x v="41"/>
    <x v="6"/>
    <n v="25.566666666666666"/>
    <n v="18"/>
    <n v="20"/>
    <d v="2023-04-25T00:00:00"/>
    <d v="2024-01-18T00:00:00"/>
    <d v="2024-03-18T00:00:00"/>
    <d v="2025-03-18T00:00:00"/>
    <n v="2"/>
    <m/>
    <m/>
    <m/>
    <m/>
    <n v="0"/>
    <n v="0"/>
    <m/>
    <d v="2025-04-25T00:00:00"/>
    <d v="2024-02-18T00:00:00"/>
    <x v="41"/>
    <x v="6"/>
    <n v="2"/>
    <n v="11349.992538520974"/>
    <n v="22699.985077041947"/>
  </r>
  <r>
    <s v="BOULANGER LLTS"/>
    <x v="7"/>
    <x v="1"/>
    <x v="6"/>
    <s v="PRLC 0212"/>
    <x v="0"/>
    <m/>
    <x v="4"/>
    <x v="2"/>
    <s v="BD 1427p/1428p"/>
    <x v="0"/>
    <n v="11"/>
    <n v="11"/>
    <m/>
    <n v="11"/>
    <m/>
    <m/>
    <n v="472.3"/>
    <n v="605.23"/>
    <n v="42.936363636363637"/>
    <n v="55.020909090909093"/>
    <n v="0.78036448953290483"/>
    <m/>
    <x v="1"/>
    <s v="x"/>
    <m/>
    <n v="0"/>
    <n v="0"/>
    <n v="0"/>
    <d v="2020-02-26T00:00:00"/>
    <d v="2020-06-11T00:00:00"/>
    <d v="2020-07-24T00:00:00"/>
    <n v="3.5333333333333332"/>
    <d v="2022-02-28T00:00:00"/>
    <d v="2022-03-30T00:00:00"/>
    <n v="1"/>
    <d v="2022-04-30T00:00:00"/>
    <d v="2022-05-31T00:00:00"/>
    <d v="2022-04-01T00:00:00"/>
    <n v="36"/>
    <d v="2026-04-01T00:00:00"/>
    <n v="37269"/>
    <s v="non"/>
    <n v="23.766666666666666"/>
    <n v="81810.475781712157"/>
    <n v="44541.475781712157"/>
    <n v="0"/>
    <x v="41"/>
    <x v="6"/>
    <n v="25.566666666666666"/>
    <n v="18"/>
    <n v="20"/>
    <d v="2023-04-25T00:00:00"/>
    <d v="2024-01-18T00:00:00"/>
    <d v="2024-03-18T00:00:00"/>
    <d v="2025-03-18T00:00:00"/>
    <n v="2"/>
    <m/>
    <m/>
    <m/>
    <m/>
    <n v="0"/>
    <n v="0"/>
    <m/>
    <d v="2025-04-25T00:00:00"/>
    <d v="2024-02-18T00:00:00"/>
    <x v="41"/>
    <x v="6"/>
    <n v="2"/>
    <n v="3442.236007645673"/>
    <n v="6884.472015291346"/>
  </r>
  <r>
    <s v="La Forêt"/>
    <x v="0"/>
    <x v="0"/>
    <x v="7"/>
    <m/>
    <x v="1"/>
    <m/>
    <x v="0"/>
    <x v="4"/>
    <s v="AE 157-158"/>
    <x v="3"/>
    <n v="10"/>
    <n v="0"/>
    <m/>
    <m/>
    <m/>
    <n v="10"/>
    <m/>
    <m/>
    <n v="0"/>
    <n v="0"/>
    <n v="0"/>
    <m/>
    <x v="2"/>
    <m/>
    <m/>
    <n v="0"/>
    <s v="-"/>
    <n v="0"/>
    <d v="2021-05-27T00:00:00"/>
    <d v="2021-06-16T00:00:00"/>
    <m/>
    <n v="0.66666666666666663"/>
    <d v="2022-12-29T00:00:00"/>
    <d v="2023-02-28T00:00:00"/>
    <n v="2.0333333333333332"/>
    <d v="2023-03-31T00:00:00"/>
    <m/>
    <d v="2023-03-01T00:00:00"/>
    <n v="24"/>
    <d v="2026-03-01T00:00:00"/>
    <n v="18526.79"/>
    <s v=""/>
    <n v="0"/>
    <s v=""/>
    <s v=""/>
    <n v="0"/>
    <x v="42"/>
    <x v="7"/>
    <n v="21.966666666666665"/>
    <n v="12"/>
    <n v="13"/>
    <m/>
    <d v="2024-04-06T00:00:00"/>
    <d v="2024-05-06T00:00:00"/>
    <d v="2025-05-06T00:00:00"/>
    <n v="1"/>
    <m/>
    <m/>
    <m/>
    <m/>
    <n v="0"/>
    <n v="0"/>
    <m/>
    <s v=""/>
    <d v="2024-05-06T00:00:00"/>
    <x v="42"/>
    <x v="6"/>
    <n v="1.0333333333333334"/>
    <m/>
    <s v=""/>
  </r>
  <r>
    <s v="Orchidées 1"/>
    <x v="7"/>
    <x v="1"/>
    <x v="6"/>
    <m/>
    <x v="1"/>
    <m/>
    <x v="2"/>
    <x v="4"/>
    <s v="BW 2395 – 2397 – 2399 - 2400"/>
    <x v="3"/>
    <n v="83"/>
    <n v="0"/>
    <m/>
    <m/>
    <m/>
    <n v="83"/>
    <m/>
    <m/>
    <n v="0"/>
    <n v="0"/>
    <n v="0"/>
    <m/>
    <x v="2"/>
    <s v="x"/>
    <m/>
    <n v="0"/>
    <s v="-"/>
    <n v="0"/>
    <d v="2020-05-29T00:00:00"/>
    <d v="2020-08-31T00:00:00"/>
    <m/>
    <n v="3.1333333333333333"/>
    <d v="2021-09-28T00:00:00"/>
    <d v="2022-01-17T00:00:00"/>
    <n v="3.7"/>
    <d v="2022-02-28T00:00:00"/>
    <d v="2022-01-24T00:00:00"/>
    <d v="2022-02-01T00:00:00"/>
    <n v="24"/>
    <d v="2025-02-01T00:00:00"/>
    <m/>
    <s v=""/>
    <n v="0"/>
    <s v=""/>
    <s v=""/>
    <n v="0"/>
    <x v="43"/>
    <x v="6"/>
    <n v="22.433333333333334"/>
    <n v="22"/>
    <n v="23"/>
    <m/>
    <d v="2024-05-05T00:00:00"/>
    <d v="2024-06-05T00:00:00"/>
    <d v="2025-06-05T00:00:00"/>
    <n v="1.0333333333333334"/>
    <m/>
    <m/>
    <m/>
    <m/>
    <n v="0"/>
    <n v="0"/>
    <m/>
    <s v=""/>
    <d v="2024-06-05T00:00:00"/>
    <x v="43"/>
    <x v="6"/>
    <n v="1"/>
    <m/>
    <s v=""/>
  </r>
  <r>
    <s v="IKARIA LLS"/>
    <x v="7"/>
    <x v="1"/>
    <x v="6"/>
    <s v="PRLC 0214"/>
    <x v="2"/>
    <s v="JPI"/>
    <x v="3"/>
    <x v="4"/>
    <s v="BW 1397"/>
    <x v="1"/>
    <n v="20"/>
    <n v="20"/>
    <n v="20"/>
    <m/>
    <m/>
    <m/>
    <n v="927"/>
    <n v="1003.51"/>
    <n v="46.35"/>
    <n v="50.1755"/>
    <n v="0.9237576107861406"/>
    <m/>
    <x v="1"/>
    <s v="x"/>
    <m/>
    <n v="0"/>
    <n v="0"/>
    <n v="0"/>
    <d v="2020-02-28T00:00:00"/>
    <d v="2020-07-10T00:00:00"/>
    <d v="2020-07-24T00:00:00"/>
    <n v="4.4333333333333336"/>
    <d v="2022-10-10T00:00:00"/>
    <d v="2022-12-26T00:00:00"/>
    <n v="2.5666666666666669"/>
    <d v="2023-01-31T00:00:00"/>
    <d v="2022-12-28T00:00:00"/>
    <d v="2023-01-01T00:00:00"/>
    <n v="36"/>
    <d v="2027-01-01T00:00:00"/>
    <n v="90784"/>
    <s v="non"/>
    <n v="20.233333333333334"/>
    <n v="148707.99852305808"/>
    <n v="57923.998523058079"/>
    <n v="0"/>
    <x v="44"/>
    <x v="7"/>
    <n v="35.133333333333333"/>
    <n v="21"/>
    <n v="22"/>
    <m/>
    <d v="2025-03-04T00:00:00"/>
    <d v="2025-04-04T00:00:00"/>
    <d v="2026-04-04T00:00:00"/>
    <n v="1.0333333333333334"/>
    <m/>
    <m/>
    <m/>
    <m/>
    <n v="0"/>
    <n v="0"/>
    <m/>
    <s v=""/>
    <d v="2025-04-04T00:00:00"/>
    <x v="44"/>
    <x v="6"/>
    <n v="1"/>
    <n v="7349.65396324834"/>
    <n v="7349.65396324834"/>
  </r>
  <r>
    <s v="IKARIA LLTS"/>
    <x v="7"/>
    <x v="1"/>
    <x v="6"/>
    <s v="PRLC 0214"/>
    <x v="0"/>
    <m/>
    <x v="4"/>
    <x v="2"/>
    <s v="BW 1397"/>
    <x v="0"/>
    <n v="36"/>
    <n v="36"/>
    <m/>
    <n v="36"/>
    <m/>
    <m/>
    <n v="1668.6"/>
    <n v="1786.23"/>
    <n v="46.349999999999994"/>
    <n v="49.6175"/>
    <n v="0.93414621857207636"/>
    <m/>
    <x v="1"/>
    <s v="x"/>
    <m/>
    <n v="0"/>
    <n v="0"/>
    <n v="0"/>
    <d v="2020-02-28T00:00:00"/>
    <d v="2020-07-16T00:00:00"/>
    <d v="2020-07-24T00:00:00"/>
    <n v="4.6333333333333337"/>
    <d v="2022-10-10T00:00:00"/>
    <d v="2022-12-26T00:00:00"/>
    <n v="2.5666666666666669"/>
    <d v="2023-01-31T00:00:00"/>
    <d v="2022-12-28T00:00:00"/>
    <d v="2023-01-01T00:00:00"/>
    <n v="36"/>
    <d v="2027-01-01T00:00:00"/>
    <n v="127318"/>
    <s v="non"/>
    <n v="20.233333333333334"/>
    <n v="236462.75886860728"/>
    <n v="109144.75886860728"/>
    <n v="0"/>
    <x v="44"/>
    <x v="7"/>
    <n v="34.93333333333333"/>
    <n v="21"/>
    <n v="22"/>
    <m/>
    <d v="2025-03-04T00:00:00"/>
    <d v="2025-04-04T00:00:00"/>
    <d v="2026-04-04T00:00:00"/>
    <n v="1.0333333333333334"/>
    <m/>
    <m/>
    <m/>
    <m/>
    <n v="0"/>
    <n v="0"/>
    <m/>
    <s v=""/>
    <d v="2025-04-04T00:00:00"/>
    <x v="44"/>
    <x v="6"/>
    <n v="1"/>
    <n v="11686.792036339733"/>
    <n v="11686.792036339733"/>
  </r>
  <r>
    <s v="Le Ruisseau"/>
    <x v="0"/>
    <x v="0"/>
    <x v="7"/>
    <m/>
    <x v="1"/>
    <m/>
    <x v="0"/>
    <x v="4"/>
    <s v="AM 124"/>
    <x v="3"/>
    <n v="29"/>
    <n v="0"/>
    <m/>
    <m/>
    <m/>
    <n v="29"/>
    <m/>
    <m/>
    <n v="0"/>
    <n v="0"/>
    <n v="0"/>
    <m/>
    <x v="2"/>
    <m/>
    <m/>
    <n v="0"/>
    <s v="-"/>
    <n v="0"/>
    <d v="2021-05-27T00:00:00"/>
    <d v="2021-11-16T00:00:00"/>
    <d v="2021-11-29T00:00:00"/>
    <n v="5.7666666666666666"/>
    <d v="2022-10-05T00:00:00"/>
    <d v="2022-12-26T00:00:00"/>
    <n v="2.7333333333333334"/>
    <d v="2023-01-31T00:00:00"/>
    <d v="2023-03-10T00:00:00"/>
    <d v="2023-01-01T00:00:00"/>
    <n v="24"/>
    <d v="2026-01-01T00:00:00"/>
    <n v="12906"/>
    <s v=""/>
    <n v="0"/>
    <s v=""/>
    <s v=""/>
    <n v="0"/>
    <x v="42"/>
    <x v="7"/>
    <n v="16.866666666666667"/>
    <n v="12"/>
    <n v="15"/>
    <m/>
    <d v="2024-04-06T00:00:00"/>
    <d v="2024-07-06T00:00:00"/>
    <d v="2025-07-06T00:00:00"/>
    <n v="3.0333333333333332"/>
    <m/>
    <m/>
    <m/>
    <m/>
    <n v="0"/>
    <n v="0"/>
    <m/>
    <s v=""/>
    <d v="2024-05-06T00:00:00"/>
    <x v="45"/>
    <x v="6"/>
    <n v="3.0666666666666669"/>
    <m/>
    <s v=""/>
  </r>
  <r>
    <s v="La Chapelle"/>
    <x v="7"/>
    <x v="1"/>
    <x v="6"/>
    <m/>
    <x v="1"/>
    <m/>
    <x v="7"/>
    <x v="4"/>
    <s v="CN 286"/>
    <x v="3"/>
    <n v="38"/>
    <n v="0"/>
    <m/>
    <m/>
    <m/>
    <n v="38"/>
    <m/>
    <m/>
    <n v="0"/>
    <n v="0"/>
    <n v="0"/>
    <m/>
    <x v="2"/>
    <m/>
    <m/>
    <n v="0"/>
    <s v="-"/>
    <n v="0"/>
    <d v="2020-05-29T00:00:00"/>
    <d v="2020-10-14T00:00:00"/>
    <m/>
    <n v="4.5999999999999996"/>
    <d v="2021-10-13T00:00:00"/>
    <d v="2022-01-17T00:00:00"/>
    <n v="3.2"/>
    <d v="2022-02-28T00:00:00"/>
    <d v="2022-01-24T00:00:00"/>
    <d v="2022-02-01T00:00:00"/>
    <n v="24"/>
    <d v="2025-02-01T00:00:00"/>
    <m/>
    <s v=""/>
    <n v="0"/>
    <s v=""/>
    <s v=""/>
    <n v="0"/>
    <x v="45"/>
    <x v="6"/>
    <n v="25.166666666666668"/>
    <n v="12"/>
    <n v="20"/>
    <m/>
    <d v="2023-11-08T00:00:00"/>
    <d v="2024-07-08T00:00:00"/>
    <d v="2025-07-08T00:00:00"/>
    <n v="8.1"/>
    <m/>
    <m/>
    <m/>
    <m/>
    <n v="0"/>
    <n v="0"/>
    <m/>
    <s v=""/>
    <d v="2023-12-08T00:00:00"/>
    <x v="46"/>
    <x v="6"/>
    <n v="8.1333333333333329"/>
    <m/>
    <s v=""/>
  </r>
  <r>
    <s v="Chemin Galet 1"/>
    <x v="1"/>
    <x v="1"/>
    <x v="6"/>
    <m/>
    <x v="1"/>
    <m/>
    <x v="0"/>
    <x v="4"/>
    <s v="BY 1388 - 1385"/>
    <x v="3"/>
    <n v="30"/>
    <n v="0"/>
    <m/>
    <m/>
    <m/>
    <n v="30"/>
    <m/>
    <m/>
    <n v="0"/>
    <n v="0"/>
    <n v="0"/>
    <m/>
    <x v="2"/>
    <s v="x"/>
    <m/>
    <n v="0"/>
    <s v="-"/>
    <n v="0"/>
    <d v="2020-05-28T00:00:00"/>
    <d v="2020-08-28T00:00:00"/>
    <d v="2020-09-03T00:00:00"/>
    <n v="3.0666666666666669"/>
    <d v="2021-09-28T00:00:00"/>
    <d v="2021-12-27T00:00:00"/>
    <n v="3"/>
    <d v="2022-01-31T00:00:00"/>
    <d v="2021-12-27T00:00:00"/>
    <d v="2022-01-01T00:00:00"/>
    <n v="24"/>
    <d v="2025-01-01T00:00:00"/>
    <m/>
    <s v=""/>
    <n v="0"/>
    <s v=""/>
    <s v=""/>
    <n v="0"/>
    <x v="46"/>
    <x v="6"/>
    <n v="24.433333333333334"/>
    <n v="12"/>
    <n v="24"/>
    <m/>
    <d v="2023-08-31T00:00:00"/>
    <d v="2024-09-02T00:00:00"/>
    <d v="2025-09-02T00:00:00"/>
    <n v="12.266666666666667"/>
    <m/>
    <m/>
    <m/>
    <m/>
    <n v="0"/>
    <n v="0"/>
    <m/>
    <s v=""/>
    <d v="2023-09-30T00:00:00"/>
    <x v="47"/>
    <x v="6"/>
    <n v="12.266666666666667"/>
    <m/>
    <s v=""/>
  </r>
  <r>
    <s v="Chemin Galet 2"/>
    <x v="1"/>
    <x v="1"/>
    <x v="6"/>
    <m/>
    <x v="1"/>
    <m/>
    <x v="0"/>
    <x v="4"/>
    <s v="BY 1380 – 1381 – 1382 – 1394 – 1396"/>
    <x v="3"/>
    <n v="32"/>
    <n v="0"/>
    <m/>
    <m/>
    <m/>
    <n v="32"/>
    <m/>
    <m/>
    <n v="0"/>
    <n v="0"/>
    <n v="0"/>
    <m/>
    <x v="2"/>
    <s v="x"/>
    <m/>
    <n v="0"/>
    <s v="-"/>
    <n v="0"/>
    <d v="2020-05-29T00:00:00"/>
    <d v="2020-09-03T00:00:00"/>
    <m/>
    <n v="3.2333333333333334"/>
    <d v="2021-09-28T00:00:00"/>
    <d v="2022-01-17T00:00:00"/>
    <n v="3.7"/>
    <d v="2022-02-28T00:00:00"/>
    <d v="2022-01-24T00:00:00"/>
    <d v="2022-02-01T00:00:00"/>
    <n v="24"/>
    <d v="2025-02-01T00:00:00"/>
    <m/>
    <s v=""/>
    <n v="0"/>
    <s v=""/>
    <s v=""/>
    <n v="0"/>
    <x v="47"/>
    <x v="6"/>
    <n v="24.433333333333334"/>
    <n v="12"/>
    <n v="23"/>
    <m/>
    <d v="2023-09-06T00:00:00"/>
    <d v="2024-09-02T00:00:00"/>
    <d v="2025-09-02T00:00:00"/>
    <n v="12.066666666666666"/>
    <m/>
    <m/>
    <m/>
    <m/>
    <n v="0"/>
    <n v="0"/>
    <m/>
    <s v=""/>
    <d v="2023-10-06T00:00:00"/>
    <x v="47"/>
    <x v="6"/>
    <n v="12.066666666666666"/>
    <m/>
    <s v=""/>
  </r>
  <r>
    <s v="Lacaussade 1"/>
    <x v="1"/>
    <x v="1"/>
    <x v="7"/>
    <m/>
    <x v="1"/>
    <m/>
    <x v="0"/>
    <x v="5"/>
    <s v="BN 176 – 1176 – 773 – 772"/>
    <x v="3"/>
    <n v="36"/>
    <n v="0"/>
    <m/>
    <m/>
    <m/>
    <n v="36"/>
    <m/>
    <m/>
    <n v="0"/>
    <n v="0"/>
    <n v="0"/>
    <m/>
    <x v="2"/>
    <s v="x"/>
    <m/>
    <n v="0"/>
    <s v="-"/>
    <n v="0"/>
    <d v="2021-05-27T00:00:00"/>
    <d v="2021-10-27T00:00:00"/>
    <d v="2021-11-02T00:00:00"/>
    <n v="5.0999999999999996"/>
    <d v="2022-09-20T00:00:00"/>
    <d v="2023-06-02T00:00:00"/>
    <n v="8.5"/>
    <d v="2023-07-31T00:00:00"/>
    <m/>
    <m/>
    <m/>
    <d v="1900-12-31T00:00:00"/>
    <m/>
    <s v=""/>
    <n v="0"/>
    <s v=""/>
    <s v=""/>
    <n v="0"/>
    <x v="48"/>
    <x v="8"/>
    <n v="23.433333333333334"/>
    <n v="12"/>
    <n v="13"/>
    <m/>
    <d v="2024-09-30T00:00:00"/>
    <d v="2024-10-30T00:00:00"/>
    <d v="2025-10-30T00:00:00"/>
    <n v="1"/>
    <m/>
    <m/>
    <m/>
    <m/>
    <n v="0"/>
    <n v="0"/>
    <m/>
    <s v=""/>
    <d v="2024-10-30T00:00:00"/>
    <x v="48"/>
    <x v="6"/>
    <n v="1.0333333333333334"/>
    <m/>
    <s v=""/>
  </r>
  <r>
    <s v="VEFA JARDINS PARTAGES T1 Bat E - 34 LLS "/>
    <x v="7"/>
    <x v="1"/>
    <x v="7"/>
    <s v="PRLC 0234"/>
    <x v="0"/>
    <m/>
    <x v="4"/>
    <x v="2"/>
    <s v="EN 563"/>
    <x v="1"/>
    <n v="34"/>
    <n v="34"/>
    <n v="34"/>
    <m/>
    <m/>
    <m/>
    <n v="2512.4"/>
    <n v="2978.48"/>
    <n v="73.89411764705882"/>
    <n v="87.602352941176477"/>
    <n v="0.84351749885847815"/>
    <m/>
    <x v="0"/>
    <s v="x"/>
    <n v="6544231.29"/>
    <n v="2604.7728427002071"/>
    <n v="2197.1714733689669"/>
    <n v="192477.39088235295"/>
    <d v="2021-09-22T00:00:00"/>
    <d v="2021-12-15T00:00:00"/>
    <d v="2021-12-27T00:00:00"/>
    <n v="2.8"/>
    <d v="2022-11-22T00:00:00"/>
    <d v="2022-12-26T00:00:00"/>
    <n v="1.1333333333333333"/>
    <d v="2023-01-31T00:00:00"/>
    <d v="2023-01-04T00:00:00"/>
    <d v="2023-01-01T00:00:00"/>
    <n v="36"/>
    <d v="2027-01-01T00:00:00"/>
    <n v="227737"/>
    <s v="non"/>
    <n v="14.266666666666667"/>
    <n v="263813.55081844184"/>
    <n v="36076.550818441843"/>
    <n v="0"/>
    <x v="44"/>
    <x v="7"/>
    <n v="17.7"/>
    <n v="27"/>
    <n v="28"/>
    <m/>
    <d v="2025-08-30T00:00:00"/>
    <d v="2025-09-30T00:00:00"/>
    <d v="2026-09-30T00:00:00"/>
    <n v="1.0333333333333334"/>
    <d v="2025-09-30T00:00:00"/>
    <d v="2025-09-30T00:00:00"/>
    <d v="2025-09-30T00:00:00"/>
    <d v="2025-09-30T00:00:00"/>
    <n v="0"/>
    <n v="0"/>
    <m/>
    <s v=""/>
    <d v="2025-10-30T00:00:00"/>
    <x v="49"/>
    <x v="6"/>
    <n v="0"/>
    <n v="18491.604029330036"/>
    <n v="0"/>
  </r>
  <r>
    <s v="VEFA JARDINS PARTAGES T1 Bat I 40 LLS "/>
    <x v="7"/>
    <x v="1"/>
    <x v="7"/>
    <s v="PRLC 0233"/>
    <x v="0"/>
    <m/>
    <x v="4"/>
    <x v="2"/>
    <s v="EN 563"/>
    <x v="1"/>
    <n v="40"/>
    <n v="40"/>
    <n v="40"/>
    <m/>
    <m/>
    <m/>
    <n v="3064.24"/>
    <n v="3596.91"/>
    <n v="76.605999999999995"/>
    <n v="89.922749999999994"/>
    <n v="0.85190899966916045"/>
    <m/>
    <x v="0"/>
    <s v="x"/>
    <n v="8363408"/>
    <n v="2729.3580137326062"/>
    <n v="2325.1646552179509"/>
    <n v="209085.2"/>
    <d v="2021-09-22T00:00:00"/>
    <d v="2021-12-15T00:00:00"/>
    <d v="2021-12-27T00:00:00"/>
    <n v="2.8"/>
    <d v="2022-11-22T00:00:00"/>
    <d v="2022-12-26T00:00:00"/>
    <n v="1.1333333333333333"/>
    <d v="2023-01-31T00:00:00"/>
    <d v="2023-01-04T00:00:00"/>
    <d v="2023-01-01T00:00:00"/>
    <n v="36"/>
    <d v="2027-01-01T00:00:00"/>
    <n v="306350"/>
    <s v="non"/>
    <n v="14.266666666666667"/>
    <n v="313564.37739814981"/>
    <n v="7214.3773981498089"/>
    <n v="0"/>
    <x v="44"/>
    <x v="7"/>
    <n v="17.7"/>
    <n v="27"/>
    <n v="28"/>
    <m/>
    <d v="2025-08-30T00:00:00"/>
    <d v="2025-09-30T00:00:00"/>
    <d v="2026-09-30T00:00:00"/>
    <n v="1.0333333333333334"/>
    <d v="2025-09-30T00:00:00"/>
    <d v="2025-09-30T00:00:00"/>
    <d v="2025-09-30T00:00:00"/>
    <d v="2025-09-30T00:00:00"/>
    <n v="0"/>
    <n v="0"/>
    <m/>
    <s v=""/>
    <d v="2025-10-30T00:00:00"/>
    <x v="49"/>
    <x v="6"/>
    <n v="0"/>
    <n v="21978.811499870313"/>
    <n v="0"/>
  </r>
  <r>
    <s v="Cazala"/>
    <x v="1"/>
    <x v="1"/>
    <x v="7"/>
    <m/>
    <x v="1"/>
    <m/>
    <x v="3"/>
    <x v="6"/>
    <s v="BO 423 – 416 – 437 – 411"/>
    <x v="3"/>
    <n v="57"/>
    <n v="0"/>
    <m/>
    <m/>
    <m/>
    <n v="57"/>
    <m/>
    <m/>
    <n v="0"/>
    <n v="0"/>
    <n v="0"/>
    <m/>
    <x v="2"/>
    <s v="x"/>
    <m/>
    <n v="0"/>
    <s v="-"/>
    <n v="0"/>
    <d v="2021-05-27T00:00:00"/>
    <d v="2021-11-16T00:00:00"/>
    <d v="2021-11-29T00:00:00"/>
    <n v="5.7666666666666666"/>
    <m/>
    <m/>
    <n v="0"/>
    <s v=""/>
    <m/>
    <m/>
    <m/>
    <d v="1900-12-31T00:00:00"/>
    <m/>
    <s v=""/>
    <n v="0"/>
    <s v=""/>
    <s v=""/>
    <n v="0"/>
    <x v="49"/>
    <x v="8"/>
    <n v="28.333333333333332"/>
    <n v="12"/>
    <n v="13"/>
    <m/>
    <d v="2025-03-15T00:00:00"/>
    <d v="2025-04-15T00:00:00"/>
    <d v="2026-04-15T00:00:00"/>
    <n v="1.0333333333333334"/>
    <m/>
    <m/>
    <m/>
    <m/>
    <n v="0"/>
    <n v="0"/>
    <m/>
    <s v=""/>
    <d v="2025-04-15T00:00:00"/>
    <x v="50"/>
    <x v="6"/>
    <n v="1"/>
    <m/>
    <s v=""/>
  </r>
  <r>
    <s v="Orchidées 2"/>
    <x v="7"/>
    <x v="1"/>
    <x v="7"/>
    <m/>
    <x v="1"/>
    <m/>
    <x v="2"/>
    <x v="5"/>
    <s v="BW 2757 – 2187 - 2180"/>
    <x v="3"/>
    <n v="86"/>
    <n v="0"/>
    <m/>
    <m/>
    <m/>
    <n v="86"/>
    <m/>
    <m/>
    <n v="0"/>
    <n v="0"/>
    <n v="0"/>
    <m/>
    <x v="2"/>
    <s v="x"/>
    <m/>
    <n v="0"/>
    <s v="-"/>
    <n v="0"/>
    <d v="2021-05-27T00:00:00"/>
    <d v="2021-11-16T00:00:00"/>
    <d v="2021-11-29T00:00:00"/>
    <n v="5.7666666666666666"/>
    <d v="2023-05-16T00:00:00"/>
    <d v="2023-06-16T00:00:00"/>
    <n v="1.0333333333333334"/>
    <d v="2023-07-31T00:00:00"/>
    <m/>
    <m/>
    <n v="24"/>
    <d v="1902-12-31T00:00:00"/>
    <m/>
    <s v=""/>
    <n v="0"/>
    <s v=""/>
    <s v=""/>
    <n v="0"/>
    <x v="50"/>
    <x v="8"/>
    <n v="22.933333333333334"/>
    <n v="18"/>
    <n v="19"/>
    <m/>
    <d v="2025-04-05T00:00:00"/>
    <d v="2025-05-05T00:00:00"/>
    <d v="2026-05-05T00:00:00"/>
    <n v="1"/>
    <m/>
    <m/>
    <m/>
    <m/>
    <n v="0"/>
    <n v="0"/>
    <m/>
    <s v=""/>
    <d v="2025-05-05T00:00:00"/>
    <x v="51"/>
    <x v="6"/>
    <n v="1.0333333333333334"/>
    <m/>
    <s v=""/>
  </r>
  <r>
    <s v="Usine à Vetyver"/>
    <x v="1"/>
    <x v="1"/>
    <x v="8"/>
    <m/>
    <x v="1"/>
    <m/>
    <x v="0"/>
    <x v="6"/>
    <s v="BN 704-929"/>
    <x v="3"/>
    <n v="44"/>
    <n v="0"/>
    <m/>
    <m/>
    <m/>
    <n v="44"/>
    <m/>
    <m/>
    <n v="0"/>
    <n v="0"/>
    <n v="0"/>
    <m/>
    <x v="2"/>
    <s v="x"/>
    <m/>
    <n v="0"/>
    <s v="-"/>
    <n v="0"/>
    <d v="2022-04-27T00:00:00"/>
    <d v="2022-12-13T00:00:00"/>
    <m/>
    <n v="7.666666666666667"/>
    <m/>
    <m/>
    <n v="0"/>
    <s v=""/>
    <m/>
    <m/>
    <m/>
    <d v="1900-12-31T00:00:00"/>
    <m/>
    <s v=""/>
    <n v="0"/>
    <s v=""/>
    <s v=""/>
    <n v="0"/>
    <x v="51"/>
    <x v="8"/>
    <n v="14.3"/>
    <n v="14"/>
    <n v="15"/>
    <m/>
    <d v="2025-04-15T00:00:00"/>
    <d v="2025-05-15T00:00:00"/>
    <d v="2026-05-15T00:00:00"/>
    <n v="1"/>
    <m/>
    <m/>
    <m/>
    <m/>
    <n v="0"/>
    <n v="0"/>
    <m/>
    <s v=""/>
    <d v="2025-05-15T00:00:00"/>
    <x v="52"/>
    <x v="6"/>
    <n v="1.0333333333333334"/>
    <m/>
    <s v=""/>
  </r>
  <r>
    <s v="Les Benjoins 1"/>
    <x v="8"/>
    <x v="1"/>
    <x v="8"/>
    <m/>
    <x v="1"/>
    <m/>
    <x v="6"/>
    <x v="6"/>
    <s v="AP 1675"/>
    <x v="3"/>
    <n v="24"/>
    <n v="0"/>
    <m/>
    <m/>
    <m/>
    <n v="24"/>
    <m/>
    <m/>
    <n v="0"/>
    <n v="0"/>
    <n v="0"/>
    <m/>
    <x v="2"/>
    <m/>
    <m/>
    <n v="0"/>
    <s v="-"/>
    <n v="0"/>
    <d v="2022-04-22T00:00:00"/>
    <d v="2022-12-27T00:00:00"/>
    <d v="2023-02-02T00:00:00"/>
    <n v="8.3000000000000007"/>
    <m/>
    <m/>
    <n v="0"/>
    <s v=""/>
    <m/>
    <m/>
    <m/>
    <d v="1900-12-31T00:00:00"/>
    <m/>
    <s v=""/>
    <n v="0"/>
    <s v=""/>
    <s v=""/>
    <n v="0"/>
    <x v="52"/>
    <x v="8"/>
    <n v="15.833333333333334"/>
    <n v="12"/>
    <n v="13"/>
    <m/>
    <d v="2025-04-15T00:00:00"/>
    <d v="2025-05-15T00:00:00"/>
    <d v="2026-05-15T00:00:00"/>
    <n v="1"/>
    <m/>
    <m/>
    <m/>
    <m/>
    <n v="0"/>
    <n v="0"/>
    <m/>
    <s v=""/>
    <d v="2025-05-15T00:00:00"/>
    <x v="52"/>
    <x v="6"/>
    <n v="1.0333333333333334"/>
    <m/>
    <s v=""/>
  </r>
  <r>
    <s v="VEFA JARDINS PARTAGES T1 Bat E - 5 LLTS "/>
    <x v="7"/>
    <x v="1"/>
    <x v="7"/>
    <s v="PRLC 0234"/>
    <x v="0"/>
    <m/>
    <x v="4"/>
    <x v="2"/>
    <s v="EN 563"/>
    <x v="0"/>
    <n v="5"/>
    <n v="5"/>
    <m/>
    <n v="5"/>
    <m/>
    <m/>
    <n v="239.35"/>
    <n v="323.2"/>
    <n v="47.87"/>
    <n v="64.64"/>
    <n v="0.74056311881188119"/>
    <m/>
    <x v="0"/>
    <s v="x"/>
    <n v="680220.73"/>
    <n v="2841.9499895550448"/>
    <n v="2104.6433477722771"/>
    <n v="136044.14600000001"/>
    <d v="2021-09-22T00:00:00"/>
    <d v="2021-12-23T00:00:00"/>
    <d v="2021-12-27T00:00:00"/>
    <n v="3.0666666666666669"/>
    <d v="2022-11-22T00:00:00"/>
    <d v="2022-12-26T00:00:00"/>
    <n v="1.1333333333333333"/>
    <d v="2023-01-31T00:00:00"/>
    <d v="2023-01-04T00:00:00"/>
    <d v="2023-01-01T00:00:00"/>
    <n v="36"/>
    <d v="2027-01-01T00:00:00"/>
    <n v="19102"/>
    <s v="non"/>
    <n v="14.266666666666667"/>
    <n v="23653.831905501909"/>
    <n v="4551.8319055019092"/>
    <n v="0"/>
    <x v="44"/>
    <x v="7"/>
    <n v="17.433333333333334"/>
    <n v="27"/>
    <n v="28"/>
    <m/>
    <d v="2025-08-30T00:00:00"/>
    <d v="2025-09-30T00:00:00"/>
    <d v="2026-09-30T00:00:00"/>
    <n v="1.0333333333333334"/>
    <d v="2025-09-30T00:00:00"/>
    <d v="2025-09-30T00:00:00"/>
    <d v="2025-09-30T00:00:00"/>
    <d v="2025-09-30T00:00:00"/>
    <n v="0"/>
    <n v="0"/>
    <m/>
    <s v=""/>
    <d v="2025-10-30T00:00:00"/>
    <x v="49"/>
    <x v="6"/>
    <n v="0"/>
    <n v="1657.9788718809748"/>
    <n v="0"/>
  </r>
  <r>
    <s v="Cœur de village 40"/>
    <x v="1"/>
    <x v="1"/>
    <x v="7"/>
    <m/>
    <x v="1"/>
    <m/>
    <x v="0"/>
    <x v="6"/>
    <s v="CV 589 - 650"/>
    <x v="3"/>
    <n v="40"/>
    <n v="0"/>
    <m/>
    <m/>
    <m/>
    <n v="40"/>
    <m/>
    <m/>
    <n v="0"/>
    <n v="0"/>
    <n v="0"/>
    <m/>
    <x v="2"/>
    <m/>
    <m/>
    <n v="0"/>
    <s v="-"/>
    <n v="0"/>
    <d v="2021-05-27T00:00:00"/>
    <d v="2021-11-16T00:00:00"/>
    <d v="2021-11-29T00:00:00"/>
    <n v="5.7666666666666666"/>
    <m/>
    <m/>
    <n v="0"/>
    <s v=""/>
    <m/>
    <m/>
    <m/>
    <d v="1900-12-31T00:00:00"/>
    <m/>
    <s v=""/>
    <n v="0"/>
    <s v=""/>
    <s v=""/>
    <n v="0"/>
    <x v="53"/>
    <x v="8"/>
    <n v="31.4"/>
    <n v="12"/>
    <n v="13"/>
    <m/>
    <d v="2025-06-15T00:00:00"/>
    <d v="2025-07-15T00:00:00"/>
    <d v="2026-07-15T00:00:00"/>
    <n v="1"/>
    <m/>
    <m/>
    <m/>
    <m/>
    <n v="0"/>
    <n v="0"/>
    <m/>
    <s v=""/>
    <d v="2025-07-15T00:00:00"/>
    <x v="53"/>
    <x v="6"/>
    <n v="1.0333333333333334"/>
    <m/>
    <s v=""/>
  </r>
  <r>
    <s v="BERIVE"/>
    <x v="7"/>
    <x v="1"/>
    <x v="8"/>
    <m/>
    <x v="1"/>
    <m/>
    <x v="0"/>
    <x v="6"/>
    <s v="CS 1027, 1025"/>
    <x v="3"/>
    <n v="40"/>
    <n v="0"/>
    <m/>
    <m/>
    <m/>
    <n v="40"/>
    <m/>
    <m/>
    <n v="0"/>
    <n v="0"/>
    <n v="0"/>
    <m/>
    <x v="2"/>
    <m/>
    <m/>
    <n v="0"/>
    <s v="-"/>
    <n v="0"/>
    <d v="2022-04-22T00:00:00"/>
    <d v="2022-12-27T00:00:00"/>
    <d v="2023-02-02T00:00:00"/>
    <n v="8.3000000000000007"/>
    <m/>
    <m/>
    <n v="0"/>
    <s v=""/>
    <m/>
    <m/>
    <m/>
    <d v="1900-12-31T00:00:00"/>
    <m/>
    <s v=""/>
    <n v="0"/>
    <s v=""/>
    <s v=""/>
    <n v="0"/>
    <x v="52"/>
    <x v="8"/>
    <n v="15.833333333333334"/>
    <n v="14"/>
    <n v="15"/>
    <m/>
    <d v="2025-06-15T00:00:00"/>
    <d v="2025-07-15T00:00:00"/>
    <d v="2026-07-15T00:00:00"/>
    <n v="1"/>
    <m/>
    <m/>
    <m/>
    <m/>
    <n v="0"/>
    <n v="0"/>
    <m/>
    <s v=""/>
    <d v="2025-07-15T00:00:00"/>
    <x v="53"/>
    <x v="6"/>
    <n v="1.0333333333333334"/>
    <m/>
    <s v=""/>
  </r>
  <r>
    <s v="VEFA JARDINS PARTAGES T1 Bat J - 40 PLS "/>
    <x v="7"/>
    <x v="1"/>
    <x v="8"/>
    <s v="PRLC 0220"/>
    <x v="3"/>
    <s v="JPI"/>
    <x v="7"/>
    <x v="4"/>
    <s v="EN 563"/>
    <x v="2"/>
    <n v="40"/>
    <n v="40"/>
    <m/>
    <m/>
    <n v="40"/>
    <m/>
    <n v="3064.24"/>
    <n v="3596.91"/>
    <n v="76.605999999999995"/>
    <n v="89.922749999999994"/>
    <n v="0.85190899966916045"/>
    <m/>
    <x v="0"/>
    <s v="x"/>
    <n v="8048510"/>
    <n v="2626.5925645510797"/>
    <n v="2237.6178442051651"/>
    <n v="201212.75"/>
    <d v="2021-09-22T00:00:00"/>
    <d v="2022-05-24T00:00:00"/>
    <d v="2022-05-25T00:00:00"/>
    <n v="8.1333333333333329"/>
    <d v="2022-09-29T00:00:00"/>
    <d v="2022-12-26T00:00:00"/>
    <n v="2.9333333333333331"/>
    <d v="2023-01-31T00:00:00"/>
    <d v="2023-01-04T00:00:00"/>
    <d v="2023-01-01T00:00:00"/>
    <n v="36"/>
    <d v="2027-01-01T00:00:00"/>
    <n v="399919"/>
    <s v="oui"/>
    <n v="14.266666666666667"/>
    <n v="397377.5571265645"/>
    <n v="-2541.4428734355024"/>
    <n v="2541.4428734355024"/>
    <x v="44"/>
    <x v="7"/>
    <n v="12.366666666666667"/>
    <n v="27"/>
    <n v="28"/>
    <m/>
    <d v="2025-08-30T00:00:00"/>
    <d v="2025-09-30T00:00:00"/>
    <d v="2026-09-30T00:00:00"/>
    <n v="1.0333333333333334"/>
    <d v="2025-09-30T00:00:00"/>
    <d v="2025-09-30T00:00:00"/>
    <d v="2025-09-30T00:00:00"/>
    <d v="2025-09-30T00:00:00"/>
    <n v="0"/>
    <n v="0"/>
    <m/>
    <s v=""/>
    <d v="2025-10-30T00:00:00"/>
    <x v="49"/>
    <x v="6"/>
    <n v="0"/>
    <n v="27853.567088310596"/>
    <n v="0"/>
  </r>
  <r>
    <s v="GORBATCHEV"/>
    <x v="7"/>
    <x v="1"/>
    <x v="7"/>
    <s v="PRLC 0206"/>
    <x v="3"/>
    <m/>
    <x v="5"/>
    <x v="5"/>
    <s v="BY 284"/>
    <x v="2"/>
    <n v="31"/>
    <n v="31"/>
    <m/>
    <m/>
    <n v="31"/>
    <m/>
    <n v="2393.27"/>
    <n v="2825.69"/>
    <n v="77.20225806451613"/>
    <n v="91.15129032258065"/>
    <n v="0.84696835109300739"/>
    <m/>
    <x v="1"/>
    <s v="x"/>
    <m/>
    <n v="0"/>
    <n v="0"/>
    <n v="0"/>
    <d v="2021-02-16T00:00:00"/>
    <d v="2021-06-24T00:00:00"/>
    <d v="2021-06-28T00:00:00"/>
    <n v="4.2666666666666666"/>
    <d v="2023-03-27T00:00:00"/>
    <d v="2023-06-05T00:00:00"/>
    <n v="2.3333333333333335"/>
    <d v="2023-07-31T00:00:00"/>
    <d v="2023-06-19T00:00:00"/>
    <d v="2023-07-05T00:00:00"/>
    <n v="36"/>
    <d v="2027-07-05T00:00:00"/>
    <n v="389072"/>
    <s v="non"/>
    <n v="23.6"/>
    <n v="511779.55917647493"/>
    <n v="122707.55917647493"/>
    <n v="0"/>
    <x v="54"/>
    <x v="7"/>
    <n v="27.5"/>
    <n v="20"/>
    <n v="21"/>
    <m/>
    <d v="2025-05-27T00:00:00"/>
    <d v="2025-06-27T00:00:00"/>
    <d v="2026-06-27T00:00:00"/>
    <n v="1.0333333333333334"/>
    <m/>
    <m/>
    <m/>
    <m/>
    <n v="0"/>
    <n v="0"/>
    <m/>
    <s v=""/>
    <d v="2025-06-27T00:00:00"/>
    <x v="54"/>
    <x v="6"/>
    <n v="1"/>
    <n v="21685.574541376056"/>
    <n v="21685.574541376056"/>
  </r>
  <r>
    <s v="GINGKO &amp; BILOBA LLS"/>
    <x v="2"/>
    <x v="0"/>
    <x v="6"/>
    <s v="PRLC 0213"/>
    <x v="2"/>
    <s v="JPI"/>
    <x v="3"/>
    <x v="5"/>
    <s v="AT 183"/>
    <x v="1"/>
    <n v="16"/>
    <n v="16"/>
    <n v="16"/>
    <m/>
    <m/>
    <m/>
    <n v="1076.78"/>
    <n v="1353.79"/>
    <n v="67.298749999999998"/>
    <n v="84.611874999999998"/>
    <n v="0.79538185390644045"/>
    <m/>
    <x v="1"/>
    <s v="x"/>
    <m/>
    <n v="0"/>
    <n v="0"/>
    <n v="0"/>
    <d v="2020-02-28T00:00:00"/>
    <d v="2020-07-10T00:00:00"/>
    <d v="2020-07-24T00:00:00"/>
    <n v="4.4333333333333336"/>
    <d v="2023-09-27T00:00:00"/>
    <m/>
    <n v="0"/>
    <s v=""/>
    <m/>
    <m/>
    <m/>
    <d v="1900-12-31T00:00:00"/>
    <m/>
    <s v="non"/>
    <n v="-1520.3333333333333"/>
    <n v="0"/>
    <n v="0"/>
    <n v="0"/>
    <x v="49"/>
    <x v="8"/>
    <n v="44.8"/>
    <n v="18"/>
    <n v="19"/>
    <m/>
    <d v="2025-09-15T00:00:00"/>
    <d v="2025-10-15T00:00:00"/>
    <d v="2026-10-15T00:00:00"/>
    <n v="1"/>
    <m/>
    <m/>
    <m/>
    <m/>
    <n v="0"/>
    <n v="0"/>
    <m/>
    <s v=""/>
    <d v="2025-10-15T00:00:00"/>
    <x v="55"/>
    <x v="6"/>
    <n v="1.0333333333333334"/>
    <m/>
    <n v="0"/>
  </r>
  <r>
    <s v="GINGKO &amp; BILOBA LLTS"/>
    <x v="2"/>
    <x v="0"/>
    <x v="6"/>
    <s v="PRLC 0213"/>
    <x v="0"/>
    <m/>
    <x v="4"/>
    <x v="2"/>
    <s v="AT 184/200 p"/>
    <x v="0"/>
    <n v="25"/>
    <n v="25"/>
    <m/>
    <n v="25"/>
    <m/>
    <m/>
    <n v="1140.67"/>
    <n v="1517.23"/>
    <n v="45.626800000000003"/>
    <n v="60.6892"/>
    <n v="0.75181086585422119"/>
    <m/>
    <x v="1"/>
    <s v="x"/>
    <m/>
    <n v="0"/>
    <n v="0"/>
    <n v="0"/>
    <d v="2020-02-28T00:00:00"/>
    <d v="2020-07-10T00:00:00"/>
    <d v="2020-07-24T00:00:00"/>
    <n v="4.4333333333333336"/>
    <d v="2023-09-27T00:00:00"/>
    <m/>
    <n v="0"/>
    <s v=""/>
    <m/>
    <m/>
    <m/>
    <d v="1900-12-31T00:00:00"/>
    <m/>
    <s v="non"/>
    <n v="-1520.3333333333333"/>
    <n v="0"/>
    <n v="0"/>
    <n v="0"/>
    <x v="49"/>
    <x v="8"/>
    <n v="44.8"/>
    <n v="18"/>
    <n v="19"/>
    <m/>
    <d v="2025-09-15T00:00:00"/>
    <d v="2025-10-15T00:00:00"/>
    <d v="2026-10-15T00:00:00"/>
    <n v="1"/>
    <m/>
    <m/>
    <m/>
    <m/>
    <n v="0"/>
    <n v="0"/>
    <m/>
    <s v=""/>
    <d v="2025-10-15T00:00:00"/>
    <x v="55"/>
    <x v="6"/>
    <n v="1.0333333333333334"/>
    <m/>
    <n v="0"/>
  </r>
  <r>
    <s v="VEFA Abbé BRUGUIERES LLS"/>
    <x v="0"/>
    <x v="0"/>
    <x v="9"/>
    <s v="PRLC 0246"/>
    <x v="0"/>
    <m/>
    <x v="4"/>
    <x v="2"/>
    <s v="AI 411-412"/>
    <x v="1"/>
    <n v="36"/>
    <n v="36"/>
    <n v="36"/>
    <m/>
    <m/>
    <m/>
    <n v="2467.8000000000002"/>
    <n v="2876.42"/>
    <n v="68.550000000000011"/>
    <n v="79.900555555555556"/>
    <n v="0.85794146890926926"/>
    <m/>
    <x v="0"/>
    <s v="x"/>
    <n v="6595727.7769341907"/>
    <n v="2672.7156888460127"/>
    <n v="2293.0336240653974"/>
    <n v="183214.66047039418"/>
    <d v="2023-04-12T00:00:00"/>
    <m/>
    <m/>
    <n v="0"/>
    <m/>
    <m/>
    <n v="0"/>
    <s v=""/>
    <m/>
    <m/>
    <m/>
    <d v="1900-12-31T00:00:00"/>
    <m/>
    <s v="non"/>
    <n v="-1526.8666666666666"/>
    <n v="0"/>
    <n v="0"/>
    <n v="0"/>
    <x v="55"/>
    <x v="8"/>
    <n v="1512.7"/>
    <n v="24"/>
    <n v="25"/>
    <m/>
    <d v="2026-03-30T00:00:00"/>
    <d v="2026-04-30T00:00:00"/>
    <d v="2027-04-30T00:00:00"/>
    <n v="1.0333333333333334"/>
    <d v="2026-04-30T00:00:00"/>
    <d v="2026-04-30T00:00:00"/>
    <d v="2026-04-30T00:00:00"/>
    <d v="2026-04-30T00:00:00"/>
    <n v="0"/>
    <n v="0"/>
    <m/>
    <s v=""/>
    <d v="2026-05-30T00:00:00"/>
    <x v="56"/>
    <x v="6"/>
    <n v="0"/>
    <m/>
    <n v="0"/>
  </r>
  <r>
    <s v="VEFA Abbé BRUGUIERES LLTS"/>
    <x v="0"/>
    <x v="0"/>
    <x v="9"/>
    <s v="PRLC 0246"/>
    <x v="3"/>
    <m/>
    <x v="7"/>
    <x v="7"/>
    <s v="AI 411-412"/>
    <x v="0"/>
    <n v="21"/>
    <n v="21"/>
    <m/>
    <n v="21"/>
    <m/>
    <m/>
    <n v="974.33999999999992"/>
    <n v="1274.68"/>
    <n v="46.397142857142853"/>
    <n v="60.699047619047619"/>
    <n v="0.76438007970627908"/>
    <m/>
    <x v="0"/>
    <s v="x"/>
    <n v="3006902.7983074551"/>
    <n v="3086.0919168949804"/>
    <n v="2358.9471854170888"/>
    <n v="143185.84753845024"/>
    <d v="2023-04-12T00:00:00"/>
    <m/>
    <m/>
    <n v="0"/>
    <m/>
    <m/>
    <n v="0"/>
    <s v=""/>
    <m/>
    <m/>
    <m/>
    <d v="1900-12-31T00:00:00"/>
    <m/>
    <s v="non"/>
    <n v="-1526.8666666666666"/>
    <n v="0"/>
    <n v="0"/>
    <n v="0"/>
    <x v="55"/>
    <x v="8"/>
    <n v="1512.7"/>
    <n v="24"/>
    <n v="25"/>
    <m/>
    <d v="2026-03-30T00:00:00"/>
    <d v="2026-04-30T00:00:00"/>
    <d v="2027-04-30T00:00:00"/>
    <n v="1.0333333333333334"/>
    <d v="2026-04-30T00:00:00"/>
    <d v="2026-04-30T00:00:00"/>
    <d v="2026-04-30T00:00:00"/>
    <d v="2026-04-30T00:00:00"/>
    <n v="0"/>
    <n v="0"/>
    <m/>
    <s v=""/>
    <d v="2026-05-30T00:00:00"/>
    <x v="56"/>
    <x v="6"/>
    <n v="0"/>
    <m/>
    <n v="0"/>
  </r>
  <r>
    <s v="RESIDENCE SOCIALE EL 1163"/>
    <x v="4"/>
    <x v="0"/>
    <x v="10"/>
    <m/>
    <x v="4"/>
    <m/>
    <x v="2"/>
    <x v="8"/>
    <s v="EL 1163"/>
    <x v="0"/>
    <n v="2"/>
    <n v="2"/>
    <m/>
    <n v="2"/>
    <m/>
    <m/>
    <n v="109.88"/>
    <n v="109.88"/>
    <n v="54.94"/>
    <n v="54.94"/>
    <n v="1"/>
    <m/>
    <x v="1"/>
    <s v="x"/>
    <m/>
    <n v="0"/>
    <n v="0"/>
    <n v="0"/>
    <m/>
    <m/>
    <m/>
    <n v="0"/>
    <m/>
    <m/>
    <n v="0"/>
    <s v=""/>
    <m/>
    <m/>
    <m/>
    <d v="1900-12-31T00:00:00"/>
    <m/>
    <s v="non"/>
    <n v="-1505.6"/>
    <n v="0"/>
    <n v="0"/>
    <n v="0"/>
    <x v="55"/>
    <x v="8"/>
    <n v="1512.7"/>
    <n v="3"/>
    <n v="4"/>
    <m/>
    <d v="2024-06-30T00:00:00"/>
    <d v="2024-07-30T00:00:00"/>
    <d v="2025-07-30T00:00:00"/>
    <n v="1"/>
    <m/>
    <m/>
    <m/>
    <m/>
    <n v="0"/>
    <n v="0"/>
    <m/>
    <s v=""/>
    <d v="2024-07-30T00:00:00"/>
    <x v="57"/>
    <x v="6"/>
    <n v="1.0333333333333334"/>
    <m/>
    <n v="0"/>
  </r>
  <r>
    <s v="RESIDENCE SOCIALE EW 317"/>
    <x v="4"/>
    <x v="0"/>
    <x v="10"/>
    <m/>
    <x v="4"/>
    <m/>
    <x v="2"/>
    <x v="8"/>
    <s v="EW 317"/>
    <x v="0"/>
    <n v="2"/>
    <n v="2"/>
    <m/>
    <n v="2"/>
    <m/>
    <m/>
    <n v="133.6"/>
    <n v="133.6"/>
    <n v="66.8"/>
    <n v="66.8"/>
    <n v="1"/>
    <m/>
    <x v="1"/>
    <s v="x"/>
    <m/>
    <n v="0"/>
    <n v="0"/>
    <n v="0"/>
    <m/>
    <m/>
    <m/>
    <n v="0"/>
    <m/>
    <m/>
    <n v="0"/>
    <s v=""/>
    <m/>
    <m/>
    <m/>
    <d v="1900-12-31T00:00:00"/>
    <m/>
    <s v="non"/>
    <n v="-1505.6"/>
    <n v="0"/>
    <n v="0"/>
    <n v="0"/>
    <x v="55"/>
    <x v="8"/>
    <n v="1512.7"/>
    <n v="3"/>
    <n v="4"/>
    <m/>
    <d v="2024-06-30T00:00:00"/>
    <d v="2024-07-30T00:00:00"/>
    <d v="2025-07-30T00:00:00"/>
    <n v="1"/>
    <m/>
    <m/>
    <m/>
    <m/>
    <n v="0"/>
    <n v="0"/>
    <m/>
    <s v=""/>
    <d v="2024-07-30T00:00:00"/>
    <x v="57"/>
    <x v="6"/>
    <n v="1.0333333333333334"/>
    <m/>
    <n v="0"/>
  </r>
  <r>
    <s v="VEFA JARDINS PARTAGES T1 Bat F - 48 LLS "/>
    <x v="7"/>
    <x v="1"/>
    <x v="7"/>
    <s v="PRLC 0237"/>
    <x v="0"/>
    <m/>
    <x v="4"/>
    <x v="2"/>
    <s v="EN 563"/>
    <x v="1"/>
    <n v="48"/>
    <n v="48"/>
    <n v="48"/>
    <m/>
    <m/>
    <m/>
    <n v="3702.55"/>
    <n v="4367.0849999999982"/>
    <n v="77.136458333333337"/>
    <n v="90.980937499999968"/>
    <n v="0.84783099023719521"/>
    <m/>
    <x v="0"/>
    <s v="x"/>
    <n v="10433637.798000002"/>
    <n v="2817.9600000000005"/>
    <n v="2389.1538172488072"/>
    <n v="217367.45412500005"/>
    <d v="2021-09-22T00:00:00"/>
    <d v="2021-12-15T00:00:00"/>
    <d v="2021-12-27T00:00:00"/>
    <n v="2.8"/>
    <d v="2023-04-15T00:00:00"/>
    <m/>
    <n v="0"/>
    <s v=""/>
    <m/>
    <m/>
    <m/>
    <d v="1900-12-31T00:00:00"/>
    <m/>
    <s v="non"/>
    <n v="-1526.9333333333334"/>
    <n v="0"/>
    <n v="0"/>
    <n v="0"/>
    <x v="56"/>
    <x v="8"/>
    <n v="27.933333333333334"/>
    <n v="24"/>
    <n v="25"/>
    <m/>
    <d v="2026-04-01T00:00:00"/>
    <d v="2026-05-01T00:00:00"/>
    <d v="2027-05-01T00:00:00"/>
    <n v="1"/>
    <d v="2026-05-01T00:00:00"/>
    <d v="2026-05-01T00:00:00"/>
    <d v="2026-05-01T00:00:00"/>
    <d v="2026-05-01T00:00:00"/>
    <n v="0"/>
    <n v="0"/>
    <m/>
    <s v=""/>
    <d v="2026-06-01T00:00:00"/>
    <x v="58"/>
    <x v="6"/>
    <n v="0"/>
    <m/>
    <n v="0"/>
  </r>
  <r>
    <s v="La Cressoniere"/>
    <x v="1"/>
    <x v="1"/>
    <x v="11"/>
    <m/>
    <x v="1"/>
    <m/>
    <x v="0"/>
    <x v="9"/>
    <m/>
    <x v="3"/>
    <n v="45"/>
    <n v="0"/>
    <m/>
    <m/>
    <m/>
    <n v="45"/>
    <m/>
    <m/>
    <n v="0"/>
    <n v="0"/>
    <n v="0"/>
    <m/>
    <x v="2"/>
    <s v="x"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x v="57"/>
    <x v="8"/>
    <n v="1523.4333333333334"/>
    <n v="12"/>
    <n v="13"/>
    <m/>
    <d v="2026-02-15T00:00:00"/>
    <d v="2026-03-15T00:00:00"/>
    <d v="2027-03-15T00:00:00"/>
    <n v="0.93333333333333335"/>
    <m/>
    <m/>
    <m/>
    <m/>
    <n v="0"/>
    <n v="0"/>
    <m/>
    <s v=""/>
    <d v="2026-03-15T00:00:00"/>
    <x v="59"/>
    <x v="6"/>
    <n v="1.0333333333333334"/>
    <m/>
    <s v=""/>
  </r>
  <r>
    <s v="Fabrique Allumettes 1"/>
    <x v="12"/>
    <x v="2"/>
    <x v="12"/>
    <m/>
    <x v="1"/>
    <m/>
    <x v="1"/>
    <x v="9"/>
    <s v="DE 1449_x000a_DE 1451_x000a_DE 1452_x000a_DE 1453_x000a_DE 1455"/>
    <x v="3"/>
    <n v="46"/>
    <n v="0"/>
    <m/>
    <m/>
    <m/>
    <n v="46"/>
    <m/>
    <m/>
    <n v="0"/>
    <n v="0"/>
    <n v="0"/>
    <m/>
    <x v="2"/>
    <s v="x"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x v="57"/>
    <x v="8"/>
    <n v="1523.4333333333334"/>
    <n v="12"/>
    <n v="13"/>
    <m/>
    <d v="2026-02-15T00:00:00"/>
    <d v="2026-03-15T00:00:00"/>
    <d v="2027-03-15T00:00:00"/>
    <n v="0.93333333333333335"/>
    <m/>
    <m/>
    <m/>
    <m/>
    <n v="0"/>
    <n v="0"/>
    <m/>
    <s v=""/>
    <d v="2026-03-15T00:00:00"/>
    <x v="59"/>
    <x v="6"/>
    <n v="1.0333333333333334"/>
    <m/>
    <s v=""/>
  </r>
  <r>
    <s v="Rempart à Cheval"/>
    <x v="0"/>
    <x v="0"/>
    <x v="12"/>
    <m/>
    <x v="1"/>
    <m/>
    <x v="0"/>
    <x v="9"/>
    <m/>
    <x v="3"/>
    <n v="30"/>
    <n v="0"/>
    <m/>
    <m/>
    <m/>
    <n v="30"/>
    <m/>
    <m/>
    <n v="0"/>
    <n v="0"/>
    <n v="0"/>
    <m/>
    <x v="2"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x v="57"/>
    <x v="8"/>
    <n v="1523.4333333333334"/>
    <n v="12"/>
    <n v="13"/>
    <m/>
    <d v="2026-02-15T00:00:00"/>
    <d v="2026-03-15T00:00:00"/>
    <d v="2027-03-15T00:00:00"/>
    <n v="0.93333333333333335"/>
    <m/>
    <m/>
    <m/>
    <m/>
    <n v="0"/>
    <n v="0"/>
    <m/>
    <s v=""/>
    <d v="2026-03-15T00:00:00"/>
    <x v="59"/>
    <x v="6"/>
    <n v="1.0333333333333334"/>
    <m/>
    <s v=""/>
  </r>
  <r>
    <s v="Les Quais"/>
    <x v="1"/>
    <x v="1"/>
    <x v="11"/>
    <m/>
    <x v="1"/>
    <m/>
    <x v="6"/>
    <x v="9"/>
    <m/>
    <x v="3"/>
    <n v="29"/>
    <n v="0"/>
    <m/>
    <m/>
    <m/>
    <n v="29"/>
    <m/>
    <m/>
    <n v="0"/>
    <n v="0"/>
    <n v="0"/>
    <m/>
    <x v="2"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x v="58"/>
    <x v="8"/>
    <n v="1523.7"/>
    <n v="12"/>
    <n v="13"/>
    <m/>
    <d v="2026-02-23T00:00:00"/>
    <d v="2026-03-23T00:00:00"/>
    <d v="2027-03-23T00:00:00"/>
    <n v="0.93333333333333335"/>
    <m/>
    <m/>
    <m/>
    <m/>
    <n v="0"/>
    <n v="0"/>
    <m/>
    <s v=""/>
    <d v="2026-03-23T00:00:00"/>
    <x v="60"/>
    <x v="6"/>
    <n v="1.0333333333333334"/>
    <m/>
    <s v=""/>
  </r>
  <r>
    <s v="Les Remparts"/>
    <x v="1"/>
    <x v="1"/>
    <x v="11"/>
    <m/>
    <x v="1"/>
    <m/>
    <x v="0"/>
    <x v="9"/>
    <m/>
    <x v="3"/>
    <n v="22"/>
    <n v="0"/>
    <m/>
    <m/>
    <m/>
    <n v="22"/>
    <m/>
    <m/>
    <n v="0"/>
    <n v="0"/>
    <n v="0"/>
    <m/>
    <x v="2"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x v="58"/>
    <x v="8"/>
    <n v="1523.7"/>
    <n v="12"/>
    <n v="13"/>
    <m/>
    <d v="2026-02-23T00:00:00"/>
    <d v="2026-03-23T00:00:00"/>
    <d v="2027-03-23T00:00:00"/>
    <n v="0.93333333333333335"/>
    <m/>
    <m/>
    <m/>
    <m/>
    <n v="0"/>
    <n v="0"/>
    <m/>
    <s v=""/>
    <d v="2026-03-23T00:00:00"/>
    <x v="60"/>
    <x v="6"/>
    <n v="1.0333333333333334"/>
    <m/>
    <s v=""/>
  </r>
  <r>
    <s v="VEFA JARDINS PARTAGES T1 Bat K - 17 LLS "/>
    <x v="7"/>
    <x v="1"/>
    <x v="7"/>
    <s v="PRLC 0236"/>
    <x v="0"/>
    <m/>
    <x v="4"/>
    <x v="2"/>
    <s v="EN 563"/>
    <x v="1"/>
    <n v="17"/>
    <n v="17"/>
    <n v="17"/>
    <m/>
    <m/>
    <m/>
    <n v="1283.03"/>
    <n v="1475.53"/>
    <n v="75.472352941176467"/>
    <n v="86.795882352941177"/>
    <n v="0.8695384031500546"/>
    <m/>
    <x v="0"/>
    <s v="x"/>
    <n v="3591844.6507536471"/>
    <n v="2799.5016879992263"/>
    <n v="2434.2742273987292"/>
    <n v="211284.97945609689"/>
    <d v="2021-09-22T00:00:00"/>
    <d v="2021-12-15T00:00:00"/>
    <d v="2021-12-27T00:00:00"/>
    <n v="2.8"/>
    <d v="2023-04-15T00:00:00"/>
    <m/>
    <n v="0"/>
    <s v=""/>
    <m/>
    <m/>
    <m/>
    <d v="1900-12-31T00:00:00"/>
    <m/>
    <s v="non"/>
    <n v="-1526.9333333333334"/>
    <n v="0"/>
    <n v="0"/>
    <n v="0"/>
    <x v="56"/>
    <x v="8"/>
    <n v="27.933333333333334"/>
    <n v="24"/>
    <n v="25"/>
    <m/>
    <d v="2026-04-01T00:00:00"/>
    <d v="2026-05-01T00:00:00"/>
    <d v="2027-05-01T00:00:00"/>
    <n v="1"/>
    <d v="2026-05-01T00:00:00"/>
    <d v="2026-05-01T00:00:00"/>
    <d v="2026-05-01T00:00:00"/>
    <d v="2026-05-01T00:00:00"/>
    <n v="0"/>
    <n v="0"/>
    <m/>
    <s v=""/>
    <d v="2026-06-01T00:00:00"/>
    <x v="58"/>
    <x v="6"/>
    <n v="0"/>
    <m/>
    <n v="0"/>
  </r>
  <r>
    <s v="VEFA JARDINS PARTAGES T1 Bat K - 5 LLTS "/>
    <x v="7"/>
    <x v="1"/>
    <x v="7"/>
    <s v="PRLC 0236"/>
    <x v="0"/>
    <m/>
    <x v="4"/>
    <x v="2"/>
    <s v="EN 563"/>
    <x v="0"/>
    <n v="5"/>
    <n v="5"/>
    <m/>
    <n v="5"/>
    <m/>
    <m/>
    <n v="246.26"/>
    <n v="280.49"/>
    <n v="49.251999999999995"/>
    <n v="56.097999999999999"/>
    <n v="0.877963563763414"/>
    <m/>
    <x v="0"/>
    <s v="x"/>
    <n v="689402.95184635348"/>
    <n v="2799.4922108598776"/>
    <n v="2457.8521581744571"/>
    <n v="137880.59036927071"/>
    <d v="2021-09-22T00:00:00"/>
    <d v="2021-12-23T00:00:00"/>
    <d v="2021-12-27T00:00:00"/>
    <n v="3.0666666666666669"/>
    <d v="2023-04-15T00:00:00"/>
    <m/>
    <n v="0"/>
    <s v=""/>
    <m/>
    <m/>
    <m/>
    <d v="1900-12-31T00:00:00"/>
    <m/>
    <s v="non"/>
    <n v="-1526.9333333333334"/>
    <n v="0"/>
    <n v="0"/>
    <n v="0"/>
    <x v="56"/>
    <x v="8"/>
    <n v="27.666666666666668"/>
    <n v="24"/>
    <n v="25"/>
    <m/>
    <d v="2026-04-01T00:00:00"/>
    <d v="2026-05-01T00:00:00"/>
    <d v="2027-05-01T00:00:00"/>
    <n v="1"/>
    <d v="2026-05-01T00:00:00"/>
    <d v="2026-05-01T00:00:00"/>
    <d v="2026-05-01T00:00:00"/>
    <d v="2026-05-01T00:00:00"/>
    <n v="0"/>
    <n v="0"/>
    <m/>
    <s v=""/>
    <d v="2026-06-01T00:00:00"/>
    <x v="58"/>
    <x v="6"/>
    <n v="0"/>
    <m/>
    <n v="0"/>
  </r>
  <r>
    <s v="VEFA JARDINS PARTAGES T2 Bat H - 48 LLTS RPA"/>
    <x v="7"/>
    <x v="1"/>
    <x v="7"/>
    <s v="PRLC 0235"/>
    <x v="0"/>
    <m/>
    <x v="4"/>
    <x v="2"/>
    <s v="EN 563"/>
    <x v="0"/>
    <n v="48"/>
    <n v="48"/>
    <m/>
    <n v="48"/>
    <m/>
    <m/>
    <n v="2301.79"/>
    <n v="2555.48"/>
    <n v="47.953958333333333"/>
    <n v="53.239166666666669"/>
    <n v="0.90072706497409483"/>
    <m/>
    <x v="0"/>
    <s v="x"/>
    <n v="6157335.5109999999"/>
    <n v="2675.0205322813986"/>
    <n v="2409.4633927872651"/>
    <n v="128277.82314583333"/>
    <d v="2021-09-22T00:00:00"/>
    <d v="2021-12-15T00:00:00"/>
    <d v="2021-12-27T00:00:00"/>
    <n v="2.8"/>
    <d v="2023-04-15T00:00:00"/>
    <m/>
    <n v="0"/>
    <s v=""/>
    <m/>
    <m/>
    <m/>
    <d v="1900-12-31T00:00:00"/>
    <m/>
    <s v="non"/>
    <n v="-1526.9333333333334"/>
    <n v="0"/>
    <n v="0"/>
    <n v="0"/>
    <x v="56"/>
    <x v="8"/>
    <n v="27.933333333333334"/>
    <n v="24"/>
    <n v="25"/>
    <m/>
    <d v="2026-04-01T00:00:00"/>
    <d v="2026-05-01T00:00:00"/>
    <d v="2027-05-01T00:00:00"/>
    <n v="1"/>
    <d v="2026-05-01T00:00:00"/>
    <d v="2026-05-01T00:00:00"/>
    <d v="2026-05-01T00:00:00"/>
    <d v="2026-05-01T00:00:00"/>
    <n v="0"/>
    <n v="0"/>
    <m/>
    <s v=""/>
    <d v="2026-06-01T00:00:00"/>
    <x v="58"/>
    <x v="6"/>
    <n v="0"/>
    <m/>
    <n v="0"/>
  </r>
  <r>
    <s v="VEFA JARDINS PARTAGES T2 Bat G - 34 PLS "/>
    <x v="7"/>
    <x v="1"/>
    <x v="8"/>
    <s v="PRLC 0222"/>
    <x v="0"/>
    <m/>
    <x v="4"/>
    <x v="2"/>
    <s v="EN 563"/>
    <x v="2"/>
    <n v="34"/>
    <n v="34"/>
    <m/>
    <m/>
    <n v="34"/>
    <m/>
    <n v="2624"/>
    <n v="3074.37"/>
    <n v="77.17647058823529"/>
    <n v="90.422647058823529"/>
    <n v="0.85350819842764536"/>
    <m/>
    <x v="0"/>
    <s v="x"/>
    <n v="7689028.4800000004"/>
    <n v="2930.27"/>
    <n v="2501.0094686065763"/>
    <n v="226147.89647058825"/>
    <d v="2021-09-22T00:00:00"/>
    <d v="2022-05-24T00:00:00"/>
    <d v="2022-05-25T00:00:00"/>
    <n v="8.1333333333333329"/>
    <d v="2022-09-29T00:00:00"/>
    <m/>
    <n v="0"/>
    <s v=""/>
    <m/>
    <m/>
    <m/>
    <d v="1900-12-31T00:00:00"/>
    <m/>
    <s v="non"/>
    <n v="-1526.9333333333334"/>
    <n v="0"/>
    <n v="0"/>
    <n v="0"/>
    <x v="56"/>
    <x v="8"/>
    <n v="22.6"/>
    <n v="24"/>
    <n v="25"/>
    <m/>
    <d v="2026-04-01T00:00:00"/>
    <d v="2026-05-01T00:00:00"/>
    <d v="2027-05-01T00:00:00"/>
    <n v="1"/>
    <d v="2026-05-01T00:00:00"/>
    <d v="2026-05-01T00:00:00"/>
    <d v="2026-05-01T00:00:00"/>
    <d v="2026-05-01T00:00:00"/>
    <n v="0"/>
    <n v="0"/>
    <m/>
    <s v=""/>
    <d v="2026-06-01T00:00:00"/>
    <x v="58"/>
    <x v="6"/>
    <n v="0"/>
    <m/>
    <n v="0"/>
  </r>
  <r>
    <s v="VEFA SILOE LLTS"/>
    <x v="7"/>
    <x v="1"/>
    <x v="9"/>
    <s v="PRLC 0240"/>
    <x v="2"/>
    <m/>
    <x v="3"/>
    <x v="10"/>
    <s v="CH 223"/>
    <x v="0"/>
    <n v="28"/>
    <n v="28"/>
    <m/>
    <n v="28"/>
    <m/>
    <m/>
    <n v="1400.84"/>
    <n v="1682.43"/>
    <n v="50.029999999999994"/>
    <n v="60.086785714285718"/>
    <n v="0.83262899496561515"/>
    <m/>
    <x v="0"/>
    <s v="x"/>
    <n v="3555116.28"/>
    <n v="2537.8460637902972"/>
    <n v="2113.0842174711574"/>
    <n v="126968.43857142856"/>
    <d v="2023-03-09T00:00:00"/>
    <m/>
    <m/>
    <n v="0"/>
    <m/>
    <m/>
    <n v="0"/>
    <s v=""/>
    <m/>
    <m/>
    <m/>
    <d v="1900-12-31T00:00:00"/>
    <m/>
    <s v="non"/>
    <n v="-1526.9333333333334"/>
    <n v="0"/>
    <n v="0"/>
    <n v="0"/>
    <x v="56"/>
    <x v="8"/>
    <n v="1512.7666666666667"/>
    <n v="24"/>
    <n v="25"/>
    <m/>
    <d v="2026-04-01T00:00:00"/>
    <d v="2026-05-01T00:00:00"/>
    <d v="2027-05-01T00:00:00"/>
    <n v="1"/>
    <d v="2026-05-01T00:00:00"/>
    <d v="2026-05-01T00:00:00"/>
    <d v="2026-05-01T00:00:00"/>
    <d v="2026-05-01T00:00:00"/>
    <n v="0"/>
    <n v="0"/>
    <m/>
    <s v=""/>
    <d v="2026-06-01T00:00:00"/>
    <x v="58"/>
    <x v="6"/>
    <n v="0"/>
    <m/>
    <n v="0"/>
  </r>
  <r>
    <s v="VEFA SILOE PLS"/>
    <x v="7"/>
    <x v="1"/>
    <x v="9"/>
    <s v="PRLC 0240"/>
    <x v="0"/>
    <m/>
    <x v="4"/>
    <x v="10"/>
    <s v="CH 223"/>
    <x v="2"/>
    <n v="25"/>
    <n v="25"/>
    <m/>
    <m/>
    <n v="25"/>
    <m/>
    <n v="1902.74"/>
    <n v="2221.2399999999998"/>
    <n v="76.1096"/>
    <n v="88.849599999999995"/>
    <n v="0.85661162233707311"/>
    <m/>
    <x v="0"/>
    <s v="x"/>
    <n v="5017920.55"/>
    <n v="2637.2076847073167"/>
    <n v="2259.0627532369308"/>
    <n v="200716.82199999999"/>
    <d v="2023-03-09T00:00:00"/>
    <d v="2023-09-20T00:00:00"/>
    <d v="2023-09-20T00:00:00"/>
    <n v="6.5"/>
    <m/>
    <m/>
    <n v="0"/>
    <s v=""/>
    <m/>
    <m/>
    <m/>
    <d v="1900-12-31T00:00:00"/>
    <m/>
    <s v="non"/>
    <n v="-1526.9333333333334"/>
    <n v="0"/>
    <n v="0"/>
    <n v="0"/>
    <x v="56"/>
    <x v="8"/>
    <n v="6.4666666666666668"/>
    <n v="24"/>
    <n v="25"/>
    <m/>
    <d v="2026-04-01T00:00:00"/>
    <d v="2026-05-01T00:00:00"/>
    <d v="2027-05-01T00:00:00"/>
    <n v="1"/>
    <d v="2026-05-01T00:00:00"/>
    <d v="2026-05-01T00:00:00"/>
    <d v="2026-05-01T00:00:00"/>
    <d v="2026-05-01T00:00:00"/>
    <n v="0"/>
    <n v="0"/>
    <m/>
    <s v=""/>
    <d v="2026-06-01T00:00:00"/>
    <x v="58"/>
    <x v="6"/>
    <n v="0"/>
    <m/>
    <n v="0"/>
  </r>
  <r>
    <s v="VEFA BERIVE LLS"/>
    <x v="7"/>
    <x v="1"/>
    <x v="9"/>
    <s v="PRLC 0247"/>
    <x v="5"/>
    <m/>
    <x v="1"/>
    <x v="7"/>
    <s v="CS 1526 - 0682"/>
    <x v="1"/>
    <n v="24"/>
    <n v="24"/>
    <n v="24"/>
    <m/>
    <m/>
    <m/>
    <n v="1518.2"/>
    <n v="1937.96"/>
    <n v="63.258333333333333"/>
    <n v="80.748333333333335"/>
    <n v="0.78340110218993164"/>
    <m/>
    <x v="0"/>
    <s v="x"/>
    <n v="4644368.7029999997"/>
    <n v="3059.1283776840992"/>
    <n v="2396.5245428182211"/>
    <n v="193515.36262499998"/>
    <d v="2023-02-22T00:00:00"/>
    <m/>
    <m/>
    <n v="0"/>
    <m/>
    <m/>
    <n v="0"/>
    <s v=""/>
    <m/>
    <m/>
    <m/>
    <d v="1900-12-31T00:00:00"/>
    <m/>
    <s v="non"/>
    <n v="-1528.9666666666667"/>
    <n v="0"/>
    <n v="0"/>
    <n v="0"/>
    <x v="59"/>
    <x v="8"/>
    <n v="1514.8"/>
    <n v="24"/>
    <n v="25"/>
    <m/>
    <d v="2026-06-01T00:00:00"/>
    <d v="2026-07-01T00:00:00"/>
    <d v="2027-07-01T00:00:00"/>
    <n v="1"/>
    <d v="2026-07-01T00:00:00"/>
    <d v="2026-07-01T00:00:00"/>
    <d v="2026-07-01T00:00:00"/>
    <d v="2026-07-01T00:00:00"/>
    <n v="0"/>
    <n v="0"/>
    <m/>
    <s v=""/>
    <d v="2026-08-01T00:00:00"/>
    <x v="61"/>
    <x v="6"/>
    <n v="0"/>
    <m/>
    <n v="0"/>
  </r>
  <r>
    <s v="VEFA BERIVE LLTS"/>
    <x v="7"/>
    <x v="1"/>
    <x v="9"/>
    <s v="PRLC 0247"/>
    <x v="0"/>
    <m/>
    <x v="4"/>
    <x v="7"/>
    <s v="CS 1526 - 0682"/>
    <x v="0"/>
    <n v="38"/>
    <n v="38"/>
    <m/>
    <n v="38"/>
    <m/>
    <m/>
    <n v="1798.78"/>
    <n v="2261.0100000000002"/>
    <n v="47.33631578947368"/>
    <n v="59.500263157894743"/>
    <n v="0.79556481395482537"/>
    <m/>
    <x v="0"/>
    <s v="x"/>
    <n v="5740273.3470000001"/>
    <n v="3191.2036752687932"/>
    <n v="2538.8093582071729"/>
    <n v="151059.82492105264"/>
    <d v="2023-02-22T00:00:00"/>
    <m/>
    <m/>
    <n v="0"/>
    <m/>
    <m/>
    <n v="0"/>
    <s v=""/>
    <m/>
    <m/>
    <m/>
    <d v="1900-12-31T00:00:00"/>
    <m/>
    <s v="non"/>
    <n v="-1528.9666666666667"/>
    <n v="0"/>
    <n v="0"/>
    <n v="0"/>
    <x v="59"/>
    <x v="8"/>
    <n v="1514.8"/>
    <n v="24"/>
    <n v="25"/>
    <m/>
    <d v="2026-06-01T00:00:00"/>
    <d v="2026-07-01T00:00:00"/>
    <d v="2027-07-01T00:00:00"/>
    <n v="1"/>
    <d v="2026-07-01T00:00:00"/>
    <d v="2026-07-01T00:00:00"/>
    <d v="2026-07-01T00:00:00"/>
    <d v="2026-07-01T00:00:00"/>
    <n v="0"/>
    <n v="0"/>
    <m/>
    <s v=""/>
    <d v="2026-08-01T00:00:00"/>
    <x v="61"/>
    <x v="6"/>
    <n v="0"/>
    <m/>
    <n v="0"/>
  </r>
  <r>
    <s v="VEFA BERIVE PLS"/>
    <x v="7"/>
    <x v="1"/>
    <x v="9"/>
    <s v="PRLC 0247"/>
    <x v="0"/>
    <m/>
    <x v="4"/>
    <x v="7"/>
    <s v="CS 1526 - 0682"/>
    <x v="2"/>
    <n v="26"/>
    <n v="26"/>
    <m/>
    <m/>
    <n v="26"/>
    <m/>
    <n v="1884.7"/>
    <n v="2147.6999999999998"/>
    <n v="72.488461538461536"/>
    <n v="82.603846153846149"/>
    <n v="0.87754341854076467"/>
    <m/>
    <x v="0"/>
    <s v="x"/>
    <n v="5313049.17"/>
    <n v="2819.0423780973097"/>
    <n v="2473.8320854868002"/>
    <n v="204348.04499999998"/>
    <d v="2023-02-22T00:00:00"/>
    <m/>
    <m/>
    <n v="0"/>
    <m/>
    <m/>
    <n v="0"/>
    <s v=""/>
    <m/>
    <m/>
    <m/>
    <d v="1900-12-31T00:00:00"/>
    <m/>
    <s v="non"/>
    <n v="-1528.9666666666667"/>
    <n v="0"/>
    <n v="0"/>
    <n v="0"/>
    <x v="59"/>
    <x v="8"/>
    <n v="1514.8"/>
    <n v="24"/>
    <n v="25"/>
    <m/>
    <d v="2026-06-01T00:00:00"/>
    <d v="2026-07-01T00:00:00"/>
    <d v="2027-07-01T00:00:00"/>
    <n v="1"/>
    <d v="2026-07-01T00:00:00"/>
    <d v="2026-07-01T00:00:00"/>
    <d v="2026-07-01T00:00:00"/>
    <d v="2026-07-01T00:00:00"/>
    <n v="0"/>
    <n v="0"/>
    <m/>
    <s v=""/>
    <d v="2026-08-01T00:00:00"/>
    <x v="61"/>
    <x v="6"/>
    <n v="0"/>
    <m/>
    <n v="0"/>
  </r>
  <r>
    <s v="DESIRE 3"/>
    <x v="9"/>
    <x v="0"/>
    <x v="8"/>
    <s v="PRLC 0231"/>
    <x v="2"/>
    <m/>
    <x v="3"/>
    <x v="8"/>
    <s v="AK 661 - 770"/>
    <x v="0"/>
    <n v="18"/>
    <n v="18"/>
    <m/>
    <n v="18"/>
    <m/>
    <m/>
    <n v="1226.0999999999999"/>
    <n v="1432.4"/>
    <n v="68.11666666666666"/>
    <n v="79.577777777777783"/>
    <n v="0.85597598436190991"/>
    <m/>
    <x v="1"/>
    <s v="x"/>
    <m/>
    <n v="0"/>
    <n v="0"/>
    <n v="0"/>
    <d v="2022-02-17T00:00:00"/>
    <d v="2022-06-23T00:00:00"/>
    <d v="2022-07-18T00:00:00"/>
    <n v="4.2"/>
    <m/>
    <m/>
    <n v="0"/>
    <s v=""/>
    <m/>
    <m/>
    <m/>
    <d v="1900-12-31T00:00:00"/>
    <m/>
    <s v="non"/>
    <n v="-1525.3666666666666"/>
    <n v="0"/>
    <n v="0"/>
    <n v="0"/>
    <x v="53"/>
    <x v="8"/>
    <n v="24.1"/>
    <n v="20"/>
    <n v="21"/>
    <m/>
    <d v="2026-02-15T00:00:00"/>
    <d v="2026-03-15T00:00:00"/>
    <d v="2027-03-15T00:00:00"/>
    <n v="0.93333333333333335"/>
    <m/>
    <m/>
    <m/>
    <m/>
    <n v="0"/>
    <n v="0"/>
    <m/>
    <s v=""/>
    <d v="2026-03-15T00:00:00"/>
    <x v="59"/>
    <x v="6"/>
    <n v="1.0333333333333334"/>
    <m/>
    <n v="0"/>
  </r>
  <r>
    <s v="VEFA HARMONIE LLS"/>
    <x v="7"/>
    <x v="1"/>
    <x v="10"/>
    <m/>
    <x v="5"/>
    <m/>
    <x v="1"/>
    <x v="9"/>
    <s v="CH 445"/>
    <x v="1"/>
    <n v="30"/>
    <n v="30"/>
    <n v="30"/>
    <m/>
    <m/>
    <m/>
    <n v="1524.27"/>
    <n v="1788.9449999999999"/>
    <n v="50.808999999999997"/>
    <n v="59.631499999999996"/>
    <n v="0.85204967173389901"/>
    <m/>
    <x v="0"/>
    <m/>
    <n v="4456665"/>
    <n v="2923.802869570352"/>
    <n v="2491.2252752320501"/>
    <n v="148555.5"/>
    <m/>
    <m/>
    <m/>
    <n v="0"/>
    <m/>
    <m/>
    <n v="0"/>
    <s v=""/>
    <m/>
    <m/>
    <m/>
    <d v="1900-12-31T00:00:00"/>
    <m/>
    <s v="non"/>
    <n v="-1529.4333333333334"/>
    <n v="0"/>
    <n v="0"/>
    <n v="0"/>
    <x v="53"/>
    <x v="8"/>
    <n v="1515.2666666666667"/>
    <n v="24"/>
    <n v="25"/>
    <m/>
    <d v="2026-06-15T00:00:00"/>
    <d v="2026-07-15T00:00:00"/>
    <d v="2027-07-15T00:00:00"/>
    <n v="1"/>
    <d v="2026-07-15T00:00:00"/>
    <d v="2026-07-15T00:00:00"/>
    <d v="2026-07-15T00:00:00"/>
    <d v="2026-07-15T00:00:00"/>
    <n v="0"/>
    <n v="0"/>
    <m/>
    <s v=""/>
    <d v="2026-08-15T00:00:00"/>
    <x v="62"/>
    <x v="6"/>
    <n v="0"/>
    <m/>
    <n v="0"/>
  </r>
  <r>
    <s v="VEFA HARMONIE PLS"/>
    <x v="7"/>
    <x v="1"/>
    <x v="10"/>
    <m/>
    <x v="0"/>
    <m/>
    <x v="4"/>
    <x v="9"/>
    <s v="CH 445"/>
    <x v="2"/>
    <n v="32"/>
    <n v="32"/>
    <m/>
    <m/>
    <n v="32"/>
    <m/>
    <n v="2117.3000000000002"/>
    <n v="2566.7299999999996"/>
    <n v="66.165625000000006"/>
    <n v="80.210312499999986"/>
    <n v="0.82490172320423283"/>
    <m/>
    <x v="0"/>
    <m/>
    <n v="6917234.160000002"/>
    <n v="3267.0071128323816"/>
    <n v="2694.9597970959171"/>
    <n v="216163.56750000006"/>
    <m/>
    <m/>
    <m/>
    <n v="0"/>
    <m/>
    <m/>
    <n v="0"/>
    <s v=""/>
    <m/>
    <m/>
    <m/>
    <d v="1900-12-31T00:00:00"/>
    <m/>
    <s v="non"/>
    <n v="-1529.4333333333334"/>
    <n v="0"/>
    <n v="0"/>
    <n v="0"/>
    <x v="53"/>
    <x v="8"/>
    <n v="1515.2666666666667"/>
    <n v="24"/>
    <n v="25"/>
    <m/>
    <d v="2026-06-15T00:00:00"/>
    <d v="2026-07-15T00:00:00"/>
    <d v="2027-07-15T00:00:00"/>
    <n v="1"/>
    <d v="2026-07-15T00:00:00"/>
    <d v="2026-07-15T00:00:00"/>
    <d v="2026-07-15T00:00:00"/>
    <d v="2026-07-15T00:00:00"/>
    <n v="0"/>
    <n v="0"/>
    <m/>
    <s v=""/>
    <d v="2026-08-15T00:00:00"/>
    <x v="62"/>
    <x v="6"/>
    <n v="0"/>
    <m/>
    <n v="0"/>
  </r>
  <r>
    <s v="VEFA JARDINS PARTAGES T2 Bat A/B - 18 LLTS "/>
    <x v="7"/>
    <x v="1"/>
    <x v="8"/>
    <s v="PRLC 0238"/>
    <x v="0"/>
    <m/>
    <x v="4"/>
    <x v="2"/>
    <s v="EN 563"/>
    <x v="0"/>
    <n v="18"/>
    <n v="18"/>
    <m/>
    <n v="18"/>
    <m/>
    <m/>
    <n v="728.46"/>
    <n v="871.55"/>
    <n v="40.47"/>
    <n v="48.419444444444444"/>
    <n v="0.83582123802420982"/>
    <m/>
    <x v="0"/>
    <s v="x"/>
    <n v="2003266.69"/>
    <n v="2750.0023199626607"/>
    <n v="2298.5103436406403"/>
    <n v="111292.59388888889"/>
    <d v="2021-09-22T00:00:00"/>
    <d v="2022-05-20T00:00:00"/>
    <d v="2022-05-31T00:00:00"/>
    <n v="8"/>
    <d v="2023-04-15T00:00:00"/>
    <m/>
    <n v="0"/>
    <s v=""/>
    <m/>
    <m/>
    <m/>
    <d v="1900-12-31T00:00:00"/>
    <m/>
    <s v="non"/>
    <n v="-1532.0333333333333"/>
    <n v="0"/>
    <n v="0"/>
    <n v="0"/>
    <x v="60"/>
    <x v="8"/>
    <n v="27.833333333333332"/>
    <n v="24"/>
    <n v="25"/>
    <m/>
    <d v="2026-09-01T00:00:00"/>
    <d v="2026-10-01T00:00:00"/>
    <d v="2027-10-01T00:00:00"/>
    <n v="1"/>
    <d v="2026-10-01T00:00:00"/>
    <d v="2026-10-01T00:00:00"/>
    <d v="2026-10-01T00:00:00"/>
    <d v="2026-10-01T00:00:00"/>
    <n v="0"/>
    <n v="0"/>
    <m/>
    <s v=""/>
    <d v="2026-11-01T00:00:00"/>
    <x v="63"/>
    <x v="6"/>
    <n v="0"/>
    <m/>
    <n v="0"/>
  </r>
  <r>
    <s v="VEFA JARDINS PARTAGES T2 Bat A/B - 48 LLS "/>
    <x v="7"/>
    <x v="1"/>
    <x v="8"/>
    <s v="PRLC 0238"/>
    <x v="0"/>
    <m/>
    <x v="4"/>
    <x v="2"/>
    <s v="EN 563"/>
    <x v="1"/>
    <n v="48"/>
    <n v="48"/>
    <n v="48"/>
    <m/>
    <m/>
    <m/>
    <n v="3790.1"/>
    <n v="4421.78"/>
    <n v="78.96041666666666"/>
    <n v="92.120416666666657"/>
    <n v="0.85714350329505318"/>
    <m/>
    <x v="0"/>
    <s v="x"/>
    <n v="9475249.9900000002"/>
    <n v="2499.9999973615472"/>
    <n v="2142.8587559761004"/>
    <n v="197401.04145833335"/>
    <d v="2021-09-22T00:00:00"/>
    <d v="2022-05-20T00:00:00"/>
    <d v="2022-05-31T00:00:00"/>
    <n v="8"/>
    <d v="2023-04-15T00:00:00"/>
    <m/>
    <n v="0"/>
    <s v=""/>
    <m/>
    <m/>
    <m/>
    <d v="1900-12-31T00:00:00"/>
    <m/>
    <s v="non"/>
    <n v="-1532.0333333333333"/>
    <n v="0"/>
    <n v="0"/>
    <n v="0"/>
    <x v="60"/>
    <x v="8"/>
    <n v="27.833333333333332"/>
    <n v="24"/>
    <n v="25"/>
    <m/>
    <d v="2026-09-01T00:00:00"/>
    <d v="2026-10-01T00:00:00"/>
    <d v="2027-10-01T00:00:00"/>
    <n v="1"/>
    <d v="2026-10-01T00:00:00"/>
    <d v="2026-10-01T00:00:00"/>
    <d v="2026-10-01T00:00:00"/>
    <d v="2026-10-01T00:00:00"/>
    <n v="0"/>
    <n v="0"/>
    <m/>
    <s v=""/>
    <d v="2026-11-01T00:00:00"/>
    <x v="63"/>
    <x v="6"/>
    <n v="0"/>
    <m/>
    <n v="0"/>
  </r>
  <r>
    <s v="VEFA JARDINS PARTAGES T2 Bat C - 36 PLS "/>
    <x v="7"/>
    <x v="1"/>
    <x v="8"/>
    <s v="PRLC 0239"/>
    <x v="0"/>
    <m/>
    <x v="4"/>
    <x v="2"/>
    <s v="EN 563"/>
    <x v="2"/>
    <n v="36"/>
    <n v="36"/>
    <m/>
    <m/>
    <n v="36"/>
    <m/>
    <n v="2611.2399999999998"/>
    <n v="3013.87"/>
    <n v="72.534444444444432"/>
    <n v="83.718611111111102"/>
    <n v="0.86640764200181153"/>
    <m/>
    <x v="0"/>
    <s v="x"/>
    <n v="7024238.0199999996"/>
    <n v="2690.0009267627643"/>
    <n v="2330.6373599392141"/>
    <n v="195117.72277777776"/>
    <d v="2021-09-22T00:00:00"/>
    <d v="2022-05-24T00:00:00"/>
    <d v="2022-05-25T00:00:00"/>
    <n v="8.1333333333333329"/>
    <d v="2022-09-29T00:00:00"/>
    <m/>
    <n v="0"/>
    <s v=""/>
    <m/>
    <m/>
    <m/>
    <d v="1900-12-31T00:00:00"/>
    <m/>
    <s v="non"/>
    <n v="-1532.0333333333333"/>
    <n v="0"/>
    <n v="0"/>
    <n v="0"/>
    <x v="60"/>
    <x v="8"/>
    <n v="27.7"/>
    <n v="24"/>
    <n v="25"/>
    <m/>
    <d v="2026-09-01T00:00:00"/>
    <d v="2026-10-01T00:00:00"/>
    <d v="2027-10-01T00:00:00"/>
    <n v="1"/>
    <d v="2026-10-01T00:00:00"/>
    <d v="2026-10-01T00:00:00"/>
    <d v="2026-10-01T00:00:00"/>
    <d v="2026-10-01T00:00:00"/>
    <n v="0"/>
    <n v="0"/>
    <m/>
    <s v=""/>
    <d v="2026-11-01T00:00:00"/>
    <x v="63"/>
    <x v="6"/>
    <n v="0"/>
    <m/>
    <n v="0"/>
  </r>
  <r>
    <s v="CALISTA (ex ACACIAS) LLS"/>
    <x v="7"/>
    <x v="1"/>
    <x v="8"/>
    <s v="PRLC 0230"/>
    <x v="0"/>
    <m/>
    <x v="4"/>
    <x v="2"/>
    <m/>
    <x v="1"/>
    <n v="15"/>
    <n v="15"/>
    <n v="15"/>
    <m/>
    <m/>
    <m/>
    <n v="1243.5"/>
    <n v="1433.75"/>
    <n v="82.9"/>
    <n v="95.583333333333329"/>
    <n v="0.8673060156931125"/>
    <m/>
    <x v="1"/>
    <s v="x"/>
    <m/>
    <n v="0"/>
    <n v="0"/>
    <n v="0"/>
    <d v="2022-02-21T00:00:00"/>
    <d v="2022-08-31T00:00:00"/>
    <d v="2022-09-20T00:00:00"/>
    <n v="6.3666666666666663"/>
    <m/>
    <m/>
    <n v="0"/>
    <s v=""/>
    <m/>
    <m/>
    <m/>
    <d v="1900-12-31T00:00:00"/>
    <m/>
    <s v="non"/>
    <n v="-1528.4"/>
    <n v="0"/>
    <n v="0"/>
    <n v="0"/>
    <x v="61"/>
    <x v="8"/>
    <n v="24.866666666666667"/>
    <n v="20"/>
    <n v="21"/>
    <m/>
    <d v="2026-05-15T00:00:00"/>
    <d v="2026-06-15T00:00:00"/>
    <d v="2027-06-15T00:00:00"/>
    <n v="1.0333333333333334"/>
    <m/>
    <m/>
    <m/>
    <m/>
    <n v="0"/>
    <n v="0"/>
    <m/>
    <s v=""/>
    <d v="2026-06-15T00:00:00"/>
    <x v="64"/>
    <x v="6"/>
    <n v="1"/>
    <m/>
    <n v="0"/>
  </r>
  <r>
    <s v="CALISTA (ex ACACIAS) LLTS"/>
    <x v="7"/>
    <x v="1"/>
    <x v="8"/>
    <s v="PRLC 0230"/>
    <x v="3"/>
    <m/>
    <x v="7"/>
    <x v="6"/>
    <s v="CI 7"/>
    <x v="0"/>
    <n v="18"/>
    <n v="18"/>
    <m/>
    <n v="18"/>
    <m/>
    <m/>
    <n v="923"/>
    <n v="1023.4"/>
    <n v="51.277777777777779"/>
    <n v="56.855555555555554"/>
    <n v="0.90189564197772132"/>
    <m/>
    <x v="1"/>
    <s v="x"/>
    <m/>
    <n v="0"/>
    <n v="0"/>
    <n v="0"/>
    <d v="2022-02-21T00:00:00"/>
    <d v="2022-08-31T00:00:00"/>
    <d v="2022-09-20T00:00:00"/>
    <n v="6.3666666666666663"/>
    <m/>
    <m/>
    <n v="0"/>
    <s v=""/>
    <m/>
    <m/>
    <m/>
    <d v="1900-12-31T00:00:00"/>
    <m/>
    <s v="non"/>
    <n v="-1528.4"/>
    <n v="0"/>
    <n v="0"/>
    <n v="0"/>
    <x v="61"/>
    <x v="8"/>
    <n v="24.866666666666667"/>
    <n v="20"/>
    <n v="21"/>
    <m/>
    <d v="2026-05-15T00:00:00"/>
    <d v="2026-06-15T00:00:00"/>
    <d v="2027-06-15T00:00:00"/>
    <n v="1.0333333333333334"/>
    <m/>
    <m/>
    <m/>
    <m/>
    <n v="0"/>
    <n v="0"/>
    <m/>
    <s v=""/>
    <d v="2026-06-15T00:00:00"/>
    <x v="64"/>
    <x v="6"/>
    <n v="1"/>
    <m/>
    <n v="0"/>
  </r>
  <r>
    <s v="Les Zoizos Verts (Ex Les Pins Verts)"/>
    <x v="13"/>
    <x v="3"/>
    <x v="9"/>
    <s v="PRLC 0242"/>
    <x v="2"/>
    <m/>
    <x v="3"/>
    <x v="7"/>
    <s v="AE 247-249"/>
    <x v="0"/>
    <n v="18"/>
    <n v="18"/>
    <m/>
    <n v="18"/>
    <m/>
    <m/>
    <n v="1182.1600000000001"/>
    <n v="1301.1099999999999"/>
    <n v="65.675555555555562"/>
    <n v="72.283888888888882"/>
    <n v="0.90857806027161436"/>
    <m/>
    <x v="1"/>
    <s v="x"/>
    <m/>
    <n v="0"/>
    <n v="0"/>
    <n v="0"/>
    <d v="2023-02-28T00:00:00"/>
    <d v="2023-08-02T00:00:00"/>
    <d v="2023-09-13T00:00:00"/>
    <n v="5.166666666666667"/>
    <m/>
    <m/>
    <n v="0"/>
    <s v=""/>
    <m/>
    <m/>
    <m/>
    <d v="1900-12-31T00:00:00"/>
    <m/>
    <s v="non"/>
    <n v="-1528.4"/>
    <n v="0"/>
    <n v="0"/>
    <n v="0"/>
    <x v="61"/>
    <x v="8"/>
    <n v="13.666666666666666"/>
    <n v="20"/>
    <n v="21"/>
    <m/>
    <d v="2026-05-15T00:00:00"/>
    <d v="2026-06-15T00:00:00"/>
    <d v="2027-06-15T00:00:00"/>
    <n v="1.0333333333333334"/>
    <m/>
    <m/>
    <m/>
    <m/>
    <n v="0"/>
    <n v="0"/>
    <m/>
    <s v=""/>
    <d v="2026-06-15T00:00:00"/>
    <x v="64"/>
    <x v="6"/>
    <n v="1"/>
    <m/>
    <n v="0"/>
  </r>
  <r>
    <s v="LOLA &amp; JULIA LLS"/>
    <x v="2"/>
    <x v="0"/>
    <x v="10"/>
    <s v="PRLC 0232"/>
    <x v="0"/>
    <m/>
    <x v="4"/>
    <x v="2"/>
    <s v="AT 558 - AT 561"/>
    <x v="1"/>
    <n v="21"/>
    <n v="21"/>
    <n v="21"/>
    <m/>
    <m/>
    <m/>
    <n v="1321.26"/>
    <n v="1572.54"/>
    <n v="62.917142857142856"/>
    <n v="74.882857142857148"/>
    <n v="0.84020756228776372"/>
    <m/>
    <x v="1"/>
    <s v="x"/>
    <m/>
    <n v="0"/>
    <n v="0"/>
    <n v="0"/>
    <m/>
    <m/>
    <m/>
    <n v="0"/>
    <m/>
    <m/>
    <n v="0"/>
    <s v=""/>
    <m/>
    <m/>
    <m/>
    <d v="1900-12-31T00:00:00"/>
    <m/>
    <s v="non"/>
    <n v="-1531.4666666666667"/>
    <n v="0"/>
    <n v="0"/>
    <n v="0"/>
    <x v="57"/>
    <x v="8"/>
    <n v="1523.4333333333334"/>
    <n v="18"/>
    <n v="19"/>
    <m/>
    <d v="2026-08-15T00:00:00"/>
    <d v="2026-09-15T00:00:00"/>
    <d v="2027-09-15T00:00:00"/>
    <n v="1.0333333333333334"/>
    <m/>
    <m/>
    <m/>
    <m/>
    <n v="0"/>
    <n v="0"/>
    <m/>
    <s v=""/>
    <d v="2026-09-15T00:00:00"/>
    <x v="65"/>
    <x v="6"/>
    <n v="1"/>
    <m/>
    <n v="0"/>
  </r>
  <r>
    <s v="LOLA &amp; JULIA PLS"/>
    <x v="2"/>
    <x v="0"/>
    <x v="10"/>
    <s v="PRLC 0232"/>
    <x v="5"/>
    <m/>
    <x v="1"/>
    <x v="11"/>
    <s v="AT 558 - AT 561"/>
    <x v="2"/>
    <n v="18"/>
    <n v="18"/>
    <m/>
    <m/>
    <n v="18"/>
    <m/>
    <n v="1265.42"/>
    <n v="1540.18"/>
    <n v="70.301111111111112"/>
    <n v="85.565555555555562"/>
    <n v="0.82160526691685387"/>
    <m/>
    <x v="1"/>
    <s v="x"/>
    <m/>
    <n v="0"/>
    <n v="0"/>
    <n v="0"/>
    <m/>
    <m/>
    <m/>
    <n v="0"/>
    <m/>
    <m/>
    <n v="0"/>
    <s v=""/>
    <m/>
    <m/>
    <m/>
    <d v="1900-12-31T00:00:00"/>
    <m/>
    <s v="non"/>
    <n v="-1531.4666666666667"/>
    <n v="0"/>
    <n v="0"/>
    <n v="0"/>
    <x v="57"/>
    <x v="8"/>
    <n v="1523.4333333333334"/>
    <n v="18"/>
    <n v="19"/>
    <m/>
    <d v="2026-08-15T00:00:00"/>
    <d v="2026-09-15T00:00:00"/>
    <d v="2027-09-15T00:00:00"/>
    <n v="1.0333333333333334"/>
    <m/>
    <m/>
    <m/>
    <m/>
    <n v="0"/>
    <n v="0"/>
    <m/>
    <s v=""/>
    <d v="2026-09-15T00:00:00"/>
    <x v="65"/>
    <x v="6"/>
    <n v="1"/>
    <m/>
    <n v="0"/>
  </r>
  <r>
    <s v="BEGONIA - OPERATION 2"/>
    <x v="2"/>
    <x v="0"/>
    <x v="11"/>
    <m/>
    <x v="0"/>
    <m/>
    <x v="4"/>
    <x v="2"/>
    <s v="AT 276 p"/>
    <x v="2"/>
    <n v="15"/>
    <n v="15"/>
    <m/>
    <m/>
    <n v="15"/>
    <m/>
    <m/>
    <m/>
    <n v="0"/>
    <n v="0"/>
    <n v="0"/>
    <m/>
    <x v="1"/>
    <s v="x"/>
    <m/>
    <n v="0"/>
    <s v="-"/>
    <n v="0"/>
    <m/>
    <m/>
    <m/>
    <n v="0"/>
    <m/>
    <m/>
    <n v="0"/>
    <s v=""/>
    <m/>
    <m/>
    <m/>
    <d v="1900-12-31T00:00:00"/>
    <m/>
    <s v="non"/>
    <n v="-1531.4666666666667"/>
    <n v="0"/>
    <n v="0"/>
    <n v="0"/>
    <x v="57"/>
    <x v="8"/>
    <n v="1523.4333333333334"/>
    <n v="18"/>
    <n v="19"/>
    <m/>
    <d v="2026-08-15T00:00:00"/>
    <d v="2026-09-15T00:00:00"/>
    <d v="2027-09-15T00:00:00"/>
    <n v="1.0333333333333334"/>
    <m/>
    <m/>
    <m/>
    <m/>
    <n v="0"/>
    <n v="0"/>
    <m/>
    <s v=""/>
    <d v="2026-09-15T00:00:00"/>
    <x v="65"/>
    <x v="6"/>
    <n v="1"/>
    <m/>
    <n v="0"/>
  </r>
  <r>
    <s v="CANNELLE "/>
    <x v="2"/>
    <x v="0"/>
    <x v="11"/>
    <s v="PRLC 0200"/>
    <x v="5"/>
    <m/>
    <x v="1"/>
    <x v="9"/>
    <s v="AT 222/223/224"/>
    <x v="0"/>
    <n v="30"/>
    <n v="30"/>
    <m/>
    <n v="30"/>
    <m/>
    <m/>
    <n v="1932.4899999999998"/>
    <n v="2240.2350000000001"/>
    <n v="64.416333333333327"/>
    <n v="74.674500000000009"/>
    <n v="0.86262825105401875"/>
    <n v="403.92"/>
    <x v="1"/>
    <s v="x"/>
    <m/>
    <n v="0"/>
    <n v="0"/>
    <n v="0"/>
    <d v="2018-03-30T00:00:00"/>
    <d v="2018-07-06T00:00:00"/>
    <m/>
    <n v="3.2666666666666666"/>
    <m/>
    <m/>
    <n v="0"/>
    <s v=""/>
    <m/>
    <m/>
    <m/>
    <d v="1900-12-31T00:00:00"/>
    <m/>
    <s v="oui"/>
    <n v="-1531.4666666666667"/>
    <n v="-18811005.066666666"/>
    <n v="-18811005.066666666"/>
    <n v="18811005.066666666"/>
    <x v="57"/>
    <x v="8"/>
    <n v="80.533333333333331"/>
    <n v="18"/>
    <n v="19"/>
    <m/>
    <d v="2026-08-15T00:00:00"/>
    <d v="2026-09-15T00:00:00"/>
    <d v="2027-09-15T00:00:00"/>
    <n v="1.0333333333333334"/>
    <m/>
    <m/>
    <m/>
    <m/>
    <n v="0"/>
    <n v="0"/>
    <m/>
    <s v=""/>
    <d v="2026-09-15T00:00:00"/>
    <x v="65"/>
    <x v="6"/>
    <n v="1"/>
    <n v="12283"/>
    <n v="12283"/>
  </r>
  <r>
    <s v="DURANTA - OPERATION 1"/>
    <x v="2"/>
    <x v="0"/>
    <x v="11"/>
    <m/>
    <x v="0"/>
    <m/>
    <x v="4"/>
    <x v="9"/>
    <s v="AT 272 273 et 276"/>
    <x v="1"/>
    <n v="20"/>
    <n v="20"/>
    <n v="20"/>
    <m/>
    <m/>
    <m/>
    <m/>
    <m/>
    <n v="0"/>
    <n v="0"/>
    <n v="0"/>
    <m/>
    <x v="1"/>
    <s v="x"/>
    <m/>
    <n v="0"/>
    <s v="-"/>
    <n v="0"/>
    <m/>
    <m/>
    <m/>
    <n v="0"/>
    <m/>
    <m/>
    <n v="0"/>
    <s v=""/>
    <m/>
    <m/>
    <m/>
    <d v="1900-12-31T00:00:00"/>
    <m/>
    <s v="non"/>
    <n v="-1531.4666666666667"/>
    <n v="0"/>
    <n v="0"/>
    <n v="0"/>
    <x v="57"/>
    <x v="8"/>
    <n v="1523.4333333333334"/>
    <n v="18"/>
    <n v="19"/>
    <m/>
    <d v="2026-08-15T00:00:00"/>
    <d v="2026-09-15T00:00:00"/>
    <d v="2027-09-15T00:00:00"/>
    <n v="1.0333333333333334"/>
    <m/>
    <m/>
    <m/>
    <m/>
    <n v="0"/>
    <n v="0"/>
    <m/>
    <s v=""/>
    <d v="2026-09-15T00:00:00"/>
    <x v="65"/>
    <x v="6"/>
    <n v="1"/>
    <m/>
    <n v="0"/>
  </r>
  <r>
    <s v="KALOUPILE - OPERATION 3"/>
    <x v="2"/>
    <x v="0"/>
    <x v="11"/>
    <m/>
    <x v="0"/>
    <m/>
    <x v="4"/>
    <x v="2"/>
    <s v="AT 266 541 542 270 273 et 272"/>
    <x v="0"/>
    <n v="51"/>
    <n v="51"/>
    <m/>
    <n v="51"/>
    <m/>
    <m/>
    <m/>
    <m/>
    <n v="0"/>
    <n v="0"/>
    <n v="0"/>
    <m/>
    <x v="1"/>
    <s v="x"/>
    <m/>
    <n v="0"/>
    <s v="-"/>
    <n v="0"/>
    <m/>
    <m/>
    <m/>
    <n v="0"/>
    <m/>
    <m/>
    <n v="0"/>
    <s v=""/>
    <m/>
    <m/>
    <m/>
    <d v="1900-12-31T00:00:00"/>
    <m/>
    <s v="non"/>
    <n v="-1531.4666666666667"/>
    <n v="0"/>
    <n v="0"/>
    <n v="0"/>
    <x v="57"/>
    <x v="8"/>
    <n v="1523.4333333333334"/>
    <n v="18"/>
    <n v="19"/>
    <m/>
    <d v="2026-08-15T00:00:00"/>
    <d v="2026-09-15T00:00:00"/>
    <d v="2027-09-15T00:00:00"/>
    <n v="1.0333333333333334"/>
    <m/>
    <m/>
    <m/>
    <m/>
    <n v="0"/>
    <n v="0"/>
    <m/>
    <s v=""/>
    <d v="2026-09-15T00:00:00"/>
    <x v="65"/>
    <x v="6"/>
    <n v="1"/>
    <m/>
    <n v="0"/>
  </r>
  <r>
    <s v="Les Lataniers (AX 47 …) LLS"/>
    <x v="2"/>
    <x v="0"/>
    <x v="11"/>
    <s v="PRLC 0244"/>
    <x v="4"/>
    <m/>
    <x v="2"/>
    <x v="9"/>
    <s v="AX 47 - 625 - 50"/>
    <x v="1"/>
    <n v="20"/>
    <n v="20"/>
    <n v="20"/>
    <m/>
    <m/>
    <m/>
    <n v="1290"/>
    <n v="1655"/>
    <n v="64.5"/>
    <n v="82.75"/>
    <n v="0.77945619335347427"/>
    <m/>
    <x v="1"/>
    <s v="x"/>
    <m/>
    <n v="0"/>
    <n v="0"/>
    <n v="0"/>
    <m/>
    <m/>
    <m/>
    <n v="0"/>
    <m/>
    <m/>
    <n v="0"/>
    <s v=""/>
    <m/>
    <m/>
    <m/>
    <d v="1900-12-31T00:00:00"/>
    <m/>
    <s v="non"/>
    <n v="-1531.4666666666667"/>
    <n v="0"/>
    <n v="0"/>
    <n v="0"/>
    <x v="57"/>
    <x v="8"/>
    <n v="1523.4333333333334"/>
    <n v="18"/>
    <n v="19"/>
    <m/>
    <d v="2026-08-15T00:00:00"/>
    <d v="2026-09-15T00:00:00"/>
    <d v="2027-09-15T00:00:00"/>
    <n v="1.0333333333333334"/>
    <m/>
    <m/>
    <m/>
    <m/>
    <n v="0"/>
    <n v="0"/>
    <m/>
    <s v=""/>
    <d v="2026-09-15T00:00:00"/>
    <x v="65"/>
    <x v="6"/>
    <n v="1"/>
    <m/>
    <n v="0"/>
  </r>
  <r>
    <s v="Les Lataniers (AX 47 …) LLTS"/>
    <x v="2"/>
    <x v="0"/>
    <x v="11"/>
    <s v="PRLC 0244"/>
    <x v="0"/>
    <m/>
    <x v="4"/>
    <x v="2"/>
    <s v="AX 47 - 625 - 50"/>
    <x v="0"/>
    <n v="25"/>
    <n v="25"/>
    <m/>
    <n v="25"/>
    <m/>
    <m/>
    <n v="1070"/>
    <n v="1526.25"/>
    <n v="42.8"/>
    <n v="61.05"/>
    <n v="0.70106470106470109"/>
    <m/>
    <x v="1"/>
    <s v="x"/>
    <m/>
    <n v="0"/>
    <n v="0"/>
    <n v="0"/>
    <m/>
    <m/>
    <m/>
    <n v="0"/>
    <m/>
    <m/>
    <n v="0"/>
    <s v=""/>
    <m/>
    <m/>
    <m/>
    <d v="1900-12-31T00:00:00"/>
    <m/>
    <s v="non"/>
    <n v="-1531.4666666666667"/>
    <n v="0"/>
    <n v="0"/>
    <n v="0"/>
    <x v="57"/>
    <x v="8"/>
    <n v="1523.4333333333334"/>
    <n v="18"/>
    <n v="19"/>
    <m/>
    <d v="2026-08-15T00:00:00"/>
    <d v="2026-09-15T00:00:00"/>
    <d v="2027-09-15T00:00:00"/>
    <n v="1.0333333333333334"/>
    <m/>
    <m/>
    <m/>
    <m/>
    <n v="0"/>
    <n v="0"/>
    <m/>
    <s v=""/>
    <d v="2026-09-15T00:00:00"/>
    <x v="65"/>
    <x v="6"/>
    <n v="1"/>
    <m/>
    <n v="0"/>
  </r>
  <r>
    <s v="BAOBAB"/>
    <x v="7"/>
    <x v="1"/>
    <x v="10"/>
    <s v="PRLC 0225"/>
    <x v="5"/>
    <m/>
    <x v="1"/>
    <x v="12"/>
    <s v="EK 250"/>
    <x v="0"/>
    <n v="39"/>
    <n v="39"/>
    <m/>
    <n v="39"/>
    <m/>
    <m/>
    <n v="1859.39"/>
    <n v="2213.6"/>
    <n v="47.676666666666669"/>
    <n v="56.758974358974356"/>
    <n v="0.83998464040477061"/>
    <m/>
    <x v="1"/>
    <s v="x"/>
    <m/>
    <n v="0"/>
    <n v="0"/>
    <n v="0"/>
    <d v="2023-04-14T00:00:00"/>
    <m/>
    <m/>
    <n v="0"/>
    <m/>
    <m/>
    <n v="0"/>
    <s v=""/>
    <m/>
    <m/>
    <m/>
    <d v="1900-12-31T00:00:00"/>
    <m/>
    <s v="non"/>
    <n v="-1537.5333333333333"/>
    <n v="0"/>
    <n v="0"/>
    <n v="0"/>
    <x v="57"/>
    <x v="8"/>
    <n v="1523.4333333333334"/>
    <n v="24"/>
    <n v="25"/>
    <m/>
    <d v="2027-02-15T00:00:00"/>
    <d v="2027-03-15T00:00:00"/>
    <d v="2028-03-15T00:00:00"/>
    <n v="0.93333333333333335"/>
    <m/>
    <m/>
    <m/>
    <m/>
    <n v="0"/>
    <n v="0"/>
    <m/>
    <s v=""/>
    <d v="2027-03-15T00:00:00"/>
    <x v="66"/>
    <x v="6"/>
    <n v="1.0333333333333334"/>
    <m/>
    <n v="0"/>
  </r>
  <r>
    <s v="VEFA L'AVENTURIER LLTS"/>
    <x v="7"/>
    <x v="1"/>
    <x v="10"/>
    <m/>
    <x v="0"/>
    <m/>
    <x v="4"/>
    <x v="2"/>
    <s v="BY 8"/>
    <x v="0"/>
    <n v="32"/>
    <n v="32"/>
    <m/>
    <n v="32"/>
    <m/>
    <m/>
    <n v="2273.35"/>
    <n v="2541.2600000000002"/>
    <n v="71.042187499999997"/>
    <n v="79.414375000000007"/>
    <n v="0.89457591903229094"/>
    <m/>
    <x v="0"/>
    <s v="x"/>
    <n v="5802725.875"/>
    <n v="2552.5"/>
    <n v="2283.4050333299228"/>
    <n v="181335.18359375"/>
    <m/>
    <m/>
    <m/>
    <n v="0"/>
    <m/>
    <m/>
    <n v="0"/>
    <s v=""/>
    <m/>
    <m/>
    <m/>
    <d v="1900-12-31T00:00:00"/>
    <m/>
    <s v="non"/>
    <n v="-1537.5333333333333"/>
    <n v="0"/>
    <n v="0"/>
    <n v="0"/>
    <x v="57"/>
    <x v="8"/>
    <n v="1523.4333333333334"/>
    <n v="24"/>
    <n v="25"/>
    <m/>
    <d v="2027-02-15T00:00:00"/>
    <d v="2027-03-15T00:00:00"/>
    <d v="2028-03-15T00:00:00"/>
    <n v="0.93333333333333335"/>
    <d v="2027-03-15T00:00:00"/>
    <d v="2027-03-15T00:00:00"/>
    <d v="2027-03-15T00:00:00"/>
    <d v="2027-03-15T00:00:00"/>
    <n v="0"/>
    <n v="0"/>
    <m/>
    <s v=""/>
    <d v="2027-04-15T00:00:00"/>
    <x v="66"/>
    <x v="6"/>
    <n v="0"/>
    <m/>
    <n v="0"/>
  </r>
  <r>
    <s v="VEFA L'AVENTURIER PLS"/>
    <x v="7"/>
    <x v="1"/>
    <x v="10"/>
    <m/>
    <x v="2"/>
    <m/>
    <x v="4"/>
    <x v="7"/>
    <s v="BY 8"/>
    <x v="2"/>
    <n v="32"/>
    <n v="32"/>
    <m/>
    <m/>
    <n v="32"/>
    <m/>
    <n v="2614.31"/>
    <n v="3059.14"/>
    <n v="81.697187499999998"/>
    <n v="95.598124999999996"/>
    <n v="0.85458985204992255"/>
    <m/>
    <x v="0"/>
    <s v="x"/>
    <n v="6806486.8004999999"/>
    <n v="2603.5500000000002"/>
    <n v="2224.967409304576"/>
    <n v="212702.712515625"/>
    <m/>
    <m/>
    <m/>
    <n v="0"/>
    <m/>
    <m/>
    <n v="0"/>
    <s v=""/>
    <m/>
    <m/>
    <m/>
    <d v="1900-12-31T00:00:00"/>
    <m/>
    <s v="non"/>
    <n v="-1537.5333333333333"/>
    <n v="0"/>
    <n v="0"/>
    <n v="0"/>
    <x v="57"/>
    <x v="8"/>
    <n v="1523.4333333333334"/>
    <n v="24"/>
    <n v="25"/>
    <m/>
    <d v="2027-02-15T00:00:00"/>
    <d v="2027-03-15T00:00:00"/>
    <d v="2028-03-15T00:00:00"/>
    <n v="0.93333333333333335"/>
    <d v="2027-03-15T00:00:00"/>
    <d v="2027-03-15T00:00:00"/>
    <d v="2027-03-15T00:00:00"/>
    <d v="2027-03-15T00:00:00"/>
    <n v="0"/>
    <n v="0"/>
    <m/>
    <s v=""/>
    <d v="2027-04-15T00:00:00"/>
    <x v="66"/>
    <x v="6"/>
    <n v="0"/>
    <m/>
    <n v="0"/>
  </r>
  <r>
    <s v="VEFA PETIT NATTE LLS"/>
    <x v="7"/>
    <x v="1"/>
    <x v="10"/>
    <m/>
    <x v="0"/>
    <m/>
    <x v="4"/>
    <x v="11"/>
    <s v="BH1361"/>
    <x v="1"/>
    <n v="36"/>
    <n v="40"/>
    <n v="40"/>
    <m/>
    <m/>
    <m/>
    <n v="3060.56"/>
    <n v="3606.03"/>
    <n v="85.015555555555551"/>
    <n v="100.1675"/>
    <n v="0.84873392622912169"/>
    <m/>
    <x v="0"/>
    <s v="x"/>
    <n v="8398443.8699999992"/>
    <n v="2744.0873140863109"/>
    <n v="2328.9999999999995"/>
    <n v="233290.10749999998"/>
    <m/>
    <m/>
    <m/>
    <n v="0"/>
    <m/>
    <m/>
    <n v="0"/>
    <s v=""/>
    <m/>
    <m/>
    <m/>
    <d v="1900-12-31T00:00:00"/>
    <m/>
    <s v="non"/>
    <n v="-1537.5333333333333"/>
    <n v="0"/>
    <n v="0"/>
    <n v="0"/>
    <x v="57"/>
    <x v="8"/>
    <n v="1523.4333333333334"/>
    <n v="24"/>
    <n v="25"/>
    <m/>
    <d v="2027-02-15T00:00:00"/>
    <d v="2027-03-15T00:00:00"/>
    <d v="2028-03-15T00:00:00"/>
    <n v="0.93333333333333335"/>
    <d v="2027-03-15T00:00:00"/>
    <d v="2027-03-15T00:00:00"/>
    <d v="2027-03-15T00:00:00"/>
    <d v="2027-03-15T00:00:00"/>
    <n v="0"/>
    <n v="0"/>
    <m/>
    <s v=""/>
    <d v="2027-04-15T00:00:00"/>
    <x v="66"/>
    <x v="6"/>
    <n v="0"/>
    <m/>
    <n v="0"/>
  </r>
  <r>
    <s v="VEFA PETIT NATTE LLTS"/>
    <x v="7"/>
    <x v="1"/>
    <x v="10"/>
    <m/>
    <x v="2"/>
    <m/>
    <x v="3"/>
    <x v="11"/>
    <s v="BH1361"/>
    <x v="0"/>
    <n v="29"/>
    <n v="20"/>
    <m/>
    <n v="20"/>
    <m/>
    <m/>
    <n v="948.48"/>
    <n v="1050.78"/>
    <n v="32.706206896551727"/>
    <n v="36.233793103448278"/>
    <n v="0.90264375035687783"/>
    <m/>
    <x v="0"/>
    <s v="x"/>
    <n v="2447266.62"/>
    <n v="2580.198443825911"/>
    <n v="2329"/>
    <n v="84388.504137931042"/>
    <m/>
    <m/>
    <m/>
    <n v="0"/>
    <m/>
    <m/>
    <n v="0"/>
    <s v=""/>
    <m/>
    <m/>
    <m/>
    <d v="1900-12-31T00:00:00"/>
    <m/>
    <s v="non"/>
    <n v="-1537.5333333333333"/>
    <n v="0"/>
    <n v="0"/>
    <n v="0"/>
    <x v="57"/>
    <x v="8"/>
    <n v="1523.4333333333334"/>
    <n v="24"/>
    <n v="25"/>
    <m/>
    <d v="2027-02-15T00:00:00"/>
    <d v="2027-03-15T00:00:00"/>
    <d v="2028-03-15T00:00:00"/>
    <n v="0.93333333333333335"/>
    <d v="2027-03-15T00:00:00"/>
    <d v="2027-03-15T00:00:00"/>
    <d v="2027-03-15T00:00:00"/>
    <d v="2027-03-15T00:00:00"/>
    <n v="0"/>
    <n v="0"/>
    <m/>
    <s v=""/>
    <d v="2027-04-15T00:00:00"/>
    <x v="66"/>
    <x v="6"/>
    <n v="0"/>
    <m/>
    <n v="0"/>
  </r>
  <r>
    <s v="Les Brandes Verts (Ex Les Bastides d’opaline)"/>
    <x v="13"/>
    <x v="3"/>
    <x v="9"/>
    <s v="PRLC 0243"/>
    <x v="2"/>
    <m/>
    <x v="3"/>
    <x v="7"/>
    <s v="AT 125"/>
    <x v="0"/>
    <n v="55"/>
    <n v="55"/>
    <m/>
    <n v="55"/>
    <m/>
    <m/>
    <n v="4011"/>
    <n v="4241.25"/>
    <n v="72.927272727272722"/>
    <n v="77.11363636363636"/>
    <n v="0.94571175950486297"/>
    <m/>
    <x v="1"/>
    <s v="x"/>
    <m/>
    <n v="0"/>
    <n v="0"/>
    <n v="0"/>
    <d v="2023-02-28T00:00:00"/>
    <m/>
    <m/>
    <n v="0"/>
    <m/>
    <m/>
    <n v="0"/>
    <s v=""/>
    <m/>
    <m/>
    <m/>
    <d v="1900-12-31T00:00:00"/>
    <m/>
    <s v="non"/>
    <n v="-1541.6"/>
    <n v="0"/>
    <n v="0"/>
    <n v="0"/>
    <x v="57"/>
    <x v="8"/>
    <n v="1523.4333333333334"/>
    <n v="28"/>
    <n v="29"/>
    <m/>
    <d v="2027-06-15T00:00:00"/>
    <d v="2027-07-15T00:00:00"/>
    <d v="2028-07-15T00:00:00"/>
    <n v="1"/>
    <m/>
    <m/>
    <m/>
    <m/>
    <n v="0"/>
    <n v="0"/>
    <m/>
    <s v=""/>
    <d v="2027-07-15T00:00:00"/>
    <x v="67"/>
    <x v="6"/>
    <n v="1.0333333333333334"/>
    <m/>
    <n v="0"/>
  </r>
  <r>
    <s v="VEFA HAMEAU DU PÈRE MARTIN LLS"/>
    <x v="0"/>
    <x v="0"/>
    <x v="10"/>
    <m/>
    <x v="5"/>
    <m/>
    <x v="1"/>
    <x v="9"/>
    <m/>
    <x v="1"/>
    <n v="33"/>
    <n v="33"/>
    <n v="33"/>
    <m/>
    <m/>
    <m/>
    <n v="1974"/>
    <n v="2585.0499999999997"/>
    <n v="59.81818181818182"/>
    <n v="78.334848484848479"/>
    <n v="0.7636215933927778"/>
    <m/>
    <x v="0"/>
    <s v="x"/>
    <n v="6650998.2000000002"/>
    <n v="3369.3"/>
    <n v="2572.8702346182863"/>
    <n v="201545.4"/>
    <m/>
    <m/>
    <m/>
    <n v="0"/>
    <m/>
    <m/>
    <n v="0"/>
    <s v=""/>
    <m/>
    <m/>
    <m/>
    <d v="1900-12-31T00:00:00"/>
    <m/>
    <s v="non"/>
    <n v="-1538.5333333333333"/>
    <n v="0"/>
    <n v="0"/>
    <n v="0"/>
    <x v="62"/>
    <x v="8"/>
    <n v="1524.3666666666666"/>
    <n v="24"/>
    <n v="25"/>
    <m/>
    <d v="2027-03-15T00:00:00"/>
    <d v="2027-04-15T00:00:00"/>
    <d v="2028-04-15T00:00:00"/>
    <n v="1.0333333333333334"/>
    <d v="2027-04-15T00:00:00"/>
    <d v="2027-04-15T00:00:00"/>
    <d v="2027-04-15T00:00:00"/>
    <d v="2027-04-15T00:00:00"/>
    <n v="0"/>
    <n v="0"/>
    <m/>
    <s v=""/>
    <d v="2027-05-15T00:00:00"/>
    <x v="68"/>
    <x v="6"/>
    <n v="0"/>
    <m/>
    <n v="0"/>
  </r>
  <r>
    <s v="VEFA HAMEAU DU PÈRE MARTIN LLTS"/>
    <x v="0"/>
    <x v="0"/>
    <x v="10"/>
    <m/>
    <x v="0"/>
    <m/>
    <x v="4"/>
    <x v="9"/>
    <m/>
    <x v="0"/>
    <n v="12"/>
    <n v="12"/>
    <m/>
    <n v="12"/>
    <m/>
    <m/>
    <n v="553.20000000000005"/>
    <n v="773.3"/>
    <n v="46.1"/>
    <n v="64.441666666666663"/>
    <n v="0.71537566274408393"/>
    <m/>
    <x v="0"/>
    <s v="x"/>
    <n v="1863896.7599999998"/>
    <n v="3369.2999999999993"/>
    <n v="2410.3152204836415"/>
    <n v="155324.72999999998"/>
    <m/>
    <m/>
    <m/>
    <n v="0"/>
    <m/>
    <m/>
    <n v="0"/>
    <s v=""/>
    <m/>
    <m/>
    <m/>
    <d v="1900-12-31T00:00:00"/>
    <m/>
    <s v="non"/>
    <n v="-1538.5333333333333"/>
    <n v="0"/>
    <n v="0"/>
    <n v="0"/>
    <x v="62"/>
    <x v="8"/>
    <n v="1524.3666666666666"/>
    <n v="24"/>
    <n v="25"/>
    <m/>
    <d v="2027-03-15T00:00:00"/>
    <d v="2027-04-15T00:00:00"/>
    <d v="2028-04-15T00:00:00"/>
    <n v="1.0333333333333334"/>
    <d v="2027-04-15T00:00:00"/>
    <d v="2027-04-15T00:00:00"/>
    <d v="2027-04-15T00:00:00"/>
    <d v="2027-04-15T00:00:00"/>
    <n v="0"/>
    <n v="0"/>
    <m/>
    <s v=""/>
    <d v="2027-05-15T00:00:00"/>
    <x v="68"/>
    <x v="6"/>
    <n v="0"/>
    <m/>
    <n v="0"/>
  </r>
  <r>
    <s v="VEFA HAMEAU DU PÈRE MARTIN PLS"/>
    <x v="0"/>
    <x v="0"/>
    <x v="10"/>
    <m/>
    <x v="0"/>
    <m/>
    <x v="4"/>
    <x v="9"/>
    <m/>
    <x v="2"/>
    <n v="6"/>
    <n v="6"/>
    <m/>
    <m/>
    <n v="6"/>
    <m/>
    <n v="451.5"/>
    <n v="535.6"/>
    <n v="75.25"/>
    <n v="89.266666666666666"/>
    <n v="0.84297983569828228"/>
    <m/>
    <x v="0"/>
    <s v="x"/>
    <n v="1613435.2500000002"/>
    <n v="3573.5000000000005"/>
    <n v="3012.388442867812"/>
    <n v="268905.87500000006"/>
    <m/>
    <m/>
    <m/>
    <n v="0"/>
    <m/>
    <m/>
    <n v="0"/>
    <s v=""/>
    <m/>
    <m/>
    <m/>
    <d v="1900-12-31T00:00:00"/>
    <m/>
    <s v="non"/>
    <n v="-1538.5333333333333"/>
    <n v="0"/>
    <n v="0"/>
    <n v="0"/>
    <x v="62"/>
    <x v="8"/>
    <n v="1524.3666666666666"/>
    <n v="24"/>
    <n v="25"/>
    <m/>
    <d v="2027-03-15T00:00:00"/>
    <d v="2027-04-15T00:00:00"/>
    <d v="2028-04-15T00:00:00"/>
    <n v="1.0333333333333334"/>
    <d v="2027-04-15T00:00:00"/>
    <d v="2027-04-15T00:00:00"/>
    <d v="2027-04-15T00:00:00"/>
    <d v="2027-04-15T00:00:00"/>
    <n v="0"/>
    <n v="0"/>
    <m/>
    <s v=""/>
    <d v="2027-05-15T00:00:00"/>
    <x v="68"/>
    <x v="6"/>
    <n v="0"/>
    <m/>
    <n v="0"/>
  </r>
  <r>
    <s v="VEFA SOCRATE et PLATON LLS"/>
    <x v="7"/>
    <x v="1"/>
    <x v="10"/>
    <m/>
    <x v="0"/>
    <m/>
    <x v="4"/>
    <x v="9"/>
    <s v="BW 2294 - 1738"/>
    <x v="1"/>
    <n v="24"/>
    <n v="24"/>
    <n v="24"/>
    <m/>
    <m/>
    <m/>
    <m/>
    <m/>
    <n v="0"/>
    <n v="0"/>
    <n v="0"/>
    <m/>
    <x v="0"/>
    <s v="x"/>
    <m/>
    <n v="0"/>
    <s v="-"/>
    <n v="0"/>
    <m/>
    <m/>
    <m/>
    <n v="0"/>
    <m/>
    <m/>
    <n v="0"/>
    <s v=""/>
    <m/>
    <m/>
    <m/>
    <d v="1900-12-31T00:00:00"/>
    <m/>
    <s v="non"/>
    <n v="-1538.5333333333333"/>
    <n v="0"/>
    <n v="0"/>
    <n v="0"/>
    <x v="62"/>
    <x v="8"/>
    <n v="1524.3666666666666"/>
    <n v="24"/>
    <n v="25"/>
    <m/>
    <d v="2027-03-15T00:00:00"/>
    <d v="2027-04-15T00:00:00"/>
    <d v="2028-04-15T00:00:00"/>
    <n v="1.0333333333333334"/>
    <d v="2027-04-15T00:00:00"/>
    <d v="2027-04-15T00:00:00"/>
    <d v="2027-04-15T00:00:00"/>
    <d v="2027-04-15T00:00:00"/>
    <n v="0"/>
    <n v="0"/>
    <m/>
    <s v=""/>
    <d v="2027-05-15T00:00:00"/>
    <x v="68"/>
    <x v="6"/>
    <n v="0"/>
    <m/>
    <n v="0"/>
  </r>
  <r>
    <s v="VEFA SOCRATE et PLATON PLS"/>
    <x v="7"/>
    <x v="1"/>
    <x v="10"/>
    <m/>
    <x v="3"/>
    <m/>
    <x v="4"/>
    <x v="9"/>
    <s v="BW 2294 - 1738"/>
    <x v="2"/>
    <n v="98"/>
    <n v="98"/>
    <m/>
    <m/>
    <n v="98"/>
    <m/>
    <m/>
    <m/>
    <n v="0"/>
    <n v="0"/>
    <n v="0"/>
    <m/>
    <x v="0"/>
    <s v="x"/>
    <m/>
    <n v="0"/>
    <s v="-"/>
    <n v="0"/>
    <m/>
    <m/>
    <m/>
    <n v="0"/>
    <m/>
    <m/>
    <n v="0"/>
    <s v=""/>
    <m/>
    <m/>
    <m/>
    <d v="1900-12-31T00:00:00"/>
    <m/>
    <s v="non"/>
    <n v="-1538.5333333333333"/>
    <n v="0"/>
    <n v="0"/>
    <n v="0"/>
    <x v="62"/>
    <x v="8"/>
    <n v="1524.3666666666666"/>
    <n v="24"/>
    <n v="25"/>
    <m/>
    <d v="2027-03-15T00:00:00"/>
    <d v="2027-04-15T00:00:00"/>
    <d v="2028-04-15T00:00:00"/>
    <n v="1.0333333333333334"/>
    <d v="2027-04-15T00:00:00"/>
    <d v="2027-04-15T00:00:00"/>
    <d v="2027-04-15T00:00:00"/>
    <d v="2027-04-15T00:00:00"/>
    <n v="0"/>
    <n v="0"/>
    <m/>
    <s v=""/>
    <d v="2027-05-15T00:00:00"/>
    <x v="68"/>
    <x v="6"/>
    <n v="0"/>
    <m/>
    <n v="0"/>
  </r>
  <r>
    <s v="VEFA MAZEAU ROUSSEL  6a - 10 LLTS"/>
    <x v="7"/>
    <x v="1"/>
    <x v="10"/>
    <s v="PRLC 0217"/>
    <x v="5"/>
    <m/>
    <x v="1"/>
    <x v="7"/>
    <m/>
    <x v="0"/>
    <n v="10"/>
    <n v="10"/>
    <m/>
    <n v="10"/>
    <m/>
    <m/>
    <n v="467"/>
    <n v="621.5"/>
    <n v="46.7"/>
    <n v="62.15"/>
    <n v="0.75140788415124693"/>
    <m/>
    <x v="0"/>
    <s v="x"/>
    <n v="1525782.4000000004"/>
    <n v="3267.2000000000007"/>
    <n v="2454.9998390989549"/>
    <n v="152578.24000000005"/>
    <m/>
    <m/>
    <m/>
    <n v="0"/>
    <m/>
    <m/>
    <n v="0"/>
    <s v=""/>
    <m/>
    <m/>
    <m/>
    <d v="1900-12-31T00:00:00"/>
    <m/>
    <s v="non"/>
    <n v="-1540.2333333333333"/>
    <n v="0"/>
    <n v="0"/>
    <n v="0"/>
    <x v="63"/>
    <x v="8"/>
    <n v="1526.0666666666666"/>
    <n v="24"/>
    <n v="25"/>
    <m/>
    <d v="2027-05-05T00:00:00"/>
    <d v="2027-06-05T00:00:00"/>
    <d v="2028-06-05T00:00:00"/>
    <n v="1.0333333333333334"/>
    <d v="2027-06-05T00:00:00"/>
    <d v="2027-06-05T00:00:00"/>
    <d v="2027-06-05T00:00:00"/>
    <d v="2027-06-05T00:00:00"/>
    <n v="0"/>
    <n v="0"/>
    <m/>
    <s v=""/>
    <d v="2027-07-05T00:00:00"/>
    <x v="69"/>
    <x v="6"/>
    <n v="0"/>
    <m/>
    <n v="0"/>
  </r>
  <r>
    <s v="VEFA MAZEAU ROUSSEL  6a - 30 LLS"/>
    <x v="7"/>
    <x v="1"/>
    <x v="10"/>
    <s v="PRLC 0217"/>
    <x v="0"/>
    <m/>
    <x v="4"/>
    <x v="2"/>
    <m/>
    <x v="1"/>
    <n v="30"/>
    <n v="30"/>
    <n v="30"/>
    <m/>
    <m/>
    <m/>
    <n v="1844"/>
    <n v="2343.5"/>
    <n v="61.466666666666669"/>
    <n v="78.11666666666666"/>
    <n v="0.78685726477490936"/>
    <m/>
    <x v="0"/>
    <s v="x"/>
    <n v="6024717"/>
    <n v="3267.2001084598696"/>
    <n v="2570.8201408150203"/>
    <n v="200823.9"/>
    <m/>
    <m/>
    <m/>
    <n v="0"/>
    <m/>
    <m/>
    <n v="0"/>
    <s v=""/>
    <m/>
    <m/>
    <m/>
    <d v="1900-12-31T00:00:00"/>
    <m/>
    <s v="non"/>
    <n v="-1540.2333333333333"/>
    <n v="0"/>
    <n v="0"/>
    <n v="0"/>
    <x v="63"/>
    <x v="8"/>
    <n v="1526.0666666666666"/>
    <n v="24"/>
    <n v="25"/>
    <m/>
    <d v="2027-05-05T00:00:00"/>
    <d v="2027-06-05T00:00:00"/>
    <d v="2028-06-05T00:00:00"/>
    <n v="1.0333333333333334"/>
    <d v="2027-06-05T00:00:00"/>
    <d v="2027-06-05T00:00:00"/>
    <d v="2027-06-05T00:00:00"/>
    <d v="2027-06-05T00:00:00"/>
    <n v="0"/>
    <n v="0"/>
    <m/>
    <s v=""/>
    <d v="2027-07-05T00:00:00"/>
    <x v="69"/>
    <x v="6"/>
    <n v="0"/>
    <m/>
    <n v="0"/>
  </r>
  <r>
    <s v="VEFA MAZEAU ROUSSEL  8 - 70 LLTS RPA"/>
    <x v="7"/>
    <x v="1"/>
    <x v="10"/>
    <s v="PRLC 0223"/>
    <x v="0"/>
    <m/>
    <x v="4"/>
    <x v="2"/>
    <m/>
    <x v="0"/>
    <n v="70"/>
    <n v="70"/>
    <m/>
    <n v="70"/>
    <m/>
    <m/>
    <n v="3188.4"/>
    <n v="3812.05"/>
    <n v="45.548571428571428"/>
    <n v="54.457857142857144"/>
    <n v="0.83640036200994217"/>
    <m/>
    <x v="0"/>
    <s v="x"/>
    <n v="9792852"/>
    <n v="3071.4000752728639"/>
    <n v="2568.9201348355869"/>
    <n v="139897.88571428572"/>
    <m/>
    <m/>
    <m/>
    <n v="0"/>
    <m/>
    <m/>
    <n v="0"/>
    <s v=""/>
    <m/>
    <m/>
    <m/>
    <d v="1900-12-31T00:00:00"/>
    <m/>
    <s v="non"/>
    <n v="-1540.2333333333333"/>
    <n v="0"/>
    <n v="0"/>
    <n v="0"/>
    <x v="63"/>
    <x v="8"/>
    <n v="1526.0666666666666"/>
    <n v="24"/>
    <n v="25"/>
    <m/>
    <d v="2027-05-05T00:00:00"/>
    <d v="2027-06-05T00:00:00"/>
    <d v="2028-06-05T00:00:00"/>
    <n v="1.0333333333333334"/>
    <d v="2027-06-05T00:00:00"/>
    <d v="2027-06-05T00:00:00"/>
    <d v="2027-06-05T00:00:00"/>
    <d v="2027-06-05T00:00:00"/>
    <n v="0"/>
    <n v="0"/>
    <m/>
    <s v=""/>
    <d v="2027-07-05T00:00:00"/>
    <x v="69"/>
    <x v="6"/>
    <n v="0"/>
    <m/>
    <n v="0"/>
  </r>
  <r>
    <s v="VEFA MAZEAU ROUSSEL 6B - 15 LLTS"/>
    <x v="7"/>
    <x v="1"/>
    <x v="10"/>
    <s v="PRLC 0227"/>
    <x v="0"/>
    <m/>
    <x v="4"/>
    <x v="2"/>
    <m/>
    <x v="0"/>
    <n v="15"/>
    <n v="15"/>
    <m/>
    <n v="15"/>
    <m/>
    <m/>
    <n v="648.70000000000005"/>
    <n v="880.45"/>
    <n v="43.24666666666667"/>
    <n v="58.696666666666673"/>
    <n v="0.73678232721903569"/>
    <m/>
    <x v="0"/>
    <s v="x"/>
    <n v="2119433"/>
    <n v="3267.2005549560658"/>
    <n v="2407.215628371855"/>
    <n v="141295.53333333333"/>
    <m/>
    <m/>
    <m/>
    <n v="0"/>
    <m/>
    <m/>
    <n v="0"/>
    <s v=""/>
    <m/>
    <m/>
    <m/>
    <d v="1900-12-31T00:00:00"/>
    <m/>
    <s v="non"/>
    <n v="-1540.2333333333333"/>
    <n v="0"/>
    <n v="0"/>
    <n v="0"/>
    <x v="63"/>
    <x v="8"/>
    <n v="1526.0666666666666"/>
    <n v="24"/>
    <n v="25"/>
    <m/>
    <d v="2027-05-05T00:00:00"/>
    <d v="2027-06-05T00:00:00"/>
    <d v="2028-06-05T00:00:00"/>
    <n v="1.0333333333333334"/>
    <d v="2027-06-05T00:00:00"/>
    <d v="2027-06-05T00:00:00"/>
    <d v="2027-06-05T00:00:00"/>
    <d v="2027-06-05T00:00:00"/>
    <n v="0"/>
    <n v="0"/>
    <m/>
    <s v=""/>
    <d v="2027-07-05T00:00:00"/>
    <x v="69"/>
    <x v="6"/>
    <n v="0"/>
    <m/>
    <n v="0"/>
  </r>
  <r>
    <s v="VEFA MAZEAU ROUSSEL 6B - 16 LLS"/>
    <x v="7"/>
    <x v="1"/>
    <x v="10"/>
    <s v="PRLC 0227"/>
    <x v="0"/>
    <m/>
    <x v="4"/>
    <x v="2"/>
    <m/>
    <x v="1"/>
    <n v="16"/>
    <n v="16"/>
    <n v="16"/>
    <m/>
    <m/>
    <m/>
    <n v="959.8"/>
    <n v="1225"/>
    <n v="59.987499999999997"/>
    <n v="76.5625"/>
    <n v="0.78351020408163263"/>
    <m/>
    <x v="0"/>
    <s v="x"/>
    <n v="3135859"/>
    <n v="3267.2004584288393"/>
    <n v="2559.8848979591835"/>
    <n v="195991.1875"/>
    <m/>
    <m/>
    <m/>
    <n v="0"/>
    <m/>
    <m/>
    <n v="0"/>
    <s v=""/>
    <m/>
    <m/>
    <m/>
    <d v="1900-12-31T00:00:00"/>
    <m/>
    <s v="non"/>
    <n v="-1540.2333333333333"/>
    <n v="0"/>
    <n v="0"/>
    <n v="0"/>
    <x v="63"/>
    <x v="8"/>
    <n v="1526.0666666666666"/>
    <n v="24"/>
    <n v="25"/>
    <m/>
    <d v="2027-05-05T00:00:00"/>
    <d v="2027-06-05T00:00:00"/>
    <d v="2028-06-05T00:00:00"/>
    <n v="1.0333333333333334"/>
    <d v="2027-06-05T00:00:00"/>
    <d v="2027-06-05T00:00:00"/>
    <d v="2027-06-05T00:00:00"/>
    <d v="2027-06-05T00:00:00"/>
    <n v="0"/>
    <n v="0"/>
    <m/>
    <s v=""/>
    <d v="2027-07-05T00:00:00"/>
    <x v="69"/>
    <x v="6"/>
    <n v="0"/>
    <m/>
    <n v="0"/>
  </r>
  <r>
    <s v="CILAOS 3 MARES - AI 2154 LLS"/>
    <x v="10"/>
    <x v="0"/>
    <x v="11"/>
    <m/>
    <x v="0"/>
    <m/>
    <x v="4"/>
    <x v="9"/>
    <m/>
    <x v="1"/>
    <n v="13"/>
    <n v="13"/>
    <n v="13"/>
    <m/>
    <m/>
    <m/>
    <n v="922"/>
    <n v="1009.75"/>
    <n v="70.92307692307692"/>
    <n v="77.67307692307692"/>
    <n v="0.91309730131220601"/>
    <m/>
    <x v="1"/>
    <s v="x"/>
    <m/>
    <n v="0"/>
    <n v="0"/>
    <n v="0"/>
    <m/>
    <m/>
    <m/>
    <n v="0"/>
    <m/>
    <m/>
    <n v="0"/>
    <s v=""/>
    <m/>
    <m/>
    <m/>
    <d v="1900-12-31T00:00:00"/>
    <m/>
    <s v="non"/>
    <n v="-1538.5333333333333"/>
    <n v="0"/>
    <n v="0"/>
    <n v="0"/>
    <x v="64"/>
    <x v="8"/>
    <n v="1528.4333333333334"/>
    <n v="20"/>
    <n v="21"/>
    <m/>
    <d v="2027-03-15T00:00:00"/>
    <d v="2027-04-15T00:00:00"/>
    <d v="2028-04-15T00:00:00"/>
    <n v="1.0333333333333334"/>
    <m/>
    <m/>
    <m/>
    <m/>
    <n v="0"/>
    <n v="0"/>
    <m/>
    <s v=""/>
    <d v="2027-04-15T00:00:00"/>
    <x v="68"/>
    <x v="6"/>
    <n v="1"/>
    <m/>
    <n v="0"/>
  </r>
  <r>
    <s v="CILAOS 3 MARES - AI 2154 LLTS"/>
    <x v="10"/>
    <x v="0"/>
    <x v="11"/>
    <m/>
    <x v="0"/>
    <m/>
    <x v="4"/>
    <x v="9"/>
    <m/>
    <x v="0"/>
    <n v="22"/>
    <n v="22"/>
    <m/>
    <n v="22"/>
    <m/>
    <m/>
    <n v="1122"/>
    <n v="1270.5"/>
    <n v="51"/>
    <n v="57.75"/>
    <n v="0.88311688311688308"/>
    <m/>
    <x v="1"/>
    <s v="x"/>
    <m/>
    <n v="0"/>
    <n v="0"/>
    <n v="0"/>
    <m/>
    <m/>
    <m/>
    <n v="0"/>
    <m/>
    <m/>
    <n v="0"/>
    <s v=""/>
    <m/>
    <m/>
    <m/>
    <d v="1900-12-31T00:00:00"/>
    <m/>
    <s v="non"/>
    <n v="-1538.5333333333333"/>
    <n v="0"/>
    <n v="0"/>
    <n v="0"/>
    <x v="64"/>
    <x v="8"/>
    <n v="1528.4333333333334"/>
    <n v="20"/>
    <n v="21"/>
    <m/>
    <d v="2027-03-15T00:00:00"/>
    <d v="2027-04-15T00:00:00"/>
    <d v="2028-04-15T00:00:00"/>
    <n v="1.0333333333333334"/>
    <m/>
    <m/>
    <m/>
    <m/>
    <n v="0"/>
    <n v="0"/>
    <m/>
    <s v=""/>
    <d v="2027-04-15T00:00:00"/>
    <x v="68"/>
    <x v="6"/>
    <n v="1"/>
    <m/>
    <n v="0"/>
  </r>
  <r>
    <s v="CILAOS AH 901 LLS"/>
    <x v="10"/>
    <x v="0"/>
    <x v="11"/>
    <m/>
    <x v="0"/>
    <m/>
    <x v="4"/>
    <x v="9"/>
    <m/>
    <x v="1"/>
    <n v="11"/>
    <n v="11"/>
    <n v="11"/>
    <m/>
    <m/>
    <m/>
    <n v="760"/>
    <n v="897.5"/>
    <n v="69.090909090909093"/>
    <n v="81.590909090909093"/>
    <n v="0.84679665738161558"/>
    <m/>
    <x v="1"/>
    <s v="x"/>
    <m/>
    <n v="0"/>
    <n v="0"/>
    <n v="0"/>
    <m/>
    <m/>
    <m/>
    <n v="0"/>
    <m/>
    <m/>
    <n v="0"/>
    <s v=""/>
    <m/>
    <m/>
    <m/>
    <d v="1900-12-31T00:00:00"/>
    <m/>
    <s v="non"/>
    <n v="-1538.5333333333333"/>
    <n v="0"/>
    <n v="0"/>
    <n v="0"/>
    <x v="64"/>
    <x v="8"/>
    <n v="1528.4333333333334"/>
    <n v="20"/>
    <n v="21"/>
    <m/>
    <d v="2027-03-15T00:00:00"/>
    <d v="2027-04-15T00:00:00"/>
    <d v="2028-04-15T00:00:00"/>
    <n v="1.0333333333333334"/>
    <m/>
    <m/>
    <m/>
    <m/>
    <n v="0"/>
    <n v="0"/>
    <m/>
    <s v=""/>
    <d v="2027-04-15T00:00:00"/>
    <x v="68"/>
    <x v="6"/>
    <n v="1"/>
    <m/>
    <n v="0"/>
  </r>
  <r>
    <s v="CILAOS AH 901 LLTS"/>
    <x v="10"/>
    <x v="0"/>
    <x v="11"/>
    <m/>
    <x v="0"/>
    <m/>
    <x v="4"/>
    <x v="9"/>
    <m/>
    <x v="0"/>
    <n v="6"/>
    <n v="6"/>
    <m/>
    <n v="6"/>
    <m/>
    <m/>
    <n v="306"/>
    <n v="381"/>
    <n v="51"/>
    <n v="63.5"/>
    <n v="0.80314960629921262"/>
    <m/>
    <x v="1"/>
    <s v="x"/>
    <m/>
    <n v="0"/>
    <n v="0"/>
    <n v="0"/>
    <m/>
    <m/>
    <m/>
    <n v="0"/>
    <m/>
    <m/>
    <n v="0"/>
    <s v=""/>
    <m/>
    <m/>
    <m/>
    <d v="1900-12-31T00:00:00"/>
    <m/>
    <s v="non"/>
    <n v="-1538.5333333333333"/>
    <n v="0"/>
    <n v="0"/>
    <n v="0"/>
    <x v="64"/>
    <x v="8"/>
    <n v="1528.4333333333334"/>
    <n v="20"/>
    <n v="21"/>
    <m/>
    <d v="2027-03-15T00:00:00"/>
    <d v="2027-04-15T00:00:00"/>
    <d v="2028-04-15T00:00:00"/>
    <n v="1.0333333333333334"/>
    <m/>
    <m/>
    <m/>
    <m/>
    <n v="0"/>
    <n v="0"/>
    <m/>
    <s v=""/>
    <d v="2027-04-15T00:00:00"/>
    <x v="68"/>
    <x v="6"/>
    <n v="1"/>
    <m/>
    <n v="0"/>
  </r>
  <r>
    <s v="PAPYRUS "/>
    <x v="2"/>
    <x v="0"/>
    <x v="11"/>
    <s v="PRLC 0199"/>
    <x v="5"/>
    <m/>
    <x v="1"/>
    <x v="13"/>
    <m/>
    <x v="1"/>
    <n v="22"/>
    <n v="22"/>
    <n v="22"/>
    <m/>
    <m/>
    <m/>
    <n v="1172.1600000000001"/>
    <n v="1446.71"/>
    <n v="53.28"/>
    <n v="65.75954545454546"/>
    <n v="0.81022457852644969"/>
    <n v="523.54"/>
    <x v="1"/>
    <s v="x"/>
    <m/>
    <n v="0"/>
    <n v="0"/>
    <n v="0"/>
    <d v="2018-03-30T00:00:00"/>
    <d v="2018-08-22T00:00:00"/>
    <m/>
    <n v="4.833333333333333"/>
    <m/>
    <m/>
    <n v="0"/>
    <s v=""/>
    <m/>
    <m/>
    <m/>
    <d v="1900-12-31T00:00:00"/>
    <m/>
    <s v="oui"/>
    <n v="-1538.5333333333333"/>
    <n v="-26596625.733333334"/>
    <n v="-26596625.733333334"/>
    <n v="26596625.733333334"/>
    <x v="65"/>
    <x v="8"/>
    <n v="86.033333333333331"/>
    <n v="18"/>
    <n v="19"/>
    <m/>
    <d v="2027-03-15T00:00:00"/>
    <d v="2027-04-15T00:00:00"/>
    <d v="2028-04-15T00:00:00"/>
    <n v="1.0333333333333334"/>
    <m/>
    <m/>
    <m/>
    <m/>
    <n v="0"/>
    <n v="0"/>
    <m/>
    <s v=""/>
    <d v="2027-04-15T00:00:00"/>
    <x v="68"/>
    <x v="6"/>
    <n v="1"/>
    <n v="17287"/>
    <n v="17287"/>
  </r>
  <r>
    <s v="Cœur de Village 45"/>
    <x v="1"/>
    <x v="1"/>
    <x v="11"/>
    <m/>
    <x v="0"/>
    <m/>
    <x v="4"/>
    <x v="2"/>
    <m/>
    <x v="3"/>
    <n v="45"/>
    <n v="0"/>
    <m/>
    <m/>
    <m/>
    <n v="45"/>
    <m/>
    <m/>
    <n v="0"/>
    <n v="0"/>
    <n v="0"/>
    <m/>
    <x v="2"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x v="66"/>
    <x v="8"/>
    <n v="1544.9666666666667"/>
    <n v="12"/>
    <n v="13"/>
    <m/>
    <d v="2027-11-23T00:00:00"/>
    <d v="2027-12-23T00:00:00"/>
    <d v="2028-12-23T00:00:00"/>
    <n v="1"/>
    <m/>
    <m/>
    <m/>
    <m/>
    <n v="0"/>
    <n v="0"/>
    <m/>
    <s v=""/>
    <d v="2027-12-23T00:00:00"/>
    <x v="70"/>
    <x v="6"/>
    <n v="1.0333333333333334"/>
    <m/>
    <s v=""/>
  </r>
  <r>
    <s v="Lacaussade 2"/>
    <x v="1"/>
    <x v="1"/>
    <x v="11"/>
    <m/>
    <x v="0"/>
    <m/>
    <x v="4"/>
    <x v="2"/>
    <m/>
    <x v="3"/>
    <n v="12"/>
    <n v="0"/>
    <m/>
    <m/>
    <m/>
    <n v="12"/>
    <m/>
    <m/>
    <n v="0"/>
    <n v="0"/>
    <n v="0"/>
    <m/>
    <x v="2"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x v="66"/>
    <x v="8"/>
    <n v="1544.9666666666667"/>
    <n v="12"/>
    <n v="13"/>
    <m/>
    <d v="2027-11-23T00:00:00"/>
    <d v="2027-12-23T00:00:00"/>
    <d v="2028-12-23T00:00:00"/>
    <n v="1"/>
    <m/>
    <m/>
    <m/>
    <m/>
    <n v="0"/>
    <n v="0"/>
    <m/>
    <s v=""/>
    <d v="2027-12-23T00:00:00"/>
    <x v="70"/>
    <x v="6"/>
    <n v="1.0333333333333334"/>
    <m/>
    <s v=""/>
  </r>
  <r>
    <s v="Sentier Belda"/>
    <x v="0"/>
    <x v="0"/>
    <x v="11"/>
    <m/>
    <x v="0"/>
    <m/>
    <x v="4"/>
    <x v="2"/>
    <m/>
    <x v="3"/>
    <n v="29"/>
    <n v="0"/>
    <m/>
    <m/>
    <m/>
    <n v="29"/>
    <m/>
    <m/>
    <n v="0"/>
    <n v="0"/>
    <n v="0"/>
    <m/>
    <x v="2"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x v="66"/>
    <x v="8"/>
    <n v="1544.9666666666667"/>
    <n v="12"/>
    <n v="13"/>
    <m/>
    <d v="2027-11-23T00:00:00"/>
    <d v="2027-12-23T00:00:00"/>
    <d v="2028-12-23T00:00:00"/>
    <n v="1"/>
    <m/>
    <m/>
    <m/>
    <m/>
    <n v="0"/>
    <n v="0"/>
    <m/>
    <s v=""/>
    <d v="2027-12-23T00:00:00"/>
    <x v="70"/>
    <x v="6"/>
    <n v="1.0333333333333334"/>
    <m/>
    <s v=""/>
  </r>
  <r>
    <s v="Vincendo Bras Panon"/>
    <x v="1"/>
    <x v="1"/>
    <x v="11"/>
    <m/>
    <x v="0"/>
    <m/>
    <x v="4"/>
    <x v="2"/>
    <m/>
    <x v="3"/>
    <n v="32"/>
    <n v="0"/>
    <m/>
    <m/>
    <m/>
    <n v="32"/>
    <m/>
    <m/>
    <n v="0"/>
    <n v="0"/>
    <n v="0"/>
    <m/>
    <x v="2"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x v="66"/>
    <x v="8"/>
    <n v="1544.9666666666667"/>
    <n v="12"/>
    <n v="13"/>
    <m/>
    <d v="2027-11-23T00:00:00"/>
    <d v="2027-12-23T00:00:00"/>
    <d v="2028-12-23T00:00:00"/>
    <n v="1"/>
    <m/>
    <m/>
    <m/>
    <m/>
    <n v="0"/>
    <n v="0"/>
    <m/>
    <s v=""/>
    <d v="2027-12-23T00:00:00"/>
    <x v="70"/>
    <x v="6"/>
    <n v="1.0333333333333334"/>
    <m/>
    <s v=""/>
  </r>
  <r>
    <s v="Molière"/>
    <x v="7"/>
    <x v="1"/>
    <x v="12"/>
    <m/>
    <x v="0"/>
    <m/>
    <x v="4"/>
    <x v="2"/>
    <m/>
    <x v="3"/>
    <n v="93"/>
    <n v="0"/>
    <m/>
    <m/>
    <m/>
    <n v="93"/>
    <m/>
    <m/>
    <n v="0"/>
    <n v="0"/>
    <n v="0"/>
    <m/>
    <x v="2"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x v="66"/>
    <x v="8"/>
    <n v="1544.9666666666667"/>
    <n v="12"/>
    <n v="13"/>
    <m/>
    <d v="2027-11-23T00:00:00"/>
    <d v="2027-12-23T00:00:00"/>
    <d v="2028-12-23T00:00:00"/>
    <n v="1"/>
    <m/>
    <m/>
    <m/>
    <m/>
    <n v="0"/>
    <n v="0"/>
    <m/>
    <s v=""/>
    <d v="2027-12-23T00:00:00"/>
    <x v="70"/>
    <x v="6"/>
    <n v="1.0333333333333334"/>
    <m/>
    <s v=""/>
  </r>
  <r>
    <s v="CILAOS AH 568 LLS"/>
    <x v="10"/>
    <x v="0"/>
    <x v="10"/>
    <s v="PRLC 0248"/>
    <x v="2"/>
    <m/>
    <x v="3"/>
    <x v="9"/>
    <s v="AH 568 - 779 - 278 - 279 - 802 -8"/>
    <x v="1"/>
    <n v="28"/>
    <n v="28"/>
    <n v="28"/>
    <m/>
    <m/>
    <m/>
    <n v="1726"/>
    <n v="1887.5"/>
    <n v="61.642857142857146"/>
    <n v="67.410714285714292"/>
    <n v="0.91443708609271523"/>
    <m/>
    <x v="1"/>
    <s v="x"/>
    <m/>
    <n v="0"/>
    <n v="0"/>
    <n v="0"/>
    <m/>
    <m/>
    <m/>
    <n v="0"/>
    <m/>
    <m/>
    <n v="0"/>
    <s v=""/>
    <m/>
    <m/>
    <m/>
    <d v="1900-12-31T00:00:00"/>
    <m/>
    <s v="non"/>
    <n v="-1546.7"/>
    <n v="0"/>
    <n v="0"/>
    <n v="0"/>
    <x v="67"/>
    <x v="8"/>
    <n v="1536.5333333333333"/>
    <n v="20"/>
    <n v="21"/>
    <m/>
    <d v="2027-11-15T00:00:00"/>
    <d v="2027-12-15T00:00:00"/>
    <d v="2028-12-15T00:00:00"/>
    <n v="1"/>
    <m/>
    <m/>
    <m/>
    <m/>
    <n v="0"/>
    <n v="0"/>
    <m/>
    <s v=""/>
    <d v="2027-12-15T00:00:00"/>
    <x v="71"/>
    <x v="6"/>
    <n v="1.0333333333333334"/>
    <m/>
    <n v="0"/>
  </r>
  <r>
    <s v="CILAOS AH 568 LLTS"/>
    <x v="10"/>
    <x v="0"/>
    <x v="10"/>
    <s v="PRLC 0248"/>
    <x v="0"/>
    <m/>
    <x v="4"/>
    <x v="9"/>
    <s v="AH 568 - 779 - 278 - 279 - 802 -8"/>
    <x v="0"/>
    <n v="9"/>
    <n v="9"/>
    <m/>
    <n v="9"/>
    <m/>
    <m/>
    <n v="342"/>
    <n v="382.75"/>
    <n v="38"/>
    <n v="42.527777777777779"/>
    <n v="0.89353363814500331"/>
    <m/>
    <x v="1"/>
    <s v="x"/>
    <m/>
    <n v="0"/>
    <n v="0"/>
    <n v="0"/>
    <m/>
    <m/>
    <m/>
    <n v="0"/>
    <m/>
    <m/>
    <n v="0"/>
    <s v=""/>
    <m/>
    <m/>
    <m/>
    <d v="1900-12-31T00:00:00"/>
    <m/>
    <s v="non"/>
    <n v="-1546.7"/>
    <n v="0"/>
    <n v="0"/>
    <n v="0"/>
    <x v="67"/>
    <x v="8"/>
    <n v="1536.5333333333333"/>
    <n v="20"/>
    <n v="21"/>
    <m/>
    <d v="2027-11-15T00:00:00"/>
    <d v="2027-12-15T00:00:00"/>
    <d v="2028-12-15T00:00:00"/>
    <n v="1"/>
    <m/>
    <m/>
    <m/>
    <m/>
    <n v="0"/>
    <n v="0"/>
    <m/>
    <s v=""/>
    <d v="2027-12-15T00:00:00"/>
    <x v="71"/>
    <x v="6"/>
    <n v="1.0333333333333334"/>
    <m/>
    <n v="0"/>
  </r>
  <r>
    <s v="GALLIEN"/>
    <x v="5"/>
    <x v="1"/>
    <x v="13"/>
    <m/>
    <x v="0"/>
    <m/>
    <x v="4"/>
    <x v="9"/>
    <s v="AT 72"/>
    <x v="0"/>
    <n v="35"/>
    <n v="35"/>
    <m/>
    <n v="35"/>
    <m/>
    <m/>
    <m/>
    <m/>
    <n v="0"/>
    <n v="0"/>
    <n v="0"/>
    <m/>
    <x v="1"/>
    <s v="x"/>
    <m/>
    <n v="0"/>
    <s v="-"/>
    <n v="0"/>
    <m/>
    <m/>
    <m/>
    <n v="0"/>
    <m/>
    <m/>
    <n v="0"/>
    <s v=""/>
    <m/>
    <m/>
    <m/>
    <d v="1900-12-31T00:00:00"/>
    <m/>
    <s v="non"/>
    <n v="-1548.2333333333333"/>
    <n v="0"/>
    <n v="0"/>
    <n v="0"/>
    <x v="68"/>
    <x v="8"/>
    <n v="1542.2"/>
    <n v="16"/>
    <n v="17"/>
    <m/>
    <d v="2028-01-01T00:00:00"/>
    <d v="2028-02-01T00:00:00"/>
    <d v="2029-02-01T00:00:00"/>
    <n v="1.0333333333333334"/>
    <m/>
    <m/>
    <m/>
    <m/>
    <n v="0"/>
    <n v="0"/>
    <m/>
    <s v=""/>
    <d v="2028-02-01T00:00:00"/>
    <x v="72"/>
    <x v="6"/>
    <n v="0.96666666666666667"/>
    <m/>
    <n v="0"/>
  </r>
  <r>
    <s v="AV 120 - 124"/>
    <x v="2"/>
    <x v="0"/>
    <x v="13"/>
    <m/>
    <x v="0"/>
    <m/>
    <x v="4"/>
    <x v="9"/>
    <s v="AV 120"/>
    <x v="0"/>
    <n v="88"/>
    <n v="88"/>
    <m/>
    <n v="88"/>
    <m/>
    <m/>
    <m/>
    <m/>
    <n v="0"/>
    <n v="0"/>
    <n v="0"/>
    <m/>
    <x v="1"/>
    <s v="x"/>
    <m/>
    <n v="0"/>
    <s v="-"/>
    <n v="0"/>
    <m/>
    <m/>
    <m/>
    <n v="0"/>
    <m/>
    <m/>
    <n v="0"/>
    <s v=""/>
    <m/>
    <m/>
    <m/>
    <d v="1900-12-31T00:00:00"/>
    <m/>
    <s v="non"/>
    <n v="-1550.2666666666667"/>
    <n v="0"/>
    <n v="0"/>
    <n v="0"/>
    <x v="68"/>
    <x v="8"/>
    <n v="1542.2"/>
    <n v="18"/>
    <n v="19"/>
    <m/>
    <d v="2028-03-01T00:00:00"/>
    <d v="2028-04-01T00:00:00"/>
    <d v="2029-04-01T00:00:00"/>
    <n v="1.0333333333333334"/>
    <m/>
    <m/>
    <m/>
    <m/>
    <n v="0"/>
    <n v="0"/>
    <m/>
    <s v=""/>
    <d v="2028-04-01T00:00:00"/>
    <x v="73"/>
    <x v="6"/>
    <n v="1"/>
    <m/>
    <n v="0"/>
  </r>
  <r>
    <s v="Benjoins 2"/>
    <x v="8"/>
    <x v="1"/>
    <x v="12"/>
    <m/>
    <x v="0"/>
    <m/>
    <x v="4"/>
    <x v="2"/>
    <m/>
    <x v="3"/>
    <n v="14"/>
    <n v="0"/>
    <m/>
    <m/>
    <m/>
    <n v="14"/>
    <m/>
    <m/>
    <n v="0"/>
    <n v="0"/>
    <n v="0"/>
    <m/>
    <x v="2"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x v="69"/>
    <x v="8"/>
    <n v="1554.3666666666666"/>
    <n v="12"/>
    <n v="13"/>
    <m/>
    <d v="2028-09-01T00:00:00"/>
    <d v="2028-10-01T00:00:00"/>
    <d v="2029-10-01T00:00:00"/>
    <n v="1"/>
    <m/>
    <m/>
    <m/>
    <m/>
    <n v="0"/>
    <n v="0"/>
    <m/>
    <s v=""/>
    <d v="2028-10-01T00:00:00"/>
    <x v="74"/>
    <x v="6"/>
    <n v="1.0333333333333334"/>
    <m/>
    <s v=""/>
  </r>
  <r>
    <s v="Concession Dijoux"/>
    <x v="7"/>
    <x v="1"/>
    <x v="12"/>
    <m/>
    <x v="0"/>
    <m/>
    <x v="4"/>
    <x v="2"/>
    <m/>
    <x v="3"/>
    <n v="24"/>
    <n v="0"/>
    <m/>
    <m/>
    <m/>
    <n v="24"/>
    <m/>
    <m/>
    <n v="0"/>
    <n v="0"/>
    <n v="0"/>
    <m/>
    <x v="2"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x v="69"/>
    <x v="8"/>
    <n v="1554.3666666666666"/>
    <n v="12"/>
    <n v="13"/>
    <m/>
    <d v="2028-09-01T00:00:00"/>
    <d v="2028-10-01T00:00:00"/>
    <d v="2029-10-01T00:00:00"/>
    <n v="1"/>
    <m/>
    <m/>
    <m/>
    <m/>
    <n v="0"/>
    <n v="0"/>
    <m/>
    <s v=""/>
    <d v="2028-10-01T00:00:00"/>
    <x v="74"/>
    <x v="6"/>
    <n v="1.0333333333333334"/>
    <m/>
    <s v=""/>
  </r>
  <r>
    <s v="Les Lianes Ecole"/>
    <x v="1"/>
    <x v="1"/>
    <x v="12"/>
    <m/>
    <x v="0"/>
    <m/>
    <x v="4"/>
    <x v="2"/>
    <m/>
    <x v="3"/>
    <n v="16"/>
    <n v="0"/>
    <m/>
    <m/>
    <m/>
    <n v="16"/>
    <m/>
    <m/>
    <n v="0"/>
    <n v="0"/>
    <n v="0"/>
    <m/>
    <x v="2"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x v="69"/>
    <x v="8"/>
    <n v="1554.3666666666666"/>
    <n v="12"/>
    <n v="13"/>
    <m/>
    <d v="2028-09-01T00:00:00"/>
    <d v="2028-10-01T00:00:00"/>
    <d v="2029-10-01T00:00:00"/>
    <n v="1"/>
    <m/>
    <m/>
    <m/>
    <m/>
    <n v="0"/>
    <n v="0"/>
    <m/>
    <s v=""/>
    <d v="2028-10-01T00:00:00"/>
    <x v="74"/>
    <x v="6"/>
    <n v="1.0333333333333334"/>
    <m/>
    <s v=""/>
  </r>
  <r>
    <s v="Lotrobor 1"/>
    <x v="0"/>
    <x v="0"/>
    <x v="12"/>
    <m/>
    <x v="0"/>
    <m/>
    <x v="4"/>
    <x v="2"/>
    <m/>
    <x v="3"/>
    <n v="48"/>
    <n v="0"/>
    <m/>
    <m/>
    <m/>
    <n v="48"/>
    <m/>
    <m/>
    <n v="0"/>
    <n v="0"/>
    <n v="0"/>
    <m/>
    <x v="2"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x v="69"/>
    <x v="8"/>
    <n v="1554.3666666666666"/>
    <n v="12"/>
    <n v="13"/>
    <m/>
    <d v="2028-09-01T00:00:00"/>
    <d v="2028-10-01T00:00:00"/>
    <d v="2029-10-01T00:00:00"/>
    <n v="1"/>
    <m/>
    <m/>
    <m/>
    <m/>
    <n v="0"/>
    <n v="0"/>
    <m/>
    <s v=""/>
    <d v="2028-10-01T00:00:00"/>
    <x v="74"/>
    <x v="6"/>
    <n v="1.0333333333333334"/>
    <m/>
    <s v=""/>
  </r>
  <r>
    <s v="Tourterelles"/>
    <x v="2"/>
    <x v="0"/>
    <x v="12"/>
    <m/>
    <x v="0"/>
    <m/>
    <x v="4"/>
    <x v="2"/>
    <m/>
    <x v="3"/>
    <n v="44"/>
    <n v="0"/>
    <m/>
    <m/>
    <m/>
    <n v="44"/>
    <m/>
    <m/>
    <n v="0"/>
    <n v="0"/>
    <n v="0"/>
    <m/>
    <x v="2"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x v="69"/>
    <x v="8"/>
    <n v="1554.3666666666666"/>
    <n v="12"/>
    <n v="13"/>
    <m/>
    <d v="2028-09-01T00:00:00"/>
    <d v="2028-10-01T00:00:00"/>
    <d v="2029-10-01T00:00:00"/>
    <n v="1"/>
    <m/>
    <m/>
    <m/>
    <m/>
    <n v="0"/>
    <n v="0"/>
    <m/>
    <s v=""/>
    <d v="2028-10-01T00:00:00"/>
    <x v="74"/>
    <x v="6"/>
    <n v="1.0333333333333334"/>
    <m/>
    <s v=""/>
  </r>
  <r>
    <s v="Usine à Vetyver 2"/>
    <x v="1"/>
    <x v="1"/>
    <x v="12"/>
    <m/>
    <x v="0"/>
    <m/>
    <x v="4"/>
    <x v="2"/>
    <m/>
    <x v="3"/>
    <n v="28"/>
    <n v="0"/>
    <m/>
    <m/>
    <m/>
    <n v="28"/>
    <m/>
    <m/>
    <n v="0"/>
    <n v="0"/>
    <n v="0"/>
    <m/>
    <x v="2"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x v="69"/>
    <x v="8"/>
    <n v="1554.3666666666666"/>
    <n v="12"/>
    <n v="13"/>
    <m/>
    <d v="2028-09-01T00:00:00"/>
    <d v="2028-10-01T00:00:00"/>
    <d v="2029-10-01T00:00:00"/>
    <n v="1"/>
    <m/>
    <m/>
    <m/>
    <m/>
    <n v="0"/>
    <n v="0"/>
    <m/>
    <s v=""/>
    <d v="2028-10-01T00:00:00"/>
    <x v="74"/>
    <x v="6"/>
    <n v="1.0333333333333334"/>
    <m/>
    <s v=""/>
  </r>
  <r>
    <s v="BENJAMIN HOAREAU"/>
    <x v="7"/>
    <x v="1"/>
    <x v="11"/>
    <m/>
    <x v="0"/>
    <m/>
    <x v="4"/>
    <x v="9"/>
    <s v="BX 1057,1055,1053,950"/>
    <x v="0"/>
    <n v="40"/>
    <n v="40"/>
    <m/>
    <n v="40"/>
    <m/>
    <m/>
    <m/>
    <m/>
    <n v="0"/>
    <n v="0"/>
    <n v="0"/>
    <m/>
    <x v="1"/>
    <s v="x"/>
    <m/>
    <n v="0"/>
    <s v="-"/>
    <n v="0"/>
    <m/>
    <m/>
    <m/>
    <n v="0"/>
    <m/>
    <m/>
    <n v="0"/>
    <s v=""/>
    <m/>
    <m/>
    <m/>
    <d v="1900-12-31T00:00:00"/>
    <m/>
    <s v="non"/>
    <n v="-1572.1"/>
    <n v="0"/>
    <n v="0"/>
    <n v="0"/>
    <x v="70"/>
    <x v="8"/>
    <n v="1547.7666666666667"/>
    <n v="34"/>
    <n v="35"/>
    <m/>
    <d v="2029-12-15T00:00:00"/>
    <d v="2030-01-15T00:00:00"/>
    <d v="2031-01-15T00:00:00"/>
    <n v="1.0333333333333334"/>
    <m/>
    <m/>
    <m/>
    <m/>
    <n v="0"/>
    <n v="0"/>
    <m/>
    <s v=""/>
    <d v="2030-01-15T00:00:00"/>
    <x v="75"/>
    <x v="6"/>
    <n v="1.0333333333333334"/>
    <m/>
    <n v="0"/>
  </r>
  <r>
    <s v="CASTOR"/>
    <x v="7"/>
    <x v="1"/>
    <x v="11"/>
    <m/>
    <x v="0"/>
    <m/>
    <x v="4"/>
    <x v="9"/>
    <s v="BK 687 - 688 - 376p"/>
    <x v="0"/>
    <n v="90"/>
    <n v="90"/>
    <m/>
    <n v="90"/>
    <m/>
    <m/>
    <m/>
    <m/>
    <n v="0"/>
    <n v="0"/>
    <n v="0"/>
    <m/>
    <x v="1"/>
    <m/>
    <m/>
    <n v="0"/>
    <s v="-"/>
    <n v="0"/>
    <m/>
    <m/>
    <m/>
    <n v="0"/>
    <m/>
    <m/>
    <n v="0"/>
    <s v=""/>
    <m/>
    <m/>
    <m/>
    <d v="1900-12-31T00:00:00"/>
    <m/>
    <s v="non"/>
    <n v="-1561.9"/>
    <n v="0"/>
    <n v="0"/>
    <n v="0"/>
    <x v="71"/>
    <x v="8"/>
    <n v="1551.7666666666667"/>
    <n v="20"/>
    <n v="21"/>
    <m/>
    <d v="2029-02-15T00:00:00"/>
    <d v="2029-03-15T00:00:00"/>
    <d v="2030-03-15T00:00:00"/>
    <n v="0.93333333333333335"/>
    <m/>
    <m/>
    <m/>
    <m/>
    <n v="0"/>
    <n v="0"/>
    <m/>
    <s v=""/>
    <d v="2029-03-15T00:00:00"/>
    <x v="76"/>
    <x v="6"/>
    <n v="1.0333333333333334"/>
    <m/>
    <n v="0"/>
  </r>
  <r>
    <s v="Kerbel"/>
    <x v="0"/>
    <x v="0"/>
    <x v="14"/>
    <m/>
    <x v="0"/>
    <m/>
    <x v="4"/>
    <x v="2"/>
    <m/>
    <x v="3"/>
    <n v="36"/>
    <n v="0"/>
    <m/>
    <m/>
    <m/>
    <n v="36"/>
    <m/>
    <m/>
    <n v="0"/>
    <n v="0"/>
    <n v="0"/>
    <m/>
    <x v="2"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x v="72"/>
    <x v="8"/>
    <n v="1566.5666666666666"/>
    <n v="12"/>
    <n v="13"/>
    <m/>
    <d v="2029-09-01T00:00:00"/>
    <d v="2029-10-01T00:00:00"/>
    <d v="2030-10-01T00:00:00"/>
    <n v="1"/>
    <m/>
    <m/>
    <m/>
    <m/>
    <n v="0"/>
    <n v="0"/>
    <m/>
    <s v=""/>
    <d v="2029-10-01T00:00:00"/>
    <x v="77"/>
    <x v="6"/>
    <n v="1.0333333333333334"/>
    <m/>
    <s v=""/>
  </r>
  <r>
    <s v="Les Ombrières"/>
    <x v="1"/>
    <x v="1"/>
    <x v="14"/>
    <m/>
    <x v="0"/>
    <m/>
    <x v="4"/>
    <x v="2"/>
    <m/>
    <x v="3"/>
    <n v="54"/>
    <n v="0"/>
    <m/>
    <m/>
    <m/>
    <n v="54"/>
    <m/>
    <m/>
    <n v="0"/>
    <n v="0"/>
    <n v="0"/>
    <m/>
    <x v="2"/>
    <s v="x"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x v="72"/>
    <x v="8"/>
    <n v="1566.5666666666666"/>
    <n v="12"/>
    <n v="13"/>
    <m/>
    <d v="2029-09-01T00:00:00"/>
    <d v="2029-10-01T00:00:00"/>
    <d v="2030-10-01T00:00:00"/>
    <n v="1"/>
    <m/>
    <m/>
    <m/>
    <m/>
    <n v="0"/>
    <n v="0"/>
    <m/>
    <s v=""/>
    <d v="2029-10-01T00:00:00"/>
    <x v="77"/>
    <x v="6"/>
    <n v="1.0333333333333334"/>
    <m/>
    <s v=""/>
  </r>
  <r>
    <s v="Santolines"/>
    <x v="7"/>
    <x v="1"/>
    <x v="14"/>
    <m/>
    <x v="0"/>
    <m/>
    <x v="4"/>
    <x v="2"/>
    <m/>
    <x v="3"/>
    <n v="29"/>
    <n v="0"/>
    <m/>
    <m/>
    <m/>
    <n v="29"/>
    <m/>
    <m/>
    <n v="0"/>
    <n v="0"/>
    <n v="0"/>
    <m/>
    <x v="2"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x v="72"/>
    <x v="8"/>
    <n v="1566.5666666666666"/>
    <n v="12"/>
    <n v="13"/>
    <m/>
    <d v="2029-09-01T00:00:00"/>
    <d v="2029-10-01T00:00:00"/>
    <d v="2030-10-01T00:00:00"/>
    <n v="1"/>
    <m/>
    <m/>
    <m/>
    <m/>
    <n v="0"/>
    <n v="0"/>
    <m/>
    <s v=""/>
    <d v="2029-10-01T00:00:00"/>
    <x v="77"/>
    <x v="6"/>
    <n v="1.0333333333333334"/>
    <m/>
    <s v=""/>
  </r>
  <r>
    <s v="Sentier de la vierge"/>
    <x v="1"/>
    <x v="1"/>
    <x v="14"/>
    <m/>
    <x v="0"/>
    <m/>
    <x v="4"/>
    <x v="2"/>
    <m/>
    <x v="3"/>
    <n v="23"/>
    <n v="0"/>
    <m/>
    <m/>
    <m/>
    <n v="23"/>
    <m/>
    <m/>
    <n v="0"/>
    <n v="0"/>
    <n v="0"/>
    <m/>
    <x v="2"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x v="72"/>
    <x v="8"/>
    <n v="1566.5666666666666"/>
    <n v="12"/>
    <n v="13"/>
    <m/>
    <d v="2029-09-01T00:00:00"/>
    <d v="2029-10-01T00:00:00"/>
    <d v="2030-10-01T00:00:00"/>
    <n v="1"/>
    <m/>
    <m/>
    <m/>
    <m/>
    <n v="0"/>
    <n v="0"/>
    <m/>
    <s v=""/>
    <d v="2029-10-01T00:00:00"/>
    <x v="77"/>
    <x v="6"/>
    <n v="1.0333333333333334"/>
    <m/>
    <s v=""/>
  </r>
  <r>
    <s v="Troubadours"/>
    <x v="7"/>
    <x v="1"/>
    <x v="14"/>
    <m/>
    <x v="0"/>
    <m/>
    <x v="4"/>
    <x v="2"/>
    <m/>
    <x v="3"/>
    <n v="55"/>
    <n v="0"/>
    <m/>
    <m/>
    <m/>
    <n v="55"/>
    <m/>
    <m/>
    <n v="0"/>
    <n v="0"/>
    <n v="0"/>
    <m/>
    <x v="2"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x v="72"/>
    <x v="8"/>
    <n v="1566.5666666666666"/>
    <n v="12"/>
    <n v="13"/>
    <m/>
    <d v="2029-09-01T00:00:00"/>
    <d v="2029-10-01T00:00:00"/>
    <d v="2030-10-01T00:00:00"/>
    <n v="1"/>
    <m/>
    <m/>
    <m/>
    <m/>
    <n v="0"/>
    <n v="0"/>
    <m/>
    <s v=""/>
    <d v="2029-10-01T00:00:00"/>
    <x v="77"/>
    <x v="6"/>
    <n v="1.0333333333333334"/>
    <m/>
    <s v=""/>
  </r>
  <r>
    <s v="VEFA DELEFLIE POINTEVIN"/>
    <x v="7"/>
    <x v="1"/>
    <x v="11"/>
    <m/>
    <x v="0"/>
    <m/>
    <x v="4"/>
    <x v="9"/>
    <s v="AK 1137"/>
    <x v="0"/>
    <n v="70"/>
    <n v="70"/>
    <n v="35"/>
    <n v="35"/>
    <m/>
    <m/>
    <m/>
    <m/>
    <n v="0"/>
    <n v="0"/>
    <n v="0"/>
    <m/>
    <x v="0"/>
    <m/>
    <m/>
    <n v="0"/>
    <s v="-"/>
    <n v="0"/>
    <m/>
    <m/>
    <m/>
    <n v="0"/>
    <m/>
    <m/>
    <n v="0"/>
    <s v=""/>
    <m/>
    <m/>
    <m/>
    <d v="1900-12-31T00:00:00"/>
    <m/>
    <s v="non"/>
    <n v="-1561.9"/>
    <n v="0"/>
    <n v="0"/>
    <n v="0"/>
    <x v="71"/>
    <x v="8"/>
    <n v="1551.7666666666667"/>
    <n v="20"/>
    <n v="21"/>
    <m/>
    <d v="2029-02-15T00:00:00"/>
    <d v="2029-03-15T00:00:00"/>
    <d v="2030-03-15T00:00:00"/>
    <n v="0.93333333333333335"/>
    <d v="2029-03-15T00:00:00"/>
    <d v="2029-03-15T00:00:00"/>
    <d v="2029-03-15T00:00:00"/>
    <d v="2029-03-15T00:00:00"/>
    <n v="0"/>
    <n v="0"/>
    <m/>
    <s v=""/>
    <d v="2029-04-15T00:00:00"/>
    <x v="76"/>
    <x v="6"/>
    <n v="0"/>
    <m/>
    <n v="0"/>
  </r>
  <r>
    <s v="Abdoul Hay Patel"/>
    <x v="7"/>
    <x v="1"/>
    <x v="15"/>
    <m/>
    <x v="0"/>
    <m/>
    <x v="4"/>
    <x v="2"/>
    <m/>
    <x v="3"/>
    <n v="69"/>
    <n v="0"/>
    <m/>
    <m/>
    <m/>
    <n v="69"/>
    <m/>
    <m/>
    <n v="0"/>
    <n v="0"/>
    <n v="0"/>
    <m/>
    <x v="2"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x v="73"/>
    <x v="8"/>
    <n v="1578.7333333333333"/>
    <n v="12"/>
    <n v="13"/>
    <m/>
    <d v="2030-09-01T00:00:00"/>
    <d v="2030-10-01T00:00:00"/>
    <d v="2031-10-01T00:00:00"/>
    <n v="1"/>
    <m/>
    <m/>
    <m/>
    <m/>
    <n v="0"/>
    <n v="0"/>
    <m/>
    <s v=""/>
    <d v="2030-10-01T00:00:00"/>
    <x v="78"/>
    <x v="6"/>
    <n v="1.0333333333333334"/>
    <m/>
    <s v=""/>
  </r>
  <r>
    <s v="Source Marcel 1"/>
    <x v="0"/>
    <x v="0"/>
    <x v="15"/>
    <m/>
    <x v="0"/>
    <m/>
    <x v="4"/>
    <x v="2"/>
    <m/>
    <x v="3"/>
    <n v="38"/>
    <n v="0"/>
    <m/>
    <m/>
    <m/>
    <n v="38"/>
    <m/>
    <m/>
    <n v="0"/>
    <n v="0"/>
    <n v="0"/>
    <m/>
    <x v="2"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x v="73"/>
    <x v="8"/>
    <n v="1578.7333333333333"/>
    <n v="12"/>
    <n v="13"/>
    <m/>
    <d v="2030-09-01T00:00:00"/>
    <d v="2030-10-01T00:00:00"/>
    <d v="2031-10-01T00:00:00"/>
    <n v="1"/>
    <m/>
    <m/>
    <m/>
    <m/>
    <n v="0"/>
    <n v="0"/>
    <m/>
    <s v=""/>
    <d v="2030-10-01T00:00:00"/>
    <x v="78"/>
    <x v="6"/>
    <n v="1.0333333333333334"/>
    <m/>
    <s v=""/>
  </r>
  <r>
    <s v="Baies Roses"/>
    <x v="8"/>
    <x v="1"/>
    <x v="15"/>
    <m/>
    <x v="0"/>
    <m/>
    <x v="4"/>
    <x v="2"/>
    <m/>
    <x v="3"/>
    <n v="19"/>
    <n v="0"/>
    <m/>
    <m/>
    <m/>
    <n v="19"/>
    <m/>
    <m/>
    <n v="0"/>
    <n v="0"/>
    <n v="0"/>
    <m/>
    <x v="2"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x v="74"/>
    <x v="8"/>
    <n v="1581.5"/>
    <n v="12"/>
    <n v="13"/>
    <m/>
    <d v="2030-11-23T00:00:00"/>
    <d v="2030-12-23T00:00:00"/>
    <d v="2031-12-23T00:00:00"/>
    <n v="1"/>
    <m/>
    <m/>
    <m/>
    <m/>
    <n v="0"/>
    <n v="0"/>
    <m/>
    <s v=""/>
    <d v="2030-12-23T00:00:00"/>
    <x v="79"/>
    <x v="6"/>
    <n v="1.0333333333333334"/>
    <m/>
    <s v=""/>
  </r>
  <r>
    <s v="Don Juan 2"/>
    <x v="7"/>
    <x v="1"/>
    <x v="15"/>
    <m/>
    <x v="0"/>
    <m/>
    <x v="4"/>
    <x v="14"/>
    <m/>
    <x v="3"/>
    <n v="20"/>
    <n v="0"/>
    <m/>
    <m/>
    <m/>
    <n v="20"/>
    <m/>
    <m/>
    <n v="0"/>
    <n v="0"/>
    <n v="0"/>
    <m/>
    <x v="2"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x v="74"/>
    <x v="8"/>
    <n v="1581.5"/>
    <n v="12"/>
    <n v="13"/>
    <m/>
    <d v="2030-11-23T00:00:00"/>
    <d v="2030-12-23T00:00:00"/>
    <d v="2031-12-23T00:00:00"/>
    <n v="1"/>
    <m/>
    <m/>
    <m/>
    <m/>
    <n v="0"/>
    <n v="0"/>
    <m/>
    <s v=""/>
    <d v="2030-12-23T00:00:00"/>
    <x v="79"/>
    <x v="6"/>
    <n v="1.0333333333333334"/>
    <m/>
    <s v=""/>
  </r>
  <r>
    <s v="BK 1450"/>
    <x v="7"/>
    <x v="1"/>
    <x v="13"/>
    <m/>
    <x v="0"/>
    <m/>
    <x v="4"/>
    <x v="14"/>
    <s v="BK 1450"/>
    <x v="0"/>
    <n v="40"/>
    <n v="40"/>
    <n v="20"/>
    <n v="20"/>
    <m/>
    <m/>
    <m/>
    <m/>
    <n v="0"/>
    <n v="0"/>
    <n v="0"/>
    <m/>
    <x v="1"/>
    <m/>
    <m/>
    <n v="0"/>
    <s v="-"/>
    <n v="0"/>
    <m/>
    <m/>
    <m/>
    <n v="0"/>
    <m/>
    <m/>
    <n v="0"/>
    <s v=""/>
    <m/>
    <m/>
    <m/>
    <d v="1900-12-31T00:00:00"/>
    <m/>
    <s v="non"/>
    <n v="12.2"/>
    <n v="0"/>
    <n v="0"/>
    <n v="0"/>
    <x v="75"/>
    <x v="8"/>
    <n v="0"/>
    <n v="20"/>
    <n v="21"/>
    <m/>
    <d v="1901-08-31T00:00:00"/>
    <d v="1901-10-01T00:00:00"/>
    <d v="1902-10-01T00:00:00"/>
    <n v="1.0333333333333334"/>
    <m/>
    <m/>
    <m/>
    <m/>
    <n v="0"/>
    <n v="0"/>
    <m/>
    <s v=""/>
    <d v="1901-09-30T00:00:00"/>
    <x v="80"/>
    <x v="6"/>
    <n v="0"/>
    <m/>
    <n v="0"/>
  </r>
  <r>
    <s v="BL 863"/>
    <x v="7"/>
    <x v="1"/>
    <x v="13"/>
    <m/>
    <x v="0"/>
    <m/>
    <x v="4"/>
    <x v="14"/>
    <m/>
    <x v="0"/>
    <n v="25"/>
    <n v="25"/>
    <m/>
    <n v="25"/>
    <m/>
    <m/>
    <m/>
    <m/>
    <n v="0"/>
    <n v="0"/>
    <n v="0"/>
    <m/>
    <x v="1"/>
    <m/>
    <m/>
    <n v="0"/>
    <s v="-"/>
    <n v="0"/>
    <m/>
    <m/>
    <m/>
    <n v="0"/>
    <m/>
    <m/>
    <n v="0"/>
    <s v=""/>
    <m/>
    <m/>
    <m/>
    <d v="1900-12-31T00:00:00"/>
    <m/>
    <s v="non"/>
    <n v="12.2"/>
    <n v="0"/>
    <n v="0"/>
    <n v="0"/>
    <x v="75"/>
    <x v="8"/>
    <n v="0"/>
    <n v="20"/>
    <n v="21"/>
    <m/>
    <d v="1901-08-31T00:00:00"/>
    <d v="1901-10-01T00:00:00"/>
    <d v="1902-10-01T00:00:00"/>
    <n v="1.0333333333333334"/>
    <m/>
    <m/>
    <m/>
    <m/>
    <n v="0"/>
    <n v="0"/>
    <m/>
    <s v=""/>
    <d v="1901-09-30T00:00:00"/>
    <x v="80"/>
    <x v="6"/>
    <n v="0"/>
    <m/>
    <n v="0"/>
  </r>
  <r>
    <s v="BT 920 3 MARES"/>
    <x v="7"/>
    <x v="1"/>
    <x v="13"/>
    <m/>
    <x v="0"/>
    <m/>
    <x v="4"/>
    <x v="14"/>
    <s v="BT 920"/>
    <x v="0"/>
    <n v="102"/>
    <n v="102"/>
    <n v="25"/>
    <n v="25"/>
    <n v="52"/>
    <m/>
    <m/>
    <m/>
    <n v="0"/>
    <n v="0"/>
    <n v="0"/>
    <m/>
    <x v="1"/>
    <s v="x"/>
    <m/>
    <n v="0"/>
    <s v="-"/>
    <n v="0"/>
    <m/>
    <m/>
    <m/>
    <n v="0"/>
    <m/>
    <m/>
    <n v="0"/>
    <s v=""/>
    <m/>
    <m/>
    <m/>
    <d v="1900-12-31T00:00:00"/>
    <m/>
    <s v="non"/>
    <n v="12.2"/>
    <n v="0"/>
    <n v="0"/>
    <n v="0"/>
    <x v="75"/>
    <x v="8"/>
    <n v="0"/>
    <n v="20"/>
    <n v="21"/>
    <m/>
    <d v="1901-08-31T00:00:00"/>
    <d v="1901-10-01T00:00:00"/>
    <d v="1902-10-01T00:00:00"/>
    <n v="1.0333333333333334"/>
    <m/>
    <m/>
    <m/>
    <m/>
    <n v="0"/>
    <n v="0"/>
    <m/>
    <s v=""/>
    <d v="1901-09-30T00:00:00"/>
    <x v="80"/>
    <x v="6"/>
    <n v="0"/>
    <m/>
    <n v="0"/>
  </r>
  <r>
    <s v="ETUDE URBAINE DU 23e KM - CHATAIGNERS"/>
    <x v="7"/>
    <x v="1"/>
    <x v="13"/>
    <m/>
    <x v="0"/>
    <m/>
    <x v="4"/>
    <x v="9"/>
    <s v="DE 22,407,408,265"/>
    <x v="0"/>
    <n v="150"/>
    <n v="150"/>
    <m/>
    <n v="150"/>
    <m/>
    <m/>
    <m/>
    <m/>
    <n v="0"/>
    <n v="0"/>
    <n v="0"/>
    <m/>
    <x v="1"/>
    <s v="x"/>
    <m/>
    <n v="0"/>
    <s v="-"/>
    <n v="0"/>
    <m/>
    <m/>
    <m/>
    <n v="0"/>
    <m/>
    <m/>
    <n v="0"/>
    <s v=""/>
    <m/>
    <m/>
    <m/>
    <d v="1900-12-31T00:00:00"/>
    <m/>
    <s v="non"/>
    <n v="12.2"/>
    <n v="0"/>
    <n v="0"/>
    <n v="0"/>
    <x v="75"/>
    <x v="8"/>
    <n v="0"/>
    <n v="41"/>
    <n v="42"/>
    <m/>
    <d v="1903-05-31T00:00:00"/>
    <d v="1903-07-01T00:00:00"/>
    <d v="1904-07-01T00:00:00"/>
    <n v="1.0333333333333334"/>
    <m/>
    <m/>
    <m/>
    <m/>
    <n v="0"/>
    <n v="0"/>
    <m/>
    <s v=""/>
    <d v="1903-06-30T00:00:00"/>
    <x v="80"/>
    <x v="6"/>
    <n v="0"/>
    <m/>
    <n v="0"/>
  </r>
  <r>
    <s v="Eucher Pothin (CESARIA LLS)"/>
    <x v="7"/>
    <x v="1"/>
    <x v="13"/>
    <m/>
    <x v="0"/>
    <m/>
    <x v="7"/>
    <x v="13"/>
    <s v="BD 2997"/>
    <x v="1"/>
    <n v="32"/>
    <n v="32"/>
    <n v="32"/>
    <m/>
    <m/>
    <m/>
    <n v="2160"/>
    <n v="2560"/>
    <n v="67.5"/>
    <n v="80"/>
    <n v="0.84375"/>
    <m/>
    <x v="1"/>
    <s v="x"/>
    <m/>
    <n v="0"/>
    <n v="0"/>
    <n v="0"/>
    <m/>
    <m/>
    <m/>
    <n v="0"/>
    <m/>
    <m/>
    <n v="0"/>
    <s v=""/>
    <m/>
    <m/>
    <m/>
    <d v="1900-12-31T00:00:00"/>
    <m/>
    <s v="non"/>
    <n v="12.2"/>
    <n v="0"/>
    <n v="0"/>
    <n v="0"/>
    <x v="75"/>
    <x v="8"/>
    <n v="0"/>
    <n v="20"/>
    <n v="21"/>
    <m/>
    <d v="1901-08-31T00:00:00"/>
    <d v="1901-10-01T00:00:00"/>
    <d v="1902-10-01T00:00:00"/>
    <n v="1.0333333333333334"/>
    <m/>
    <m/>
    <m/>
    <m/>
    <n v="0"/>
    <n v="0"/>
    <m/>
    <s v=""/>
    <d v="1901-09-30T00:00:00"/>
    <x v="80"/>
    <x v="6"/>
    <n v="0"/>
    <m/>
    <n v="0"/>
  </r>
  <r>
    <s v="Eucher Pothin (CESARIA LLTS)"/>
    <x v="7"/>
    <x v="1"/>
    <x v="13"/>
    <m/>
    <x v="0"/>
    <m/>
    <x v="4"/>
    <x v="2"/>
    <m/>
    <x v="0"/>
    <n v="18"/>
    <n v="18"/>
    <m/>
    <n v="18"/>
    <m/>
    <m/>
    <n v="912"/>
    <n v="1137"/>
    <n v="50.666666666666664"/>
    <n v="63.166666666666664"/>
    <n v="0.80211081794195249"/>
    <m/>
    <x v="1"/>
    <s v="x"/>
    <m/>
    <n v="0"/>
    <n v="0"/>
    <n v="0"/>
    <m/>
    <m/>
    <m/>
    <n v="0"/>
    <m/>
    <m/>
    <n v="0"/>
    <s v=""/>
    <m/>
    <m/>
    <m/>
    <d v="1900-12-31T00:00:00"/>
    <m/>
    <s v="non"/>
    <n v="12.2"/>
    <n v="0"/>
    <n v="0"/>
    <n v="0"/>
    <x v="75"/>
    <x v="8"/>
    <n v="0"/>
    <n v="20"/>
    <n v="21"/>
    <m/>
    <d v="1901-08-31T00:00:00"/>
    <d v="1901-10-01T00:00:00"/>
    <d v="1902-10-01T00:00:00"/>
    <n v="1.0333333333333334"/>
    <m/>
    <m/>
    <m/>
    <m/>
    <n v="0"/>
    <n v="0"/>
    <m/>
    <s v=""/>
    <d v="1901-09-30T00:00:00"/>
    <x v="80"/>
    <x v="6"/>
    <n v="0"/>
    <m/>
    <n v="0"/>
  </r>
  <r>
    <s v="NID JOLI"/>
    <x v="7"/>
    <x v="1"/>
    <x v="13"/>
    <m/>
    <x v="0"/>
    <m/>
    <x v="4"/>
    <x v="14"/>
    <s v="BW 2545"/>
    <x v="1"/>
    <n v="80"/>
    <n v="80"/>
    <n v="80"/>
    <m/>
    <m/>
    <m/>
    <m/>
    <m/>
    <n v="0"/>
    <n v="0"/>
    <n v="0"/>
    <m/>
    <x v="1"/>
    <m/>
    <m/>
    <n v="0"/>
    <s v="-"/>
    <n v="0"/>
    <m/>
    <m/>
    <m/>
    <n v="0"/>
    <m/>
    <m/>
    <n v="0"/>
    <s v=""/>
    <m/>
    <m/>
    <m/>
    <d v="1900-12-31T00:00:00"/>
    <m/>
    <s v="non"/>
    <n v="12.2"/>
    <n v="0"/>
    <n v="0"/>
    <n v="0"/>
    <x v="75"/>
    <x v="8"/>
    <n v="0"/>
    <n v="20"/>
    <n v="21"/>
    <m/>
    <d v="1901-08-31T00:00:00"/>
    <d v="1901-10-01T00:00:00"/>
    <d v="1902-10-01T00:00:00"/>
    <n v="1.0333333333333334"/>
    <m/>
    <m/>
    <m/>
    <m/>
    <n v="0"/>
    <n v="0"/>
    <m/>
    <s v=""/>
    <d v="1901-09-30T00:00:00"/>
    <x v="80"/>
    <x v="6"/>
    <n v="0"/>
    <m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7">
  <r>
    <s v="INDIGO Tranche 1"/>
    <s v="St Leu"/>
    <x v="0"/>
    <n v="2017"/>
    <s v="LLTS"/>
    <n v="84"/>
    <d v="2017-07-13T00:00:00"/>
    <d v="2020-11-13T00:00:00"/>
    <d v="2023-10-10T00:00:00"/>
  </r>
  <r>
    <s v="INDIGO Tranche 2 LLS"/>
    <s v="St Leu"/>
    <x v="0"/>
    <n v="2018"/>
    <s v="LLS"/>
    <n v="22"/>
    <d v="2018-08-22T00:00:00"/>
    <d v="2020-11-13T00:00:00"/>
    <d v="2023-11-08T00:00:00"/>
  </r>
  <r>
    <s v="INDIGO Tranche 2 LLTS"/>
    <s v="St Leu"/>
    <x v="0"/>
    <n v="2018"/>
    <s v="LLTS"/>
    <n v="34"/>
    <d v="2018-08-22T00:00:00"/>
    <d v="2020-11-13T00:00:00"/>
    <d v="2023-11-08T00:00:00"/>
  </r>
  <r>
    <s v="VEFA Jean PAYET (BERGAMOTE TROIS MARES LLS)"/>
    <s v="Tampon"/>
    <x v="1"/>
    <n v="2019"/>
    <s v="LLS"/>
    <n v="46"/>
    <d v="2019-10-07T00:00:00"/>
    <d v="2020-06-15T00:00:00"/>
    <d v="2023-07-31T00:00:00"/>
  </r>
  <r>
    <s v="VEFA Jean PAYET (BERGAMOTE TROIS MARES LLTS)"/>
    <s v="Tampon"/>
    <x v="1"/>
    <n v="2019"/>
    <s v="LLTS"/>
    <n v="20"/>
    <d v="2019-10-07T00:00:00"/>
    <d v="2020-06-15T00:00:00"/>
    <d v="2023-07-31T00:00:00"/>
  </r>
  <r>
    <s v="VEFA Résidence BERTAUT LLS RPA"/>
    <s v="Tampon"/>
    <x v="1"/>
    <n v="2020"/>
    <s v="LLS"/>
    <n v="30"/>
    <d v="2020-06-11T00:00:00"/>
    <d v="2020-12-21T00:00:00"/>
    <d v="2023-10-26T00:00:00"/>
  </r>
  <r>
    <s v="VEFA Résidence BERTAUT PLS"/>
    <s v="Tampon"/>
    <x v="1"/>
    <n v="2020"/>
    <s v="PLS"/>
    <n v="93"/>
    <d v="2020-05-26T00:00:00"/>
    <d v="2020-12-21T00:00:00"/>
    <d v="2023-10-26T00:00:00"/>
  </r>
  <r>
    <s v="VEFA LAURE FONTAINE (Ex Alverdy)"/>
    <s v="Tampon"/>
    <x v="1"/>
    <n v="2020"/>
    <s v="LLS"/>
    <n v="30"/>
    <d v="2020-07-15T00:00:00"/>
    <d v="2021-03-01T00:00:00"/>
    <d v="2023-07-19T00:00:00"/>
  </r>
  <r>
    <s v="VEFA Frantz SANASSAMA (Ex ADJIBI LLS)"/>
    <s v="Tampon"/>
    <x v="1"/>
    <n v="2020"/>
    <s v="LLS"/>
    <n v="53"/>
    <d v="2020-07-15T00:00:00"/>
    <d v="2021-06-21T00:00:00"/>
    <d v="2023-11-15T00:00:00"/>
  </r>
  <r>
    <s v="Bras de la Plaine LLS"/>
    <s v="Entre-Deux"/>
    <x v="1"/>
    <n v="2020"/>
    <s v="LLS"/>
    <n v="10"/>
    <d v="2020-12-10T00:00:00"/>
    <d v="2021-04-15T00:00:00"/>
    <d v="2023-08-29T00:00:00"/>
  </r>
  <r>
    <s v="Bras de la Plaine LLTS"/>
    <s v="Entre-Deux"/>
    <x v="1"/>
    <n v="2020"/>
    <s v="LLTS"/>
    <n v="8"/>
    <d v="2020-12-10T00:00:00"/>
    <d v="2021-04-15T00:00:00"/>
    <d v="2023-08-29T00:00:00"/>
  </r>
  <r>
    <s v="VEFA Frantz SANASSAMA (Ex ADJIBI LLTS)"/>
    <s v="Tampon"/>
    <x v="1"/>
    <n v="2020"/>
    <s v="LLTS"/>
    <n v="25"/>
    <d v="2020-07-15T00:00:00"/>
    <d v="2021-06-21T00:00:00"/>
    <d v="2023-11-15T00:00:00"/>
  </r>
  <r>
    <s v="BOULANGER LLS"/>
    <s v="Tampon"/>
    <x v="1"/>
    <n v="2020"/>
    <s v="LLS"/>
    <n v="21"/>
    <d v="2020-06-11T00:00:00"/>
    <d v="2022-07-18T00:00:00"/>
    <d v="2024-04-18T00:00:00"/>
  </r>
  <r>
    <s v="BOULANGER LLTS"/>
    <s v="Tampon"/>
    <x v="1"/>
    <n v="2020"/>
    <s v="LLTS"/>
    <n v="11"/>
    <d v="2020-06-11T00:00:00"/>
    <d v="2022-07-18T00:00:00"/>
    <d v="2024-04-18T00:00:00"/>
  </r>
  <r>
    <s v="IKARIA LLS"/>
    <s v="Tampon"/>
    <x v="1"/>
    <n v="2020"/>
    <s v="LLS"/>
    <n v="20"/>
    <d v="2020-07-10T00:00:00"/>
    <d v="2023-05-30T00:00:00"/>
    <d v="2025-05-04T00:00:00"/>
  </r>
  <r>
    <s v="IKARIA LLTS"/>
    <s v="Tampon"/>
    <x v="1"/>
    <n v="2020"/>
    <s v="LLTS"/>
    <n v="36"/>
    <d v="2020-07-16T00:00:00"/>
    <d v="2023-05-30T00:00:00"/>
    <d v="2025-05-04T00:00:00"/>
  </r>
  <r>
    <s v="GINGKO &amp; BILOBA LLS"/>
    <s v="Etang-Salé"/>
    <x v="2"/>
    <n v="2020"/>
    <s v="LLS"/>
    <n v="16"/>
    <d v="2020-07-10T00:00:00"/>
    <d v="2024-03-15T00:00:00"/>
    <d v="2025-11-15T00:00:00"/>
  </r>
  <r>
    <s v="GINGKO &amp; BILOBA LLTS"/>
    <s v="Etang-Salé"/>
    <x v="2"/>
    <n v="2020"/>
    <s v="LLTS"/>
    <n v="25"/>
    <d v="2020-07-10T00:00:00"/>
    <d v="2024-03-15T00:00:00"/>
    <d v="2025-11-15T00:00:00"/>
  </r>
  <r>
    <s v="VEFA HORUS"/>
    <s v="Tampon"/>
    <x v="1"/>
    <n v="2021"/>
    <s v="PLS"/>
    <n v="78"/>
    <d v="2021-07-21T00:00:00"/>
    <d v="2021-12-28T00:00:00"/>
    <d v="2024-06-02T00:00:00"/>
  </r>
  <r>
    <s v="VEFA JARDINS PARTAGES T1 Bat E - 34 LLS "/>
    <s v="Tampon"/>
    <x v="1"/>
    <n v="2021"/>
    <s v="LLS"/>
    <n v="34"/>
    <d v="2021-12-15T00:00:00"/>
    <d v="2023-05-30T00:00:00"/>
    <d v="2025-10-30T00:00:00"/>
  </r>
  <r>
    <s v="VEFA JARDINS PARTAGES T1 Bat I 40 LLS "/>
    <s v="Tampon"/>
    <x v="1"/>
    <n v="2021"/>
    <s v="LLS"/>
    <n v="40"/>
    <d v="2021-12-15T00:00:00"/>
    <d v="2023-05-30T00:00:00"/>
    <d v="2025-10-30T00:00:00"/>
  </r>
  <r>
    <s v="VEFA JARDINS PARTAGES T1 Bat E - 5 LLTS "/>
    <s v="Tampon"/>
    <x v="1"/>
    <n v="2021"/>
    <s v="LLTS"/>
    <n v="5"/>
    <d v="2021-12-23T00:00:00"/>
    <d v="2023-05-30T00:00:00"/>
    <d v="2025-10-30T00:00:00"/>
  </r>
  <r>
    <s v="GORBATCHEV"/>
    <s v="Tampon"/>
    <x v="1"/>
    <n v="2021"/>
    <s v="PLS"/>
    <n v="31"/>
    <d v="2021-06-24T00:00:00"/>
    <d v="2023-09-27T00:00:00"/>
    <d v="2025-07-27T00:00:00"/>
  </r>
  <r>
    <s v="VEFA JARDINS PARTAGES T2 Bat F - 48 LLS "/>
    <s v="Tampon"/>
    <x v="1"/>
    <n v="2021"/>
    <s v="LLS"/>
    <n v="48"/>
    <d v="2021-12-15T00:00:00"/>
    <d v="2024-04-01T00:00:00"/>
    <d v="2026-06-01T00:00:00"/>
  </r>
  <r>
    <s v="VEFA JARDINS PARTAGES T2 Bat K - 17 LLS "/>
    <s v="Tampon"/>
    <x v="1"/>
    <n v="2021"/>
    <s v="LLS"/>
    <n v="17"/>
    <d v="2021-12-15T00:00:00"/>
    <d v="2024-04-01T00:00:00"/>
    <d v="2026-06-01T00:00:00"/>
  </r>
  <r>
    <s v="VEFA JARDINS PARTAGES T2 Bat K - 5 LLTS "/>
    <s v="Tampon"/>
    <x v="1"/>
    <n v="2021"/>
    <s v="LLTS"/>
    <n v="5"/>
    <d v="2021-12-23T00:00:00"/>
    <d v="2024-04-01T00:00:00"/>
    <d v="2026-06-01T00:00:00"/>
  </r>
  <r>
    <s v="VEFA JARDINS PARTAGES T2 Bat H - 48 LLTS RPA"/>
    <s v="Tampon"/>
    <x v="1"/>
    <n v="2021"/>
    <s v="LLTS"/>
    <n v="48"/>
    <d v="2021-12-15T00:00:00"/>
    <d v="2024-04-01T00:00:00"/>
    <d v="2026-06-01T00:00:00"/>
  </r>
  <r>
    <s v="VEFA JARDINS PARTAGES T1 Bat J - 40 PLS "/>
    <s v="Tampon"/>
    <x v="1"/>
    <n v="2022"/>
    <s v="PLS"/>
    <n v="40"/>
    <d v="2022-05-24T00:00:00"/>
    <d v="2023-05-30T00:00:00"/>
    <d v="2025-10-30T00:00:00"/>
  </r>
  <r>
    <s v="VEFA JARDINS PARTAGES T2 Bat G - 34 PLS "/>
    <s v="Tampon"/>
    <x v="1"/>
    <n v="2022"/>
    <s v="PLS"/>
    <n v="34"/>
    <d v="2022-05-24T00:00:00"/>
    <d v="2024-04-01T00:00:00"/>
    <d v="2026-06-01T00:00:00"/>
  </r>
  <r>
    <s v="VEFA JARDINS PARTAGES T3 Bat A/B - 18 LLTS "/>
    <s v="Tampon"/>
    <x v="1"/>
    <n v="2022"/>
    <s v="LLTS"/>
    <n v="18"/>
    <d v="2022-05-20T00:00:00"/>
    <d v="2024-09-01T00:00:00"/>
    <d v="2026-11-01T00:00:00"/>
  </r>
  <r>
    <s v="VEFA JARDINS PARTAGES T3 Bat A/B - 48 LLS "/>
    <s v="Tampon"/>
    <x v="1"/>
    <n v="2022"/>
    <s v="LLS"/>
    <n v="48"/>
    <d v="2022-05-20T00:00:00"/>
    <d v="2024-09-01T00:00:00"/>
    <d v="2026-11-01T00:00:00"/>
  </r>
  <r>
    <s v="VEFA JARDINS PARTAGES T3 Bat C - 36 PLS "/>
    <s v="Tampon"/>
    <x v="1"/>
    <n v="2022"/>
    <s v="PLS"/>
    <n v="36"/>
    <d v="2022-05-24T00:00:00"/>
    <d v="2024-09-01T00:00:00"/>
    <d v="2026-11-01T00:00:00"/>
  </r>
  <r>
    <s v="CALISTA (ex ACACIAS) LLS"/>
    <s v="Tampon"/>
    <x v="1"/>
    <n v="2022"/>
    <s v="LLS"/>
    <n v="15"/>
    <d v="2022-08-31T00:00:00"/>
    <d v="2024-09-15T00:00:00"/>
    <d v="2026-07-15T00:00:00"/>
  </r>
  <r>
    <s v="CALISTA (ex ACACIAS) LLTS"/>
    <s v="Tampon"/>
    <x v="1"/>
    <n v="2022"/>
    <s v="LLTS"/>
    <n v="18"/>
    <d v="2022-08-31T00:00:00"/>
    <d v="2024-09-15T00:00:00"/>
    <d v="2026-07-15T00:00:00"/>
  </r>
  <r>
    <s v="DESIRE 3"/>
    <s v="Petite-Ile"/>
    <x v="2"/>
    <n v="2022"/>
    <s v="LLTS"/>
    <n v="18"/>
    <d v="2022-06-23T00:00:00"/>
    <d v="2024-06-15T00:00:00"/>
    <d v="2026-04-15T00:00:00"/>
  </r>
  <r>
    <s v="VEFA Abbé BRUGUIERES LLS"/>
    <s v="Avirons"/>
    <x v="2"/>
    <n v="2023"/>
    <s v="LLS"/>
    <n v="36"/>
    <m/>
    <d v="2024-03-30T00:00:00"/>
    <d v="2026-05-30T00:00:00"/>
  </r>
  <r>
    <s v="VEFA Abbé BRUGUIERES LLTS"/>
    <s v="Avirons"/>
    <x v="2"/>
    <n v="2023"/>
    <s v="LLTS"/>
    <n v="21"/>
    <m/>
    <d v="2024-03-30T00:00:00"/>
    <d v="2026-05-30T00:00:00"/>
  </r>
  <r>
    <s v="VEFA SILOE LLTS"/>
    <s v="Tampon"/>
    <x v="1"/>
    <n v="2023"/>
    <s v="LLTS"/>
    <n v="28"/>
    <d v="2023-10-04T00:00:00"/>
    <d v="2024-04-01T00:00:00"/>
    <d v="2026-06-01T00:00:00"/>
  </r>
  <r>
    <s v="VEFA SILOE PLS"/>
    <s v="Tampon"/>
    <x v="1"/>
    <n v="2023"/>
    <s v="PLS"/>
    <n v="25"/>
    <d v="2023-09-20T00:00:00"/>
    <d v="2024-04-01T00:00:00"/>
    <d v="2026-06-01T00:00:00"/>
  </r>
  <r>
    <s v="VEFA BERIVE LLS"/>
    <s v="Tampon"/>
    <x v="1"/>
    <n v="2023"/>
    <s v="LLS"/>
    <n v="24"/>
    <m/>
    <d v="2024-06-01T00:00:00"/>
    <d v="2026-08-01T00:00:00"/>
  </r>
  <r>
    <s v="VEFA BERIVE LLTS"/>
    <s v="Tampon"/>
    <x v="1"/>
    <n v="2023"/>
    <s v="LLTS"/>
    <n v="38"/>
    <m/>
    <d v="2024-06-01T00:00:00"/>
    <d v="2026-08-01T00:00:00"/>
  </r>
  <r>
    <s v="VEFA BERIVE PLS"/>
    <s v="Tampon"/>
    <x v="1"/>
    <n v="2023"/>
    <s v="PLS"/>
    <n v="26"/>
    <m/>
    <d v="2024-06-01T00:00:00"/>
    <d v="2026-08-01T00:00:00"/>
  </r>
  <r>
    <s v="Les Zoizos Verts (Ex Les Pins Verts)"/>
    <s v="Plaine des Palmistes"/>
    <x v="3"/>
    <n v="2023"/>
    <s v="LLTS"/>
    <n v="18"/>
    <d v="2023-08-02T00:00:00"/>
    <d v="2024-09-15T00:00:00"/>
    <d v="2026-07-15T00:00:00"/>
  </r>
  <r>
    <s v="Les Brandes Verts (Ex Les Bastides d’opaline)"/>
    <s v="Plaine des Palmistes"/>
    <x v="3"/>
    <n v="2023"/>
    <s v="LLTS"/>
    <n v="55"/>
    <m/>
    <d v="2025-02-15T00:00:00"/>
    <d v="2027-08-15T00:00:00"/>
  </r>
  <r>
    <s v="RESIDENCE SOCIALE EL 1163"/>
    <s v="St Louis"/>
    <x v="2"/>
    <n v="2024"/>
    <s v="LLTS"/>
    <n v="2"/>
    <m/>
    <d v="2024-03-30T00:00:00"/>
    <d v="2024-08-30T00:00:00"/>
  </r>
  <r>
    <s v="RESIDENCE SOCIALE EW 317"/>
    <s v="St Louis"/>
    <x v="2"/>
    <n v="2024"/>
    <s v="LLTS"/>
    <n v="2"/>
    <m/>
    <d v="2024-03-30T00:00:00"/>
    <d v="2024-08-30T00:00:00"/>
  </r>
  <r>
    <s v="VEFA HARMONIE LLS"/>
    <s v="Tampon"/>
    <x v="1"/>
    <n v="2024"/>
    <s v="LLS"/>
    <n v="30"/>
    <m/>
    <d v="2024-06-15T00:00:00"/>
    <d v="2026-08-15T00:00:00"/>
  </r>
  <r>
    <s v="VEFA HARMONIE PLS"/>
    <s v="Tampon"/>
    <x v="1"/>
    <n v="2024"/>
    <s v="PLS"/>
    <n v="32"/>
    <m/>
    <d v="2024-06-15T00:00:00"/>
    <d v="2026-08-15T00:00:00"/>
  </r>
  <r>
    <s v="BAOBAB"/>
    <s v="Tampon"/>
    <x v="1"/>
    <n v="2024"/>
    <s v="LLTS"/>
    <n v="39"/>
    <m/>
    <d v="2025-02-15T00:00:00"/>
    <d v="2027-04-15T00:00:00"/>
  </r>
  <r>
    <s v="LOLA &amp; JULIA LLS"/>
    <s v="Etang-Salé"/>
    <x v="2"/>
    <n v="2024"/>
    <s v="LLS"/>
    <n v="21"/>
    <m/>
    <d v="2025-02-15T00:00:00"/>
    <d v="2026-10-15T00:00:00"/>
  </r>
  <r>
    <s v="LOLA &amp; JULIA PLS"/>
    <s v="Etang-Salé"/>
    <x v="2"/>
    <n v="2024"/>
    <s v="PLS"/>
    <n v="18"/>
    <m/>
    <d v="2025-02-15T00:00:00"/>
    <d v="2026-10-15T00:00:00"/>
  </r>
  <r>
    <s v="VEFA L'AVENTURIER LLTS"/>
    <s v="Tampon"/>
    <x v="1"/>
    <n v="2024"/>
    <s v="LLTS"/>
    <n v="32"/>
    <m/>
    <d v="2025-02-15T00:00:00"/>
    <d v="2027-04-15T00:00:00"/>
  </r>
  <r>
    <s v="VEFA L'AVENTURIER PLS"/>
    <s v="Tampon"/>
    <x v="1"/>
    <n v="2024"/>
    <s v="PLS"/>
    <n v="32"/>
    <m/>
    <d v="2025-02-15T00:00:00"/>
    <d v="2027-04-15T00:00:00"/>
  </r>
  <r>
    <s v="VEFA PETIT NATTE LLS"/>
    <s v="Tampon"/>
    <x v="1"/>
    <n v="2024"/>
    <s v="LLS"/>
    <n v="36"/>
    <m/>
    <d v="2025-02-15T00:00:00"/>
    <d v="2027-04-15T00:00:00"/>
  </r>
  <r>
    <s v="VEFA PETIT NATTE LLTS"/>
    <s v="Tampon"/>
    <x v="1"/>
    <n v="2024"/>
    <s v="LLTS"/>
    <n v="29"/>
    <m/>
    <d v="2025-02-15T00:00:00"/>
    <d v="2027-04-15T00:00:00"/>
  </r>
  <r>
    <s v="VEFA SOCRATE et PLATON LLS"/>
    <s v="Tampon"/>
    <x v="1"/>
    <n v="2024"/>
    <s v="LLS"/>
    <n v="24"/>
    <m/>
    <d v="2025-03-15T00:00:00"/>
    <d v="2027-05-15T00:00:00"/>
  </r>
  <r>
    <s v="VEFA HAMEAU DU PÈRE MARTIN LLS"/>
    <s v="Avirons"/>
    <x v="2"/>
    <n v="2024"/>
    <s v="LLS"/>
    <n v="33"/>
    <m/>
    <d v="2025-03-15T00:00:00"/>
    <d v="2027-05-15T00:00:00"/>
  </r>
  <r>
    <s v="VEFA HAMEAU DU PÈRE MARTIN LLTS"/>
    <s v="Avirons"/>
    <x v="2"/>
    <n v="2024"/>
    <s v="LLTS"/>
    <n v="12"/>
    <m/>
    <d v="2025-03-15T00:00:00"/>
    <d v="2027-05-15T00:00:00"/>
  </r>
  <r>
    <s v="VEFA HAMEAU DU PÈRE MARTIN PLS"/>
    <s v="Avirons"/>
    <x v="2"/>
    <n v="2024"/>
    <s v="PLS"/>
    <n v="6"/>
    <m/>
    <d v="2025-03-15T00:00:00"/>
    <d v="2027-05-15T00:00:00"/>
  </r>
  <r>
    <s v="VEFA SOCRATE et PLATON PLS"/>
    <s v="Tampon"/>
    <x v="1"/>
    <n v="2024"/>
    <s v="PLS"/>
    <n v="98"/>
    <m/>
    <d v="2025-03-15T00:00:00"/>
    <d v="2027-05-15T00:00:00"/>
  </r>
  <r>
    <s v="VEFA MAZEAU ROUSSEL  6a - 10 LLTS"/>
    <s v="Tampon"/>
    <x v="1"/>
    <n v="2024"/>
    <s v="LLTS"/>
    <n v="10"/>
    <m/>
    <d v="2025-05-05T00:00:00"/>
    <d v="2027-07-05T00:00:00"/>
  </r>
  <r>
    <s v="VEFA MAZEAU ROUSSEL  6a - 30 LLS"/>
    <s v="Tampon"/>
    <x v="1"/>
    <n v="2024"/>
    <s v="LLS"/>
    <n v="30"/>
    <m/>
    <d v="2025-05-05T00:00:00"/>
    <d v="2027-07-05T00:00:00"/>
  </r>
  <r>
    <s v="VEFA MAZEAU ROUSSEL  8 - 70 LLTS RPA"/>
    <s v="Tampon"/>
    <x v="1"/>
    <n v="2024"/>
    <s v="LLTS"/>
    <n v="70"/>
    <m/>
    <d v="2025-05-05T00:00:00"/>
    <d v="2027-07-05T00:00:00"/>
  </r>
  <r>
    <s v="VEFA MAZEAU ROUSSEL 6B - 15 LLTS"/>
    <s v="Tampon"/>
    <x v="1"/>
    <n v="2024"/>
    <s v="LLTS"/>
    <n v="15"/>
    <m/>
    <d v="2025-05-05T00:00:00"/>
    <d v="2027-07-05T00:00:00"/>
  </r>
  <r>
    <s v="VEFA MAZEAU ROUSSEL 6B - 16 LLS"/>
    <s v="Tampon"/>
    <x v="1"/>
    <n v="2024"/>
    <s v="LLS"/>
    <n v="16"/>
    <m/>
    <d v="2025-05-05T00:00:00"/>
    <d v="2027-07-05T00:00:00"/>
  </r>
  <r>
    <s v="CILAOS AH 568 LLS"/>
    <s v="Cilaos"/>
    <x v="2"/>
    <n v="2024"/>
    <s v="LLS"/>
    <n v="28"/>
    <m/>
    <d v="2026-03-15T00:00:00"/>
    <d v="2028-01-15T00:00:00"/>
  </r>
  <r>
    <s v="CILAOS AH 568 LLTS"/>
    <s v="Cilaos"/>
    <x v="2"/>
    <n v="2024"/>
    <s v="LLTS"/>
    <n v="9"/>
    <m/>
    <d v="2026-03-15T00:00:00"/>
    <d v="2028-01-15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7">
  <r>
    <s v="VEFA Paule &amp; Gaston RPA"/>
    <s v="Avirons"/>
    <s v="CIVIS"/>
    <x v="0"/>
    <s v="PRLC 0191"/>
    <m/>
    <m/>
    <s v="ECL"/>
    <s v="patrimoine"/>
    <s v="AS 473/1384"/>
    <x v="0"/>
    <n v="23"/>
    <n v="23"/>
    <m/>
    <n v="23"/>
    <m/>
    <m/>
    <n v="1332.5"/>
    <n v="1536.11"/>
    <n v="57.934782608695649"/>
    <n v="66.787391304347821"/>
    <n v="0.86745089869866099"/>
    <n v="370.82"/>
    <s v="VEFA"/>
    <m/>
    <n v="2973918"/>
    <n v="2231.8333958724202"/>
    <n v="1936.0058849952154"/>
    <n v="129300.78260869565"/>
    <d v="2016-03-30T00:00:00"/>
    <d v="2016-06-22T00:00:00"/>
    <m/>
    <n v="2.8"/>
    <d v="2016-08-24T00:00:00"/>
    <d v="2016-09-07T00:00:00"/>
    <n v="0.46666666666666667"/>
    <d v="2016-10-31T00:00:00"/>
    <d v="2016-10-11T00:00:00"/>
    <d v="2017-01-01T00:00:00"/>
    <n v="24"/>
    <d v="2020-01-01T00:00:00"/>
    <n v="48526"/>
    <s v="non"/>
    <n v="19.633333333333333"/>
    <n v="184339.87998276405"/>
    <n v="135813.87998276405"/>
    <n v="0"/>
    <d v="2016-08-01T00:00:00"/>
    <n v="2016"/>
    <n v="1.3333333333333333"/>
    <n v="18"/>
    <n v="20"/>
    <d v="2016-12-08T00:00:00"/>
    <d v="2018-02-01T00:00:00"/>
    <d v="2018-04-20T00:00:00"/>
    <d v="2019-04-20T00:00:00"/>
    <n v="2.6"/>
    <d v="2018-10-23T00:00:00"/>
    <d v="2018-10-23T00:00:00"/>
    <d v="2018-10-23T00:00:00"/>
    <d v="2018-10-23T00:00:00"/>
    <n v="0"/>
    <n v="0"/>
    <m/>
    <d v="2018-12-08T00:00:00"/>
    <d v="2018-11-23T00:00:00"/>
    <d v="2018-05-22T00:00:00"/>
    <n v="2018"/>
    <n v="0"/>
    <n v="9389.1280127044502"/>
    <n v="0"/>
  </r>
  <r>
    <s v="Lacaussade 3"/>
    <s v="St Joseph"/>
    <s v="CA SUD"/>
    <x v="1"/>
    <s v="PRLC 0166"/>
    <m/>
    <m/>
    <s v="ECL"/>
    <s v="patrimoine"/>
    <m/>
    <x v="0"/>
    <n v="20"/>
    <n v="20"/>
    <m/>
    <n v="20"/>
    <m/>
    <m/>
    <n v="1299.51"/>
    <n v="1299.51"/>
    <n v="64.975499999999997"/>
    <n v="64.975499999999997"/>
    <n v="1"/>
    <n v="363.43"/>
    <s v="propre"/>
    <m/>
    <m/>
    <n v="0"/>
    <n v="0"/>
    <n v="0"/>
    <d v="2015-03-30T00:00:00"/>
    <d v="2015-09-02T00:00:00"/>
    <m/>
    <n v="5.2"/>
    <d v="2016-08-24T00:00:00"/>
    <d v="2016-09-07T00:00:00"/>
    <n v="0.46666666666666667"/>
    <d v="2016-10-31T00:00:00"/>
    <d v="2016-10-03T00:00:00"/>
    <d v="2017-01-01T00:00:00"/>
    <n v="24"/>
    <d v="2020-01-01T00:00:00"/>
    <n v="41890"/>
    <s v="non"/>
    <n v="16.5"/>
    <n v="142632.46203927579"/>
    <n v="100742.46203927579"/>
    <n v="0"/>
    <d v="2017-02-20T00:00:00"/>
    <n v="2017"/>
    <n v="17.899999999999999"/>
    <n v="14"/>
    <n v="17"/>
    <d v="2017-08-31T00:00:00"/>
    <d v="2018-04-20T00:00:00"/>
    <d v="2018-08-14T00:00:00"/>
    <d v="2019-08-14T00:00:00"/>
    <n v="3.8666666666666667"/>
    <m/>
    <m/>
    <m/>
    <m/>
    <n v="0"/>
    <n v="0"/>
    <m/>
    <d v="2019-08-31T00:00:00"/>
    <d v="2018-05-20T00:00:00"/>
    <d v="2018-08-24T00:00:00"/>
    <n v="2018"/>
    <n v="3.2"/>
    <n v="8644.3916387439876"/>
    <n v="27662.053243980761"/>
  </r>
  <r>
    <s v="FAHAM (Ilôt 5.6)"/>
    <s v="Etang-Salé"/>
    <s v="CIVIS"/>
    <x v="0"/>
    <s v="PRLC 0156"/>
    <m/>
    <m/>
    <s v="MMA"/>
    <s v="patrimoine"/>
    <m/>
    <x v="1"/>
    <n v="30"/>
    <n v="30"/>
    <n v="30"/>
    <m/>
    <m/>
    <m/>
    <n v="2366.15"/>
    <n v="2678.39"/>
    <n v="78.87166666666667"/>
    <n v="89.279666666666657"/>
    <n v="0.88342250381759202"/>
    <n v="570.15"/>
    <s v="propre"/>
    <m/>
    <m/>
    <n v="0"/>
    <n v="0"/>
    <n v="0"/>
    <d v="2016-03-30T00:00:00"/>
    <d v="2016-08-19T00:00:00"/>
    <d v="2016-09-13T00:00:00"/>
    <n v="4.7333333333333334"/>
    <d v="2014-10-20T00:00:00"/>
    <d v="2015-01-23T00:00:00"/>
    <n v="3.1666666666666665"/>
    <d v="2015-02-28T00:00:00"/>
    <d v="2015-03-11T00:00:00"/>
    <d v="2015-05-01T00:00:00"/>
    <n v="24"/>
    <d v="2018-05-01T00:00:00"/>
    <n v="112746"/>
    <s v="oui"/>
    <n v="-4.0333333333333332"/>
    <n v="-79048.77520287309"/>
    <n v="-191794.7752028731"/>
    <n v="191794.7752028731"/>
    <d v="2017-02-14T00:00:00"/>
    <n v="2017"/>
    <n v="5.9666666666666668"/>
    <n v="16"/>
    <n v="17"/>
    <d v="2017-07-20T00:00:00"/>
    <d v="2018-06-14T00:00:00"/>
    <d v="2018-08-08T00:00:00"/>
    <d v="2019-08-08T00:00:00"/>
    <n v="1.8333333333333333"/>
    <m/>
    <m/>
    <m/>
    <m/>
    <n v="0"/>
    <n v="0"/>
    <m/>
    <d v="2019-07-20T00:00:00"/>
    <d v="2018-07-14T00:00:00"/>
    <d v="2018-08-30T00:00:00"/>
    <n v="2018"/>
    <n v="1.5666666666666667"/>
    <n v="19598.869885009859"/>
    <n v="30704.896153182111"/>
  </r>
  <r>
    <s v="Anne Caze (Plaine St Paul)"/>
    <s v="St Paul"/>
    <s v="TCO"/>
    <x v="1"/>
    <s v="PRLC 0167"/>
    <m/>
    <m/>
    <s v="DBE"/>
    <s v="patrimoine"/>
    <m/>
    <x v="0"/>
    <n v="18"/>
    <n v="18"/>
    <m/>
    <n v="18"/>
    <m/>
    <m/>
    <n v="1480.6299999999999"/>
    <n v="1708.71"/>
    <n v="82.257222222222211"/>
    <n v="94.928333333333342"/>
    <n v="0.86651918698901498"/>
    <n v="476.85"/>
    <s v="propre"/>
    <m/>
    <m/>
    <n v="0"/>
    <n v="0"/>
    <n v="0"/>
    <d v="2015-03-30T00:00:00"/>
    <d v="2015-11-12T00:00:00"/>
    <m/>
    <n v="7.5666666666666664"/>
    <d v="2016-08-26T00:00:00"/>
    <d v="2016-09-07T00:00:00"/>
    <n v="0.4"/>
    <d v="2016-10-31T00:00:00"/>
    <d v="2016-10-05T00:00:00"/>
    <d v="2017-01-01T00:00:00"/>
    <n v="24"/>
    <d v="2020-01-01T00:00:00"/>
    <n v="55466.880000000005"/>
    <s v="non"/>
    <n v="15.366666666666667"/>
    <n v="156033.90354922268"/>
    <n v="100567.02354922268"/>
    <n v="0"/>
    <d v="2017-02-06T00:00:00"/>
    <n v="2017"/>
    <n v="15.066666666666666"/>
    <n v="16"/>
    <n v="18"/>
    <d v="2017-07-07T00:00:00"/>
    <d v="2018-06-06T00:00:00"/>
    <d v="2018-09-03T00:00:00"/>
    <d v="2019-09-03T00:00:00"/>
    <n v="2.9666666666666668"/>
    <m/>
    <m/>
    <m/>
    <m/>
    <n v="0"/>
    <n v="0"/>
    <m/>
    <d v="2019-07-07T00:00:00"/>
    <d v="2018-07-06T00:00:00"/>
    <d v="2018-09-27T00:00:00"/>
    <n v="2018"/>
    <n v="2.7666666666666666"/>
    <n v="10154.050122509068"/>
    <n v="28092.87200560842"/>
  </r>
  <r>
    <s v="Christiane - Amata (HE 168) LLS"/>
    <s v="St Louis"/>
    <s v="CIVIS"/>
    <x v="1"/>
    <s v="PRLC 0129"/>
    <s v="MCL"/>
    <m/>
    <s v="DAM"/>
    <s v="cloture"/>
    <m/>
    <x v="1"/>
    <n v="46"/>
    <n v="46"/>
    <n v="46"/>
    <m/>
    <m/>
    <m/>
    <n v="3586.65"/>
    <n v="4035.6650000000013"/>
    <n v="77.970652173913052"/>
    <n v="87.731847826086991"/>
    <n v="0.88873828724633952"/>
    <n v="562"/>
    <s v="propre"/>
    <m/>
    <m/>
    <n v="0"/>
    <n v="0"/>
    <n v="0"/>
    <d v="2015-03-30T00:00:00"/>
    <d v="2015-10-27T00:00:00"/>
    <d v="2015-11-27T00:00:00"/>
    <n v="7.0333333333333332"/>
    <d v="2016-09-01T00:00:00"/>
    <d v="2016-09-07T00:00:00"/>
    <n v="0.2"/>
    <d v="2016-10-31T00:00:00"/>
    <m/>
    <d v="2017-01-01T00:00:00"/>
    <n v="24"/>
    <d v="2020-01-01T00:00:00"/>
    <n v="170249"/>
    <s v="non"/>
    <n v="10.533333333333333"/>
    <n v="280537.77777777775"/>
    <n v="110288.77777777775"/>
    <n v="0"/>
    <d v="2017-02-16T00:00:00"/>
    <n v="2017"/>
    <n v="15.933333333333334"/>
    <n v="18"/>
    <n v="23"/>
    <d v="2018-03-01T00:00:00"/>
    <d v="2018-08-16T00:00:00"/>
    <d v="2019-02-07T00:00:00"/>
    <d v="2020-02-07T00:00:00"/>
    <n v="5.833333333333333"/>
    <m/>
    <m/>
    <m/>
    <m/>
    <n v="0"/>
    <n v="0"/>
    <m/>
    <d v="2020-03-01T00:00:00"/>
    <d v="2018-09-16T00:00:00"/>
    <d v="2019-02-19T00:00:00"/>
    <n v="2019"/>
    <n v="5.2"/>
    <n v="26633.333333333332"/>
    <n v="138493.33333333334"/>
  </r>
  <r>
    <s v="Christiane - Amata (HE 168) LLTS"/>
    <s v="St Louis"/>
    <s v="CIVIS"/>
    <x v="1"/>
    <s v="PRLC 0129"/>
    <m/>
    <m/>
    <m/>
    <m/>
    <s v="HE 168/169"/>
    <x v="0"/>
    <n v="12"/>
    <n v="12"/>
    <m/>
    <n v="12"/>
    <m/>
    <m/>
    <n v="677.26"/>
    <n v="677.26"/>
    <n v="56.438333333333333"/>
    <n v="56.438333333333333"/>
    <n v="1"/>
    <n v="331.1"/>
    <s v="propre"/>
    <m/>
    <m/>
    <n v="0"/>
    <n v="0"/>
    <n v="0"/>
    <d v="2015-03-30T00:00:00"/>
    <d v="2015-10-29T00:00:00"/>
    <d v="2015-11-27T00:00:00"/>
    <n v="7.1"/>
    <d v="2016-09-01T00:00:00"/>
    <d v="2016-09-09T00:00:00"/>
    <n v="0.26666666666666666"/>
    <d v="2016-10-31T00:00:00"/>
    <m/>
    <d v="2017-01-01T00:00:00"/>
    <n v="24"/>
    <d v="2020-01-01T00:00:00"/>
    <n v="20906"/>
    <s v="non"/>
    <n v="10.533333333333333"/>
    <n v="43209.488888888889"/>
    <n v="22303.488888888889"/>
    <n v="0"/>
    <d v="2017-02-16T00:00:00"/>
    <n v="2017"/>
    <n v="15.866666666666667"/>
    <n v="18"/>
    <n v="23"/>
    <d v="2018-03-01T00:00:00"/>
    <d v="2018-08-16T00:00:00"/>
    <d v="2019-02-07T00:00:00"/>
    <d v="2020-02-07T00:00:00"/>
    <n v="5.833333333333333"/>
    <m/>
    <m/>
    <m/>
    <m/>
    <n v="0"/>
    <n v="0"/>
    <m/>
    <d v="2020-03-01T00:00:00"/>
    <d v="2018-09-16T00:00:00"/>
    <d v="2019-02-19T00:00:00"/>
    <n v="2019"/>
    <n v="5.2"/>
    <n v="4102.166666666667"/>
    <n v="21331.26666666667"/>
  </r>
  <r>
    <s v="Hélène TONRU (RPA mixte St Philippe)"/>
    <s v="St Philippe"/>
    <s v="CA SUD"/>
    <x v="1"/>
    <s v="PRLC 0174"/>
    <m/>
    <m/>
    <s v="MMA"/>
    <s v="cloture"/>
    <m/>
    <x v="0"/>
    <n v="19"/>
    <n v="19"/>
    <m/>
    <n v="19"/>
    <m/>
    <m/>
    <n v="1201.58"/>
    <n v="1201.58"/>
    <n v="63.241052631578945"/>
    <n v="63.241052631578945"/>
    <n v="1"/>
    <n v="357.37715014736841"/>
    <s v="propre"/>
    <m/>
    <m/>
    <n v="0"/>
    <n v="0"/>
    <n v="0"/>
    <d v="2015-03-30T00:00:00"/>
    <d v="2015-09-01T00:00:00"/>
    <m/>
    <n v="5.166666666666667"/>
    <d v="2016-06-27T00:00:00"/>
    <d v="2016-07-08T00:00:00"/>
    <n v="0.36666666666666664"/>
    <d v="2016-08-31T00:00:00"/>
    <m/>
    <d v="2016-11-01T00:00:00"/>
    <n v="24"/>
    <d v="2019-11-01T00:00:00"/>
    <n v="36685"/>
    <s v="oui"/>
    <n v="4.5333333333333332"/>
    <n v="31735.222222222223"/>
    <n v="-4949.7777777777774"/>
    <n v="4949.7777777777774"/>
    <d v="2017-07-31T00:00:00"/>
    <n v="2017"/>
    <n v="23.3"/>
    <n v="15"/>
    <n v="22"/>
    <d v="2018-02-13T00:00:00"/>
    <d v="2018-10-31T00:00:00"/>
    <d v="2019-06-18T00:00:00"/>
    <d v="2020-06-18T00:00:00"/>
    <n v="7.666666666666667"/>
    <m/>
    <m/>
    <m/>
    <m/>
    <n v="0"/>
    <n v="0"/>
    <m/>
    <d v="2020-02-13T00:00:00"/>
    <d v="2018-11-30T00:00:00"/>
    <d v="2019-06-18T00:00:00"/>
    <n v="2019"/>
    <n v="6.666666666666667"/>
    <n v="7000.416666666667"/>
    <n v="46669.444444444445"/>
  </r>
  <r>
    <s v="VEFA Maurice Lebon RPA"/>
    <s v="St Joseph"/>
    <s v="CA SUD"/>
    <x v="1"/>
    <s v="PRLC 0163"/>
    <m/>
    <m/>
    <s v="DAM"/>
    <s v="patrimoine"/>
    <m/>
    <x v="0"/>
    <n v="55"/>
    <n v="55"/>
    <m/>
    <n v="55"/>
    <m/>
    <m/>
    <n v="3155.3"/>
    <n v="3234.2999999999997"/>
    <n v="57.369090909090914"/>
    <n v="58.805454545454538"/>
    <n v="0.9755743128343074"/>
    <n v="340.06"/>
    <s v="VEFA"/>
    <m/>
    <n v="6373285"/>
    <n v="2019.8665737013912"/>
    <n v="1970.5299446557217"/>
    <n v="115877.90909090909"/>
    <d v="2015-03-30T00:00:00"/>
    <d v="2015-11-12T00:00:00"/>
    <m/>
    <n v="7.5666666666666664"/>
    <d v="2016-11-23T00:00:00"/>
    <d v="2016-12-15T00:00:00"/>
    <n v="0.73333333333333328"/>
    <d v="2017-01-31T00:00:00"/>
    <d v="2016-12-23T00:00:00"/>
    <d v="2017-04-01T00:00:00"/>
    <n v="24"/>
    <d v="2020-04-01T00:00:00"/>
    <n v="105402"/>
    <s v="non"/>
    <n v="9.4666666666666668"/>
    <n v="183855.28888888887"/>
    <n v="78453.28888888887"/>
    <n v="0"/>
    <d v="2017-02-01T00:00:00"/>
    <n v="2017"/>
    <n v="14.9"/>
    <n v="22"/>
    <n v="24"/>
    <d v="2017-06-09T00:00:00"/>
    <d v="2018-12-01T00:00:00"/>
    <d v="2019-02-28T00:00:00"/>
    <d v="2020-02-28T00:00:00"/>
    <n v="2.9666666666666668"/>
    <d v="2018-12-23T00:00:00"/>
    <d v="2018-12-23T00:00:00"/>
    <d v="2018-12-23T00:00:00"/>
    <d v="2018-12-23T00:00:00"/>
    <n v="0"/>
    <n v="0"/>
    <m/>
    <d v="2019-06-09T00:00:00"/>
    <d v="2019-01-23T00:00:00"/>
    <d v="2019-06-22T00:00:00"/>
    <n v="2019"/>
    <n v="5"/>
    <n v="19421.333333333332"/>
    <n v="97106.666666666657"/>
  </r>
  <r>
    <s v="FANJAN (Ilot 6.2)"/>
    <s v="Etang-Salé"/>
    <s v="CIVIS"/>
    <x v="1"/>
    <s v="PRLC 0157"/>
    <m/>
    <m/>
    <s v="DBE"/>
    <s v="patrimoine"/>
    <m/>
    <x v="0"/>
    <n v="18"/>
    <n v="18"/>
    <m/>
    <n v="18"/>
    <m/>
    <m/>
    <n v="1306.4099999999999"/>
    <n v="1463.16"/>
    <n v="72.578333333333319"/>
    <n v="81.286666666666676"/>
    <n v="0.89286885918149739"/>
    <n v="425.19"/>
    <s v="propre"/>
    <s v="x"/>
    <m/>
    <n v="0"/>
    <n v="0"/>
    <n v="0"/>
    <d v="2015-03-30T00:00:00"/>
    <d v="2015-10-21T00:00:00"/>
    <m/>
    <n v="6.833333333333333"/>
    <d v="2017-05-30T00:00:00"/>
    <d v="2017-07-13T00:00:00"/>
    <n v="1.4666666666666666"/>
    <d v="2017-08-31T00:00:00"/>
    <d v="2017-08-10T00:00:00"/>
    <d v="2017-11-01T00:00:00"/>
    <n v="24"/>
    <d v="2020-11-01T00:00:00"/>
    <n v="69930"/>
    <s v="non"/>
    <n v="15.133333333333333"/>
    <n v="116912.56666666667"/>
    <n v="46982.566666666666"/>
    <n v="0"/>
    <d v="2018-01-22T00:00:00"/>
    <n v="2018"/>
    <n v="27.466666666666665"/>
    <n v="15"/>
    <n v="17"/>
    <d v="2018-05-02T00:00:00"/>
    <d v="2019-04-22T00:00:00"/>
    <d v="2019-06-26T00:00:00"/>
    <d v="2020-06-26T00:00:00"/>
    <n v="2.1666666666666665"/>
    <m/>
    <m/>
    <m/>
    <m/>
    <n v="0"/>
    <n v="0"/>
    <m/>
    <d v="2020-05-02T00:00:00"/>
    <d v="2019-05-22T00:00:00"/>
    <d v="2019-08-05T00:00:00"/>
    <n v="2019"/>
    <n v="2.5"/>
    <n v="7725.5"/>
    <n v="19313.75"/>
  </r>
  <r>
    <s v="VEFA CROUS St Pierre"/>
    <s v="St Pierre"/>
    <s v="CIVIS"/>
    <x v="2"/>
    <s v="PRLC 0193"/>
    <m/>
    <m/>
    <s v="DAM"/>
    <s v="patrimoine"/>
    <s v="EN 1337 p"/>
    <x v="2"/>
    <n v="200"/>
    <n v="200"/>
    <m/>
    <m/>
    <n v="200"/>
    <m/>
    <n v="3391.22"/>
    <n v="4050.95"/>
    <n v="16.956099999999999"/>
    <n v="20.254749999999998"/>
    <n v="0.83714190498525032"/>
    <m/>
    <s v="VEFA"/>
    <s v="x"/>
    <m/>
    <n v="0"/>
    <n v="0"/>
    <n v="0"/>
    <d v="2017-03-30T00:00:00"/>
    <d v="2017-10-16T00:00:00"/>
    <m/>
    <n v="6.666666666666667"/>
    <d v="2017-11-16T00:00:00"/>
    <d v="2017-12-05T00:00:00"/>
    <n v="0.6333333333333333"/>
    <d v="2018-01-31T00:00:00"/>
    <m/>
    <d v="2018-04-01T00:00:00"/>
    <n v="24"/>
    <d v="2021-04-01T00:00:00"/>
    <n v="338981"/>
    <s v="oui"/>
    <n v="19.666666666666668"/>
    <n v="0"/>
    <n v="-338981"/>
    <n v="338981"/>
    <d v="2017-12-22T00:00:00"/>
    <n v="2017"/>
    <n v="2.2333333333333334"/>
    <n v="18"/>
    <n v="19"/>
    <d v="2018-05-31T00:00:00"/>
    <d v="2019-06-22T00:00:00"/>
    <d v="2019-08-16T00:00:00"/>
    <d v="2020-08-16T00:00:00"/>
    <n v="1.8333333333333333"/>
    <d v="2019-08-16T00:00:00"/>
    <d v="2019-08-16T00:00:00"/>
    <d v="2019-08-16T00:00:00"/>
    <d v="2019-08-16T00:00:00"/>
    <n v="0"/>
    <n v="0"/>
    <m/>
    <d v="2020-05-31T00:00:00"/>
    <d v="2019-09-16T00:00:00"/>
    <d v="2019-08-20T00:00:00"/>
    <n v="2019"/>
    <n v="0"/>
    <m/>
    <n v="0"/>
  </r>
  <r>
    <s v="Hilaire Fontaine (CD 61 Rue Bertaut LLS)"/>
    <s v="Tampon"/>
    <s v="CA SUD"/>
    <x v="1"/>
    <s v="PRLC 0173"/>
    <m/>
    <m/>
    <s v="SRI"/>
    <s v="patrimoine"/>
    <m/>
    <x v="1"/>
    <n v="20"/>
    <n v="20"/>
    <n v="20"/>
    <m/>
    <m/>
    <m/>
    <n v="1765.6399999999996"/>
    <n v="1940.6399999999996"/>
    <n v="88.281999999999982"/>
    <n v="97.031999999999982"/>
    <n v="0.90982356336054082"/>
    <n v="606.02026719999992"/>
    <s v="propre"/>
    <s v="x"/>
    <m/>
    <n v="0"/>
    <n v="0"/>
    <n v="0"/>
    <d v="2015-03-30T00:00:00"/>
    <d v="2015-12-16T00:00:00"/>
    <d v="2016-01-11T00:00:00"/>
    <n v="8.6999999999999993"/>
    <d v="2017-06-13T00:00:00"/>
    <d v="2017-07-13T00:00:00"/>
    <n v="1"/>
    <d v="2017-08-31T00:00:00"/>
    <m/>
    <d v="2017-11-01T00:00:00"/>
    <n v="24"/>
    <d v="2020-11-01T00:00:00"/>
    <n v="90205.94"/>
    <s v="oui"/>
    <n v="-1"/>
    <n v="-12346"/>
    <n v="-102551.94"/>
    <n v="102551.94"/>
    <d v="2018-01-29T00:00:00"/>
    <n v="2018"/>
    <n v="25.833333333333332"/>
    <n v="21"/>
    <n v="33"/>
    <d v="2018-12-12T00:00:00"/>
    <d v="2019-10-29T00:00:00"/>
    <d v="2020-11-15T00:00:00"/>
    <d v="2021-11-15T00:00:00"/>
    <n v="12.766666666666667"/>
    <m/>
    <m/>
    <m/>
    <m/>
    <n v="0"/>
    <n v="0"/>
    <m/>
    <d v="2020-12-12T00:00:00"/>
    <d v="2019-11-29T00:00:00"/>
    <d v="2020-12-01T00:00:00"/>
    <n v="2020"/>
    <n v="12.266666666666667"/>
    <n v="12346"/>
    <n v="151444.26666666666"/>
  </r>
  <r>
    <s v="Kakis"/>
    <s v="Entre-Deux"/>
    <s v="CA SUD"/>
    <x v="0"/>
    <s v="PRLC 0181"/>
    <m/>
    <m/>
    <s v="DBE"/>
    <s v="patrimoine"/>
    <s v="AO 433"/>
    <x v="0"/>
    <n v="35"/>
    <n v="35"/>
    <m/>
    <n v="35"/>
    <m/>
    <m/>
    <n v="2317.34"/>
    <n v="2317.34"/>
    <n v="66.209714285714284"/>
    <n v="66.209714285714284"/>
    <n v="1"/>
    <n v="368.79"/>
    <s v="propre"/>
    <s v="x"/>
    <m/>
    <n v="0"/>
    <n v="0"/>
    <n v="0"/>
    <d v="2016-03-30T00:00:00"/>
    <d v="2016-10-17T00:00:00"/>
    <m/>
    <n v="6.7"/>
    <d v="2017-05-31T00:00:00"/>
    <d v="2017-07-13T00:00:00"/>
    <n v="1.4333333333333333"/>
    <d v="2017-08-31T00:00:00"/>
    <d v="2017-08-10T00:00:00"/>
    <d v="2017-11-01T00:00:00"/>
    <n v="24"/>
    <d v="2020-11-01T00:00:00"/>
    <n v="120190"/>
    <s v="non"/>
    <n v="13.466666666666667"/>
    <n v="208205.67108185217"/>
    <n v="88015.671081852168"/>
    <n v="0"/>
    <d v="2018-03-05T00:00:00"/>
    <n v="2018"/>
    <n v="16.8"/>
    <n v="14"/>
    <n v="18"/>
    <d v="2018-09-12T00:00:00"/>
    <d v="2019-05-05T00:00:00"/>
    <d v="2019-09-24T00:00:00"/>
    <d v="2020-09-24T00:00:00"/>
    <n v="4.7333333333333334"/>
    <m/>
    <m/>
    <m/>
    <m/>
    <n v="0"/>
    <n v="0"/>
    <m/>
    <d v="2020-09-12T00:00:00"/>
    <d v="2019-06-05T00:00:00"/>
    <d v="2019-09-24T00:00:00"/>
    <n v="2019"/>
    <n v="3.7"/>
    <n v="15460.817159543478"/>
    <n v="57205.023490310872"/>
  </r>
  <r>
    <s v="Les Platanes "/>
    <s v="Petite-Ile"/>
    <s v="CIVIS"/>
    <x v="0"/>
    <s v="PRLC 0179"/>
    <m/>
    <m/>
    <s v="DAM"/>
    <s v="patrimoine"/>
    <s v="AH 449 à 451"/>
    <x v="0"/>
    <n v="28"/>
    <n v="28"/>
    <m/>
    <n v="28"/>
    <m/>
    <m/>
    <n v="1885.87"/>
    <n v="1885.87"/>
    <n v="67.352499999999992"/>
    <n v="67.352499999999992"/>
    <n v="1"/>
    <n v="372.96841640000031"/>
    <s v="propre"/>
    <s v="x"/>
    <m/>
    <n v="0"/>
    <n v="0"/>
    <n v="0"/>
    <d v="2016-03-30T00:00:00"/>
    <d v="2016-08-22T00:00:00"/>
    <d v="2016-10-03T00:00:00"/>
    <n v="4.833333333333333"/>
    <d v="2017-05-22T00:00:00"/>
    <d v="2017-07-13T00:00:00"/>
    <n v="1.7333333333333334"/>
    <d v="2017-08-31T00:00:00"/>
    <m/>
    <d v="2017-08-01T00:00:00"/>
    <n v="24"/>
    <d v="2020-08-01T00:00:00"/>
    <n v="93066"/>
    <s v="oui"/>
    <n v="6.4666666666666668"/>
    <n v="69573.307100666672"/>
    <n v="-23492.692899333328"/>
    <n v="23492.692899333328"/>
    <d v="2018-06-12T00:00:00"/>
    <n v="2018"/>
    <n v="21.966666666666665"/>
    <n v="16"/>
    <n v="19"/>
    <d v="2018-12-19T00:00:00"/>
    <d v="2019-10-12T00:00:00"/>
    <d v="2020-01-20T00:00:00"/>
    <d v="2021-01-20T00:00:00"/>
    <n v="3.3333333333333335"/>
    <m/>
    <m/>
    <m/>
    <m/>
    <n v="0"/>
    <n v="0"/>
    <m/>
    <d v="2020-12-19T00:00:00"/>
    <d v="2019-11-12T00:00:00"/>
    <d v="2020-01-20T00:00:00"/>
    <n v="2020"/>
    <n v="2.2999999999999998"/>
    <n v="10758.758830000001"/>
    <n v="24745.145309"/>
  </r>
  <r>
    <s v="VEFA Raisins Marines (Hopital) RPA"/>
    <s v="St Pierre"/>
    <s v="CIVIS"/>
    <x v="3"/>
    <s v="PRLC 0195"/>
    <m/>
    <m/>
    <s v="DAM"/>
    <s v="patrimoine"/>
    <s v="ET 909 / 1256"/>
    <x v="0"/>
    <n v="30"/>
    <n v="30"/>
    <m/>
    <n v="30"/>
    <m/>
    <m/>
    <n v="1699.31"/>
    <n v="1708.31"/>
    <n v="56.643666666666668"/>
    <n v="56.943666666666665"/>
    <n v="0.99473163535892195"/>
    <n v="333.5"/>
    <s v="VEFA"/>
    <s v="x"/>
    <n v="3564776"/>
    <n v="2097.7785101011586"/>
    <n v="2086.7266479737286"/>
    <n v="118825.86666666667"/>
    <d v="2017-03-30T00:00:00"/>
    <d v="2017-06-23T00:00:00"/>
    <m/>
    <n v="2.8333333333333335"/>
    <d v="2017-08-20T00:00:00"/>
    <d v="2017-10-09T00:00:00"/>
    <n v="1.6666666666666667"/>
    <d v="2017-11-30T00:00:00"/>
    <s v="OK"/>
    <d v="2017-11-06T00:00:00"/>
    <n v="24"/>
    <d v="2020-11-06T00:00:00"/>
    <n v="90322"/>
    <s v="oui"/>
    <n v="5.4"/>
    <n v="55663.200000000004"/>
    <n v="-34658.799999999996"/>
    <n v="34658.799999999996"/>
    <d v="2018-01-01T00:00:00"/>
    <n v="2018"/>
    <n v="6.4"/>
    <n v="15"/>
    <n v="28"/>
    <d v="2018-02-14T00:00:00"/>
    <d v="2019-04-01T00:00:00"/>
    <d v="2020-05-14T00:00:00"/>
    <d v="2021-05-14T00:00:00"/>
    <n v="13.633333333333333"/>
    <d v="2019-10-31T00:00:00"/>
    <d v="2019-10-31T00:00:00"/>
    <d v="2019-10-31T00:00:00"/>
    <d v="2019-10-31T00:00:00"/>
    <n v="0"/>
    <n v="0"/>
    <m/>
    <d v="2020-02-14T00:00:00"/>
    <d v="2019-11-30T00:00:00"/>
    <d v="2020-05-28T00:00:00"/>
    <n v="2020"/>
    <n v="6"/>
    <n v="10308"/>
    <n v="61848"/>
  </r>
  <r>
    <s v="Hilaire Fontaine (CD 61 Rue Bertaut LLTS)"/>
    <s v="Tampon"/>
    <s v="CA SUD"/>
    <x v="0"/>
    <s v="PRLC 0173"/>
    <m/>
    <m/>
    <m/>
    <m/>
    <m/>
    <x v="0"/>
    <n v="69"/>
    <n v="69"/>
    <m/>
    <n v="69"/>
    <m/>
    <m/>
    <n v="4096.6099999999997"/>
    <n v="4990.08"/>
    <n v="59.37115942028985"/>
    <n v="72.319999999999993"/>
    <n v="0.82095076632037955"/>
    <n v="428.50409507760696"/>
    <s v="propre"/>
    <s v="x"/>
    <m/>
    <n v="0"/>
    <n v="0"/>
    <n v="0"/>
    <d v="2016-03-30T00:00:00"/>
    <d v="2016-04-02T00:00:00"/>
    <d v="2016-05-20T00:00:00"/>
    <n v="0.1"/>
    <d v="2017-06-13T00:00:00"/>
    <d v="2017-07-13T00:00:00"/>
    <n v="1"/>
    <d v="2017-08-31T00:00:00"/>
    <m/>
    <d v="2017-08-01T00:00:00"/>
    <n v="24"/>
    <d v="2020-08-01T00:00:00"/>
    <n v="235126.41"/>
    <s v="oui"/>
    <n v="-4.0666666666666664"/>
    <n v="-103263.34921612065"/>
    <n v="-338389.75921612064"/>
    <n v="338389.75921612064"/>
    <d v="2018-01-29T00:00:00"/>
    <n v="2018"/>
    <n v="22.233333333333334"/>
    <n v="21"/>
    <n v="33"/>
    <d v="2018-12-12T00:00:00"/>
    <d v="2019-10-29T00:00:00"/>
    <d v="2020-11-15T00:00:00"/>
    <d v="2021-11-15T00:00:00"/>
    <n v="12.766666666666667"/>
    <m/>
    <m/>
    <m/>
    <m/>
    <n v="0"/>
    <n v="0"/>
    <m/>
    <d v="2020-12-12T00:00:00"/>
    <d v="2019-11-29T00:00:00"/>
    <d v="2020-12-01T00:00:00"/>
    <n v="2020"/>
    <n v="12.266666666666667"/>
    <n v="25392.626856423114"/>
    <n v="311482.88943879021"/>
  </r>
  <r>
    <s v="Julien Hoarau (Palissandre)"/>
    <s v="Tampon"/>
    <s v="CA SUD"/>
    <x v="0"/>
    <s v="PRLC 0110"/>
    <s v="NBL / SGM"/>
    <m/>
    <s v="DBA"/>
    <s v="GPA"/>
    <m/>
    <x v="1"/>
    <n v="30"/>
    <n v="30"/>
    <n v="30"/>
    <m/>
    <m/>
    <m/>
    <n v="2141.6999999999998"/>
    <n v="2544.34"/>
    <n v="71.39"/>
    <n v="84.811333333333337"/>
    <n v="0.84175070941776642"/>
    <n v="548.97"/>
    <s v="propre"/>
    <s v="x"/>
    <m/>
    <n v="0"/>
    <n v="0"/>
    <n v="0"/>
    <d v="2016-03-30T00:00:00"/>
    <d v="2016-09-05T00:00:00"/>
    <d v="2016-10-03T00:00:00"/>
    <n v="5.3"/>
    <d v="2020-11-12T00:00:00"/>
    <d v="2020-12-09T00:00:00"/>
    <n v="0.9"/>
    <d v="2021-01-31T00:00:00"/>
    <m/>
    <d v="2021-01-01T00:00:00"/>
    <n v="24"/>
    <d v="2024-01-01T00:00:00"/>
    <m/>
    <s v="non"/>
    <n v="13.433333333333334"/>
    <n v="221851.5"/>
    <n v="221851.5"/>
    <n v="0"/>
    <d v="2021-02-04T00:00:00"/>
    <n v="2021"/>
    <n v="53.766666666666666"/>
    <n v="17"/>
    <n v="21"/>
    <d v="2021-09-10T00:00:00"/>
    <d v="2022-07-04T00:00:00"/>
    <d v="2022-11-09T00:00:00"/>
    <d v="2023-11-09T00:00:00"/>
    <n v="4.2666666666666666"/>
    <m/>
    <m/>
    <m/>
    <m/>
    <n v="0"/>
    <n v="0"/>
    <d v="2022-09-05T00:00:00"/>
    <d v="2023-09-10T00:00:00"/>
    <d v="2022-08-04T00:00:00"/>
    <d v="2022-11-24T00:00:00"/>
    <n v="2022"/>
    <n v="3.7333333333333334"/>
    <n v="16515"/>
    <n v="61656"/>
  </r>
  <r>
    <s v="Caramboles"/>
    <s v="Entre-Deux"/>
    <s v="CA SUD"/>
    <x v="3"/>
    <m/>
    <s v="MCL"/>
    <m/>
    <s v="DAM"/>
    <s v="patrimoine"/>
    <s v="AP 1375"/>
    <x v="3"/>
    <n v="6"/>
    <n v="0"/>
    <m/>
    <m/>
    <m/>
    <n v="6"/>
    <m/>
    <m/>
    <n v="0"/>
    <n v="0"/>
    <n v="0"/>
    <m/>
    <m/>
    <m/>
    <m/>
    <n v="0"/>
    <s v="-"/>
    <n v="0"/>
    <d v="2017-03-30T00:00:00"/>
    <d v="2017-09-27T00:00:00"/>
    <m/>
    <n v="6.0333333333333332"/>
    <d v="2017-12-12T00:00:00"/>
    <d v="2018-05-14T00:00:00"/>
    <n v="5.0999999999999996"/>
    <d v="2018-06-30T00:00:00"/>
    <m/>
    <d v="2018-09-01T00:00:00"/>
    <n v="24"/>
    <d v="2021-09-01T00:00:00"/>
    <m/>
    <s v=""/>
    <n v="0"/>
    <s v=""/>
    <s v=""/>
    <n v="0"/>
    <d v="2018-12-18T00:00:00"/>
    <n v="2018"/>
    <n v="14.9"/>
    <n v="7"/>
    <n v="23"/>
    <m/>
    <d v="2019-07-18T00:00:00"/>
    <d v="2020-12-02T00:00:00"/>
    <d v="2021-12-02T00:00:00"/>
    <n v="16.766666666666666"/>
    <m/>
    <m/>
    <m/>
    <m/>
    <n v="0"/>
    <n v="0"/>
    <m/>
    <s v=""/>
    <d v="2019-08-18T00:00:00"/>
    <d v="2020-12-02T00:00:00"/>
    <n v="2020"/>
    <n v="15.733333333333333"/>
    <m/>
    <s v=""/>
  </r>
  <r>
    <s v="Poinsétias"/>
    <s v="Entre-Deux"/>
    <s v="CA SUD"/>
    <x v="4"/>
    <m/>
    <s v="MCL"/>
    <m/>
    <s v="NLE"/>
    <s v="patrimoine"/>
    <s v="AS 1450"/>
    <x v="3"/>
    <n v="34"/>
    <n v="0"/>
    <m/>
    <m/>
    <m/>
    <n v="34"/>
    <m/>
    <m/>
    <n v="0"/>
    <n v="0"/>
    <n v="0"/>
    <m/>
    <m/>
    <m/>
    <m/>
    <n v="0"/>
    <s v="-"/>
    <n v="0"/>
    <d v="2018-03-30T00:00:00"/>
    <d v="2018-08-23T00:00:00"/>
    <d v="2019-02-06T00:00:00"/>
    <n v="4.8666666666666663"/>
    <d v="2018-10-23T00:00:00"/>
    <d v="2019-01-22T00:00:00"/>
    <n v="3.0333333333333332"/>
    <d v="2019-02-28T00:00:00"/>
    <d v="2019-02-05T00:00:00"/>
    <d v="2019-03-01T00:00:00"/>
    <n v="24"/>
    <d v="2022-03-01T00:00:00"/>
    <n v="27026"/>
    <s v=""/>
    <n v="0"/>
    <s v=""/>
    <s v=""/>
    <n v="0"/>
    <d v="2019-07-04T00:00:00"/>
    <n v="2019"/>
    <n v="10.5"/>
    <n v="10"/>
    <n v="17"/>
    <m/>
    <d v="2020-05-04T00:00:00"/>
    <d v="2020-12-07T00:00:00"/>
    <d v="2021-12-07T00:00:00"/>
    <n v="7.2333333333333334"/>
    <m/>
    <m/>
    <m/>
    <m/>
    <n v="0"/>
    <n v="0"/>
    <m/>
    <s v=""/>
    <d v="2020-06-04T00:00:00"/>
    <d v="2020-12-07T00:00:00"/>
    <n v="2020"/>
    <n v="6.2"/>
    <m/>
    <s v=""/>
  </r>
  <r>
    <s v="Hubert Delisle"/>
    <s v="Tampon"/>
    <s v="CA SUD"/>
    <x v="3"/>
    <m/>
    <s v="MCL"/>
    <m/>
    <s v="NLE"/>
    <s v="patrimoine"/>
    <s v="BR 1091"/>
    <x v="3"/>
    <n v="74"/>
    <n v="0"/>
    <m/>
    <m/>
    <m/>
    <n v="74"/>
    <m/>
    <m/>
    <n v="0"/>
    <n v="0"/>
    <n v="0"/>
    <m/>
    <m/>
    <m/>
    <m/>
    <n v="0"/>
    <s v="-"/>
    <n v="0"/>
    <d v="2017-03-30T00:00:00"/>
    <d v="2017-10-31T00:00:00"/>
    <m/>
    <n v="7.166666666666667"/>
    <d v="2017-12-12T00:00:00"/>
    <d v="2018-05-15T00:00:00"/>
    <n v="5.1333333333333337"/>
    <d v="2018-06-30T00:00:00"/>
    <m/>
    <d v="2018-09-01T00:00:00"/>
    <n v="24"/>
    <d v="2021-09-01T00:00:00"/>
    <m/>
    <s v=""/>
    <n v="0"/>
    <s v=""/>
    <s v=""/>
    <n v="0"/>
    <d v="2018-09-12T00:00:00"/>
    <n v="2018"/>
    <n v="10.533333333333333"/>
    <n v="12"/>
    <n v="26"/>
    <m/>
    <d v="2019-09-12T00:00:00"/>
    <d v="2020-12-08T00:00:00"/>
    <d v="2021-12-08T00:00:00"/>
    <n v="15.1"/>
    <m/>
    <m/>
    <m/>
    <m/>
    <n v="0"/>
    <n v="0"/>
    <m/>
    <s v=""/>
    <d v="2019-10-12T00:00:00"/>
    <d v="2020-12-08T00:00:00"/>
    <n v="2020"/>
    <n v="14.1"/>
    <m/>
    <s v=""/>
  </r>
  <r>
    <s v="Bougainvillées"/>
    <s v="St Joseph"/>
    <s v="CA SUD"/>
    <x v="3"/>
    <m/>
    <s v="MCL"/>
    <m/>
    <s v="ECL"/>
    <s v="patrimoine"/>
    <s v="BT 607"/>
    <x v="3"/>
    <n v="26"/>
    <n v="0"/>
    <m/>
    <m/>
    <m/>
    <n v="26"/>
    <m/>
    <m/>
    <n v="0"/>
    <n v="0"/>
    <n v="0"/>
    <m/>
    <m/>
    <m/>
    <m/>
    <n v="0"/>
    <s v="-"/>
    <n v="0"/>
    <d v="2017-03-30T00:00:00"/>
    <d v="2017-09-27T00:00:00"/>
    <m/>
    <n v="6.0333333333333332"/>
    <d v="2017-12-12T00:00:00"/>
    <d v="2018-05-15T00:00:00"/>
    <n v="5.1333333333333337"/>
    <d v="2018-06-30T00:00:00"/>
    <m/>
    <d v="2018-09-01T00:00:00"/>
    <n v="24"/>
    <d v="2021-09-01T00:00:00"/>
    <m/>
    <s v=""/>
    <n v="0"/>
    <s v=""/>
    <s v=""/>
    <n v="0"/>
    <d v="2018-09-20T00:00:00"/>
    <n v="2018"/>
    <n v="11.933333333333334"/>
    <n v="12"/>
    <n v="26"/>
    <m/>
    <d v="2019-09-20T00:00:00"/>
    <d v="2020-12-09T00:00:00"/>
    <d v="2021-12-09T00:00:00"/>
    <n v="14.866666666666667"/>
    <m/>
    <m/>
    <m/>
    <m/>
    <n v="0"/>
    <n v="0"/>
    <m/>
    <s v=""/>
    <d v="2019-10-20T00:00:00"/>
    <d v="2020-12-09T00:00:00"/>
    <n v="2020"/>
    <n v="13.866666666666667"/>
    <m/>
    <s v=""/>
  </r>
  <r>
    <s v="Jean Marc HOARAU (Californie)"/>
    <s v="Tampon"/>
    <s v="CA SUD"/>
    <x v="3"/>
    <s v="PRLC 0186"/>
    <m/>
    <m/>
    <s v="DBA"/>
    <s v="patrimoine"/>
    <s v="EK 286"/>
    <x v="0"/>
    <n v="24"/>
    <n v="24"/>
    <m/>
    <n v="24"/>
    <m/>
    <m/>
    <n v="1539.6699999999996"/>
    <n v="1796.56"/>
    <n v="64.152916666666655"/>
    <n v="74.856666666666669"/>
    <n v="0.85701006367724963"/>
    <n v="404.62"/>
    <s v="propre"/>
    <s v="x"/>
    <m/>
    <n v="0"/>
    <n v="0"/>
    <n v="0"/>
    <d v="2017-03-30T00:00:00"/>
    <d v="2017-06-30T00:00:00"/>
    <d v="2017-10-02T00:00:00"/>
    <n v="3.0666666666666669"/>
    <d v="2018-06-28T00:00:00"/>
    <d v="2018-09-13T00:00:00"/>
    <n v="2.5666666666666669"/>
    <d v="2018-10-31T00:00:00"/>
    <d v="2018-10-12T00:00:00"/>
    <d v="2019-01-01T00:00:00"/>
    <n v="24"/>
    <d v="2022-01-01T00:00:00"/>
    <n v="60415"/>
    <s v="non"/>
    <n v="12.933333333333334"/>
    <n v="125556.8"/>
    <n v="65141.8"/>
    <n v="0"/>
    <d v="2019-04-30T00:00:00"/>
    <n v="2019"/>
    <n v="22.3"/>
    <n v="16"/>
    <n v="18"/>
    <d v="2019-10-01T00:00:00"/>
    <d v="2020-08-30T00:00:00"/>
    <d v="2020-11-12T00:00:00"/>
    <d v="2021-11-12T00:00:00"/>
    <n v="2.4666666666666668"/>
    <m/>
    <m/>
    <m/>
    <m/>
    <n v="0"/>
    <n v="0"/>
    <m/>
    <d v="2021-10-01T00:00:00"/>
    <d v="2020-09-30T00:00:00"/>
    <d v="2020-12-09T00:00:00"/>
    <n v="2020"/>
    <n v="2.3333333333333335"/>
    <n v="9708"/>
    <n v="22652"/>
  </r>
  <r>
    <s v="Bras des Etangs"/>
    <s v="Cilaos"/>
    <s v="CIVIS"/>
    <x v="3"/>
    <m/>
    <s v="MCL"/>
    <m/>
    <s v="NLE"/>
    <s v="patrimoine"/>
    <s v="AI 1718"/>
    <x v="3"/>
    <n v="31"/>
    <n v="0"/>
    <m/>
    <m/>
    <m/>
    <n v="31"/>
    <m/>
    <m/>
    <n v="0"/>
    <n v="0"/>
    <n v="0"/>
    <m/>
    <m/>
    <m/>
    <m/>
    <n v="0"/>
    <s v="-"/>
    <n v="0"/>
    <d v="2017-03-30T00:00:00"/>
    <d v="2017-10-31T00:00:00"/>
    <m/>
    <n v="7.166666666666667"/>
    <d v="2017-12-12T00:00:00"/>
    <d v="2018-05-14T00:00:00"/>
    <n v="5.0999999999999996"/>
    <d v="2018-06-30T00:00:00"/>
    <m/>
    <d v="2018-09-01T00:00:00"/>
    <n v="24"/>
    <d v="2021-09-01T00:00:00"/>
    <m/>
    <s v=""/>
    <n v="0"/>
    <s v=""/>
    <s v=""/>
    <n v="0"/>
    <d v="2018-12-07T00:00:00"/>
    <n v="2018"/>
    <n v="13.4"/>
    <n v="12"/>
    <n v="24"/>
    <m/>
    <d v="2019-12-07T00:00:00"/>
    <d v="2020-12-10T00:00:00"/>
    <d v="2021-12-10T00:00:00"/>
    <n v="12.3"/>
    <m/>
    <m/>
    <m/>
    <m/>
    <n v="0"/>
    <n v="0"/>
    <m/>
    <s v=""/>
    <d v="2020-01-07T00:00:00"/>
    <d v="2020-12-10T00:00:00"/>
    <n v="2020"/>
    <n v="11.266666666666667"/>
    <m/>
    <s v=""/>
  </r>
  <r>
    <s v="100 Marches"/>
    <s v="St Joseph"/>
    <s v="CA SUD"/>
    <x v="3"/>
    <m/>
    <s v="MCL"/>
    <m/>
    <s v="DBA"/>
    <s v="patrimoine"/>
    <s v="BR 617"/>
    <x v="3"/>
    <n v="10"/>
    <n v="0"/>
    <m/>
    <m/>
    <m/>
    <n v="10"/>
    <m/>
    <m/>
    <n v="0"/>
    <n v="0"/>
    <n v="0"/>
    <m/>
    <m/>
    <m/>
    <m/>
    <n v="0"/>
    <s v="-"/>
    <n v="0"/>
    <d v="2017-03-30T00:00:00"/>
    <d v="2017-09-27T00:00:00"/>
    <m/>
    <n v="6.0333333333333332"/>
    <d v="2017-12-12T00:00:00"/>
    <d v="2018-05-15T00:00:00"/>
    <n v="5.1333333333333337"/>
    <d v="2018-06-30T00:00:00"/>
    <m/>
    <d v="2018-09-01T00:00:00"/>
    <n v="24"/>
    <d v="2021-09-01T00:00:00"/>
    <m/>
    <s v=""/>
    <n v="0"/>
    <s v=""/>
    <s v=""/>
    <n v="0"/>
    <d v="2018-09-19T00:00:00"/>
    <n v="2018"/>
    <n v="11.9"/>
    <n v="12"/>
    <n v="8"/>
    <m/>
    <d v="2019-09-19T00:00:00"/>
    <d v="2019-06-05T00:00:00"/>
    <d v="2020-06-05T00:00:00"/>
    <n v="-3.5333333333333332"/>
    <m/>
    <m/>
    <m/>
    <m/>
    <n v="0"/>
    <n v="0"/>
    <m/>
    <s v=""/>
    <d v="2019-10-19T00:00:00"/>
    <d v="2020-12-15T00:00:00"/>
    <n v="2019"/>
    <n v="14.1"/>
    <m/>
    <s v=""/>
  </r>
  <r>
    <s v="Citronnelles"/>
    <s v="Tampon"/>
    <s v="CA SUD"/>
    <x v="3"/>
    <m/>
    <s v="MCL"/>
    <m/>
    <s v="NLE"/>
    <s v="patrimoine"/>
    <s v="BK 1082"/>
    <x v="3"/>
    <n v="45"/>
    <n v="0"/>
    <m/>
    <m/>
    <m/>
    <n v="45"/>
    <m/>
    <m/>
    <n v="0"/>
    <n v="0"/>
    <n v="0"/>
    <m/>
    <m/>
    <m/>
    <m/>
    <n v="0"/>
    <s v="-"/>
    <n v="0"/>
    <d v="2017-03-30T00:00:00"/>
    <d v="2017-10-24T00:00:00"/>
    <m/>
    <n v="6.9333333333333336"/>
    <d v="2017-12-12T00:00:00"/>
    <d v="2018-05-15T00:00:00"/>
    <n v="5.1333333333333337"/>
    <d v="2018-06-30T00:00:00"/>
    <m/>
    <d v="2018-09-01T00:00:00"/>
    <n v="24"/>
    <d v="2021-09-01T00:00:00"/>
    <m/>
    <s v=""/>
    <n v="0"/>
    <s v=""/>
    <s v=""/>
    <n v="0"/>
    <d v="2018-09-19T00:00:00"/>
    <n v="2018"/>
    <n v="11"/>
    <n v="12"/>
    <n v="26"/>
    <m/>
    <d v="2019-09-19T00:00:00"/>
    <d v="2020-12-15T00:00:00"/>
    <d v="2021-12-15T00:00:00"/>
    <n v="15.1"/>
    <m/>
    <m/>
    <m/>
    <m/>
    <n v="0"/>
    <n v="0"/>
    <m/>
    <s v=""/>
    <d v="2019-10-19T00:00:00"/>
    <d v="2020-12-15T00:00:00"/>
    <n v="2020"/>
    <n v="14.1"/>
    <m/>
    <s v=""/>
  </r>
  <r>
    <s v="Canal Lilis"/>
    <s v="St Joseph"/>
    <s v="CA SUD"/>
    <x v="4"/>
    <m/>
    <s v="MCL"/>
    <m/>
    <s v="ECL"/>
    <s v="patrimoine"/>
    <s v="BN 1004"/>
    <x v="3"/>
    <n v="23"/>
    <n v="0"/>
    <m/>
    <m/>
    <m/>
    <n v="23"/>
    <m/>
    <m/>
    <n v="0"/>
    <n v="0"/>
    <n v="0"/>
    <m/>
    <m/>
    <m/>
    <m/>
    <n v="0"/>
    <s v="-"/>
    <n v="0"/>
    <d v="2018-03-30T00:00:00"/>
    <d v="2018-08-23T00:00:00"/>
    <d v="2019-02-06T00:00:00"/>
    <n v="4.8666666666666663"/>
    <d v="2018-10-23T00:00:00"/>
    <d v="2019-01-22T00:00:00"/>
    <n v="3.0333333333333332"/>
    <d v="2019-02-28T00:00:00"/>
    <d v="2019-02-05T00:00:00"/>
    <d v="2019-05-01T00:00:00"/>
    <n v="24"/>
    <d v="2022-05-01T00:00:00"/>
    <n v="38208.400000000001"/>
    <s v=""/>
    <n v="0"/>
    <s v=""/>
    <s v=""/>
    <n v="0"/>
    <d v="2019-07-19T00:00:00"/>
    <n v="2019"/>
    <n v="11"/>
    <n v="8"/>
    <n v="16"/>
    <m/>
    <d v="2020-03-19T00:00:00"/>
    <d v="2020-12-16T00:00:00"/>
    <d v="2021-12-16T00:00:00"/>
    <n v="9.0666666666666664"/>
    <m/>
    <m/>
    <m/>
    <m/>
    <n v="0"/>
    <n v="0"/>
    <m/>
    <s v=""/>
    <d v="2020-04-19T00:00:00"/>
    <d v="2020-12-16T00:00:00"/>
    <n v="2020"/>
    <n v="8.0333333333333332"/>
    <m/>
    <s v=""/>
  </r>
  <r>
    <s v="RPA DU PARC"/>
    <s v="St Joseph"/>
    <s v="CA SUD"/>
    <x v="0"/>
    <s v="PRLC 0176"/>
    <m/>
    <m/>
    <s v="SRI"/>
    <s v="cloture"/>
    <s v="BO 206-352"/>
    <x v="0"/>
    <n v="40"/>
    <n v="40"/>
    <m/>
    <n v="40"/>
    <m/>
    <m/>
    <n v="2318.6500000000005"/>
    <n v="2342.34"/>
    <n v="57.966250000000016"/>
    <n v="58.558500000000002"/>
    <n v="0.9898861821938747"/>
    <n v="339.25"/>
    <s v="propre"/>
    <s v="x"/>
    <m/>
    <n v="0"/>
    <n v="0"/>
    <n v="0"/>
    <d v="2016-03-30T00:00:00"/>
    <d v="2016-09-16T00:00:00"/>
    <d v="2016-10-14T00:00:00"/>
    <n v="5.666666666666667"/>
    <d v="2018-05-21T00:00:00"/>
    <d v="2018-09-25T00:00:00"/>
    <n v="4.2333333333333334"/>
    <d v="2018-10-31T00:00:00"/>
    <m/>
    <d v="2019-01-01T00:00:00"/>
    <n v="24"/>
    <d v="2022-01-01T00:00:00"/>
    <n v="76363"/>
    <s v="non"/>
    <n v="7.6"/>
    <n v="103253.59999999999"/>
    <n v="26890.599999999991"/>
    <n v="0"/>
    <d v="2019-09-30T00:00:00"/>
    <n v="2019"/>
    <n v="36.966666666666669"/>
    <n v="16"/>
    <n v="19"/>
    <d v="2020-03-12T00:00:00"/>
    <d v="2021-01-30T00:00:00"/>
    <d v="2021-05-17T00:00:00"/>
    <d v="2022-05-17T00:00:00"/>
    <n v="3.5666666666666669"/>
    <m/>
    <m/>
    <m/>
    <m/>
    <n v="0"/>
    <n v="0"/>
    <m/>
    <d v="2022-03-12T00:00:00"/>
    <d v="2021-02-28T00:00:00"/>
    <d v="2021-05-18T00:00:00"/>
    <n v="2021"/>
    <n v="2.6333333333333333"/>
    <n v="13586"/>
    <n v="35776.466666666667"/>
  </r>
  <r>
    <s v="Charles Emmanuel GRONDIN (Fourragères)"/>
    <s v="Avirons"/>
    <s v="CIVIS"/>
    <x v="3"/>
    <s v="PRLC 0184"/>
    <m/>
    <s v="JPI"/>
    <s v="MMA"/>
    <s v="patrimoine"/>
    <s v="AD 133 / 132"/>
    <x v="0"/>
    <n v="21"/>
    <n v="21"/>
    <m/>
    <n v="21"/>
    <m/>
    <m/>
    <n v="1596.04"/>
    <n v="1596.04"/>
    <n v="76.001904761904754"/>
    <n v="76.001904761904754"/>
    <n v="1"/>
    <n v="406.06"/>
    <s v="propre"/>
    <s v="x"/>
    <m/>
    <n v="0"/>
    <n v="0"/>
    <n v="0"/>
    <d v="2017-03-30T00:00:00"/>
    <d v="2017-10-09T00:00:00"/>
    <d v="2017-11-06T00:00:00"/>
    <n v="6.4333333333333336"/>
    <d v="2018-03-09T00:00:00"/>
    <d v="2018-05-29T00:00:00"/>
    <n v="2.7"/>
    <d v="2018-06-30T00:00:00"/>
    <m/>
    <d v="2018-09-01T00:00:00"/>
    <n v="24"/>
    <d v="2021-09-01T00:00:00"/>
    <n v="86976"/>
    <s v="oui"/>
    <n v="3.4666666666666668"/>
    <n v="30946.933333333334"/>
    <n v="-56029.066666666666"/>
    <n v="56029.066666666666"/>
    <d v="2019-04-01T00:00:00"/>
    <n v="2019"/>
    <n v="17.966666666666665"/>
    <n v="17"/>
    <n v="23"/>
    <d v="2019-08-06T00:00:00"/>
    <d v="2020-09-01T00:00:00"/>
    <d v="2021-03-22T00:00:00"/>
    <d v="2022-03-22T00:00:00"/>
    <n v="6.7333333333333334"/>
    <m/>
    <m/>
    <m/>
    <m/>
    <n v="0"/>
    <n v="0"/>
    <m/>
    <d v="2021-08-06T00:00:00"/>
    <d v="2020-10-01T00:00:00"/>
    <d v="2021-05-20T00:00:00"/>
    <n v="2021"/>
    <n v="7.7"/>
    <n v="8927"/>
    <n v="68737.900000000009"/>
  </r>
  <r>
    <s v="Opale "/>
    <s v="Etang-Salé"/>
    <s v="CIVIS"/>
    <x v="4"/>
    <s v="PRLC 0197"/>
    <m/>
    <m/>
    <s v="DBE"/>
    <s v="patrimoine"/>
    <m/>
    <x v="1"/>
    <n v="17"/>
    <n v="17"/>
    <n v="17"/>
    <m/>
    <m/>
    <m/>
    <n v="1353.27"/>
    <n v="1559.645"/>
    <n v="79.604117647058828"/>
    <n v="91.74382352941177"/>
    <n v="0.8676782216465927"/>
    <n v="586.03"/>
    <s v="propre"/>
    <s v="x"/>
    <m/>
    <n v="0"/>
    <n v="0"/>
    <n v="0"/>
    <d v="2018-03-30T00:00:00"/>
    <d v="2018-08-22T00:00:00"/>
    <m/>
    <n v="4.833333333333333"/>
    <d v="2018-09-04T00:00:00"/>
    <d v="2019-01-22T00:00:00"/>
    <n v="4.666666666666667"/>
    <d v="2019-02-28T00:00:00"/>
    <m/>
    <d v="2019-05-01T00:00:00"/>
    <n v="24"/>
    <d v="2022-05-01T00:00:00"/>
    <n v="90998.060000000012"/>
    <s v="non"/>
    <n v="9.7333333333333325"/>
    <n v="97002.4"/>
    <n v="6004.339999999982"/>
    <n v="0"/>
    <d v="2019-09-30T00:00:00"/>
    <n v="2019"/>
    <n v="13.466666666666667"/>
    <n v="14"/>
    <n v="21"/>
    <d v="2020-11-30T00:00:00"/>
    <d v="2020-11-30T00:00:00"/>
    <d v="2021-06-30T00:00:00"/>
    <d v="2022-06-30T00:00:00"/>
    <n v="7.0666666666666664"/>
    <m/>
    <m/>
    <m/>
    <m/>
    <n v="0"/>
    <n v="0"/>
    <d v="2021-11-04T00:00:00"/>
    <d v="2022-11-30T00:00:00"/>
    <d v="2020-12-30T00:00:00"/>
    <d v="2021-07-13T00:00:00"/>
    <n v="2021"/>
    <n v="6.5"/>
    <n v="9966"/>
    <n v="64779"/>
  </r>
  <r>
    <s v="La Cure"/>
    <s v="St Joseph"/>
    <s v="CA SUD"/>
    <x v="4"/>
    <m/>
    <s v="MCL"/>
    <m/>
    <s v="ECL"/>
    <s v="patrimoine"/>
    <s v="BN 781"/>
    <x v="3"/>
    <n v="30"/>
    <n v="0"/>
    <m/>
    <m/>
    <m/>
    <n v="30"/>
    <m/>
    <m/>
    <n v="0"/>
    <n v="0"/>
    <n v="0"/>
    <m/>
    <m/>
    <m/>
    <m/>
    <n v="0"/>
    <s v="-"/>
    <n v="0"/>
    <d v="2018-03-30T00:00:00"/>
    <d v="2018-08-23T00:00:00"/>
    <d v="2019-02-06T00:00:00"/>
    <n v="4.8666666666666663"/>
    <d v="2018-10-23T00:00:00"/>
    <d v="2019-01-22T00:00:00"/>
    <n v="3.0333333333333332"/>
    <d v="2019-02-28T00:00:00"/>
    <d v="2019-02-05T00:00:00"/>
    <d v="2019-05-01T00:00:00"/>
    <n v="24"/>
    <d v="2022-05-01T00:00:00"/>
    <n v="31121.89"/>
    <s v=""/>
    <n v="0"/>
    <s v=""/>
    <s v=""/>
    <n v="0"/>
    <d v="2020-02-12T00:00:00"/>
    <n v="2020"/>
    <n v="17.933333333333334"/>
    <n v="10"/>
    <n v="16"/>
    <m/>
    <d v="2020-12-12T00:00:00"/>
    <d v="2021-07-07T00:00:00"/>
    <d v="2022-07-07T00:00:00"/>
    <n v="6.9"/>
    <m/>
    <m/>
    <m/>
    <m/>
    <n v="0"/>
    <n v="0"/>
    <m/>
    <s v=""/>
    <d v="2021-01-12T00:00:00"/>
    <d v="2021-08-07T00:00:00"/>
    <n v="2021"/>
    <n v="6.9"/>
    <m/>
    <s v=""/>
  </r>
  <r>
    <s v="Bellevue A-B-C"/>
    <s v="Tampon"/>
    <s v="CA SUD"/>
    <x v="4"/>
    <m/>
    <s v="MCL"/>
    <m/>
    <s v="NLE"/>
    <s v="patrimoine"/>
    <s v="BW 2862"/>
    <x v="3"/>
    <n v="128"/>
    <n v="0"/>
    <m/>
    <m/>
    <m/>
    <n v="128"/>
    <m/>
    <m/>
    <n v="0"/>
    <n v="0"/>
    <n v="0"/>
    <m/>
    <m/>
    <m/>
    <m/>
    <n v="0"/>
    <s v="-"/>
    <n v="0"/>
    <d v="2018-03-30T00:00:00"/>
    <d v="2018-11-30T00:00:00"/>
    <d v="2019-02-06T00:00:00"/>
    <n v="8.1666666666666661"/>
    <d v="2018-07-30T00:00:00"/>
    <d v="2019-05-23T00:00:00"/>
    <n v="9.9"/>
    <d v="2019-06-30T00:00:00"/>
    <d v="2019-05-23T00:00:00"/>
    <d v="2019-05-23T00:00:00"/>
    <n v="24"/>
    <d v="2022-05-23T00:00:00"/>
    <m/>
    <s v=""/>
    <n v="0"/>
    <s v=""/>
    <s v=""/>
    <n v="0"/>
    <d v="2019-07-22T00:00:00"/>
    <n v="2019"/>
    <n v="7.8"/>
    <n v="12"/>
    <n v="24"/>
    <m/>
    <d v="2020-07-22T00:00:00"/>
    <d v="2021-08-19T00:00:00"/>
    <d v="2022-08-19T00:00:00"/>
    <n v="13.1"/>
    <m/>
    <m/>
    <m/>
    <m/>
    <n v="0"/>
    <n v="0"/>
    <m/>
    <s v=""/>
    <d v="2020-08-22T00:00:00"/>
    <d v="2021-08-19T00:00:00"/>
    <n v="2021"/>
    <n v="12.066666666666666"/>
    <m/>
    <s v=""/>
  </r>
  <r>
    <s v="VEFA Roland Garros LLS"/>
    <s v="Tampon"/>
    <s v="CA SUD"/>
    <x v="5"/>
    <s v="PRLC 0207"/>
    <m/>
    <m/>
    <m/>
    <m/>
    <s v="BZ 90"/>
    <x v="1"/>
    <n v="34"/>
    <n v="34"/>
    <n v="34"/>
    <m/>
    <m/>
    <m/>
    <n v="2190.89"/>
    <n v="2667.21"/>
    <n v="64.437941176470588"/>
    <n v="78.447352941176476"/>
    <n v="0.82141638641126868"/>
    <m/>
    <s v="VEFA"/>
    <s v="x"/>
    <n v="5587360.3181897784"/>
    <n v="2550.269670403251"/>
    <n v="2094.8332970368956"/>
    <n v="164334.12700558171"/>
    <d v="2019-03-30T00:00:00"/>
    <d v="2019-07-19T00:00:00"/>
    <m/>
    <n v="3.7"/>
    <d v="2019-08-19T00:00:00"/>
    <d v="2019-10-23T00:00:00"/>
    <n v="2.1666666666666665"/>
    <d v="2019-11-30T00:00:00"/>
    <d v="2019-10-23T00:00:00"/>
    <d v="2019-11-01T00:00:00"/>
    <n v="24"/>
    <d v="2022-11-01T00:00:00"/>
    <n v="168338.03"/>
    <s v="oui"/>
    <n v="3.2666666666666666"/>
    <n v="52571.283333333333"/>
    <n v="-115766.74666666667"/>
    <n v="115766.74666666667"/>
    <d v="2020-01-20T00:00:00"/>
    <n v="2020"/>
    <n v="6.166666666666667"/>
    <n v="21"/>
    <n v="29"/>
    <d v="2020-10-27T00:00:00"/>
    <d v="2021-10-20T00:00:00"/>
    <d v="2022-07-18T00:00:00"/>
    <d v="2023-07-18T00:00:00"/>
    <n v="9.0333333333333332"/>
    <d v="2022-02-24T00:00:00"/>
    <d v="2021-11-30T00:00:00"/>
    <d v="2022-03-24T00:00:00"/>
    <d v="2022-07-18T00:00:00"/>
    <n v="3.8666666666666667"/>
    <n v="116"/>
    <d v="2022-09-07T00:00:00"/>
    <d v="2022-10-27T00:00:00"/>
    <d v="2021-12-30T00:00:00"/>
    <d v="2022-07-26T00:00:00"/>
    <n v="2022"/>
    <n v="6.9333333333333336"/>
    <n v="16093.25"/>
    <n v="111579.86666666667"/>
  </r>
  <r>
    <s v="VEFA Roland Garros PLS"/>
    <s v="Tampon"/>
    <s v="CA SUD"/>
    <x v="5"/>
    <s v="PRLC 0207"/>
    <m/>
    <m/>
    <s v="DAM"/>
    <s v="GPA"/>
    <s v="BZ 90"/>
    <x v="2"/>
    <n v="24"/>
    <n v="24"/>
    <m/>
    <m/>
    <n v="24"/>
    <m/>
    <n v="1921.19"/>
    <n v="2245.5"/>
    <n v="80.049583333333331"/>
    <n v="93.5625"/>
    <n v="0.85557336896014258"/>
    <m/>
    <s v="VEFA"/>
    <s v="x"/>
    <n v="4673399.6836694162"/>
    <n v="2432.554658138662"/>
    <n v="2081.2289840433828"/>
    <n v="194724.98681955901"/>
    <d v="2019-03-30T00:00:00"/>
    <d v="2019-07-04T00:00:00"/>
    <d v="2019-07-04T00:00:00"/>
    <n v="3.2"/>
    <d v="2019-08-19T00:00:00"/>
    <d v="2019-10-23T00:00:00"/>
    <n v="2.1666666666666665"/>
    <d v="2019-11-30T00:00:00"/>
    <d v="2019-10-23T00:00:00"/>
    <d v="2019-11-01T00:00:00"/>
    <n v="24"/>
    <d v="2022-11-01T00:00:00"/>
    <n v="171299.22999999998"/>
    <s v="oui"/>
    <n v="3.2666666666666666"/>
    <n v="55449.216666666667"/>
    <n v="-115850.01333333331"/>
    <n v="115850.01333333331"/>
    <d v="2020-01-20T00:00:00"/>
    <n v="2020"/>
    <n v="6.666666666666667"/>
    <n v="21"/>
    <n v="29"/>
    <d v="2020-10-27T00:00:00"/>
    <d v="2021-10-20T00:00:00"/>
    <d v="2022-07-18T00:00:00"/>
    <d v="2023-07-18T00:00:00"/>
    <n v="9.0333333333333332"/>
    <d v="2022-02-24T00:00:00"/>
    <d v="2021-11-30T00:00:00"/>
    <d v="2022-03-24T00:00:00"/>
    <d v="2022-07-18T00:00:00"/>
    <n v="3.8666666666666667"/>
    <n v="116"/>
    <d v="2022-09-07T00:00:00"/>
    <d v="2022-10-27T00:00:00"/>
    <d v="2021-12-30T00:00:00"/>
    <d v="2022-07-26T00:00:00"/>
    <n v="2022"/>
    <n v="6.9333333333333336"/>
    <n v="16974.25"/>
    <n v="117688.13333333333"/>
  </r>
  <r>
    <s v="VEFA Miami"/>
    <s v="La Possession"/>
    <s v="TCO"/>
    <x v="5"/>
    <s v="PRLC 0205"/>
    <s v="LCYC"/>
    <s v="JPI"/>
    <s v="DAM"/>
    <s v="GPA"/>
    <s v="AP 1270 / 1274 / 1280 "/>
    <x v="2"/>
    <n v="60"/>
    <n v="60"/>
    <m/>
    <m/>
    <n v="60"/>
    <m/>
    <n v="4493.62"/>
    <n v="5286.96"/>
    <n v="74.893666666666661"/>
    <n v="88.116"/>
    <n v="0.84994401319472812"/>
    <n v="868.81"/>
    <s v="VEFA"/>
    <s v="x"/>
    <n v="11077420.598029997"/>
    <n v="2465.1440482350527"/>
    <n v="2095.2344254599993"/>
    <n v="184623.6766338333"/>
    <d v="2019-03-27T00:00:00"/>
    <d v="2019-06-11T00:00:00"/>
    <m/>
    <n v="2.5333333333333332"/>
    <d v="2019-10-07T00:00:00"/>
    <d v="2019-12-03T00:00:00"/>
    <n v="1.9"/>
    <d v="2020-01-31T00:00:00"/>
    <d v="2019-11-25T00:00:00"/>
    <d v="2020-02-01T00:00:00"/>
    <n v="24"/>
    <d v="2023-02-01T00:00:00"/>
    <n v="404911.89"/>
    <s v="oui"/>
    <n v="6.1"/>
    <n v="253838.28333333333"/>
    <n v="-151073.60666666669"/>
    <n v="151073.60666666669"/>
    <d v="2020-05-26T00:00:00"/>
    <n v="2020"/>
    <n v="11.666666666666666"/>
    <n v="21"/>
    <n v="22"/>
    <d v="2020-10-07T00:00:00"/>
    <d v="2022-02-26T00:00:00"/>
    <d v="2022-04-25T00:00:00"/>
    <d v="2023-04-25T00:00:00"/>
    <n v="1.9333333333333333"/>
    <d v="2022-03-25T00:00:00"/>
    <d v="2022-04-25T00:00:00"/>
    <d v="2022-04-25T00:00:00"/>
    <d v="2022-08-02T00:00:00"/>
    <n v="3.3"/>
    <n v="99"/>
    <m/>
    <d v="2022-10-07T00:00:00"/>
    <d v="2022-05-25T00:00:00"/>
    <d v="2022-08-02T00:00:00"/>
    <n v="2022"/>
    <n v="2.2999999999999998"/>
    <n v="41612.833333333336"/>
    <n v="95709.516666666663"/>
  </r>
  <r>
    <s v="COCO TURPIN"/>
    <s v="St Louis"/>
    <s v="CIVIS"/>
    <x v="4"/>
    <s v="PRLC 0198"/>
    <s v="NBL / SGM"/>
    <m/>
    <s v="DBA"/>
    <s v="GPA"/>
    <s v="EM 628 p"/>
    <x v="1"/>
    <n v="39"/>
    <n v="39"/>
    <n v="39"/>
    <m/>
    <m/>
    <m/>
    <n v="2870.9"/>
    <n v="2870.9"/>
    <n v="73.61282051282052"/>
    <n v="73.61282051282052"/>
    <n v="1"/>
    <n v="497.46"/>
    <s v="propre"/>
    <s v="x"/>
    <m/>
    <n v="0"/>
    <n v="0"/>
    <n v="0"/>
    <d v="2018-03-30T00:00:00"/>
    <d v="2018-09-28T00:00:00"/>
    <m/>
    <n v="6.0666666666666664"/>
    <d v="2020-09-10T00:00:00"/>
    <d v="2020-11-27T00:00:00"/>
    <n v="2.6"/>
    <d v="2020-12-31T00:00:00"/>
    <d v="2021-02-18T00:00:00"/>
    <d v="2020-12-01T00:00:00"/>
    <n v="24"/>
    <d v="2023-12-01T00:00:00"/>
    <n v="202456"/>
    <s v="non"/>
    <n v="12.9"/>
    <n v="250608.30000000002"/>
    <n v="48152.300000000017"/>
    <n v="0"/>
    <d v="2021-02-15T00:00:00"/>
    <n v="2021"/>
    <n v="29.033333333333335"/>
    <n v="18"/>
    <n v="20"/>
    <d v="2021-08-16T00:00:00"/>
    <d v="2022-08-15T00:00:00"/>
    <d v="2022-11-09T00:00:00"/>
    <d v="2023-11-09T00:00:00"/>
    <n v="2.8666666666666667"/>
    <m/>
    <m/>
    <m/>
    <m/>
    <n v="0"/>
    <n v="0"/>
    <m/>
    <d v="2023-08-16T00:00:00"/>
    <d v="2022-09-15T00:00:00"/>
    <d v="2022-11-09T00:00:00"/>
    <n v="2022"/>
    <n v="1.8333333333333333"/>
    <n v="19427"/>
    <n v="35616.166666666664"/>
  </r>
  <r>
    <s v="INDIGO Tranche 1"/>
    <s v="St Leu"/>
    <s v="TCO"/>
    <x v="3"/>
    <s v="PRLC 0185"/>
    <s v="NILE"/>
    <s v="JPI"/>
    <s v="DBE"/>
    <s v="Tvx"/>
    <s v="DD783 / 1298"/>
    <x v="0"/>
    <n v="84"/>
    <n v="84"/>
    <m/>
    <n v="84"/>
    <m/>
    <m/>
    <n v="5759.1800000000012"/>
    <n v="6451.5850000000009"/>
    <n v="68.561666666666682"/>
    <n v="76.804583333333341"/>
    <n v="0.89267676082699066"/>
    <n v="412.03"/>
    <s v="propre"/>
    <s v="x"/>
    <m/>
    <n v="0"/>
    <n v="0"/>
    <n v="0"/>
    <d v="2017-03-30T00:00:00"/>
    <d v="2017-07-13T00:00:00"/>
    <d v="2017-10-02T00:00:00"/>
    <n v="3.5"/>
    <d v="2020-08-31T00:00:00"/>
    <d v="2020-10-22T00:00:00"/>
    <n v="1.7333333333333334"/>
    <d v="2020-11-30T00:00:00"/>
    <m/>
    <d v="2020-11-01T00:00:00"/>
    <n v="24"/>
    <d v="2023-11-01T00:00:00"/>
    <m/>
    <s v="non"/>
    <n v="0.73333333333333328"/>
    <n v="25357.199999999997"/>
    <n v="25357.199999999997"/>
    <n v="0"/>
    <d v="2020-11-13T00:00:00"/>
    <n v="2020"/>
    <n v="40.633333333333333"/>
    <n v="26"/>
    <n v="34"/>
    <d v="2021-11-09T00:00:00"/>
    <d v="2023-01-13T00:00:00"/>
    <d v="2023-09-26T00:00:00"/>
    <d v="2024-09-26T00:00:00"/>
    <n v="8.5333333333333332"/>
    <m/>
    <m/>
    <m/>
    <m/>
    <n v="0"/>
    <n v="0"/>
    <m/>
    <d v="2023-11-09T00:00:00"/>
    <d v="2023-02-13T00:00:00"/>
    <d v="2023-10-10T00:00:00"/>
    <m/>
    <n v="7.9666666666666668"/>
    <n v="34578"/>
    <n v="275471.40000000002"/>
  </r>
  <r>
    <s v="INDIGO Tranche 2 LLS"/>
    <s v="St Leu"/>
    <s v="TCO"/>
    <x v="4"/>
    <s v="PRLC 0192"/>
    <s v="NILE"/>
    <s v="JPI"/>
    <s v="DBE"/>
    <s v="Tvx"/>
    <s v="DD783 / 1298"/>
    <x v="1"/>
    <n v="22"/>
    <n v="22"/>
    <n v="22"/>
    <m/>
    <m/>
    <m/>
    <n v="2034.59"/>
    <n v="2079.59"/>
    <n v="92.481363636363639"/>
    <n v="94.526818181818186"/>
    <n v="0.97836111925908464"/>
    <n v="599.32000000000005"/>
    <s v="propre"/>
    <s v="x"/>
    <m/>
    <n v="0"/>
    <n v="0"/>
    <n v="0"/>
    <d v="2018-03-30T00:00:00"/>
    <d v="2018-08-22T00:00:00"/>
    <m/>
    <n v="4.833333333333333"/>
    <d v="2020-08-31T00:00:00"/>
    <d v="2020-10-22T00:00:00"/>
    <n v="1.7333333333333334"/>
    <d v="2020-11-30T00:00:00"/>
    <m/>
    <d v="2020-11-01T00:00:00"/>
    <n v="24"/>
    <d v="2023-11-01T00:00:00"/>
    <m/>
    <s v="oui"/>
    <n v="-0.23333333333333334"/>
    <n v="-3087.2333333333336"/>
    <n v="-3087.2333333333336"/>
    <n v="3087.2333333333336"/>
    <d v="2020-11-13T00:00:00"/>
    <n v="2020"/>
    <n v="27.133333333333333"/>
    <n v="26"/>
    <n v="35"/>
    <d v="2021-12-08T00:00:00"/>
    <d v="2023-01-13T00:00:00"/>
    <d v="2023-10-31T00:00:00"/>
    <d v="2024-10-31T00:00:00"/>
    <n v="9.6999999999999993"/>
    <m/>
    <m/>
    <m/>
    <m/>
    <n v="0"/>
    <n v="0"/>
    <m/>
    <d v="2023-12-08T00:00:00"/>
    <d v="2023-02-13T00:00:00"/>
    <d v="2023-11-08T00:00:00"/>
    <m/>
    <n v="8.9333333333333336"/>
    <n v="13231"/>
    <n v="118196.93333333333"/>
  </r>
  <r>
    <s v="VEFA SENARDIERE (JARDINS DE MONTAIGNE)"/>
    <s v="Tampon"/>
    <s v="CA SUD"/>
    <x v="6"/>
    <s v="PRLC 0221"/>
    <s v="NBL / SGM"/>
    <m/>
    <s v="DBA"/>
    <s v="GPA"/>
    <s v="BP 593"/>
    <x v="2"/>
    <n v="44"/>
    <n v="44"/>
    <m/>
    <m/>
    <n v="44"/>
    <m/>
    <n v="3447.6800000000007"/>
    <n v="4029.5250000000001"/>
    <n v="78.356363636363653"/>
    <n v="91.580113636363635"/>
    <n v="0.85560456877671698"/>
    <n v="829.01886363636368"/>
    <s v="VEFA"/>
    <s v="x"/>
    <n v="8370000"/>
    <n v="2427.7195099313158"/>
    <n v="2077.1679044056059"/>
    <n v="190227.27272727274"/>
    <d v="2020-04-06T00:00:00"/>
    <d v="2020-06-11T00:00:00"/>
    <d v="2020-06-11T00:00:00"/>
    <n v="2.2000000000000002"/>
    <d v="2020-09-17T00:00:00"/>
    <d v="2020-10-19T00:00:00"/>
    <n v="1.0666666666666667"/>
    <d v="2020-11-30T00:00:00"/>
    <m/>
    <d v="2020-11-01T00:00:00"/>
    <n v="24"/>
    <d v="2023-11-01T00:00:00"/>
    <n v="299258"/>
    <s v="non"/>
    <n v="11"/>
    <n v="360273.24354997982"/>
    <n v="61015.243549979816"/>
    <n v="0"/>
    <d v="2020-12-14T00:00:00"/>
    <n v="2020"/>
    <n v="6.2"/>
    <n v="19"/>
    <n v="22"/>
    <d v="2021-04-27T00:00:00"/>
    <d v="2022-07-14T00:00:00"/>
    <d v="2022-10-16T00:00:00"/>
    <d v="2023-10-16T00:00:00"/>
    <n v="3.1333333333333333"/>
    <d v="2022-11-16T00:00:00"/>
    <d v="2022-12-16T00:00:00"/>
    <d v="2022-12-16T00:00:00"/>
    <d v="2022-11-15T00:00:00"/>
    <n v="-1.0333333333333334"/>
    <n v="-31"/>
    <m/>
    <d v="2023-04-27T00:00:00"/>
    <d v="2023-01-16T00:00:00"/>
    <d v="2022-12-06T00:00:00"/>
    <n v="2022"/>
    <n v="0"/>
    <n v="32752.113049998166"/>
    <n v="0"/>
  </r>
  <r>
    <s v="INDIGO Tranche 2 LLTS"/>
    <s v="St Leu"/>
    <s v="TCO"/>
    <x v="4"/>
    <m/>
    <m/>
    <m/>
    <m/>
    <m/>
    <s v="DD783 / 1298"/>
    <x v="0"/>
    <n v="34"/>
    <n v="34"/>
    <m/>
    <n v="34"/>
    <m/>
    <m/>
    <n v="2357.27"/>
    <n v="2623.27"/>
    <n v="69.331470588235291"/>
    <n v="77.155000000000001"/>
    <n v="0.89859983913207564"/>
    <n v="413.12"/>
    <s v="propre"/>
    <s v="x"/>
    <m/>
    <n v="0"/>
    <n v="0"/>
    <n v="0"/>
    <d v="2018-03-30T00:00:00"/>
    <d v="2018-08-22T00:00:00"/>
    <m/>
    <n v="4.833333333333333"/>
    <d v="2020-08-31T00:00:00"/>
    <d v="2020-10-22T00:00:00"/>
    <n v="1.7333333333333334"/>
    <d v="2020-11-30T00:00:00"/>
    <m/>
    <d v="2020-11-01T00:00:00"/>
    <n v="24"/>
    <d v="2023-11-01T00:00:00"/>
    <m/>
    <s v="oui"/>
    <n v="-0.23333333333333334"/>
    <n v="-3289.7666666666669"/>
    <n v="-3289.7666666666669"/>
    <n v="3289.7666666666669"/>
    <d v="2020-11-13T00:00:00"/>
    <n v="2020"/>
    <n v="27.133333333333333"/>
    <n v="26"/>
    <n v="35"/>
    <d v="2021-12-08T00:00:00"/>
    <d v="2023-01-13T00:00:00"/>
    <d v="2023-10-31T00:00:00"/>
    <d v="2024-10-31T00:00:00"/>
    <n v="9.6999999999999993"/>
    <m/>
    <m/>
    <m/>
    <m/>
    <n v="0"/>
    <n v="0"/>
    <m/>
    <d v="2023-12-08T00:00:00"/>
    <d v="2023-02-13T00:00:00"/>
    <d v="2023-11-08T00:00:00"/>
    <m/>
    <n v="8.9333333333333336"/>
    <n v="14099"/>
    <n v="125951.06666666667"/>
  </r>
  <r>
    <s v="VEFA Jean PAYET (BERGAMOTE TROIS MARES LLS)"/>
    <s v="Tampon"/>
    <s v="CA SUD"/>
    <x v="5"/>
    <s v="PRLC 0210"/>
    <s v="NBL / SGM"/>
    <m/>
    <s v="DBA"/>
    <s v="Tvx"/>
    <s v="En 339/343/568/570"/>
    <x v="1"/>
    <n v="46"/>
    <n v="46"/>
    <n v="46"/>
    <m/>
    <m/>
    <m/>
    <n v="3562.01"/>
    <n v="4176.8500000000004"/>
    <n v="77.435000000000002"/>
    <n v="90.801086956521743"/>
    <n v="0.85279816129379793"/>
    <n v="585.70000000000005"/>
    <s v="VEFA"/>
    <s v="x"/>
    <n v="8484480.0359200016"/>
    <n v="2381.9360518134426"/>
    <n v="2031.3106853059126"/>
    <n v="184445.21817217395"/>
    <d v="2019-03-28T00:00:00"/>
    <d v="2019-10-07T00:00:00"/>
    <d v="2019-10-15T00:00:00"/>
    <n v="6.4333333333333336"/>
    <d v="2019-10-04T00:00:00"/>
    <d v="2019-11-15T00:00:00"/>
    <n v="1.4"/>
    <d v="2019-12-31T00:00:00"/>
    <d v="2019-11-25T00:00:00"/>
    <d v="2019-12-01T00:00:00"/>
    <n v="24"/>
    <d v="2022-12-01T00:00:00"/>
    <n v="251163.06"/>
    <s v="oui"/>
    <n v="-8.0666666666666664"/>
    <n v="-208337.8"/>
    <n v="-459500.86"/>
    <n v="459500.86"/>
    <d v="2020-06-15T00:00:00"/>
    <n v="2020"/>
    <n v="8.4"/>
    <n v="21"/>
    <n v="28"/>
    <d v="2020-11-02T00:00:00"/>
    <d v="2022-03-15T00:00:00"/>
    <d v="2022-10-15T00:00:00"/>
    <d v="2023-10-15T00:00:00"/>
    <n v="7.1333333333333337"/>
    <d v="2022-04-07T00:00:00"/>
    <d v="2022-05-07T00:00:00"/>
    <d v="2022-09-23T00:00:00"/>
    <d v="2023-07-12T00:00:00"/>
    <n v="9.7333333333333325"/>
    <n v="292"/>
    <m/>
    <d v="2022-11-02T00:00:00"/>
    <d v="2022-06-07T00:00:00"/>
    <d v="2023-07-31T00:00:00"/>
    <n v="2023"/>
    <n v="13.966666666666667"/>
    <n v="25827"/>
    <n v="360717.1"/>
  </r>
  <r>
    <s v="VEFA Jean PAYET (BERGAMOTE TROIS MARES LLTS)"/>
    <s v="Tampon"/>
    <s v="CA SUD"/>
    <x v="5"/>
    <s v="PRLC 0210"/>
    <m/>
    <m/>
    <m/>
    <m/>
    <s v="En 339/343/568/570"/>
    <x v="0"/>
    <n v="20"/>
    <n v="20"/>
    <m/>
    <n v="20"/>
    <m/>
    <m/>
    <n v="920.8"/>
    <n v="1253"/>
    <n v="46.04"/>
    <n v="62.65"/>
    <n v="0.73487629688747003"/>
    <n v="362.32"/>
    <s v="VEFA"/>
    <s v="x"/>
    <n v="2121120.0089800004"/>
    <n v="2303.5621296481327"/>
    <n v="1692.8332074860339"/>
    <n v="106056.00044900001"/>
    <d v="2019-03-28T00:00:00"/>
    <d v="2019-10-07T00:00:00"/>
    <d v="2019-10-15T00:00:00"/>
    <n v="6.4333333333333336"/>
    <d v="2019-10-04T00:00:00"/>
    <d v="2019-11-15T00:00:00"/>
    <n v="1.4"/>
    <d v="2019-12-31T00:00:00"/>
    <d v="2019-11-25T00:00:00"/>
    <d v="2019-12-01T00:00:00"/>
    <n v="24"/>
    <d v="2022-12-01T00:00:00"/>
    <n v="44377.919999999998"/>
    <s v="oui"/>
    <n v="-8.0666666666666664"/>
    <n v="-49579.75"/>
    <n v="-93957.67"/>
    <n v="93957.67"/>
    <d v="2020-06-15T00:00:00"/>
    <n v="2020"/>
    <n v="8.4"/>
    <n v="21"/>
    <n v="28"/>
    <d v="2020-11-02T00:00:00"/>
    <d v="2022-03-15T00:00:00"/>
    <d v="2022-10-15T00:00:00"/>
    <d v="2023-10-15T00:00:00"/>
    <n v="7.1333333333333337"/>
    <d v="2022-04-07T00:00:00"/>
    <d v="2022-05-07T00:00:00"/>
    <d v="2022-09-23T00:00:00"/>
    <d v="2023-07-12T00:00:00"/>
    <n v="9.7333333333333325"/>
    <n v="292"/>
    <m/>
    <d v="2022-11-02T00:00:00"/>
    <d v="2022-06-07T00:00:00"/>
    <d v="2023-07-31T00:00:00"/>
    <n v="2023"/>
    <n v="13.966666666666667"/>
    <n v="6146.25"/>
    <n v="85842.625"/>
  </r>
  <r>
    <s v="VEFA Résidence BERTAUT LLS RPA"/>
    <s v="Tampon"/>
    <s v="CA SUD"/>
    <x v="6"/>
    <s v="PRLC 0219"/>
    <s v="LLA"/>
    <s v="JPI"/>
    <s v="MMA"/>
    <s v="Tvx"/>
    <s v="BX 176"/>
    <x v="1"/>
    <n v="30"/>
    <n v="30"/>
    <n v="30"/>
    <m/>
    <m/>
    <m/>
    <n v="1484.3"/>
    <n v="1730.8"/>
    <n v="49.476666666666667"/>
    <n v="57.693333333333335"/>
    <n v="0.85758030968338339"/>
    <m/>
    <s v="VEFA"/>
    <s v="x"/>
    <n v="3183988.5"/>
    <n v="2145.1111635114194"/>
    <n v="1839.6050959094061"/>
    <n v="106132.95"/>
    <d v="2020-02-28T00:00:00"/>
    <d v="2020-06-11T00:00:00"/>
    <d v="2020-07-24T00:00:00"/>
    <n v="3.4666666666666668"/>
    <d v="2020-11-18T00:00:00"/>
    <d v="2020-12-08T00:00:00"/>
    <n v="0.66666666666666663"/>
    <d v="2021-01-31T00:00:00"/>
    <d v="2020-12-08T00:00:00"/>
    <d v="2021-01-01T00:00:00"/>
    <n v="36"/>
    <d v="2025-01-01T00:00:00"/>
    <n v="116104.68"/>
    <s v="non"/>
    <n v="14.433333333333334"/>
    <n v="165172.90032962282"/>
    <n v="49068.220329622825"/>
    <n v="0"/>
    <d v="2020-12-21T00:00:00"/>
    <n v="2020"/>
    <n v="6.4333333333333336"/>
    <n v="29"/>
    <n v="33"/>
    <d v="2021-12-10T00:00:00"/>
    <d v="2023-05-21T00:00:00"/>
    <d v="2023-10-01T00:00:00"/>
    <d v="2024-10-01T00:00:00"/>
    <n v="4.4333333333333336"/>
    <d v="2023-05-31T00:00:00"/>
    <d v="2023-05-31T00:00:00"/>
    <d v="2023-10-12T00:00:00"/>
    <d v="2023-09-30T00:00:00"/>
    <n v="-0.4"/>
    <n v="-12"/>
    <m/>
    <d v="2023-12-10T00:00:00"/>
    <d v="2023-06-30T00:00:00"/>
    <d v="2023-10-26T00:00:00"/>
    <m/>
    <n v="3.9333333333333331"/>
    <n v="11443.849907364167"/>
    <n v="45012.476302299052"/>
  </r>
  <r>
    <s v="VEFA Résidence BERTAUT PLS"/>
    <s v="Tampon"/>
    <s v="CA SUD"/>
    <x v="6"/>
    <s v="PRLC 0219"/>
    <m/>
    <m/>
    <m/>
    <m/>
    <s v="BX 176"/>
    <x v="2"/>
    <n v="93"/>
    <n v="93"/>
    <m/>
    <m/>
    <n v="93"/>
    <m/>
    <n v="6231.35"/>
    <n v="7551.86"/>
    <n v="67.003763440860226"/>
    <n v="81.202795698924731"/>
    <n v="0.82514109106895528"/>
    <m/>
    <s v="VEFA"/>
    <s v="x"/>
    <n v="15566166"/>
    <n v="2498.0407134890511"/>
    <n v="2061.2360398630271"/>
    <n v="167378.12903225806"/>
    <d v="2020-02-28T00:00:00"/>
    <d v="2020-05-26T00:00:00"/>
    <m/>
    <n v="2.9333333333333331"/>
    <d v="2020-11-18T00:00:00"/>
    <d v="2020-12-05T00:00:00"/>
    <n v="0.56666666666666665"/>
    <d v="2021-01-31T00:00:00"/>
    <d v="2020-12-08T00:00:00"/>
    <d v="2021-01-01T00:00:00"/>
    <n v="36"/>
    <d v="2025-01-01T00:00:00"/>
    <n v="673237.89"/>
    <s v="non"/>
    <n v="14.433333333333334"/>
    <n v="868355.92666136182"/>
    <n v="195118.03666136181"/>
    <n v="0"/>
    <d v="2020-12-21T00:00:00"/>
    <n v="2020"/>
    <n v="6.9666666666666668"/>
    <n v="29"/>
    <n v="33"/>
    <d v="2021-12-10T00:00:00"/>
    <d v="2023-05-21T00:00:00"/>
    <d v="2023-10-01T00:00:00"/>
    <d v="2024-10-01T00:00:00"/>
    <n v="4.4333333333333336"/>
    <d v="2023-05-31T00:00:00"/>
    <d v="2023-05-31T00:00:00"/>
    <d v="2023-10-12T00:00:00"/>
    <d v="2023-09-30T00:00:00"/>
    <n v="-0.4"/>
    <n v="-12"/>
    <m/>
    <d v="2023-12-10T00:00:00"/>
    <d v="2023-06-30T00:00:00"/>
    <d v="2023-10-26T00:00:00"/>
    <m/>
    <n v="3.9333333333333331"/>
    <n v="60163.228175152086"/>
    <n v="236642.03082226485"/>
  </r>
  <r>
    <s v="VEFA LAURE FONTAINE (Ex Alverdy)"/>
    <s v="Tampon"/>
    <s v="CA SUD"/>
    <x v="6"/>
    <s v="PRLC 0224"/>
    <s v="LCYC"/>
    <s v="JPI"/>
    <s v="DAM"/>
    <s v="Tvx"/>
    <s v="BX 1134"/>
    <x v="1"/>
    <n v="30"/>
    <n v="30"/>
    <n v="30"/>
    <m/>
    <m/>
    <m/>
    <n v="2086.91"/>
    <n v="2470.27"/>
    <n v="69.563666666666663"/>
    <n v="82.342333333333329"/>
    <n v="0.84481048630311661"/>
    <m/>
    <s v="VEFA"/>
    <s v="x"/>
    <n v="5000788.6536800005"/>
    <n v="2396.2646466210813"/>
    <n v="2024.3895014229215"/>
    <n v="166692.9551226667"/>
    <d v="2020-02-28T00:00:00"/>
    <d v="2020-07-15T00:00:00"/>
    <d v="2020-07-24T00:00:00"/>
    <n v="4.5999999999999996"/>
    <d v="2020-12-28T00:00:00"/>
    <d v="2021-02-02T00:00:00"/>
    <n v="1.2"/>
    <d v="2021-03-31T00:00:00"/>
    <d v="2021-02-26T00:00:00"/>
    <d v="2021-03-01T00:00:00"/>
    <n v="36"/>
    <d v="2025-03-01T00:00:00"/>
    <n v="173379.25"/>
    <s v="non"/>
    <n v="19.7"/>
    <n v="293915.79166666669"/>
    <n v="120536.54166666669"/>
    <n v="0"/>
    <d v="2021-03-01T00:00:00"/>
    <n v="2021"/>
    <n v="7.6333333333333337"/>
    <n v="18"/>
    <n v="26"/>
    <d v="2021-09-20T00:00:00"/>
    <d v="2022-09-01T00:00:00"/>
    <d v="2023-05-30T00:00:00"/>
    <d v="2024-05-30T00:00:00"/>
    <n v="9.0333333333333332"/>
    <d v="2022-09-30T00:00:00"/>
    <d v="2022-12-30T00:00:00"/>
    <d v="2023-04-03T00:00:00"/>
    <d v="2023-06-29T00:00:00"/>
    <n v="2.9"/>
    <n v="87"/>
    <d v="2023-03-30T00:00:00"/>
    <d v="2023-09-20T00:00:00"/>
    <d v="2023-01-30T00:00:00"/>
    <d v="2023-07-19T00:00:00"/>
    <n v="2023"/>
    <n v="5.666666666666667"/>
    <n v="14919.583333333334"/>
    <n v="84544.305555555562"/>
  </r>
  <r>
    <s v="VEFA Frantz SANASSAMA (Ex ADJIBI LLS)"/>
    <s v="Tampon"/>
    <s v="CA SUD"/>
    <x v="6"/>
    <s v="PRLC 0218"/>
    <m/>
    <m/>
    <m/>
    <m/>
    <m/>
    <x v="1"/>
    <n v="53"/>
    <n v="53"/>
    <n v="53"/>
    <m/>
    <m/>
    <m/>
    <n v="4239.1400000000003"/>
    <n v="4689.26"/>
    <n v="79.983773584905663"/>
    <n v="88.476603773584912"/>
    <n v="0.90401044087979765"/>
    <m/>
    <s v="VEFA"/>
    <s v="x"/>
    <n v="10202184.244999999"/>
    <n v="2406.6636735281209"/>
    <n v="2175.64908855555"/>
    <n v="192494.04235849055"/>
    <d v="2020-02-28T00:00:00"/>
    <d v="2020-07-15T00:00:00"/>
    <d v="2020-07-24T00:00:00"/>
    <n v="4.5999999999999996"/>
    <d v="2021-02-02T00:00:00"/>
    <d v="2021-03-24T00:00:00"/>
    <n v="1.6666666666666667"/>
    <d v="2021-04-30T00:00:00"/>
    <d v="2021-03-24T00:00:00"/>
    <d v="2021-04-01T00:00:00"/>
    <n v="24"/>
    <d v="2024-04-01T00:00:00"/>
    <n v="306799.05000000005"/>
    <s v="oui"/>
    <n v="4.5999999999999996"/>
    <n v="147386.68468820504"/>
    <n v="-159412.365311795"/>
    <n v="159412.365311795"/>
    <d v="2021-06-21T00:00:00"/>
    <n v="2021"/>
    <n v="11.366666666666667"/>
    <n v="24"/>
    <n v="29"/>
    <d v="2021-12-13T00:00:00"/>
    <d v="2023-06-21T00:00:00"/>
    <d v="2023-11-28T00:00:00"/>
    <d v="2024-11-28T00:00:00"/>
    <n v="5.333333333333333"/>
    <d v="2023-06-01T00:00:00"/>
    <d v="2023-06-01T00:00:00"/>
    <d v="2023-06-01T00:00:00"/>
    <d v="2023-11-01T00:00:00"/>
    <n v="5.0999999999999996"/>
    <n v="153"/>
    <m/>
    <d v="2023-12-13T00:00:00"/>
    <d v="2023-07-01T00:00:00"/>
    <d v="2023-11-15T00:00:00"/>
    <m/>
    <n v="4.5666666666666664"/>
    <n v="32040.583627870667"/>
    <n v="146318.66523394271"/>
  </r>
  <r>
    <s v="Casabianca"/>
    <s v="Entre-Deux"/>
    <s v="CA SUD"/>
    <x v="6"/>
    <m/>
    <s v="MCL"/>
    <m/>
    <s v="DAM"/>
    <s v="Tvx"/>
    <s v="AP 1535"/>
    <x v="3"/>
    <n v="16"/>
    <n v="0"/>
    <m/>
    <m/>
    <m/>
    <n v="16"/>
    <m/>
    <m/>
    <n v="0"/>
    <n v="0"/>
    <n v="0"/>
    <m/>
    <m/>
    <m/>
    <m/>
    <n v="0"/>
    <s v="-"/>
    <n v="0"/>
    <d v="2020-05-28T00:00:00"/>
    <d v="2020-08-28T00:00:00"/>
    <d v="2020-09-03T00:00:00"/>
    <n v="3.0666666666666669"/>
    <d v="2021-09-28T00:00:00"/>
    <d v="2021-12-27T00:00:00"/>
    <n v="3"/>
    <d v="2022-01-31T00:00:00"/>
    <d v="2021-12-27T00:00:00"/>
    <d v="2022-01-01T00:00:00"/>
    <n v="24"/>
    <d v="2025-01-01T00:00:00"/>
    <m/>
    <s v=""/>
    <n v="0"/>
    <s v=""/>
    <s v=""/>
    <n v="0"/>
    <d v="2022-03-16T00:00:00"/>
    <n v="2022"/>
    <n v="18.833333333333332"/>
    <n v="12"/>
    <n v="18"/>
    <m/>
    <d v="2023-03-16T00:00:00"/>
    <d v="2023-09-30T00:00:00"/>
    <d v="2024-09-30T00:00:00"/>
    <n v="6.6"/>
    <m/>
    <m/>
    <m/>
    <m/>
    <n v="0"/>
    <n v="0"/>
    <m/>
    <s v=""/>
    <d v="2023-04-16T00:00:00"/>
    <d v="2023-10-30T00:00:00"/>
    <m/>
    <n v="6.5666666666666664"/>
    <m/>
    <s v=""/>
  </r>
  <r>
    <s v="La Cure 2"/>
    <s v="St Joseph"/>
    <s v="CA SUD"/>
    <x v="6"/>
    <m/>
    <s v="MCL"/>
    <m/>
    <s v="ECL"/>
    <s v="Tvx"/>
    <m/>
    <x v="3"/>
    <n v="18"/>
    <n v="0"/>
    <m/>
    <m/>
    <m/>
    <n v="18"/>
    <m/>
    <m/>
    <n v="0"/>
    <n v="0"/>
    <n v="0"/>
    <m/>
    <m/>
    <s v="x"/>
    <m/>
    <n v="0"/>
    <s v="-"/>
    <n v="0"/>
    <d v="2020-05-28T00:00:00"/>
    <d v="2020-08-28T00:00:00"/>
    <d v="2020-09-03T00:00:00"/>
    <n v="3.0666666666666669"/>
    <d v="2021-09-28T00:00:00"/>
    <d v="2021-12-27T00:00:00"/>
    <n v="3"/>
    <d v="2022-01-31T00:00:00"/>
    <d v="2021-12-27T00:00:00"/>
    <d v="2022-01-01T00:00:00"/>
    <n v="24"/>
    <d v="2025-01-01T00:00:00"/>
    <m/>
    <s v=""/>
    <n v="0"/>
    <s v=""/>
    <s v=""/>
    <n v="0"/>
    <d v="2022-04-26T00:00:00"/>
    <n v="2022"/>
    <n v="20.2"/>
    <n v="12"/>
    <n v="17"/>
    <m/>
    <d v="2023-04-26T00:00:00"/>
    <d v="2023-09-30T00:00:00"/>
    <d v="2024-09-30T00:00:00"/>
    <n v="5.2333333333333334"/>
    <m/>
    <m/>
    <m/>
    <m/>
    <n v="0"/>
    <n v="0"/>
    <m/>
    <s v=""/>
    <d v="2023-05-26T00:00:00"/>
    <d v="2023-10-30T00:00:00"/>
    <m/>
    <n v="5.2333333333333334"/>
    <m/>
    <s v=""/>
  </r>
  <r>
    <s v="Choka Bleu"/>
    <s v="St Joseph"/>
    <s v="CA SUD"/>
    <x v="6"/>
    <m/>
    <s v="MCL"/>
    <m/>
    <s v="NLE"/>
    <s v="Tvx"/>
    <s v="BN 813 / 812"/>
    <x v="3"/>
    <n v="26"/>
    <n v="0"/>
    <m/>
    <m/>
    <m/>
    <n v="26"/>
    <m/>
    <m/>
    <n v="0"/>
    <n v="0"/>
    <n v="0"/>
    <m/>
    <m/>
    <s v="x"/>
    <m/>
    <n v="0"/>
    <s v="-"/>
    <n v="0"/>
    <d v="2020-05-28T00:00:00"/>
    <d v="2020-08-28T00:00:00"/>
    <d v="2020-09-03T00:00:00"/>
    <n v="3.0666666666666669"/>
    <d v="2021-09-28T00:00:00"/>
    <d v="2021-12-27T00:00:00"/>
    <n v="3"/>
    <d v="2022-01-31T00:00:00"/>
    <d v="2021-12-27T00:00:00"/>
    <d v="2022-01-01T00:00:00"/>
    <n v="24"/>
    <d v="2025-01-01T00:00:00"/>
    <m/>
    <s v=""/>
    <n v="0"/>
    <s v=""/>
    <s v=""/>
    <n v="0"/>
    <d v="2022-08-10T00:00:00"/>
    <n v="2022"/>
    <n v="23.733333333333334"/>
    <n v="12"/>
    <n v="13"/>
    <m/>
    <d v="2023-08-10T00:00:00"/>
    <d v="2023-10-01T00:00:00"/>
    <d v="2024-10-01T00:00:00"/>
    <n v="1.7333333333333334"/>
    <m/>
    <m/>
    <m/>
    <m/>
    <n v="0"/>
    <n v="0"/>
    <m/>
    <s v=""/>
    <d v="2023-09-10T00:00:00"/>
    <d v="2023-11-01T00:00:00"/>
    <m/>
    <n v="1.7333333333333334"/>
    <m/>
    <s v=""/>
  </r>
  <r>
    <s v="Bras de la Plaine LLS"/>
    <s v="Entre-Deux"/>
    <s v="CA SUD"/>
    <x v="6"/>
    <s v="PRLC 0180"/>
    <m/>
    <m/>
    <m/>
    <m/>
    <m/>
    <x v="1"/>
    <n v="10"/>
    <n v="10"/>
    <n v="10"/>
    <m/>
    <m/>
    <m/>
    <n v="737.57"/>
    <n v="857.75"/>
    <n v="73.757000000000005"/>
    <n v="85.775000000000006"/>
    <n v="0.85988924511804143"/>
    <m/>
    <s v="propre"/>
    <s v="x"/>
    <m/>
    <n v="0"/>
    <n v="0"/>
    <n v="0"/>
    <d v="2020-10-30T00:00:00"/>
    <d v="2020-12-10T00:00:00"/>
    <m/>
    <n v="1.3666666666666667"/>
    <d v="2020-12-17T00:00:00"/>
    <d v="2021-02-02T00:00:00"/>
    <n v="1.5666666666666667"/>
    <d v="2021-03-31T00:00:00"/>
    <d v="2021-03-18T00:00:00"/>
    <d v="2021-03-01T00:00:00"/>
    <n v="24"/>
    <d v="2024-03-01T00:00:00"/>
    <n v="56454"/>
    <s v="oui"/>
    <n v="6.166666666666667"/>
    <n v="36331.687665455524"/>
    <n v="-20122.312334544476"/>
    <n v="20122.312334544476"/>
    <d v="2021-04-15T00:00:00"/>
    <n v="2021"/>
    <n v="4.2"/>
    <n v="18"/>
    <n v="28"/>
    <d v="2021-10-05T00:00:00"/>
    <d v="2022-10-15T00:00:00"/>
    <d v="2023-08-24T00:00:00"/>
    <d v="2024-08-24T00:00:00"/>
    <n v="10.433333333333334"/>
    <m/>
    <m/>
    <m/>
    <m/>
    <n v="0"/>
    <n v="0"/>
    <d v="2023-09-04T00:00:00"/>
    <d v="2023-10-05T00:00:00"/>
    <d v="2022-11-15T00:00:00"/>
    <d v="2023-08-29T00:00:00"/>
    <n v="2023"/>
    <n v="9.5666666666666664"/>
    <n v="5891.6250268306248"/>
    <n v="56363.212756679641"/>
  </r>
  <r>
    <s v="Bras de la Plaine LLTS"/>
    <s v="Entre-Deux"/>
    <s v="CA SUD"/>
    <x v="6"/>
    <s v="PRLC 0180"/>
    <s v="NILE"/>
    <s v="JPI"/>
    <s v="DBE"/>
    <s v="Tvx"/>
    <s v="AS 603"/>
    <x v="0"/>
    <n v="8"/>
    <n v="8"/>
    <m/>
    <n v="8"/>
    <m/>
    <m/>
    <n v="419.99"/>
    <n v="517.59"/>
    <n v="52.498750000000001"/>
    <n v="64.698750000000004"/>
    <n v="0.81143376031221615"/>
    <n v="418.66"/>
    <s v="propre"/>
    <s v="x"/>
    <m/>
    <n v="0"/>
    <n v="0"/>
    <n v="0"/>
    <d v="2020-10-30T00:00:00"/>
    <d v="2020-12-10T00:00:00"/>
    <m/>
    <n v="1.3666666666666667"/>
    <d v="2020-12-17T00:00:00"/>
    <d v="2021-02-02T00:00:00"/>
    <n v="1.5666666666666667"/>
    <d v="2021-03-31T00:00:00"/>
    <d v="2021-03-18T00:00:00"/>
    <d v="2021-03-01T00:00:00"/>
    <n v="24"/>
    <d v="2024-03-01T00:00:00"/>
    <n v="27928"/>
    <s v="oui"/>
    <n v="6.166666666666667"/>
    <n v="16842.587184908687"/>
    <n v="-11085.412815091313"/>
    <n v="11085.412815091313"/>
    <d v="2021-04-15T00:00:00"/>
    <n v="2021"/>
    <n v="4.2"/>
    <n v="18"/>
    <n v="28"/>
    <d v="2021-10-05T00:00:00"/>
    <d v="2022-10-15T00:00:00"/>
    <d v="2023-08-24T00:00:00"/>
    <d v="2024-08-24T00:00:00"/>
    <n v="10.433333333333334"/>
    <m/>
    <m/>
    <m/>
    <m/>
    <n v="0"/>
    <n v="0"/>
    <d v="2023-09-04T00:00:00"/>
    <d v="2023-10-05T00:00:00"/>
    <d v="2022-11-15T00:00:00"/>
    <d v="2023-08-29T00:00:00"/>
    <n v="2023"/>
    <n v="9.5666666666666664"/>
    <n v="2731.2303543095168"/>
    <n v="26128.770389561043"/>
  </r>
  <r>
    <s v="VEFA Frantz SANASSAMA (Ex ADJIBI LLTS)"/>
    <s v="Tampon"/>
    <s v="CA SUD"/>
    <x v="6"/>
    <s v="PRLC 0218"/>
    <s v="NBL / SGM"/>
    <m/>
    <s v="DBA"/>
    <s v="Tvx"/>
    <s v="AK 931"/>
    <x v="0"/>
    <n v="25"/>
    <n v="25"/>
    <m/>
    <n v="25"/>
    <m/>
    <m/>
    <n v="1337.56"/>
    <n v="1496.73"/>
    <n v="53.502399999999994"/>
    <n v="59.869199999999999"/>
    <n v="0.89365483420523406"/>
    <m/>
    <s v="VEFA"/>
    <s v="x"/>
    <n v="3473070.3560000001"/>
    <n v="2596.5716349173122"/>
    <n v="2320.4387939040444"/>
    <n v="138922.81424000001"/>
    <d v="2020-02-28T00:00:00"/>
    <d v="2020-07-15T00:00:00"/>
    <d v="2020-07-24T00:00:00"/>
    <n v="4.5999999999999996"/>
    <d v="2021-02-02T00:00:00"/>
    <d v="2021-03-24T00:00:00"/>
    <n v="1.6666666666666667"/>
    <d v="2021-04-30T00:00:00"/>
    <d v="2021-03-24T00:00:00"/>
    <d v="2021-04-01T00:00:00"/>
    <n v="24"/>
    <d v="2024-04-01T00:00:00"/>
    <n v="81881.390000000014"/>
    <s v="oui"/>
    <n v="4.5999999999999996"/>
    <n v="37250.502284343573"/>
    <n v="-44630.887715656441"/>
    <n v="44630.887715656441"/>
    <d v="2021-06-21T00:00:00"/>
    <n v="2021"/>
    <n v="11.366666666666667"/>
    <n v="24"/>
    <n v="29"/>
    <d v="2021-12-13T00:00:00"/>
    <d v="2023-06-21T00:00:00"/>
    <d v="2023-11-28T00:00:00"/>
    <d v="2024-11-28T00:00:00"/>
    <n v="5.333333333333333"/>
    <d v="2023-06-01T00:00:00"/>
    <d v="2023-06-01T00:00:00"/>
    <d v="2023-06-01T00:00:00"/>
    <d v="2023-11-01T00:00:00"/>
    <n v="5.0999999999999996"/>
    <n v="153"/>
    <m/>
    <d v="2023-12-13T00:00:00"/>
    <d v="2023-07-01T00:00:00"/>
    <d v="2023-11-15T00:00:00"/>
    <m/>
    <n v="4.5666666666666664"/>
    <n v="8097.935279205125"/>
    <n v="36980.571108370066"/>
  </r>
  <r>
    <s v="BOULANGER LLS"/>
    <s v="Tampon"/>
    <s v="CA SUD"/>
    <x v="6"/>
    <s v="PRLC 0212"/>
    <s v="NBL / SGM"/>
    <s v="JPI"/>
    <s v="DBA"/>
    <s v="Tvx"/>
    <s v="BD 1427p/1428p"/>
    <x v="1"/>
    <n v="21"/>
    <n v="21"/>
    <n v="21"/>
    <m/>
    <m/>
    <m/>
    <n v="1626.52"/>
    <n v="1843.49"/>
    <n v="77.453333333333333"/>
    <n v="87.7852380952381"/>
    <n v="0.8823047589083749"/>
    <m/>
    <s v="propre"/>
    <s v="x"/>
    <m/>
    <n v="0"/>
    <n v="0"/>
    <n v="0"/>
    <d v="2020-02-26T00:00:00"/>
    <d v="2020-06-11T00:00:00"/>
    <d v="2020-07-24T00:00:00"/>
    <n v="3.5333333333333332"/>
    <d v="2022-02-28T00:00:00"/>
    <d v="2022-03-30T00:00:00"/>
    <n v="1"/>
    <d v="2022-04-30T00:00:00"/>
    <d v="2022-05-31T00:00:00"/>
    <d v="2022-04-01T00:00:00"/>
    <n v="36"/>
    <d v="2026-04-01T00:00:00"/>
    <n v="147200"/>
    <s v="non"/>
    <n v="23.766666666666666"/>
    <n v="269751.48933218181"/>
    <n v="122551.48933218181"/>
    <n v="0"/>
    <d v="2022-07-18T00:00:00"/>
    <n v="2022"/>
    <n v="25.566666666666666"/>
    <n v="18"/>
    <n v="20"/>
    <d v="2023-04-25T00:00:00"/>
    <d v="2024-01-18T00:00:00"/>
    <d v="2024-03-18T00:00:00"/>
    <d v="2025-03-18T00:00:00"/>
    <n v="2"/>
    <m/>
    <m/>
    <m/>
    <m/>
    <n v="0"/>
    <n v="0"/>
    <m/>
    <d v="2025-04-25T00:00:00"/>
    <d v="2024-02-18T00:00:00"/>
    <d v="2024-04-18T00:00:00"/>
    <m/>
    <n v="2"/>
    <n v="11349.992538520974"/>
    <n v="22699.985077041947"/>
  </r>
  <r>
    <s v="BOULANGER LLTS"/>
    <s v="Tampon"/>
    <s v="CA SUD"/>
    <x v="6"/>
    <s v="PRLC 0212"/>
    <m/>
    <m/>
    <m/>
    <m/>
    <s v="BD 1427p/1428p"/>
    <x v="0"/>
    <n v="11"/>
    <n v="11"/>
    <m/>
    <n v="11"/>
    <m/>
    <m/>
    <n v="472.3"/>
    <n v="605.23"/>
    <n v="42.936363636363637"/>
    <n v="55.020909090909093"/>
    <n v="0.78036448953290483"/>
    <m/>
    <s v="propre"/>
    <s v="x"/>
    <m/>
    <n v="0"/>
    <n v="0"/>
    <n v="0"/>
    <d v="2020-02-26T00:00:00"/>
    <d v="2020-06-11T00:00:00"/>
    <d v="2020-07-24T00:00:00"/>
    <n v="3.5333333333333332"/>
    <d v="2022-02-28T00:00:00"/>
    <d v="2022-03-30T00:00:00"/>
    <n v="1"/>
    <d v="2022-04-30T00:00:00"/>
    <d v="2022-05-31T00:00:00"/>
    <d v="2022-04-01T00:00:00"/>
    <n v="36"/>
    <d v="2026-04-01T00:00:00"/>
    <n v="37269"/>
    <s v="non"/>
    <n v="23.766666666666666"/>
    <n v="81810.475781712157"/>
    <n v="44541.475781712157"/>
    <n v="0"/>
    <d v="2022-07-18T00:00:00"/>
    <n v="2022"/>
    <n v="25.566666666666666"/>
    <n v="18"/>
    <n v="20"/>
    <d v="2023-04-25T00:00:00"/>
    <d v="2024-01-18T00:00:00"/>
    <d v="2024-03-18T00:00:00"/>
    <d v="2025-03-18T00:00:00"/>
    <n v="2"/>
    <m/>
    <m/>
    <m/>
    <m/>
    <n v="0"/>
    <n v="0"/>
    <m/>
    <d v="2025-04-25T00:00:00"/>
    <d v="2024-02-18T00:00:00"/>
    <d v="2024-04-18T00:00:00"/>
    <m/>
    <n v="2"/>
    <n v="3442.236007645673"/>
    <n v="6884.472015291346"/>
  </r>
  <r>
    <s v="Orchidées 1"/>
    <s v="Tampon"/>
    <s v="CA SUD"/>
    <x v="6"/>
    <m/>
    <s v="MCL"/>
    <m/>
    <s v="DBE"/>
    <s v="Tvx"/>
    <s v="BW 2395 – 2397 – 2399 - 2400"/>
    <x v="3"/>
    <n v="83"/>
    <n v="0"/>
    <m/>
    <m/>
    <m/>
    <n v="83"/>
    <m/>
    <m/>
    <n v="0"/>
    <n v="0"/>
    <n v="0"/>
    <m/>
    <m/>
    <s v="x"/>
    <m/>
    <n v="0"/>
    <s v="-"/>
    <n v="0"/>
    <d v="2020-05-29T00:00:00"/>
    <d v="2020-08-31T00:00:00"/>
    <m/>
    <n v="3.1333333333333333"/>
    <d v="2021-09-28T00:00:00"/>
    <d v="2022-01-17T00:00:00"/>
    <n v="3.7"/>
    <d v="2022-02-28T00:00:00"/>
    <d v="2022-01-24T00:00:00"/>
    <d v="2022-02-01T00:00:00"/>
    <n v="24"/>
    <d v="2025-02-01T00:00:00"/>
    <m/>
    <s v=""/>
    <n v="0"/>
    <s v=""/>
    <s v=""/>
    <n v="0"/>
    <d v="2022-07-05T00:00:00"/>
    <n v="2022"/>
    <n v="22.433333333333334"/>
    <n v="22"/>
    <n v="23"/>
    <m/>
    <d v="2024-05-05T00:00:00"/>
    <d v="2024-06-05T00:00:00"/>
    <d v="2025-06-05T00:00:00"/>
    <n v="1.0333333333333334"/>
    <m/>
    <m/>
    <m/>
    <m/>
    <n v="0"/>
    <n v="0"/>
    <m/>
    <s v=""/>
    <d v="2024-06-05T00:00:00"/>
    <d v="2024-07-05T00:00:00"/>
    <m/>
    <n v="1"/>
    <m/>
    <s v=""/>
  </r>
  <r>
    <s v="IKARIA LLS"/>
    <s v="Tampon"/>
    <s v="CA SUD"/>
    <x v="6"/>
    <s v="PRLC 0214"/>
    <s v="LCYC"/>
    <s v="JPI"/>
    <s v="DAM"/>
    <s v="Tvx"/>
    <s v="BW 1397"/>
    <x v="1"/>
    <n v="20"/>
    <n v="20"/>
    <n v="20"/>
    <m/>
    <m/>
    <m/>
    <n v="927"/>
    <n v="1003.51"/>
    <n v="46.35"/>
    <n v="50.1755"/>
    <n v="0.9237576107861406"/>
    <m/>
    <s v="propre"/>
    <s v="x"/>
    <m/>
    <n v="0"/>
    <n v="0"/>
    <n v="0"/>
    <d v="2020-02-28T00:00:00"/>
    <d v="2020-07-10T00:00:00"/>
    <d v="2020-07-24T00:00:00"/>
    <n v="4.4333333333333336"/>
    <d v="2022-10-10T00:00:00"/>
    <d v="2022-12-26T00:00:00"/>
    <n v="2.5666666666666669"/>
    <d v="2023-01-31T00:00:00"/>
    <d v="2022-12-28T00:00:00"/>
    <d v="2023-01-01T00:00:00"/>
    <n v="36"/>
    <d v="2027-01-01T00:00:00"/>
    <n v="90784"/>
    <s v="non"/>
    <n v="20.233333333333334"/>
    <n v="148707.99852305808"/>
    <n v="57923.998523058079"/>
    <n v="0"/>
    <d v="2023-05-30T00:00:00"/>
    <n v="2023"/>
    <n v="35.133333333333333"/>
    <n v="21"/>
    <n v="22"/>
    <m/>
    <d v="2025-03-04T00:00:00"/>
    <d v="2025-04-04T00:00:00"/>
    <d v="2026-04-04T00:00:00"/>
    <n v="1.0333333333333334"/>
    <m/>
    <m/>
    <m/>
    <m/>
    <n v="0"/>
    <n v="0"/>
    <m/>
    <s v=""/>
    <d v="2025-04-04T00:00:00"/>
    <d v="2025-05-04T00:00:00"/>
    <m/>
    <n v="1"/>
    <n v="7349.65396324834"/>
    <n v="7349.65396324834"/>
  </r>
  <r>
    <s v="La Forêt"/>
    <s v="Avirons"/>
    <s v="CIVIS"/>
    <x v="7"/>
    <m/>
    <s v="MCL"/>
    <m/>
    <s v="ECL"/>
    <s v="Tvx"/>
    <s v="AE 157-158"/>
    <x v="3"/>
    <n v="10"/>
    <n v="0"/>
    <m/>
    <m/>
    <m/>
    <n v="10"/>
    <m/>
    <m/>
    <n v="0"/>
    <n v="0"/>
    <n v="0"/>
    <m/>
    <m/>
    <m/>
    <m/>
    <n v="0"/>
    <s v="-"/>
    <n v="0"/>
    <d v="2021-05-27T00:00:00"/>
    <d v="2021-06-16T00:00:00"/>
    <m/>
    <n v="0.66666666666666663"/>
    <d v="2022-12-29T00:00:00"/>
    <d v="2023-02-28T00:00:00"/>
    <n v="2.0333333333333332"/>
    <d v="2023-03-31T00:00:00"/>
    <m/>
    <d v="2023-03-01T00:00:00"/>
    <n v="24"/>
    <d v="2026-03-01T00:00:00"/>
    <n v="18526.79"/>
    <s v=""/>
    <n v="0"/>
    <s v=""/>
    <s v=""/>
    <n v="0"/>
    <d v="2023-04-06T00:00:00"/>
    <n v="2023"/>
    <n v="21.966666666666665"/>
    <n v="12"/>
    <n v="13"/>
    <m/>
    <d v="2024-04-06T00:00:00"/>
    <d v="2024-05-06T00:00:00"/>
    <d v="2025-05-06T00:00:00"/>
    <n v="1"/>
    <m/>
    <m/>
    <m/>
    <m/>
    <n v="0"/>
    <n v="0"/>
    <m/>
    <s v=""/>
    <d v="2024-05-06T00:00:00"/>
    <d v="2024-06-06T00:00:00"/>
    <m/>
    <n v="1.0333333333333334"/>
    <m/>
    <s v=""/>
  </r>
  <r>
    <s v="IKARIA LLTS"/>
    <s v="Tampon"/>
    <s v="CA SUD"/>
    <x v="6"/>
    <s v="PRLC 0214"/>
    <m/>
    <m/>
    <m/>
    <m/>
    <s v="BW 1397"/>
    <x v="0"/>
    <n v="36"/>
    <n v="36"/>
    <m/>
    <n v="36"/>
    <m/>
    <m/>
    <n v="1668.6"/>
    <n v="1786.23"/>
    <n v="46.349999999999994"/>
    <n v="49.6175"/>
    <n v="0.93414621857207636"/>
    <m/>
    <s v="propre"/>
    <s v="x"/>
    <m/>
    <n v="0"/>
    <n v="0"/>
    <n v="0"/>
    <d v="2020-02-28T00:00:00"/>
    <d v="2020-07-16T00:00:00"/>
    <d v="2020-07-24T00:00:00"/>
    <n v="4.6333333333333337"/>
    <d v="2022-10-10T00:00:00"/>
    <d v="2022-12-26T00:00:00"/>
    <n v="2.5666666666666669"/>
    <d v="2023-01-31T00:00:00"/>
    <d v="2022-12-28T00:00:00"/>
    <d v="2023-01-01T00:00:00"/>
    <n v="36"/>
    <d v="2027-01-01T00:00:00"/>
    <n v="127318"/>
    <s v="non"/>
    <n v="20.233333333333334"/>
    <n v="236462.75886860728"/>
    <n v="109144.75886860728"/>
    <n v="0"/>
    <d v="2023-05-30T00:00:00"/>
    <n v="2023"/>
    <n v="34.93333333333333"/>
    <n v="21"/>
    <n v="22"/>
    <m/>
    <d v="2025-03-04T00:00:00"/>
    <d v="2025-04-04T00:00:00"/>
    <d v="2026-04-04T00:00:00"/>
    <n v="1.0333333333333334"/>
    <m/>
    <m/>
    <m/>
    <m/>
    <n v="0"/>
    <n v="0"/>
    <m/>
    <s v=""/>
    <d v="2025-04-04T00:00:00"/>
    <d v="2025-05-04T00:00:00"/>
    <m/>
    <n v="1"/>
    <n v="11686.792036339733"/>
    <n v="11686.792036339733"/>
  </r>
  <r>
    <s v="La Chapelle"/>
    <s v="Tampon"/>
    <s v="CA SUD"/>
    <x v="6"/>
    <m/>
    <s v="MCL"/>
    <m/>
    <s v="DBA"/>
    <s v="Tvx"/>
    <s v="CN 286"/>
    <x v="3"/>
    <n v="38"/>
    <n v="0"/>
    <m/>
    <m/>
    <m/>
    <n v="38"/>
    <m/>
    <m/>
    <n v="0"/>
    <n v="0"/>
    <n v="0"/>
    <m/>
    <m/>
    <m/>
    <m/>
    <n v="0"/>
    <s v="-"/>
    <n v="0"/>
    <d v="2020-05-29T00:00:00"/>
    <d v="2020-10-14T00:00:00"/>
    <m/>
    <n v="4.5999999999999996"/>
    <d v="2021-10-13T00:00:00"/>
    <d v="2022-01-17T00:00:00"/>
    <n v="3.2"/>
    <d v="2022-02-28T00:00:00"/>
    <d v="2022-01-24T00:00:00"/>
    <d v="2022-02-01T00:00:00"/>
    <n v="24"/>
    <d v="2025-02-01T00:00:00"/>
    <m/>
    <s v=""/>
    <n v="0"/>
    <s v=""/>
    <s v=""/>
    <n v="0"/>
    <d v="2022-11-08T00:00:00"/>
    <n v="2022"/>
    <n v="25.166666666666668"/>
    <n v="12"/>
    <n v="20"/>
    <m/>
    <d v="2023-11-08T00:00:00"/>
    <d v="2024-07-08T00:00:00"/>
    <d v="2025-07-08T00:00:00"/>
    <n v="8.1"/>
    <m/>
    <m/>
    <m/>
    <m/>
    <n v="0"/>
    <n v="0"/>
    <m/>
    <s v=""/>
    <d v="2023-12-08T00:00:00"/>
    <d v="2024-08-08T00:00:00"/>
    <m/>
    <n v="8.1333333333333329"/>
    <m/>
    <s v=""/>
  </r>
  <r>
    <s v="GINGKO &amp; BILOBA LLS"/>
    <s v="Etang-Salé"/>
    <s v="CIVIS"/>
    <x v="6"/>
    <s v="PRLC 0213"/>
    <s v="LCYC"/>
    <s v="JPI"/>
    <s v="DAM"/>
    <s v="AO"/>
    <s v="AT 183"/>
    <x v="1"/>
    <n v="16"/>
    <n v="16"/>
    <n v="16"/>
    <m/>
    <m/>
    <m/>
    <n v="1076.78"/>
    <n v="1353.79"/>
    <n v="67.298749999999998"/>
    <n v="84.611874999999998"/>
    <n v="0.79538185390644045"/>
    <m/>
    <s v="propre"/>
    <s v="x"/>
    <m/>
    <n v="0"/>
    <n v="0"/>
    <n v="0"/>
    <d v="2020-02-28T00:00:00"/>
    <d v="2020-07-10T00:00:00"/>
    <d v="2020-07-24T00:00:00"/>
    <n v="4.4333333333333336"/>
    <d v="2023-09-27T00:00:00"/>
    <m/>
    <n v="0"/>
    <s v=""/>
    <m/>
    <m/>
    <m/>
    <d v="1900-12-31T00:00:00"/>
    <m/>
    <s v="non"/>
    <n v="-1520.3333333333333"/>
    <n v="0"/>
    <n v="0"/>
    <n v="0"/>
    <d v="2024-03-15T00:00:00"/>
    <m/>
    <n v="44.8"/>
    <n v="18"/>
    <n v="19"/>
    <m/>
    <d v="2025-09-15T00:00:00"/>
    <d v="2025-10-15T00:00:00"/>
    <d v="2026-10-15T00:00:00"/>
    <n v="1"/>
    <m/>
    <m/>
    <m/>
    <m/>
    <n v="0"/>
    <n v="0"/>
    <m/>
    <s v=""/>
    <d v="2025-10-15T00:00:00"/>
    <d v="2025-11-15T00:00:00"/>
    <m/>
    <n v="1.0333333333333334"/>
    <m/>
    <n v="0"/>
  </r>
  <r>
    <s v="Le Ruisseau"/>
    <s v="Avirons"/>
    <s v="CIVIS"/>
    <x v="7"/>
    <m/>
    <s v="MCL"/>
    <m/>
    <s v="ECL"/>
    <s v="Tvx"/>
    <s v="AM 124"/>
    <x v="3"/>
    <n v="29"/>
    <n v="0"/>
    <m/>
    <m/>
    <m/>
    <n v="29"/>
    <m/>
    <m/>
    <n v="0"/>
    <n v="0"/>
    <n v="0"/>
    <m/>
    <m/>
    <m/>
    <m/>
    <n v="0"/>
    <s v="-"/>
    <n v="0"/>
    <d v="2021-05-27T00:00:00"/>
    <d v="2021-11-16T00:00:00"/>
    <d v="2021-11-29T00:00:00"/>
    <n v="5.7666666666666666"/>
    <d v="2022-10-05T00:00:00"/>
    <d v="2022-12-26T00:00:00"/>
    <n v="2.7333333333333334"/>
    <d v="2023-01-31T00:00:00"/>
    <d v="2023-03-10T00:00:00"/>
    <d v="2023-01-01T00:00:00"/>
    <n v="24"/>
    <d v="2026-01-01T00:00:00"/>
    <n v="12906"/>
    <s v=""/>
    <n v="0"/>
    <s v=""/>
    <s v=""/>
    <n v="0"/>
    <d v="2023-04-06T00:00:00"/>
    <n v="2023"/>
    <n v="16.866666666666667"/>
    <n v="12"/>
    <n v="15"/>
    <m/>
    <d v="2024-04-06T00:00:00"/>
    <d v="2024-07-06T00:00:00"/>
    <d v="2025-07-06T00:00:00"/>
    <n v="3.0333333333333332"/>
    <m/>
    <m/>
    <m/>
    <m/>
    <n v="0"/>
    <n v="0"/>
    <m/>
    <s v=""/>
    <d v="2024-05-06T00:00:00"/>
    <d v="2024-08-06T00:00:00"/>
    <m/>
    <n v="3.0666666666666669"/>
    <m/>
    <s v=""/>
  </r>
  <r>
    <s v="GINGKO &amp; BILOBA LLTS"/>
    <s v="Etang-Salé"/>
    <s v="CIVIS"/>
    <x v="6"/>
    <s v="PRLC 0213"/>
    <m/>
    <m/>
    <m/>
    <m/>
    <s v="AT 184/200 p"/>
    <x v="0"/>
    <n v="25"/>
    <n v="25"/>
    <m/>
    <n v="25"/>
    <m/>
    <m/>
    <n v="1140.67"/>
    <n v="1517.23"/>
    <n v="45.626800000000003"/>
    <n v="60.6892"/>
    <n v="0.75181086585422119"/>
    <m/>
    <s v="propre"/>
    <s v="x"/>
    <m/>
    <n v="0"/>
    <n v="0"/>
    <n v="0"/>
    <d v="2020-02-28T00:00:00"/>
    <d v="2020-07-10T00:00:00"/>
    <d v="2020-07-24T00:00:00"/>
    <n v="4.4333333333333336"/>
    <d v="2023-09-27T00:00:00"/>
    <m/>
    <n v="0"/>
    <s v=""/>
    <m/>
    <m/>
    <m/>
    <d v="1900-12-31T00:00:00"/>
    <m/>
    <s v="non"/>
    <n v="-1520.3333333333333"/>
    <n v="0"/>
    <n v="0"/>
    <n v="0"/>
    <d v="2024-03-15T00:00:00"/>
    <m/>
    <n v="44.8"/>
    <n v="18"/>
    <n v="19"/>
    <m/>
    <d v="2025-09-15T00:00:00"/>
    <d v="2025-10-15T00:00:00"/>
    <d v="2026-10-15T00:00:00"/>
    <n v="1"/>
    <m/>
    <m/>
    <m/>
    <m/>
    <n v="0"/>
    <n v="0"/>
    <m/>
    <s v=""/>
    <d v="2025-10-15T00:00:00"/>
    <d v="2025-11-15T00:00:00"/>
    <m/>
    <n v="1.0333333333333334"/>
    <m/>
    <n v="0"/>
  </r>
  <r>
    <s v="Chemin Galet 1"/>
    <s v="St Joseph"/>
    <s v="CA SUD"/>
    <x v="6"/>
    <m/>
    <s v="MCL"/>
    <m/>
    <s v="ECL"/>
    <s v="Tvx"/>
    <s v="BY 1388 - 1385"/>
    <x v="3"/>
    <n v="30"/>
    <n v="0"/>
    <m/>
    <m/>
    <m/>
    <n v="30"/>
    <m/>
    <m/>
    <n v="0"/>
    <n v="0"/>
    <n v="0"/>
    <m/>
    <m/>
    <s v="x"/>
    <m/>
    <n v="0"/>
    <s v="-"/>
    <n v="0"/>
    <d v="2020-05-28T00:00:00"/>
    <d v="2020-08-28T00:00:00"/>
    <d v="2020-09-03T00:00:00"/>
    <n v="3.0666666666666669"/>
    <d v="2021-09-28T00:00:00"/>
    <d v="2021-12-27T00:00:00"/>
    <n v="3"/>
    <d v="2022-01-31T00:00:00"/>
    <d v="2021-12-27T00:00:00"/>
    <d v="2022-01-01T00:00:00"/>
    <n v="24"/>
    <d v="2025-01-01T00:00:00"/>
    <m/>
    <s v=""/>
    <n v="0"/>
    <s v=""/>
    <s v=""/>
    <n v="0"/>
    <d v="2022-08-31T00:00:00"/>
    <n v="2022"/>
    <n v="24.433333333333334"/>
    <n v="12"/>
    <n v="24"/>
    <m/>
    <d v="2023-08-31T00:00:00"/>
    <d v="2024-09-02T00:00:00"/>
    <d v="2025-09-02T00:00:00"/>
    <n v="12.266666666666667"/>
    <m/>
    <m/>
    <m/>
    <m/>
    <n v="0"/>
    <n v="0"/>
    <m/>
    <s v=""/>
    <d v="2023-09-30T00:00:00"/>
    <d v="2024-10-02T00:00:00"/>
    <m/>
    <n v="12.266666666666667"/>
    <m/>
    <s v=""/>
  </r>
  <r>
    <s v="Chemin Galet 2"/>
    <s v="St Joseph"/>
    <s v="CA SUD"/>
    <x v="6"/>
    <m/>
    <s v="MCL"/>
    <m/>
    <s v="ECL"/>
    <s v="Tvx"/>
    <s v="BY 1380 – 1381 – 1382 – 1394 – 1396"/>
    <x v="3"/>
    <n v="32"/>
    <n v="0"/>
    <m/>
    <m/>
    <m/>
    <n v="32"/>
    <m/>
    <m/>
    <n v="0"/>
    <n v="0"/>
    <n v="0"/>
    <m/>
    <m/>
    <s v="x"/>
    <m/>
    <n v="0"/>
    <s v="-"/>
    <n v="0"/>
    <d v="2020-05-29T00:00:00"/>
    <d v="2020-09-03T00:00:00"/>
    <m/>
    <n v="3.2333333333333334"/>
    <d v="2021-09-28T00:00:00"/>
    <d v="2022-01-17T00:00:00"/>
    <n v="3.7"/>
    <d v="2022-02-28T00:00:00"/>
    <d v="2022-01-24T00:00:00"/>
    <d v="2022-02-01T00:00:00"/>
    <n v="24"/>
    <d v="2025-02-01T00:00:00"/>
    <m/>
    <s v=""/>
    <n v="0"/>
    <s v=""/>
    <s v=""/>
    <n v="0"/>
    <d v="2022-09-06T00:00:00"/>
    <n v="2022"/>
    <n v="24.433333333333334"/>
    <n v="12"/>
    <n v="23"/>
    <m/>
    <d v="2023-09-06T00:00:00"/>
    <d v="2024-09-02T00:00:00"/>
    <d v="2025-09-02T00:00:00"/>
    <n v="12.066666666666666"/>
    <m/>
    <m/>
    <m/>
    <m/>
    <n v="0"/>
    <n v="0"/>
    <m/>
    <s v=""/>
    <d v="2023-10-06T00:00:00"/>
    <d v="2024-10-02T00:00:00"/>
    <m/>
    <n v="12.066666666666666"/>
    <m/>
    <s v=""/>
  </r>
  <r>
    <s v="Lacaussade 1"/>
    <s v="St Joseph"/>
    <s v="CA SUD"/>
    <x v="7"/>
    <m/>
    <s v="MCL"/>
    <m/>
    <s v="ECL"/>
    <s v="AO"/>
    <s v="BN 176 – 1176 – 773 – 772"/>
    <x v="3"/>
    <n v="36"/>
    <n v="0"/>
    <m/>
    <m/>
    <m/>
    <n v="36"/>
    <m/>
    <m/>
    <n v="0"/>
    <n v="0"/>
    <n v="0"/>
    <m/>
    <m/>
    <s v="x"/>
    <m/>
    <n v="0"/>
    <s v="-"/>
    <n v="0"/>
    <d v="2021-05-27T00:00:00"/>
    <d v="2021-10-27T00:00:00"/>
    <d v="2021-11-02T00:00:00"/>
    <n v="5.0999999999999996"/>
    <d v="2022-09-20T00:00:00"/>
    <d v="2023-06-02T00:00:00"/>
    <n v="8.5"/>
    <d v="2023-07-31T00:00:00"/>
    <m/>
    <m/>
    <m/>
    <d v="1900-12-31T00:00:00"/>
    <m/>
    <s v=""/>
    <n v="0"/>
    <s v=""/>
    <s v=""/>
    <n v="0"/>
    <d v="2023-09-30T00:00:00"/>
    <m/>
    <n v="23.433333333333334"/>
    <n v="12"/>
    <n v="13"/>
    <m/>
    <d v="2024-09-30T00:00:00"/>
    <d v="2024-10-30T00:00:00"/>
    <d v="2025-10-30T00:00:00"/>
    <n v="1"/>
    <m/>
    <m/>
    <m/>
    <m/>
    <n v="0"/>
    <n v="0"/>
    <m/>
    <s v=""/>
    <d v="2024-10-30T00:00:00"/>
    <d v="2024-11-30T00:00:00"/>
    <m/>
    <n v="1.0333333333333334"/>
    <m/>
    <s v=""/>
  </r>
  <r>
    <s v="VEFA HORUS"/>
    <s v="Tampon"/>
    <s v="CA SUD"/>
    <x v="7"/>
    <s v="PRLC 0228"/>
    <s v="LCYC"/>
    <m/>
    <s v="DAM"/>
    <s v="Tvx"/>
    <s v="BZ 273"/>
    <x v="2"/>
    <n v="78"/>
    <n v="78"/>
    <m/>
    <m/>
    <n v="78"/>
    <m/>
    <n v="5550.65"/>
    <n v="6482.8999999999987"/>
    <n v="71.162179487179486"/>
    <n v="83.114102564102552"/>
    <n v="0.85619861481744297"/>
    <m/>
    <s v="VEFA"/>
    <s v="x"/>
    <n v="13868582.50292"/>
    <n v="2498.5510711214001"/>
    <n v="2139.2559661447813"/>
    <n v="177802.33978102563"/>
    <d v="2021-02-23T00:00:00"/>
    <d v="2021-07-21T00:00:00"/>
    <d v="2021-08-02T00:00:00"/>
    <n v="4.9333333333333336"/>
    <d v="2021-09-27T00:00:00"/>
    <d v="2021-11-19T00:00:00"/>
    <n v="1.7666666666666666"/>
    <d v="2021-12-31T00:00:00"/>
    <d v="2021-11-22T00:00:00"/>
    <d v="2022-01-01T00:00:00"/>
    <n v="24"/>
    <d v="2025-01-01T00:00:00"/>
    <n v="521156.32999999996"/>
    <s v="oui"/>
    <n v="7.1"/>
    <n v="382828.13277007942"/>
    <n v="-138328.19722992054"/>
    <n v="138328.19722992054"/>
    <d v="2021-12-28T00:00:00"/>
    <n v="2021"/>
    <n v="5.333333333333333"/>
    <n v="26"/>
    <n v="27"/>
    <d v="2022-08-19T00:00:00"/>
    <d v="2024-02-28T00:00:00"/>
    <d v="2024-03-28T00:00:00"/>
    <d v="2025-03-28T00:00:00"/>
    <n v="0.96666666666666667"/>
    <d v="2024-02-29T00:00:00"/>
    <d v="2024-02-29T00:00:00"/>
    <d v="2024-04-02T00:00:00"/>
    <d v="2024-05-02T00:00:00"/>
    <n v="1"/>
    <n v="30"/>
    <m/>
    <d v="2024-08-19T00:00:00"/>
    <d v="2024-03-29T00:00:00"/>
    <d v="2024-06-02T00:00:00"/>
    <m/>
    <n v="2.1666666666666665"/>
    <n v="53919.455319729495"/>
    <n v="116825.48652608057"/>
  </r>
  <r>
    <s v="Orchidées 2"/>
    <s v="Tampon"/>
    <s v="CA SUD"/>
    <x v="7"/>
    <m/>
    <s v="MCL"/>
    <m/>
    <s v="DBE"/>
    <s v="AO"/>
    <s v="BW 2757 – 2187 - 2180"/>
    <x v="3"/>
    <n v="86"/>
    <n v="0"/>
    <m/>
    <m/>
    <m/>
    <n v="86"/>
    <m/>
    <m/>
    <n v="0"/>
    <n v="0"/>
    <n v="0"/>
    <m/>
    <m/>
    <s v="x"/>
    <m/>
    <n v="0"/>
    <s v="-"/>
    <n v="0"/>
    <d v="2021-05-27T00:00:00"/>
    <d v="2021-11-16T00:00:00"/>
    <d v="2021-11-29T00:00:00"/>
    <n v="5.7666666666666666"/>
    <d v="2023-05-16T00:00:00"/>
    <d v="2023-06-16T00:00:00"/>
    <n v="1.0333333333333334"/>
    <d v="2023-07-31T00:00:00"/>
    <m/>
    <m/>
    <n v="24"/>
    <d v="1902-12-31T00:00:00"/>
    <m/>
    <s v=""/>
    <n v="0"/>
    <s v=""/>
    <s v=""/>
    <n v="0"/>
    <d v="2023-10-05T00:00:00"/>
    <m/>
    <n v="22.933333333333334"/>
    <n v="18"/>
    <n v="19"/>
    <m/>
    <d v="2025-04-05T00:00:00"/>
    <d v="2025-05-05T00:00:00"/>
    <d v="2026-05-05T00:00:00"/>
    <n v="1"/>
    <m/>
    <m/>
    <m/>
    <m/>
    <n v="0"/>
    <n v="0"/>
    <m/>
    <s v=""/>
    <d v="2025-05-05T00:00:00"/>
    <d v="2025-06-05T00:00:00"/>
    <m/>
    <n v="1.0333333333333334"/>
    <m/>
    <s v=""/>
  </r>
  <r>
    <s v="Cazala"/>
    <s v="St Joseph"/>
    <s v="CA SUD"/>
    <x v="7"/>
    <m/>
    <s v="MCL"/>
    <m/>
    <s v="DAM"/>
    <s v="PRO"/>
    <s v="BO 423 – 416 – 437 – 411"/>
    <x v="3"/>
    <n v="57"/>
    <n v="0"/>
    <m/>
    <m/>
    <m/>
    <n v="57"/>
    <m/>
    <m/>
    <n v="0"/>
    <n v="0"/>
    <n v="0"/>
    <m/>
    <m/>
    <s v="x"/>
    <m/>
    <n v="0"/>
    <s v="-"/>
    <n v="0"/>
    <d v="2021-05-27T00:00:00"/>
    <d v="2021-11-16T00:00:00"/>
    <d v="2021-11-29T00:00:00"/>
    <n v="5.7666666666666666"/>
    <m/>
    <m/>
    <n v="0"/>
    <s v=""/>
    <m/>
    <m/>
    <m/>
    <d v="1900-12-31T00:00:00"/>
    <m/>
    <s v=""/>
    <n v="0"/>
    <s v=""/>
    <s v=""/>
    <n v="0"/>
    <d v="2024-03-15T00:00:00"/>
    <m/>
    <n v="28.333333333333332"/>
    <n v="12"/>
    <n v="13"/>
    <m/>
    <d v="2025-03-15T00:00:00"/>
    <d v="2025-04-15T00:00:00"/>
    <d v="2026-04-15T00:00:00"/>
    <n v="1.0333333333333334"/>
    <m/>
    <m/>
    <m/>
    <m/>
    <n v="0"/>
    <n v="0"/>
    <m/>
    <s v=""/>
    <d v="2025-04-15T00:00:00"/>
    <d v="2025-05-15T00:00:00"/>
    <m/>
    <n v="1"/>
    <m/>
    <s v=""/>
  </r>
  <r>
    <s v="VEFA JARDINS PARTAGES T1 Bat E - 34 LLS "/>
    <s v="Tampon"/>
    <s v="CA SUD"/>
    <x v="7"/>
    <s v="PRLC 0234"/>
    <m/>
    <m/>
    <m/>
    <m/>
    <s v="EN 563"/>
    <x v="1"/>
    <n v="34"/>
    <n v="34"/>
    <n v="34"/>
    <m/>
    <m/>
    <m/>
    <n v="2512.4"/>
    <n v="2978.48"/>
    <n v="73.89411764705882"/>
    <n v="87.602352941176477"/>
    <n v="0.84351749885847815"/>
    <m/>
    <s v="VEFA"/>
    <s v="x"/>
    <n v="6544231.29"/>
    <n v="2604.7728427002071"/>
    <n v="2197.1714733689669"/>
    <n v="192477.39088235295"/>
    <d v="2021-09-22T00:00:00"/>
    <d v="2021-12-15T00:00:00"/>
    <d v="2021-12-27T00:00:00"/>
    <n v="2.8"/>
    <d v="2022-11-22T00:00:00"/>
    <d v="2022-12-26T00:00:00"/>
    <n v="1.1333333333333333"/>
    <d v="2023-01-31T00:00:00"/>
    <d v="2023-01-04T00:00:00"/>
    <d v="2023-01-01T00:00:00"/>
    <n v="36"/>
    <d v="2027-01-01T00:00:00"/>
    <n v="227737"/>
    <s v="non"/>
    <n v="14.266666666666667"/>
    <n v="263813.55081844184"/>
    <n v="36076.550818441843"/>
    <n v="0"/>
    <d v="2023-05-30T00:00:00"/>
    <n v="2023"/>
    <n v="17.7"/>
    <n v="27"/>
    <n v="28"/>
    <m/>
    <d v="2025-08-30T00:00:00"/>
    <d v="2025-09-30T00:00:00"/>
    <d v="2026-09-30T00:00:00"/>
    <n v="1.0333333333333334"/>
    <d v="2025-09-30T00:00:00"/>
    <d v="2025-09-30T00:00:00"/>
    <d v="2025-09-30T00:00:00"/>
    <d v="2025-09-30T00:00:00"/>
    <n v="0"/>
    <n v="0"/>
    <m/>
    <s v=""/>
    <d v="2025-10-30T00:00:00"/>
    <d v="2025-10-30T00:00:00"/>
    <m/>
    <n v="0"/>
    <n v="18491.604029330036"/>
    <n v="0"/>
  </r>
  <r>
    <s v="Usine à Vetyver"/>
    <s v="St Joseph"/>
    <s v="CA SUD"/>
    <x v="8"/>
    <m/>
    <s v="MCL"/>
    <m/>
    <s v="ECL"/>
    <s v="PRO"/>
    <s v="BN 704-929"/>
    <x v="3"/>
    <n v="44"/>
    <n v="0"/>
    <m/>
    <m/>
    <m/>
    <n v="44"/>
    <m/>
    <m/>
    <n v="0"/>
    <n v="0"/>
    <n v="0"/>
    <m/>
    <m/>
    <s v="x"/>
    <m/>
    <n v="0"/>
    <s v="-"/>
    <n v="0"/>
    <d v="2022-04-27T00:00:00"/>
    <d v="2022-12-13T00:00:00"/>
    <m/>
    <n v="7.666666666666667"/>
    <m/>
    <m/>
    <n v="0"/>
    <s v=""/>
    <m/>
    <m/>
    <m/>
    <d v="1900-12-31T00:00:00"/>
    <m/>
    <s v=""/>
    <n v="0"/>
    <s v=""/>
    <s v=""/>
    <n v="0"/>
    <d v="2024-02-15T00:00:00"/>
    <m/>
    <n v="14.3"/>
    <n v="14"/>
    <n v="15"/>
    <m/>
    <d v="2025-04-15T00:00:00"/>
    <d v="2025-05-15T00:00:00"/>
    <d v="2026-05-15T00:00:00"/>
    <n v="1"/>
    <m/>
    <m/>
    <m/>
    <m/>
    <n v="0"/>
    <n v="0"/>
    <m/>
    <s v=""/>
    <d v="2025-05-15T00:00:00"/>
    <d v="2025-06-15T00:00:00"/>
    <m/>
    <n v="1.0333333333333334"/>
    <m/>
    <s v=""/>
  </r>
  <r>
    <s v="Les Benjoins 1"/>
    <s v="Entre-Deux"/>
    <s v="CA SUD"/>
    <x v="8"/>
    <m/>
    <s v="MCL"/>
    <m/>
    <s v="NLE"/>
    <s v="PRO"/>
    <s v="AP 1675"/>
    <x v="3"/>
    <n v="24"/>
    <n v="0"/>
    <m/>
    <m/>
    <m/>
    <n v="24"/>
    <m/>
    <m/>
    <n v="0"/>
    <n v="0"/>
    <n v="0"/>
    <m/>
    <m/>
    <m/>
    <m/>
    <n v="0"/>
    <s v="-"/>
    <n v="0"/>
    <d v="2022-04-22T00:00:00"/>
    <d v="2022-12-27T00:00:00"/>
    <d v="2023-02-02T00:00:00"/>
    <n v="8.3000000000000007"/>
    <m/>
    <m/>
    <n v="0"/>
    <s v=""/>
    <m/>
    <m/>
    <m/>
    <d v="1900-12-31T00:00:00"/>
    <m/>
    <s v=""/>
    <n v="0"/>
    <s v=""/>
    <s v=""/>
    <n v="0"/>
    <d v="2024-04-15T00:00:00"/>
    <m/>
    <n v="15.833333333333334"/>
    <n v="12"/>
    <n v="13"/>
    <m/>
    <d v="2025-04-15T00:00:00"/>
    <d v="2025-05-15T00:00:00"/>
    <d v="2026-05-15T00:00:00"/>
    <n v="1"/>
    <m/>
    <m/>
    <m/>
    <m/>
    <n v="0"/>
    <n v="0"/>
    <m/>
    <s v=""/>
    <d v="2025-05-15T00:00:00"/>
    <d v="2025-06-15T00:00:00"/>
    <m/>
    <n v="1.0333333333333334"/>
    <m/>
    <s v=""/>
  </r>
  <r>
    <s v="VEFA JARDINS PARTAGES T1 Bat I 40 LLS "/>
    <s v="Tampon"/>
    <s v="CA SUD"/>
    <x v="7"/>
    <s v="PRLC 0233"/>
    <m/>
    <m/>
    <m/>
    <m/>
    <s v="EN 563"/>
    <x v="1"/>
    <n v="40"/>
    <n v="40"/>
    <n v="40"/>
    <m/>
    <m/>
    <m/>
    <n v="3064.24"/>
    <n v="3596.91"/>
    <n v="76.605999999999995"/>
    <n v="89.922749999999994"/>
    <n v="0.85190899966916045"/>
    <m/>
    <s v="VEFA"/>
    <s v="x"/>
    <n v="8363408"/>
    <n v="2729.3580137326062"/>
    <n v="2325.1646552179509"/>
    <n v="209085.2"/>
    <d v="2021-09-22T00:00:00"/>
    <d v="2021-12-15T00:00:00"/>
    <d v="2021-12-27T00:00:00"/>
    <n v="2.8"/>
    <d v="2022-11-22T00:00:00"/>
    <d v="2022-12-26T00:00:00"/>
    <n v="1.1333333333333333"/>
    <d v="2023-01-31T00:00:00"/>
    <d v="2023-01-04T00:00:00"/>
    <d v="2023-01-01T00:00:00"/>
    <n v="36"/>
    <d v="2027-01-01T00:00:00"/>
    <n v="306350"/>
    <s v="non"/>
    <n v="14.266666666666667"/>
    <n v="313564.37739814981"/>
    <n v="7214.3773981498089"/>
    <n v="0"/>
    <d v="2023-05-30T00:00:00"/>
    <n v="2023"/>
    <n v="17.7"/>
    <n v="27"/>
    <n v="28"/>
    <m/>
    <d v="2025-08-30T00:00:00"/>
    <d v="2025-09-30T00:00:00"/>
    <d v="2026-09-30T00:00:00"/>
    <n v="1.0333333333333334"/>
    <d v="2025-09-30T00:00:00"/>
    <d v="2025-09-30T00:00:00"/>
    <d v="2025-09-30T00:00:00"/>
    <d v="2025-09-30T00:00:00"/>
    <n v="0"/>
    <n v="0"/>
    <m/>
    <s v=""/>
    <d v="2025-10-30T00:00:00"/>
    <d v="2025-10-30T00:00:00"/>
    <m/>
    <n v="0"/>
    <n v="21978.811499870313"/>
    <n v="0"/>
  </r>
  <r>
    <s v="Cœur de village 40"/>
    <s v="St Joseph"/>
    <s v="CA SUD"/>
    <x v="7"/>
    <m/>
    <s v="MCL"/>
    <m/>
    <s v="ECL"/>
    <s v="PRO"/>
    <s v="CV 589 - 650"/>
    <x v="3"/>
    <n v="40"/>
    <n v="0"/>
    <m/>
    <m/>
    <m/>
    <n v="40"/>
    <m/>
    <m/>
    <n v="0"/>
    <n v="0"/>
    <n v="0"/>
    <m/>
    <m/>
    <m/>
    <m/>
    <n v="0"/>
    <s v="-"/>
    <n v="0"/>
    <d v="2021-05-27T00:00:00"/>
    <d v="2021-11-16T00:00:00"/>
    <d v="2021-11-29T00:00:00"/>
    <n v="5.7666666666666666"/>
    <m/>
    <m/>
    <n v="0"/>
    <s v=""/>
    <m/>
    <m/>
    <m/>
    <d v="1900-12-31T00:00:00"/>
    <m/>
    <s v=""/>
    <n v="0"/>
    <s v=""/>
    <s v=""/>
    <n v="0"/>
    <d v="2024-06-15T00:00:00"/>
    <m/>
    <n v="31.4"/>
    <n v="12"/>
    <n v="13"/>
    <m/>
    <d v="2025-06-15T00:00:00"/>
    <d v="2025-07-15T00:00:00"/>
    <d v="2026-07-15T00:00:00"/>
    <n v="1"/>
    <m/>
    <m/>
    <m/>
    <m/>
    <n v="0"/>
    <n v="0"/>
    <m/>
    <s v=""/>
    <d v="2025-07-15T00:00:00"/>
    <d v="2025-08-15T00:00:00"/>
    <m/>
    <n v="1.0333333333333334"/>
    <m/>
    <s v=""/>
  </r>
  <r>
    <s v="VEFA JARDINS PARTAGES T1 Bat E - 5 LLTS "/>
    <s v="Tampon"/>
    <s v="CA SUD"/>
    <x v="7"/>
    <s v="PRLC 0234"/>
    <m/>
    <m/>
    <m/>
    <m/>
    <s v="EN 563"/>
    <x v="0"/>
    <n v="5"/>
    <n v="5"/>
    <m/>
    <n v="5"/>
    <m/>
    <m/>
    <n v="239.35"/>
    <n v="323.2"/>
    <n v="47.87"/>
    <n v="64.64"/>
    <n v="0.74056311881188119"/>
    <m/>
    <s v="VEFA"/>
    <s v="x"/>
    <n v="680220.73"/>
    <n v="2841.9499895550448"/>
    <n v="2104.6433477722771"/>
    <n v="136044.14600000001"/>
    <d v="2021-09-22T00:00:00"/>
    <d v="2021-12-23T00:00:00"/>
    <d v="2021-12-27T00:00:00"/>
    <n v="3.0666666666666669"/>
    <d v="2022-11-22T00:00:00"/>
    <d v="2022-12-26T00:00:00"/>
    <n v="1.1333333333333333"/>
    <d v="2023-01-31T00:00:00"/>
    <d v="2023-01-04T00:00:00"/>
    <d v="2023-01-01T00:00:00"/>
    <n v="36"/>
    <d v="2027-01-01T00:00:00"/>
    <n v="19102"/>
    <s v="non"/>
    <n v="14.266666666666667"/>
    <n v="23653.831905501909"/>
    <n v="4551.8319055019092"/>
    <n v="0"/>
    <d v="2023-05-30T00:00:00"/>
    <n v="2023"/>
    <n v="17.433333333333334"/>
    <n v="27"/>
    <n v="28"/>
    <m/>
    <d v="2025-08-30T00:00:00"/>
    <d v="2025-09-30T00:00:00"/>
    <d v="2026-09-30T00:00:00"/>
    <n v="1.0333333333333334"/>
    <d v="2025-09-30T00:00:00"/>
    <d v="2025-09-30T00:00:00"/>
    <d v="2025-09-30T00:00:00"/>
    <d v="2025-09-30T00:00:00"/>
    <n v="0"/>
    <n v="0"/>
    <m/>
    <s v=""/>
    <d v="2025-10-30T00:00:00"/>
    <d v="2025-10-30T00:00:00"/>
    <m/>
    <n v="0"/>
    <n v="1657.9788718809748"/>
    <n v="0"/>
  </r>
  <r>
    <s v="GORBATCHEV"/>
    <s v="Tampon"/>
    <s v="CA SUD"/>
    <x v="7"/>
    <s v="PRLC 0206"/>
    <s v="NBL / SGM"/>
    <m/>
    <s v="SRI"/>
    <s v="AO"/>
    <s v="BY 284"/>
    <x v="2"/>
    <n v="31"/>
    <n v="31"/>
    <m/>
    <m/>
    <n v="31"/>
    <m/>
    <n v="2393.27"/>
    <n v="2825.69"/>
    <n v="77.20225806451613"/>
    <n v="91.15129032258065"/>
    <n v="0.84696835109300739"/>
    <m/>
    <s v="propre"/>
    <s v="x"/>
    <m/>
    <n v="0"/>
    <n v="0"/>
    <n v="0"/>
    <d v="2021-02-16T00:00:00"/>
    <d v="2021-06-24T00:00:00"/>
    <d v="2021-06-28T00:00:00"/>
    <n v="4.2666666666666666"/>
    <d v="2023-03-27T00:00:00"/>
    <d v="2023-06-05T00:00:00"/>
    <n v="2.3333333333333335"/>
    <d v="2023-07-31T00:00:00"/>
    <d v="2023-06-19T00:00:00"/>
    <d v="2023-07-05T00:00:00"/>
    <n v="36"/>
    <d v="2027-07-05T00:00:00"/>
    <n v="389072"/>
    <s v="non"/>
    <n v="23.6"/>
    <n v="511779.55917647493"/>
    <n v="122707.55917647493"/>
    <n v="0"/>
    <d v="2023-09-27T00:00:00"/>
    <n v="2023"/>
    <n v="27.5"/>
    <n v="20"/>
    <n v="21"/>
    <m/>
    <d v="2025-05-27T00:00:00"/>
    <d v="2025-06-27T00:00:00"/>
    <d v="2026-06-27T00:00:00"/>
    <n v="1.0333333333333334"/>
    <m/>
    <m/>
    <m/>
    <m/>
    <n v="0"/>
    <n v="0"/>
    <m/>
    <s v=""/>
    <d v="2025-06-27T00:00:00"/>
    <d v="2025-07-27T00:00:00"/>
    <m/>
    <n v="1"/>
    <n v="21685.574541376056"/>
    <n v="21685.574541376056"/>
  </r>
  <r>
    <s v="VEFA JARDINS PARTAGES T2 Bat F - 48 LLS "/>
    <s v="Tampon"/>
    <s v="CA SUD"/>
    <x v="7"/>
    <s v="PRLC 0237"/>
    <m/>
    <m/>
    <m/>
    <m/>
    <s v="EN 563"/>
    <x v="1"/>
    <n v="48"/>
    <n v="48"/>
    <n v="48"/>
    <m/>
    <m/>
    <m/>
    <n v="3702.55"/>
    <n v="4367.0849999999982"/>
    <n v="77.136458333333337"/>
    <n v="90.980937499999968"/>
    <n v="0.84783099023719521"/>
    <m/>
    <s v="VEFA"/>
    <s v="x"/>
    <n v="10433637.798000002"/>
    <n v="2817.9600000000005"/>
    <n v="2389.1538172488072"/>
    <n v="217367.45412500005"/>
    <d v="2021-09-22T00:00:00"/>
    <d v="2021-12-15T00:00:00"/>
    <d v="2021-12-27T00:00:00"/>
    <n v="2.8"/>
    <d v="2023-04-15T00:00:00"/>
    <m/>
    <n v="0"/>
    <s v=""/>
    <m/>
    <m/>
    <m/>
    <d v="1900-12-31T00:00:00"/>
    <m/>
    <s v="non"/>
    <n v="-1526.9333333333334"/>
    <n v="0"/>
    <n v="0"/>
    <n v="0"/>
    <d v="2024-04-01T00:00:00"/>
    <m/>
    <n v="27.933333333333334"/>
    <n v="24"/>
    <n v="25"/>
    <m/>
    <d v="2026-04-01T00:00:00"/>
    <d v="2026-05-01T00:00:00"/>
    <d v="2027-05-01T00:00:00"/>
    <n v="1"/>
    <d v="2026-05-01T00:00:00"/>
    <d v="2026-05-01T00:00:00"/>
    <d v="2026-05-01T00:00:00"/>
    <d v="2026-05-01T00:00:00"/>
    <n v="0"/>
    <n v="0"/>
    <m/>
    <s v=""/>
    <d v="2026-06-01T00:00:00"/>
    <d v="2026-06-01T00:00:00"/>
    <m/>
    <n v="0"/>
    <m/>
    <n v="0"/>
  </r>
  <r>
    <s v="VEFA JARDINS PARTAGES T2 Bat K - 17 LLS "/>
    <s v="Tampon"/>
    <s v="CA SUD"/>
    <x v="7"/>
    <s v="PRLC 0236"/>
    <m/>
    <m/>
    <m/>
    <m/>
    <s v="EN 563"/>
    <x v="1"/>
    <n v="17"/>
    <n v="17"/>
    <n v="17"/>
    <m/>
    <m/>
    <m/>
    <n v="1283.03"/>
    <n v="1475.53"/>
    <n v="75.472352941176467"/>
    <n v="86.795882352941177"/>
    <n v="0.8695384031500546"/>
    <m/>
    <s v="VEFA"/>
    <s v="x"/>
    <n v="3591844.6507536471"/>
    <n v="2799.5016879992263"/>
    <n v="2434.2742273987292"/>
    <n v="211284.97945609689"/>
    <d v="2021-09-22T00:00:00"/>
    <d v="2021-12-15T00:00:00"/>
    <d v="2021-12-27T00:00:00"/>
    <n v="2.8"/>
    <d v="2023-04-15T00:00:00"/>
    <m/>
    <n v="0"/>
    <s v=""/>
    <m/>
    <m/>
    <m/>
    <d v="1900-12-31T00:00:00"/>
    <m/>
    <s v="non"/>
    <n v="-1526.9333333333334"/>
    <n v="0"/>
    <n v="0"/>
    <n v="0"/>
    <d v="2024-04-01T00:00:00"/>
    <m/>
    <n v="27.933333333333334"/>
    <n v="24"/>
    <n v="25"/>
    <m/>
    <d v="2026-04-01T00:00:00"/>
    <d v="2026-05-01T00:00:00"/>
    <d v="2027-05-01T00:00:00"/>
    <n v="1"/>
    <d v="2026-05-01T00:00:00"/>
    <d v="2026-05-01T00:00:00"/>
    <d v="2026-05-01T00:00:00"/>
    <d v="2026-05-01T00:00:00"/>
    <n v="0"/>
    <n v="0"/>
    <m/>
    <s v=""/>
    <d v="2026-06-01T00:00:00"/>
    <d v="2026-06-01T00:00:00"/>
    <m/>
    <n v="0"/>
    <m/>
    <n v="0"/>
  </r>
  <r>
    <s v="VEFA JARDINS PARTAGES T2 Bat K - 5 LLTS "/>
    <s v="Tampon"/>
    <s v="CA SUD"/>
    <x v="7"/>
    <s v="PRLC 0236"/>
    <m/>
    <m/>
    <m/>
    <m/>
    <s v="EN 563"/>
    <x v="0"/>
    <n v="5"/>
    <n v="5"/>
    <m/>
    <n v="5"/>
    <m/>
    <m/>
    <n v="246.26"/>
    <n v="280.49"/>
    <n v="49.251999999999995"/>
    <n v="56.097999999999999"/>
    <n v="0.877963563763414"/>
    <m/>
    <s v="VEFA"/>
    <s v="x"/>
    <n v="689402.95184635348"/>
    <n v="2799.4922108598776"/>
    <n v="2457.8521581744571"/>
    <n v="137880.59036927071"/>
    <d v="2021-09-22T00:00:00"/>
    <d v="2021-12-23T00:00:00"/>
    <d v="2021-12-27T00:00:00"/>
    <n v="3.0666666666666669"/>
    <d v="2023-04-15T00:00:00"/>
    <m/>
    <n v="0"/>
    <s v=""/>
    <m/>
    <m/>
    <m/>
    <d v="1900-12-31T00:00:00"/>
    <m/>
    <s v="non"/>
    <n v="-1526.9333333333334"/>
    <n v="0"/>
    <n v="0"/>
    <n v="0"/>
    <d v="2024-04-01T00:00:00"/>
    <m/>
    <n v="27.666666666666668"/>
    <n v="24"/>
    <n v="25"/>
    <m/>
    <d v="2026-04-01T00:00:00"/>
    <d v="2026-05-01T00:00:00"/>
    <d v="2027-05-01T00:00:00"/>
    <n v="1"/>
    <d v="2026-05-01T00:00:00"/>
    <d v="2026-05-01T00:00:00"/>
    <d v="2026-05-01T00:00:00"/>
    <d v="2026-05-01T00:00:00"/>
    <n v="0"/>
    <n v="0"/>
    <m/>
    <s v=""/>
    <d v="2026-06-01T00:00:00"/>
    <d v="2026-06-01T00:00:00"/>
    <m/>
    <n v="0"/>
    <m/>
    <n v="0"/>
  </r>
  <r>
    <s v="VEFA JARDINS PARTAGES T2 Bat H - 48 LLTS RPA"/>
    <s v="Tampon"/>
    <s v="CA SUD"/>
    <x v="7"/>
    <s v="PRLC 0235"/>
    <m/>
    <m/>
    <m/>
    <m/>
    <s v="EN 563"/>
    <x v="0"/>
    <n v="48"/>
    <n v="48"/>
    <m/>
    <n v="48"/>
    <m/>
    <m/>
    <n v="2301.79"/>
    <n v="2555.48"/>
    <n v="47.953958333333333"/>
    <n v="53.239166666666669"/>
    <n v="0.90072706497409483"/>
    <m/>
    <s v="VEFA"/>
    <s v="x"/>
    <n v="6157335.5109999999"/>
    <n v="2675.0205322813986"/>
    <n v="2409.4633927872651"/>
    <n v="128277.82314583333"/>
    <d v="2021-09-22T00:00:00"/>
    <d v="2021-12-15T00:00:00"/>
    <d v="2021-12-27T00:00:00"/>
    <n v="2.8"/>
    <d v="2023-04-15T00:00:00"/>
    <m/>
    <n v="0"/>
    <s v=""/>
    <m/>
    <m/>
    <m/>
    <d v="1900-12-31T00:00:00"/>
    <m/>
    <s v="non"/>
    <n v="-1526.9333333333334"/>
    <n v="0"/>
    <n v="0"/>
    <n v="0"/>
    <d v="2024-04-01T00:00:00"/>
    <m/>
    <n v="27.933333333333334"/>
    <n v="24"/>
    <n v="25"/>
    <m/>
    <d v="2026-04-01T00:00:00"/>
    <d v="2026-05-01T00:00:00"/>
    <d v="2027-05-01T00:00:00"/>
    <n v="1"/>
    <d v="2026-05-01T00:00:00"/>
    <d v="2026-05-01T00:00:00"/>
    <d v="2026-05-01T00:00:00"/>
    <d v="2026-05-01T00:00:00"/>
    <n v="0"/>
    <n v="0"/>
    <m/>
    <s v=""/>
    <d v="2026-06-01T00:00:00"/>
    <d v="2026-06-01T00:00:00"/>
    <m/>
    <n v="0"/>
    <m/>
    <n v="0"/>
  </r>
  <r>
    <s v="VEFA JARDINS PARTAGES T1 Bat J - 40 PLS "/>
    <s v="Tampon"/>
    <s v="CA SUD"/>
    <x v="8"/>
    <s v="PRLC 0220"/>
    <s v="NBL / SGM"/>
    <s v="JPI"/>
    <s v="DBA"/>
    <s v="Tvx"/>
    <s v="EN 563"/>
    <x v="2"/>
    <n v="40"/>
    <n v="40"/>
    <m/>
    <m/>
    <n v="40"/>
    <m/>
    <n v="3064.24"/>
    <n v="3596.91"/>
    <n v="76.605999999999995"/>
    <n v="89.922749999999994"/>
    <n v="0.85190899966916045"/>
    <m/>
    <s v="VEFA"/>
    <s v="x"/>
    <n v="8048510"/>
    <n v="2626.5925645510797"/>
    <n v="2237.6178442051651"/>
    <n v="201212.75"/>
    <d v="2021-09-22T00:00:00"/>
    <d v="2022-05-24T00:00:00"/>
    <d v="2022-05-25T00:00:00"/>
    <n v="8.1333333333333329"/>
    <d v="2022-09-29T00:00:00"/>
    <d v="2022-12-26T00:00:00"/>
    <n v="2.9333333333333331"/>
    <d v="2023-01-31T00:00:00"/>
    <d v="2023-01-04T00:00:00"/>
    <d v="2023-01-01T00:00:00"/>
    <n v="36"/>
    <d v="2027-01-01T00:00:00"/>
    <n v="399919"/>
    <s v="oui"/>
    <n v="14.266666666666667"/>
    <n v="397377.5571265645"/>
    <n v="-2541.4428734355024"/>
    <n v="2541.4428734355024"/>
    <d v="2023-05-30T00:00:00"/>
    <n v="2023"/>
    <n v="12.366666666666667"/>
    <n v="27"/>
    <n v="28"/>
    <m/>
    <d v="2025-08-30T00:00:00"/>
    <d v="2025-09-30T00:00:00"/>
    <d v="2026-09-30T00:00:00"/>
    <n v="1.0333333333333334"/>
    <d v="2025-09-30T00:00:00"/>
    <d v="2025-09-30T00:00:00"/>
    <d v="2025-09-30T00:00:00"/>
    <d v="2025-09-30T00:00:00"/>
    <n v="0"/>
    <n v="0"/>
    <m/>
    <s v=""/>
    <d v="2025-10-30T00:00:00"/>
    <d v="2025-10-30T00:00:00"/>
    <m/>
    <n v="0"/>
    <n v="27853.567088310596"/>
    <n v="0"/>
  </r>
  <r>
    <s v="VEFA JARDINS PARTAGES T2 Bat G - 34 PLS "/>
    <s v="Tampon"/>
    <s v="CA SUD"/>
    <x v="8"/>
    <s v="PRLC 0222"/>
    <m/>
    <m/>
    <m/>
    <m/>
    <s v="EN 563"/>
    <x v="2"/>
    <n v="34"/>
    <n v="34"/>
    <m/>
    <m/>
    <n v="34"/>
    <m/>
    <n v="2624"/>
    <n v="3074.37"/>
    <n v="77.17647058823529"/>
    <n v="90.422647058823529"/>
    <n v="0.85350819842764536"/>
    <m/>
    <s v="VEFA"/>
    <s v="x"/>
    <n v="7689028.4800000004"/>
    <n v="2930.27"/>
    <n v="2501.0094686065763"/>
    <n v="226147.89647058825"/>
    <d v="2021-09-22T00:00:00"/>
    <d v="2022-05-24T00:00:00"/>
    <d v="2022-05-25T00:00:00"/>
    <n v="8.1333333333333329"/>
    <d v="2022-09-29T00:00:00"/>
    <m/>
    <n v="0"/>
    <s v=""/>
    <m/>
    <m/>
    <m/>
    <d v="1900-12-31T00:00:00"/>
    <m/>
    <s v="non"/>
    <n v="-1526.9333333333334"/>
    <n v="0"/>
    <n v="0"/>
    <n v="0"/>
    <d v="2024-04-01T00:00:00"/>
    <m/>
    <n v="22.6"/>
    <n v="24"/>
    <n v="25"/>
    <m/>
    <d v="2026-04-01T00:00:00"/>
    <d v="2026-05-01T00:00:00"/>
    <d v="2027-05-01T00:00:00"/>
    <n v="1"/>
    <d v="2026-05-01T00:00:00"/>
    <d v="2026-05-01T00:00:00"/>
    <d v="2026-05-01T00:00:00"/>
    <d v="2026-05-01T00:00:00"/>
    <n v="0"/>
    <n v="0"/>
    <m/>
    <s v=""/>
    <d v="2026-06-01T00:00:00"/>
    <d v="2026-06-01T00:00:00"/>
    <m/>
    <n v="0"/>
    <m/>
    <n v="0"/>
  </r>
  <r>
    <s v="VEFA JARDINS PARTAGES T3 Bat A/B - 18 LLTS "/>
    <s v="Tampon"/>
    <s v="CA SUD"/>
    <x v="8"/>
    <s v="PRLC 0238"/>
    <m/>
    <m/>
    <m/>
    <m/>
    <s v="EN 563"/>
    <x v="0"/>
    <n v="18"/>
    <n v="18"/>
    <m/>
    <n v="18"/>
    <m/>
    <m/>
    <n v="728.46"/>
    <n v="871.55"/>
    <n v="40.47"/>
    <n v="48.419444444444444"/>
    <n v="0.83582123802420982"/>
    <m/>
    <s v="VEFA"/>
    <s v="x"/>
    <n v="2003266.69"/>
    <n v="2750.0023199626607"/>
    <n v="2298.5103436406403"/>
    <n v="111292.59388888889"/>
    <d v="2021-09-22T00:00:00"/>
    <d v="2022-05-20T00:00:00"/>
    <d v="2022-05-31T00:00:00"/>
    <n v="8"/>
    <d v="2023-04-15T00:00:00"/>
    <m/>
    <n v="0"/>
    <s v=""/>
    <m/>
    <m/>
    <m/>
    <d v="1900-12-31T00:00:00"/>
    <m/>
    <s v="non"/>
    <n v="-1532.0333333333333"/>
    <n v="0"/>
    <n v="0"/>
    <n v="0"/>
    <d v="2024-09-01T00:00:00"/>
    <m/>
    <n v="27.833333333333332"/>
    <n v="24"/>
    <n v="25"/>
    <m/>
    <d v="2026-09-01T00:00:00"/>
    <d v="2026-10-01T00:00:00"/>
    <d v="2027-10-01T00:00:00"/>
    <n v="1"/>
    <d v="2026-10-01T00:00:00"/>
    <d v="2026-10-01T00:00:00"/>
    <d v="2026-10-01T00:00:00"/>
    <d v="2026-10-01T00:00:00"/>
    <n v="0"/>
    <n v="0"/>
    <m/>
    <s v=""/>
    <d v="2026-11-01T00:00:00"/>
    <d v="2026-11-01T00:00:00"/>
    <m/>
    <n v="0"/>
    <m/>
    <n v="0"/>
  </r>
  <r>
    <s v="VEFA JARDINS PARTAGES T3 Bat A/B - 48 LLS "/>
    <s v="Tampon"/>
    <s v="CA SUD"/>
    <x v="8"/>
    <s v="PRLC 0238"/>
    <m/>
    <m/>
    <m/>
    <m/>
    <s v="EN 563"/>
    <x v="1"/>
    <n v="48"/>
    <n v="48"/>
    <n v="48"/>
    <m/>
    <m/>
    <m/>
    <n v="3790.1"/>
    <n v="4421.78"/>
    <n v="78.96041666666666"/>
    <n v="92.120416666666657"/>
    <n v="0.85714350329505318"/>
    <m/>
    <s v="VEFA"/>
    <s v="x"/>
    <n v="9475249.9900000002"/>
    <n v="2499.9999973615472"/>
    <n v="2142.8587559761004"/>
    <n v="197401.04145833335"/>
    <d v="2021-09-22T00:00:00"/>
    <d v="2022-05-20T00:00:00"/>
    <d v="2022-05-31T00:00:00"/>
    <n v="8"/>
    <d v="2023-04-15T00:00:00"/>
    <m/>
    <n v="0"/>
    <s v=""/>
    <m/>
    <m/>
    <m/>
    <d v="1900-12-31T00:00:00"/>
    <m/>
    <s v="non"/>
    <n v="-1532.0333333333333"/>
    <n v="0"/>
    <n v="0"/>
    <n v="0"/>
    <d v="2024-09-01T00:00:00"/>
    <m/>
    <n v="27.833333333333332"/>
    <n v="24"/>
    <n v="25"/>
    <m/>
    <d v="2026-09-01T00:00:00"/>
    <d v="2026-10-01T00:00:00"/>
    <d v="2027-10-01T00:00:00"/>
    <n v="1"/>
    <d v="2026-10-01T00:00:00"/>
    <d v="2026-10-01T00:00:00"/>
    <d v="2026-10-01T00:00:00"/>
    <d v="2026-10-01T00:00:00"/>
    <n v="0"/>
    <n v="0"/>
    <m/>
    <s v=""/>
    <d v="2026-11-01T00:00:00"/>
    <d v="2026-11-01T00:00:00"/>
    <m/>
    <n v="0"/>
    <m/>
    <n v="0"/>
  </r>
  <r>
    <s v="La Cressoniere"/>
    <s v="St Joseph"/>
    <s v="CA SUD"/>
    <x v="9"/>
    <m/>
    <s v="MCL"/>
    <m/>
    <s v="ECL"/>
    <s v="Faisa"/>
    <m/>
    <x v="3"/>
    <n v="45"/>
    <n v="0"/>
    <m/>
    <m/>
    <m/>
    <n v="45"/>
    <m/>
    <m/>
    <n v="0"/>
    <n v="0"/>
    <n v="0"/>
    <m/>
    <m/>
    <s v="x"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d v="2025-02-15T00:00:00"/>
    <m/>
    <n v="1523.4333333333334"/>
    <n v="12"/>
    <n v="13"/>
    <m/>
    <d v="2026-02-15T00:00:00"/>
    <d v="2026-03-15T00:00:00"/>
    <d v="2027-03-15T00:00:00"/>
    <n v="0.93333333333333335"/>
    <m/>
    <m/>
    <m/>
    <m/>
    <n v="0"/>
    <n v="0"/>
    <m/>
    <s v=""/>
    <d v="2026-03-15T00:00:00"/>
    <d v="2026-04-15T00:00:00"/>
    <m/>
    <n v="1.0333333333333334"/>
    <m/>
    <s v=""/>
  </r>
  <r>
    <s v="Fabrique Allumettes 1"/>
    <s v="St Leu"/>
    <s v="TCO"/>
    <x v="10"/>
    <m/>
    <s v="MCL"/>
    <m/>
    <s v="MMA"/>
    <s v="Faisa"/>
    <s v="DE 1449_x000a_DE 1451_x000a_DE 1452_x000a_DE 1453_x000a_DE 1455"/>
    <x v="3"/>
    <n v="46"/>
    <n v="0"/>
    <m/>
    <m/>
    <m/>
    <n v="46"/>
    <m/>
    <m/>
    <n v="0"/>
    <n v="0"/>
    <n v="0"/>
    <m/>
    <m/>
    <s v="x"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d v="2025-02-15T00:00:00"/>
    <m/>
    <n v="1523.4333333333334"/>
    <n v="12"/>
    <n v="13"/>
    <m/>
    <d v="2026-02-15T00:00:00"/>
    <d v="2026-03-15T00:00:00"/>
    <d v="2027-03-15T00:00:00"/>
    <n v="0.93333333333333335"/>
    <m/>
    <m/>
    <m/>
    <m/>
    <n v="0"/>
    <n v="0"/>
    <m/>
    <s v=""/>
    <d v="2026-03-15T00:00:00"/>
    <d v="2026-04-15T00:00:00"/>
    <m/>
    <n v="1.0333333333333334"/>
    <m/>
    <s v=""/>
  </r>
  <r>
    <s v="Rempart à Cheval"/>
    <s v="Avirons"/>
    <s v="CIVIS"/>
    <x v="10"/>
    <m/>
    <s v="MCL"/>
    <m/>
    <s v="ECL"/>
    <s v="Faisa"/>
    <m/>
    <x v="3"/>
    <n v="30"/>
    <n v="0"/>
    <m/>
    <m/>
    <m/>
    <n v="30"/>
    <m/>
    <m/>
    <n v="0"/>
    <n v="0"/>
    <n v="0"/>
    <m/>
    <m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d v="2025-02-15T00:00:00"/>
    <m/>
    <n v="1523.4333333333334"/>
    <n v="12"/>
    <n v="13"/>
    <m/>
    <d v="2026-02-15T00:00:00"/>
    <d v="2026-03-15T00:00:00"/>
    <d v="2027-03-15T00:00:00"/>
    <n v="0.93333333333333335"/>
    <m/>
    <m/>
    <m/>
    <m/>
    <n v="0"/>
    <n v="0"/>
    <m/>
    <s v=""/>
    <d v="2026-03-15T00:00:00"/>
    <d v="2026-04-15T00:00:00"/>
    <m/>
    <n v="1.0333333333333334"/>
    <m/>
    <s v=""/>
  </r>
  <r>
    <s v="Les Quais"/>
    <s v="St Joseph"/>
    <s v="CA SUD"/>
    <x v="9"/>
    <m/>
    <s v="MCL"/>
    <m/>
    <s v="NLE"/>
    <s v="Faisa"/>
    <m/>
    <x v="3"/>
    <n v="29"/>
    <n v="0"/>
    <m/>
    <m/>
    <m/>
    <n v="29"/>
    <m/>
    <m/>
    <n v="0"/>
    <n v="0"/>
    <n v="0"/>
    <m/>
    <m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d v="2025-02-23T00:00:00"/>
    <m/>
    <n v="1523.7"/>
    <n v="12"/>
    <n v="13"/>
    <m/>
    <d v="2026-02-23T00:00:00"/>
    <d v="2026-03-23T00:00:00"/>
    <d v="2027-03-23T00:00:00"/>
    <n v="0.93333333333333335"/>
    <m/>
    <m/>
    <m/>
    <m/>
    <n v="0"/>
    <n v="0"/>
    <m/>
    <s v=""/>
    <d v="2026-03-23T00:00:00"/>
    <d v="2026-04-23T00:00:00"/>
    <m/>
    <n v="1.0333333333333334"/>
    <m/>
    <s v=""/>
  </r>
  <r>
    <s v="Les Remparts"/>
    <s v="St Joseph"/>
    <s v="CA SUD"/>
    <x v="9"/>
    <m/>
    <s v="MCL"/>
    <m/>
    <s v="ECL"/>
    <s v="Faisa"/>
    <m/>
    <x v="3"/>
    <n v="22"/>
    <n v="0"/>
    <m/>
    <m/>
    <m/>
    <n v="22"/>
    <m/>
    <m/>
    <n v="0"/>
    <n v="0"/>
    <n v="0"/>
    <m/>
    <m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d v="2025-02-23T00:00:00"/>
    <m/>
    <n v="1523.7"/>
    <n v="12"/>
    <n v="13"/>
    <m/>
    <d v="2026-02-23T00:00:00"/>
    <d v="2026-03-23T00:00:00"/>
    <d v="2027-03-23T00:00:00"/>
    <n v="0.93333333333333335"/>
    <m/>
    <m/>
    <m/>
    <m/>
    <n v="0"/>
    <n v="0"/>
    <m/>
    <s v=""/>
    <d v="2026-03-23T00:00:00"/>
    <d v="2026-04-23T00:00:00"/>
    <m/>
    <n v="1.0333333333333334"/>
    <m/>
    <s v=""/>
  </r>
  <r>
    <s v="BERIVE"/>
    <s v="Tampon"/>
    <s v="CA SUD"/>
    <x v="8"/>
    <m/>
    <s v="MCL"/>
    <m/>
    <s v="ECL"/>
    <s v="PRO"/>
    <s v="CS 1027, 1025"/>
    <x v="3"/>
    <n v="40"/>
    <n v="0"/>
    <m/>
    <m/>
    <m/>
    <n v="40"/>
    <m/>
    <m/>
    <n v="0"/>
    <n v="0"/>
    <n v="0"/>
    <m/>
    <m/>
    <m/>
    <m/>
    <n v="0"/>
    <s v="-"/>
    <n v="0"/>
    <d v="2022-04-22T00:00:00"/>
    <d v="2022-12-27T00:00:00"/>
    <d v="2023-02-02T00:00:00"/>
    <n v="8.3000000000000007"/>
    <m/>
    <m/>
    <n v="0"/>
    <s v=""/>
    <m/>
    <m/>
    <m/>
    <d v="1900-12-31T00:00:00"/>
    <m/>
    <s v=""/>
    <n v="0"/>
    <s v=""/>
    <s v=""/>
    <n v="0"/>
    <d v="2024-04-15T00:00:00"/>
    <m/>
    <n v="15.833333333333334"/>
    <n v="14"/>
    <n v="15"/>
    <m/>
    <d v="2025-06-15T00:00:00"/>
    <d v="2025-07-15T00:00:00"/>
    <d v="2026-07-15T00:00:00"/>
    <n v="1"/>
    <m/>
    <m/>
    <m/>
    <m/>
    <n v="0"/>
    <n v="0"/>
    <m/>
    <s v=""/>
    <d v="2025-07-15T00:00:00"/>
    <d v="2025-08-15T00:00:00"/>
    <m/>
    <n v="1.0333333333333334"/>
    <m/>
    <s v=""/>
  </r>
  <r>
    <s v="VEFA JARDINS PARTAGES T3 Bat C - 36 PLS "/>
    <s v="Tampon"/>
    <s v="CA SUD"/>
    <x v="8"/>
    <s v="PRLC 0239"/>
    <m/>
    <m/>
    <m/>
    <m/>
    <s v="EN 563"/>
    <x v="2"/>
    <n v="36"/>
    <n v="36"/>
    <m/>
    <m/>
    <n v="36"/>
    <m/>
    <n v="2611.2399999999998"/>
    <n v="3013.87"/>
    <n v="72.534444444444432"/>
    <n v="83.718611111111102"/>
    <n v="0.86640764200181153"/>
    <m/>
    <s v="VEFA"/>
    <s v="x"/>
    <n v="7024238.0199999996"/>
    <n v="2690.0009267627643"/>
    <n v="2330.6373599392141"/>
    <n v="195117.72277777776"/>
    <d v="2021-09-22T00:00:00"/>
    <d v="2022-05-24T00:00:00"/>
    <d v="2022-05-25T00:00:00"/>
    <n v="8.1333333333333329"/>
    <d v="2022-09-29T00:00:00"/>
    <m/>
    <n v="0"/>
    <s v=""/>
    <m/>
    <m/>
    <m/>
    <d v="1900-12-31T00:00:00"/>
    <m/>
    <s v="non"/>
    <n v="-1532.0333333333333"/>
    <n v="0"/>
    <n v="0"/>
    <n v="0"/>
    <d v="2024-09-01T00:00:00"/>
    <m/>
    <n v="27.7"/>
    <n v="24"/>
    <n v="25"/>
    <m/>
    <d v="2026-09-01T00:00:00"/>
    <d v="2026-10-01T00:00:00"/>
    <d v="2027-10-01T00:00:00"/>
    <n v="1"/>
    <d v="2026-10-01T00:00:00"/>
    <d v="2026-10-01T00:00:00"/>
    <d v="2026-10-01T00:00:00"/>
    <d v="2026-10-01T00:00:00"/>
    <n v="0"/>
    <n v="0"/>
    <m/>
    <s v=""/>
    <d v="2026-11-01T00:00:00"/>
    <d v="2026-11-01T00:00:00"/>
    <m/>
    <n v="0"/>
    <m/>
    <n v="0"/>
  </r>
  <r>
    <s v="CALISTA (ex ACACIAS) LLS"/>
    <s v="Tampon"/>
    <s v="CA SUD"/>
    <x v="8"/>
    <s v="PRLC 0230"/>
    <m/>
    <m/>
    <m/>
    <m/>
    <m/>
    <x v="1"/>
    <n v="15"/>
    <n v="15"/>
    <n v="15"/>
    <m/>
    <m/>
    <m/>
    <n v="1243.5"/>
    <n v="1433.75"/>
    <n v="82.9"/>
    <n v="95.583333333333329"/>
    <n v="0.8673060156931125"/>
    <m/>
    <s v="propre"/>
    <s v="x"/>
    <m/>
    <n v="0"/>
    <n v="0"/>
    <n v="0"/>
    <d v="2022-02-21T00:00:00"/>
    <d v="2022-08-31T00:00:00"/>
    <d v="2022-09-20T00:00:00"/>
    <n v="6.3666666666666663"/>
    <m/>
    <m/>
    <n v="0"/>
    <s v=""/>
    <m/>
    <m/>
    <m/>
    <d v="1900-12-31T00:00:00"/>
    <m/>
    <s v="non"/>
    <n v="-1528.4"/>
    <n v="0"/>
    <n v="0"/>
    <n v="0"/>
    <d v="2024-09-15T00:00:00"/>
    <m/>
    <n v="24.866666666666667"/>
    <n v="20"/>
    <n v="21"/>
    <m/>
    <d v="2026-05-15T00:00:00"/>
    <d v="2026-06-15T00:00:00"/>
    <d v="2027-06-15T00:00:00"/>
    <n v="1.0333333333333334"/>
    <m/>
    <m/>
    <m/>
    <m/>
    <n v="0"/>
    <n v="0"/>
    <m/>
    <s v=""/>
    <d v="2026-06-15T00:00:00"/>
    <d v="2026-07-15T00:00:00"/>
    <m/>
    <n v="1"/>
    <m/>
    <n v="0"/>
  </r>
  <r>
    <s v="CALISTA (ex ACACIAS) LLTS"/>
    <s v="Tampon"/>
    <s v="CA SUD"/>
    <x v="8"/>
    <s v="PRLC 0230"/>
    <s v="NBL / SGM"/>
    <m/>
    <s v="DBA"/>
    <s v="PRO"/>
    <s v="CI 7"/>
    <x v="0"/>
    <n v="18"/>
    <n v="18"/>
    <m/>
    <n v="18"/>
    <m/>
    <m/>
    <n v="923"/>
    <n v="1023.4"/>
    <n v="51.277777777777779"/>
    <n v="56.855555555555554"/>
    <n v="0.90189564197772132"/>
    <m/>
    <s v="propre"/>
    <s v="x"/>
    <m/>
    <n v="0"/>
    <n v="0"/>
    <n v="0"/>
    <d v="2022-02-21T00:00:00"/>
    <d v="2022-08-31T00:00:00"/>
    <d v="2022-09-20T00:00:00"/>
    <n v="6.3666666666666663"/>
    <m/>
    <m/>
    <n v="0"/>
    <s v=""/>
    <m/>
    <m/>
    <m/>
    <d v="1900-12-31T00:00:00"/>
    <m/>
    <s v="non"/>
    <n v="-1528.4"/>
    <n v="0"/>
    <n v="0"/>
    <n v="0"/>
    <d v="2024-09-15T00:00:00"/>
    <m/>
    <n v="24.866666666666667"/>
    <n v="20"/>
    <n v="21"/>
    <m/>
    <d v="2026-05-15T00:00:00"/>
    <d v="2026-06-15T00:00:00"/>
    <d v="2027-06-15T00:00:00"/>
    <n v="1.0333333333333334"/>
    <m/>
    <m/>
    <m/>
    <m/>
    <n v="0"/>
    <n v="0"/>
    <m/>
    <s v=""/>
    <d v="2026-06-15T00:00:00"/>
    <d v="2026-07-15T00:00:00"/>
    <m/>
    <n v="1"/>
    <m/>
    <n v="0"/>
  </r>
  <r>
    <s v="DESIRE 3"/>
    <s v="Petite-Ile"/>
    <s v="CIVIS"/>
    <x v="8"/>
    <s v="PRLC 0231"/>
    <s v="LCYC"/>
    <m/>
    <s v="DAM"/>
    <s v="DCE"/>
    <s v="AK 661 - 770"/>
    <x v="0"/>
    <n v="18"/>
    <n v="18"/>
    <m/>
    <n v="18"/>
    <m/>
    <m/>
    <n v="1226.0999999999999"/>
    <n v="1432.4"/>
    <n v="68.11666666666666"/>
    <n v="79.577777777777783"/>
    <n v="0.85597598436190991"/>
    <m/>
    <s v="propre"/>
    <s v="x"/>
    <m/>
    <n v="0"/>
    <n v="0"/>
    <n v="0"/>
    <d v="2022-02-17T00:00:00"/>
    <d v="2022-06-23T00:00:00"/>
    <d v="2022-07-18T00:00:00"/>
    <n v="4.2"/>
    <m/>
    <m/>
    <n v="0"/>
    <s v=""/>
    <m/>
    <m/>
    <m/>
    <d v="1900-12-31T00:00:00"/>
    <m/>
    <s v="non"/>
    <n v="-1525.3666666666666"/>
    <n v="0"/>
    <n v="0"/>
    <n v="0"/>
    <d v="2024-06-15T00:00:00"/>
    <m/>
    <n v="24.1"/>
    <n v="20"/>
    <n v="21"/>
    <m/>
    <d v="2026-02-15T00:00:00"/>
    <d v="2026-03-15T00:00:00"/>
    <d v="2027-03-15T00:00:00"/>
    <n v="0.93333333333333335"/>
    <m/>
    <m/>
    <m/>
    <m/>
    <n v="0"/>
    <n v="0"/>
    <m/>
    <s v=""/>
    <d v="2026-03-15T00:00:00"/>
    <d v="2026-04-15T00:00:00"/>
    <m/>
    <n v="1.0333333333333334"/>
    <m/>
    <n v="0"/>
  </r>
  <r>
    <s v="VEFA Abbé BRUGUIERES LLS"/>
    <s v="Avirons"/>
    <s v="CIVIS"/>
    <x v="11"/>
    <s v="PRLC 0246"/>
    <m/>
    <m/>
    <m/>
    <m/>
    <s v="AI 411-412"/>
    <x v="1"/>
    <n v="36"/>
    <n v="36"/>
    <n v="36"/>
    <m/>
    <m/>
    <m/>
    <n v="2467.8000000000002"/>
    <n v="2876.42"/>
    <n v="68.550000000000011"/>
    <n v="79.900555555555556"/>
    <n v="0.85794146890926926"/>
    <m/>
    <s v="VEFA"/>
    <s v="x"/>
    <n v="6595727.7769341907"/>
    <n v="2672.7156888460127"/>
    <n v="2293.0336240653974"/>
    <n v="183214.66047039418"/>
    <d v="2023-04-12T00:00:00"/>
    <m/>
    <m/>
    <n v="0"/>
    <m/>
    <m/>
    <n v="0"/>
    <s v=""/>
    <m/>
    <m/>
    <m/>
    <d v="1900-12-31T00:00:00"/>
    <m/>
    <s v="non"/>
    <n v="-1526.8666666666666"/>
    <n v="0"/>
    <n v="0"/>
    <n v="0"/>
    <d v="2024-03-30T00:00:00"/>
    <m/>
    <n v="1512.7"/>
    <n v="24"/>
    <n v="25"/>
    <m/>
    <d v="2026-03-30T00:00:00"/>
    <d v="2026-04-30T00:00:00"/>
    <d v="2027-04-30T00:00:00"/>
    <n v="1.0333333333333334"/>
    <d v="2026-04-30T00:00:00"/>
    <d v="2026-04-30T00:00:00"/>
    <d v="2026-04-30T00:00:00"/>
    <d v="2026-04-30T00:00:00"/>
    <n v="0"/>
    <n v="0"/>
    <m/>
    <s v=""/>
    <d v="2026-05-30T00:00:00"/>
    <d v="2026-05-30T00:00:00"/>
    <m/>
    <n v="0"/>
    <m/>
    <n v="0"/>
  </r>
  <r>
    <s v="VEFA Abbé BRUGUIERES LLTS"/>
    <s v="Avirons"/>
    <s v="CIVIS"/>
    <x v="11"/>
    <s v="PRLC 0246"/>
    <s v="NBL / SGM"/>
    <m/>
    <s v="DBA"/>
    <s v="PC"/>
    <s v="AI 411-412"/>
    <x v="0"/>
    <n v="21"/>
    <n v="21"/>
    <m/>
    <n v="21"/>
    <m/>
    <m/>
    <n v="974.33999999999992"/>
    <n v="1274.68"/>
    <n v="46.397142857142853"/>
    <n v="60.699047619047619"/>
    <n v="0.76438007970627908"/>
    <m/>
    <s v="VEFA"/>
    <s v="x"/>
    <n v="3006902.7983074551"/>
    <n v="3086.0919168949804"/>
    <n v="2358.9471854170888"/>
    <n v="143185.84753845024"/>
    <d v="2023-04-12T00:00:00"/>
    <m/>
    <m/>
    <n v="0"/>
    <m/>
    <m/>
    <n v="0"/>
    <s v=""/>
    <m/>
    <m/>
    <m/>
    <d v="1900-12-31T00:00:00"/>
    <m/>
    <s v="non"/>
    <n v="-1526.8666666666666"/>
    <n v="0"/>
    <n v="0"/>
    <n v="0"/>
    <d v="2024-03-30T00:00:00"/>
    <m/>
    <n v="1512.7"/>
    <n v="24"/>
    <n v="25"/>
    <m/>
    <d v="2026-03-30T00:00:00"/>
    <d v="2026-04-30T00:00:00"/>
    <d v="2027-04-30T00:00:00"/>
    <n v="1.0333333333333334"/>
    <d v="2026-04-30T00:00:00"/>
    <d v="2026-04-30T00:00:00"/>
    <d v="2026-04-30T00:00:00"/>
    <d v="2026-04-30T00:00:00"/>
    <n v="0"/>
    <n v="0"/>
    <m/>
    <s v=""/>
    <d v="2026-05-30T00:00:00"/>
    <d v="2026-05-30T00:00:00"/>
    <m/>
    <n v="0"/>
    <m/>
    <n v="0"/>
  </r>
  <r>
    <s v="VEFA SILOE LLTS"/>
    <s v="Tampon"/>
    <s v="CA SUD"/>
    <x v="11"/>
    <s v="PRLC 0240"/>
    <s v="LCYC"/>
    <m/>
    <s v="DAM"/>
    <s v="APD"/>
    <s v="CH 223"/>
    <x v="0"/>
    <n v="28"/>
    <n v="28"/>
    <m/>
    <n v="28"/>
    <m/>
    <m/>
    <n v="1400.84"/>
    <n v="1682.43"/>
    <n v="50.029999999999994"/>
    <n v="60.086785714285718"/>
    <n v="0.83262899496561515"/>
    <m/>
    <s v="VEFA"/>
    <s v="x"/>
    <n v="3555116.28"/>
    <n v="2537.8460637902972"/>
    <n v="2113.0842174711574"/>
    <n v="126968.43857142856"/>
    <d v="2023-03-09T00:00:00"/>
    <d v="2023-10-04T00:00:00"/>
    <m/>
    <n v="6.9666666666666668"/>
    <m/>
    <m/>
    <n v="0"/>
    <s v=""/>
    <m/>
    <m/>
    <m/>
    <d v="1900-12-31T00:00:00"/>
    <m/>
    <s v="non"/>
    <n v="-1526.9333333333334"/>
    <n v="0"/>
    <n v="0"/>
    <n v="0"/>
    <d v="2024-04-01T00:00:00"/>
    <m/>
    <n v="6"/>
    <n v="24"/>
    <n v="25"/>
    <m/>
    <d v="2026-04-01T00:00:00"/>
    <d v="2026-05-01T00:00:00"/>
    <d v="2027-05-01T00:00:00"/>
    <n v="1"/>
    <d v="2026-05-01T00:00:00"/>
    <d v="2026-05-01T00:00:00"/>
    <d v="2026-05-01T00:00:00"/>
    <d v="2026-05-01T00:00:00"/>
    <n v="0"/>
    <n v="0"/>
    <m/>
    <s v=""/>
    <d v="2026-06-01T00:00:00"/>
    <d v="2026-06-01T00:00:00"/>
    <m/>
    <n v="0"/>
    <m/>
    <n v="0"/>
  </r>
  <r>
    <s v="VEFA SILOE PLS"/>
    <s v="Tampon"/>
    <s v="CA SUD"/>
    <x v="11"/>
    <s v="PRLC 0240"/>
    <m/>
    <m/>
    <m/>
    <s v="APD"/>
    <s v="CH 223"/>
    <x v="2"/>
    <n v="25"/>
    <n v="25"/>
    <m/>
    <m/>
    <n v="25"/>
    <m/>
    <n v="1902.74"/>
    <n v="2221.2399999999998"/>
    <n v="76.1096"/>
    <n v="88.849599999999995"/>
    <n v="0.85661162233707311"/>
    <m/>
    <s v="VEFA"/>
    <s v="x"/>
    <n v="5017920.55"/>
    <n v="2637.2076847073167"/>
    <n v="2259.0627532369308"/>
    <n v="200716.82199999999"/>
    <d v="2023-03-09T00:00:00"/>
    <d v="2023-09-20T00:00:00"/>
    <d v="2023-09-20T00:00:00"/>
    <n v="6.5"/>
    <m/>
    <m/>
    <n v="0"/>
    <s v=""/>
    <m/>
    <m/>
    <m/>
    <d v="1900-12-31T00:00:00"/>
    <m/>
    <s v="non"/>
    <n v="-1526.9333333333334"/>
    <n v="0"/>
    <n v="0"/>
    <n v="0"/>
    <d v="2024-04-01T00:00:00"/>
    <m/>
    <n v="6.4666666666666668"/>
    <n v="24"/>
    <n v="25"/>
    <m/>
    <d v="2026-04-01T00:00:00"/>
    <d v="2026-05-01T00:00:00"/>
    <d v="2027-05-01T00:00:00"/>
    <n v="1"/>
    <d v="2026-05-01T00:00:00"/>
    <d v="2026-05-01T00:00:00"/>
    <d v="2026-05-01T00:00:00"/>
    <d v="2026-05-01T00:00:00"/>
    <n v="0"/>
    <n v="0"/>
    <m/>
    <s v=""/>
    <d v="2026-06-01T00:00:00"/>
    <d v="2026-06-01T00:00:00"/>
    <m/>
    <n v="0"/>
    <m/>
    <n v="0"/>
  </r>
  <r>
    <s v="VEFA BERIVE LLS"/>
    <s v="Tampon"/>
    <s v="CA SUD"/>
    <x v="11"/>
    <s v="PRLC 0247"/>
    <s v="LLA"/>
    <m/>
    <s v="MMA"/>
    <s v="PC"/>
    <s v="CS 1526 - 0682"/>
    <x v="1"/>
    <n v="24"/>
    <n v="24"/>
    <n v="24"/>
    <m/>
    <m/>
    <m/>
    <n v="1518.2"/>
    <n v="1937.96"/>
    <n v="63.258333333333333"/>
    <n v="80.748333333333335"/>
    <n v="0.78340110218993164"/>
    <m/>
    <s v="VEFA"/>
    <s v="x"/>
    <n v="4644368.7029999997"/>
    <n v="3059.1283776840992"/>
    <n v="2396.5245428182211"/>
    <n v="193515.36262499998"/>
    <d v="2023-02-22T00:00:00"/>
    <m/>
    <m/>
    <n v="0"/>
    <m/>
    <m/>
    <n v="0"/>
    <s v=""/>
    <m/>
    <m/>
    <m/>
    <d v="1900-12-31T00:00:00"/>
    <m/>
    <s v="non"/>
    <n v="-1528.9666666666667"/>
    <n v="0"/>
    <n v="0"/>
    <n v="0"/>
    <d v="2024-06-01T00:00:00"/>
    <m/>
    <n v="1514.8"/>
    <n v="24"/>
    <n v="25"/>
    <m/>
    <d v="2026-06-01T00:00:00"/>
    <d v="2026-07-01T00:00:00"/>
    <d v="2027-07-01T00:00:00"/>
    <n v="1"/>
    <d v="2026-07-01T00:00:00"/>
    <d v="2026-07-01T00:00:00"/>
    <d v="2026-07-01T00:00:00"/>
    <d v="2026-07-01T00:00:00"/>
    <n v="0"/>
    <n v="0"/>
    <m/>
    <s v=""/>
    <d v="2026-08-01T00:00:00"/>
    <d v="2026-08-01T00:00:00"/>
    <m/>
    <n v="0"/>
    <m/>
    <n v="0"/>
  </r>
  <r>
    <s v="VEFA BERIVE LLTS"/>
    <s v="Tampon"/>
    <s v="CA SUD"/>
    <x v="11"/>
    <s v="PRLC 0247"/>
    <m/>
    <m/>
    <m/>
    <s v="PC"/>
    <s v="CS 1526 - 0682"/>
    <x v="0"/>
    <n v="38"/>
    <n v="38"/>
    <m/>
    <n v="38"/>
    <m/>
    <m/>
    <n v="1798.78"/>
    <n v="2261.0100000000002"/>
    <n v="47.33631578947368"/>
    <n v="59.500263157894743"/>
    <n v="0.79556481395482537"/>
    <m/>
    <s v="VEFA"/>
    <s v="x"/>
    <n v="5740273.3470000001"/>
    <n v="3191.2036752687932"/>
    <n v="2538.8093582071729"/>
    <n v="151059.82492105264"/>
    <d v="2023-02-22T00:00:00"/>
    <m/>
    <m/>
    <n v="0"/>
    <m/>
    <m/>
    <n v="0"/>
    <s v=""/>
    <m/>
    <m/>
    <m/>
    <d v="1900-12-31T00:00:00"/>
    <m/>
    <s v="non"/>
    <n v="-1528.9666666666667"/>
    <n v="0"/>
    <n v="0"/>
    <n v="0"/>
    <d v="2024-06-01T00:00:00"/>
    <m/>
    <n v="1514.8"/>
    <n v="24"/>
    <n v="25"/>
    <m/>
    <d v="2026-06-01T00:00:00"/>
    <d v="2026-07-01T00:00:00"/>
    <d v="2027-07-01T00:00:00"/>
    <n v="1"/>
    <d v="2026-07-01T00:00:00"/>
    <d v="2026-07-01T00:00:00"/>
    <d v="2026-07-01T00:00:00"/>
    <d v="2026-07-01T00:00:00"/>
    <n v="0"/>
    <n v="0"/>
    <m/>
    <s v=""/>
    <d v="2026-08-01T00:00:00"/>
    <d v="2026-08-01T00:00:00"/>
    <m/>
    <n v="0"/>
    <m/>
    <n v="0"/>
  </r>
  <r>
    <s v="VEFA BERIVE PLS"/>
    <s v="Tampon"/>
    <s v="CA SUD"/>
    <x v="11"/>
    <s v="PRLC 0247"/>
    <m/>
    <m/>
    <m/>
    <s v="PC"/>
    <s v="CS 1526 - 0682"/>
    <x v="2"/>
    <n v="26"/>
    <n v="26"/>
    <m/>
    <m/>
    <n v="26"/>
    <m/>
    <n v="1884.7"/>
    <n v="2147.6999999999998"/>
    <n v="72.488461538461536"/>
    <n v="82.603846153846149"/>
    <n v="0.87754341854076467"/>
    <m/>
    <s v="VEFA"/>
    <s v="x"/>
    <n v="5313049.17"/>
    <n v="2819.0423780973097"/>
    <n v="2473.8320854868002"/>
    <n v="204348.04499999998"/>
    <d v="2023-02-22T00:00:00"/>
    <m/>
    <m/>
    <n v="0"/>
    <m/>
    <m/>
    <n v="0"/>
    <s v=""/>
    <m/>
    <m/>
    <m/>
    <d v="1900-12-31T00:00:00"/>
    <m/>
    <s v="non"/>
    <n v="-1528.9666666666667"/>
    <n v="0"/>
    <n v="0"/>
    <n v="0"/>
    <d v="2024-06-01T00:00:00"/>
    <m/>
    <n v="1514.8"/>
    <n v="24"/>
    <n v="25"/>
    <m/>
    <d v="2026-06-01T00:00:00"/>
    <d v="2026-07-01T00:00:00"/>
    <d v="2027-07-01T00:00:00"/>
    <n v="1"/>
    <d v="2026-07-01T00:00:00"/>
    <d v="2026-07-01T00:00:00"/>
    <d v="2026-07-01T00:00:00"/>
    <d v="2026-07-01T00:00:00"/>
    <n v="0"/>
    <n v="0"/>
    <m/>
    <s v=""/>
    <d v="2026-08-01T00:00:00"/>
    <d v="2026-08-01T00:00:00"/>
    <m/>
    <n v="0"/>
    <m/>
    <n v="0"/>
  </r>
  <r>
    <s v="Les Zoizos Verts (Ex Les Pins Verts)"/>
    <s v="Plaine des Palmistes"/>
    <s v="CIREST"/>
    <x v="11"/>
    <s v="PRLC 0242"/>
    <s v="LCYC"/>
    <m/>
    <s v="DAM"/>
    <s v="PC"/>
    <s v="AE 247-249"/>
    <x v="0"/>
    <n v="18"/>
    <n v="18"/>
    <m/>
    <n v="18"/>
    <m/>
    <m/>
    <n v="1182.1600000000001"/>
    <n v="1301.1099999999999"/>
    <n v="65.675555555555562"/>
    <n v="72.283888888888882"/>
    <n v="0.90857806027161436"/>
    <m/>
    <s v="propre"/>
    <s v="x"/>
    <m/>
    <n v="0"/>
    <n v="0"/>
    <n v="0"/>
    <d v="2023-02-28T00:00:00"/>
    <d v="2023-08-02T00:00:00"/>
    <d v="2023-09-13T00:00:00"/>
    <n v="5.166666666666667"/>
    <m/>
    <m/>
    <n v="0"/>
    <s v=""/>
    <m/>
    <m/>
    <m/>
    <d v="1900-12-31T00:00:00"/>
    <m/>
    <s v="non"/>
    <n v="-1528.4"/>
    <n v="0"/>
    <n v="0"/>
    <n v="0"/>
    <d v="2024-09-15T00:00:00"/>
    <m/>
    <n v="13.666666666666666"/>
    <n v="20"/>
    <n v="21"/>
    <m/>
    <d v="2026-05-15T00:00:00"/>
    <d v="2026-06-15T00:00:00"/>
    <d v="2027-06-15T00:00:00"/>
    <n v="1.0333333333333334"/>
    <m/>
    <m/>
    <m/>
    <m/>
    <n v="0"/>
    <n v="0"/>
    <m/>
    <s v=""/>
    <d v="2026-06-15T00:00:00"/>
    <d v="2026-07-15T00:00:00"/>
    <m/>
    <n v="1"/>
    <m/>
    <n v="0"/>
  </r>
  <r>
    <s v="Les Brandes Verts (Ex Les Bastides d’opaline)"/>
    <s v="Plaine des Palmistes"/>
    <s v="CIREST"/>
    <x v="11"/>
    <s v="PRLC 0243"/>
    <s v="LCYC"/>
    <m/>
    <s v="DAM"/>
    <s v="PC"/>
    <s v="AT 125"/>
    <x v="0"/>
    <n v="55"/>
    <n v="55"/>
    <m/>
    <n v="55"/>
    <m/>
    <m/>
    <n v="4011"/>
    <n v="4241.25"/>
    <n v="72.927272727272722"/>
    <n v="77.11363636363636"/>
    <n v="0.94571175950486297"/>
    <m/>
    <s v="propre"/>
    <s v="x"/>
    <m/>
    <n v="0"/>
    <n v="0"/>
    <n v="0"/>
    <d v="2023-02-28T00:00:00"/>
    <m/>
    <m/>
    <n v="0"/>
    <m/>
    <m/>
    <n v="0"/>
    <s v=""/>
    <m/>
    <m/>
    <m/>
    <d v="1900-12-31T00:00:00"/>
    <m/>
    <s v="non"/>
    <n v="-1541.6"/>
    <n v="0"/>
    <n v="0"/>
    <n v="0"/>
    <d v="2025-02-15T00:00:00"/>
    <m/>
    <n v="1523.4333333333334"/>
    <n v="28"/>
    <n v="29"/>
    <m/>
    <d v="2027-06-15T00:00:00"/>
    <d v="2027-07-15T00:00:00"/>
    <d v="2028-07-15T00:00:00"/>
    <n v="1"/>
    <m/>
    <m/>
    <m/>
    <m/>
    <n v="0"/>
    <n v="0"/>
    <m/>
    <s v=""/>
    <d v="2027-07-15T00:00:00"/>
    <d v="2027-08-15T00:00:00"/>
    <m/>
    <n v="1.0333333333333334"/>
    <m/>
    <n v="0"/>
  </r>
  <r>
    <s v="RESIDENCE SOCIALE EL 1163"/>
    <s v="St Louis"/>
    <s v="CIVIS"/>
    <x v="12"/>
    <m/>
    <s v="NILE"/>
    <m/>
    <s v="DBE"/>
    <s v="DCE"/>
    <s v="EL 1163"/>
    <x v="0"/>
    <n v="2"/>
    <n v="2"/>
    <m/>
    <n v="2"/>
    <m/>
    <m/>
    <n v="109.88"/>
    <n v="109.88"/>
    <n v="54.94"/>
    <n v="54.94"/>
    <n v="1"/>
    <m/>
    <s v="propre"/>
    <s v="x"/>
    <m/>
    <n v="0"/>
    <n v="0"/>
    <n v="0"/>
    <m/>
    <m/>
    <m/>
    <n v="0"/>
    <m/>
    <m/>
    <n v="0"/>
    <s v=""/>
    <m/>
    <m/>
    <m/>
    <d v="1900-12-31T00:00:00"/>
    <m/>
    <s v="non"/>
    <n v="-1505.6"/>
    <n v="0"/>
    <n v="0"/>
    <n v="0"/>
    <d v="2024-03-30T00:00:00"/>
    <m/>
    <n v="1512.7"/>
    <n v="3"/>
    <n v="4"/>
    <m/>
    <d v="2024-06-30T00:00:00"/>
    <d v="2024-07-30T00:00:00"/>
    <d v="2025-07-30T00:00:00"/>
    <n v="1"/>
    <m/>
    <m/>
    <m/>
    <m/>
    <n v="0"/>
    <n v="0"/>
    <m/>
    <s v=""/>
    <d v="2024-07-30T00:00:00"/>
    <d v="2024-08-30T00:00:00"/>
    <m/>
    <n v="1.0333333333333334"/>
    <m/>
    <n v="0"/>
  </r>
  <r>
    <s v="RESIDENCE SOCIALE EW 317"/>
    <s v="St Louis"/>
    <s v="CIVIS"/>
    <x v="12"/>
    <m/>
    <s v="NILE"/>
    <m/>
    <s v="DBE"/>
    <s v="DCE"/>
    <s v="EW 317"/>
    <x v="0"/>
    <n v="2"/>
    <n v="2"/>
    <m/>
    <n v="2"/>
    <m/>
    <m/>
    <n v="133.6"/>
    <n v="133.6"/>
    <n v="66.8"/>
    <n v="66.8"/>
    <n v="1"/>
    <m/>
    <s v="propre"/>
    <s v="x"/>
    <m/>
    <n v="0"/>
    <n v="0"/>
    <n v="0"/>
    <m/>
    <m/>
    <m/>
    <n v="0"/>
    <m/>
    <m/>
    <n v="0"/>
    <s v=""/>
    <m/>
    <m/>
    <m/>
    <d v="1900-12-31T00:00:00"/>
    <m/>
    <s v="non"/>
    <n v="-1505.6"/>
    <n v="0"/>
    <n v="0"/>
    <n v="0"/>
    <d v="2024-03-30T00:00:00"/>
    <m/>
    <n v="1512.7"/>
    <n v="3"/>
    <n v="4"/>
    <m/>
    <d v="2024-06-30T00:00:00"/>
    <d v="2024-07-30T00:00:00"/>
    <d v="2025-07-30T00:00:00"/>
    <n v="1"/>
    <m/>
    <m/>
    <m/>
    <m/>
    <n v="0"/>
    <n v="0"/>
    <m/>
    <s v=""/>
    <d v="2024-07-30T00:00:00"/>
    <d v="2024-08-30T00:00:00"/>
    <m/>
    <n v="1.0333333333333334"/>
    <m/>
    <n v="0"/>
  </r>
  <r>
    <s v="VEFA HARMONIE LLS"/>
    <s v="Tampon"/>
    <s v="CA SUD"/>
    <x v="12"/>
    <m/>
    <s v="LLA"/>
    <m/>
    <s v="MMA"/>
    <s v="Faisa"/>
    <s v="CH 445"/>
    <x v="1"/>
    <n v="30"/>
    <n v="30"/>
    <n v="30"/>
    <m/>
    <m/>
    <m/>
    <n v="1524.27"/>
    <n v="1788.9449999999999"/>
    <n v="50.808999999999997"/>
    <n v="59.631499999999996"/>
    <n v="0.85204967173389901"/>
    <m/>
    <s v="VEFA"/>
    <m/>
    <n v="4456665"/>
    <n v="2923.802869570352"/>
    <n v="2491.2252752320501"/>
    <n v="148555.5"/>
    <m/>
    <m/>
    <m/>
    <n v="0"/>
    <m/>
    <m/>
    <n v="0"/>
    <s v=""/>
    <m/>
    <m/>
    <m/>
    <d v="1900-12-31T00:00:00"/>
    <m/>
    <s v="non"/>
    <n v="-1529.4333333333334"/>
    <n v="0"/>
    <n v="0"/>
    <n v="0"/>
    <d v="2024-06-15T00:00:00"/>
    <m/>
    <n v="1515.2666666666667"/>
    <n v="24"/>
    <n v="25"/>
    <m/>
    <d v="2026-06-15T00:00:00"/>
    <d v="2026-07-15T00:00:00"/>
    <d v="2027-07-15T00:00:00"/>
    <n v="1"/>
    <d v="2026-07-15T00:00:00"/>
    <d v="2026-07-15T00:00:00"/>
    <d v="2026-07-15T00:00:00"/>
    <d v="2026-07-15T00:00:00"/>
    <n v="0"/>
    <n v="0"/>
    <m/>
    <s v=""/>
    <d v="2026-08-15T00:00:00"/>
    <d v="2026-08-15T00:00:00"/>
    <m/>
    <n v="0"/>
    <m/>
    <n v="0"/>
  </r>
  <r>
    <s v="VEFA HARMONIE PLS"/>
    <s v="Tampon"/>
    <s v="CA SUD"/>
    <x v="12"/>
    <m/>
    <m/>
    <m/>
    <m/>
    <s v="Faisa"/>
    <s v="CH 445"/>
    <x v="2"/>
    <n v="32"/>
    <n v="32"/>
    <m/>
    <m/>
    <n v="32"/>
    <m/>
    <n v="2117.3000000000002"/>
    <n v="2566.7299999999996"/>
    <n v="66.165625000000006"/>
    <n v="80.210312499999986"/>
    <n v="0.82490172320423283"/>
    <m/>
    <s v="VEFA"/>
    <m/>
    <n v="6917234.160000002"/>
    <n v="3267.0071128323816"/>
    <n v="2694.9597970959171"/>
    <n v="216163.56750000006"/>
    <m/>
    <m/>
    <m/>
    <n v="0"/>
    <m/>
    <m/>
    <n v="0"/>
    <s v=""/>
    <m/>
    <m/>
    <m/>
    <d v="1900-12-31T00:00:00"/>
    <m/>
    <s v="non"/>
    <n v="-1529.4333333333334"/>
    <n v="0"/>
    <n v="0"/>
    <n v="0"/>
    <d v="2024-06-15T00:00:00"/>
    <m/>
    <n v="1515.2666666666667"/>
    <n v="24"/>
    <n v="25"/>
    <m/>
    <d v="2026-06-15T00:00:00"/>
    <d v="2026-07-15T00:00:00"/>
    <d v="2027-07-15T00:00:00"/>
    <n v="1"/>
    <d v="2026-07-15T00:00:00"/>
    <d v="2026-07-15T00:00:00"/>
    <d v="2026-07-15T00:00:00"/>
    <d v="2026-07-15T00:00:00"/>
    <n v="0"/>
    <n v="0"/>
    <m/>
    <s v=""/>
    <d v="2026-08-15T00:00:00"/>
    <d v="2026-08-15T00:00:00"/>
    <m/>
    <n v="0"/>
    <m/>
    <n v="0"/>
  </r>
  <r>
    <s v="BAOBAB"/>
    <s v="Tampon"/>
    <s v="CA SUD"/>
    <x v="12"/>
    <s v="PRLC 0225"/>
    <s v="LLA"/>
    <m/>
    <s v="MMA"/>
    <s v="APS"/>
    <s v="EK 250"/>
    <x v="0"/>
    <n v="39"/>
    <n v="39"/>
    <m/>
    <n v="39"/>
    <m/>
    <m/>
    <n v="1859.39"/>
    <n v="2213.6"/>
    <n v="47.676666666666669"/>
    <n v="56.758974358974356"/>
    <n v="0.83998464040477061"/>
    <m/>
    <s v="propre"/>
    <s v="x"/>
    <m/>
    <n v="0"/>
    <n v="0"/>
    <n v="0"/>
    <d v="2023-04-14T00:00:00"/>
    <m/>
    <m/>
    <n v="0"/>
    <m/>
    <m/>
    <n v="0"/>
    <s v=""/>
    <m/>
    <m/>
    <m/>
    <d v="1900-12-31T00:00:00"/>
    <m/>
    <s v="non"/>
    <n v="-1537.5333333333333"/>
    <n v="0"/>
    <n v="0"/>
    <n v="0"/>
    <d v="2025-02-15T00:00:00"/>
    <m/>
    <n v="1523.4333333333334"/>
    <n v="24"/>
    <n v="25"/>
    <m/>
    <d v="2027-02-15T00:00:00"/>
    <d v="2027-03-15T00:00:00"/>
    <d v="2028-03-15T00:00:00"/>
    <n v="0.93333333333333335"/>
    <m/>
    <m/>
    <m/>
    <m/>
    <n v="0"/>
    <n v="0"/>
    <m/>
    <s v=""/>
    <d v="2027-03-15T00:00:00"/>
    <d v="2027-04-15T00:00:00"/>
    <m/>
    <n v="1.0333333333333334"/>
    <m/>
    <n v="0"/>
  </r>
  <r>
    <s v="LOLA &amp; JULIA LLS"/>
    <s v="Etang-Salé"/>
    <s v="CIVIS"/>
    <x v="12"/>
    <s v="PRLC 0232"/>
    <m/>
    <m/>
    <m/>
    <m/>
    <s v="AT 558 - AT 561"/>
    <x v="1"/>
    <n v="21"/>
    <n v="21"/>
    <n v="21"/>
    <m/>
    <m/>
    <m/>
    <n v="1321.26"/>
    <n v="1572.54"/>
    <n v="62.917142857142856"/>
    <n v="74.882857142857148"/>
    <n v="0.84020756228776372"/>
    <m/>
    <s v="propre"/>
    <s v="x"/>
    <m/>
    <n v="0"/>
    <n v="0"/>
    <n v="0"/>
    <m/>
    <m/>
    <m/>
    <n v="0"/>
    <m/>
    <m/>
    <n v="0"/>
    <s v=""/>
    <m/>
    <m/>
    <m/>
    <d v="1900-12-31T00:00:00"/>
    <m/>
    <s v="non"/>
    <n v="-1531.4666666666667"/>
    <n v="0"/>
    <n v="0"/>
    <n v="0"/>
    <d v="2025-02-15T00:00:00"/>
    <m/>
    <n v="1523.4333333333334"/>
    <n v="18"/>
    <n v="19"/>
    <m/>
    <d v="2026-08-15T00:00:00"/>
    <d v="2026-09-15T00:00:00"/>
    <d v="2027-09-15T00:00:00"/>
    <n v="1.0333333333333334"/>
    <m/>
    <m/>
    <m/>
    <m/>
    <n v="0"/>
    <n v="0"/>
    <m/>
    <s v=""/>
    <d v="2026-09-15T00:00:00"/>
    <d v="2026-10-15T00:00:00"/>
    <m/>
    <n v="1"/>
    <m/>
    <n v="0"/>
  </r>
  <r>
    <s v="BEGONIA - OPERATION 2"/>
    <s v="Etang-Salé"/>
    <s v="CIVIS"/>
    <x v="9"/>
    <m/>
    <m/>
    <m/>
    <m/>
    <m/>
    <s v="AT 276 p"/>
    <x v="2"/>
    <n v="15"/>
    <n v="15"/>
    <m/>
    <m/>
    <n v="15"/>
    <m/>
    <m/>
    <m/>
    <n v="0"/>
    <n v="0"/>
    <n v="0"/>
    <m/>
    <s v="propre"/>
    <s v="x"/>
    <m/>
    <n v="0"/>
    <s v="-"/>
    <n v="0"/>
    <m/>
    <m/>
    <m/>
    <n v="0"/>
    <m/>
    <m/>
    <n v="0"/>
    <s v=""/>
    <m/>
    <m/>
    <m/>
    <d v="1900-12-31T00:00:00"/>
    <m/>
    <s v="non"/>
    <n v="-1531.4666666666667"/>
    <n v="0"/>
    <n v="0"/>
    <n v="0"/>
    <d v="2025-02-15T00:00:00"/>
    <m/>
    <n v="1523.4333333333334"/>
    <n v="18"/>
    <n v="19"/>
    <m/>
    <d v="2026-08-15T00:00:00"/>
    <d v="2026-09-15T00:00:00"/>
    <d v="2027-09-15T00:00:00"/>
    <n v="1.0333333333333334"/>
    <m/>
    <m/>
    <m/>
    <m/>
    <n v="0"/>
    <n v="0"/>
    <m/>
    <s v=""/>
    <d v="2026-09-15T00:00:00"/>
    <d v="2026-10-15T00:00:00"/>
    <m/>
    <n v="1"/>
    <m/>
    <n v="0"/>
  </r>
  <r>
    <s v="CANNELLE "/>
    <s v="Etang-Salé"/>
    <s v="CIVIS"/>
    <x v="9"/>
    <s v="PRLC 0200"/>
    <s v="LLA"/>
    <m/>
    <s v="MMA"/>
    <s v="Faisa"/>
    <s v="AT 222/223/224"/>
    <x v="0"/>
    <n v="30"/>
    <n v="30"/>
    <m/>
    <n v="30"/>
    <m/>
    <m/>
    <n v="1932.4899999999998"/>
    <n v="2240.2350000000001"/>
    <n v="64.416333333333327"/>
    <n v="74.674500000000009"/>
    <n v="0.86262825105401875"/>
    <n v="403.92"/>
    <s v="propre"/>
    <s v="x"/>
    <m/>
    <n v="0"/>
    <n v="0"/>
    <n v="0"/>
    <d v="2018-03-30T00:00:00"/>
    <d v="2018-07-06T00:00:00"/>
    <m/>
    <n v="3.2666666666666666"/>
    <m/>
    <m/>
    <n v="0"/>
    <s v=""/>
    <m/>
    <m/>
    <m/>
    <d v="1900-12-31T00:00:00"/>
    <m/>
    <s v="oui"/>
    <n v="-1531.4666666666667"/>
    <n v="-18811005.066666666"/>
    <n v="-18811005.066666666"/>
    <n v="18811005.066666666"/>
    <d v="2025-02-15T00:00:00"/>
    <m/>
    <n v="80.533333333333331"/>
    <n v="18"/>
    <n v="19"/>
    <m/>
    <d v="2026-08-15T00:00:00"/>
    <d v="2026-09-15T00:00:00"/>
    <d v="2027-09-15T00:00:00"/>
    <n v="1.0333333333333334"/>
    <m/>
    <m/>
    <m/>
    <m/>
    <n v="0"/>
    <n v="0"/>
    <m/>
    <s v=""/>
    <d v="2026-09-15T00:00:00"/>
    <d v="2026-10-15T00:00:00"/>
    <m/>
    <n v="1"/>
    <n v="12283"/>
    <n v="12283"/>
  </r>
  <r>
    <s v="DURANTA - OPERATION 1"/>
    <s v="Etang-Salé"/>
    <s v="CIVIS"/>
    <x v="9"/>
    <m/>
    <m/>
    <m/>
    <m/>
    <s v="Faisa"/>
    <s v="AT 272 273 et 276"/>
    <x v="1"/>
    <n v="20"/>
    <n v="20"/>
    <n v="20"/>
    <m/>
    <m/>
    <m/>
    <m/>
    <m/>
    <n v="0"/>
    <n v="0"/>
    <n v="0"/>
    <m/>
    <s v="propre"/>
    <s v="x"/>
    <m/>
    <n v="0"/>
    <s v="-"/>
    <n v="0"/>
    <m/>
    <m/>
    <m/>
    <n v="0"/>
    <m/>
    <m/>
    <n v="0"/>
    <s v=""/>
    <m/>
    <m/>
    <m/>
    <d v="1900-12-31T00:00:00"/>
    <m/>
    <s v="non"/>
    <n v="-1531.4666666666667"/>
    <n v="0"/>
    <n v="0"/>
    <n v="0"/>
    <d v="2025-02-15T00:00:00"/>
    <m/>
    <n v="1523.4333333333334"/>
    <n v="18"/>
    <n v="19"/>
    <m/>
    <d v="2026-08-15T00:00:00"/>
    <d v="2026-09-15T00:00:00"/>
    <d v="2027-09-15T00:00:00"/>
    <n v="1.0333333333333334"/>
    <m/>
    <m/>
    <m/>
    <m/>
    <n v="0"/>
    <n v="0"/>
    <m/>
    <s v=""/>
    <d v="2026-09-15T00:00:00"/>
    <d v="2026-10-15T00:00:00"/>
    <m/>
    <n v="1"/>
    <m/>
    <n v="0"/>
  </r>
  <r>
    <s v="KALOUPILE - OPERATION 3"/>
    <s v="Etang-Salé"/>
    <s v="CIVIS"/>
    <x v="9"/>
    <m/>
    <m/>
    <m/>
    <m/>
    <m/>
    <s v="AT 266 541 542 270 273 et 272"/>
    <x v="0"/>
    <n v="51"/>
    <n v="51"/>
    <m/>
    <n v="51"/>
    <m/>
    <m/>
    <m/>
    <m/>
    <n v="0"/>
    <n v="0"/>
    <n v="0"/>
    <m/>
    <s v="propre"/>
    <s v="x"/>
    <m/>
    <n v="0"/>
    <s v="-"/>
    <n v="0"/>
    <m/>
    <m/>
    <m/>
    <n v="0"/>
    <m/>
    <m/>
    <n v="0"/>
    <s v=""/>
    <m/>
    <m/>
    <m/>
    <d v="1900-12-31T00:00:00"/>
    <m/>
    <s v="non"/>
    <n v="-1531.4666666666667"/>
    <n v="0"/>
    <n v="0"/>
    <n v="0"/>
    <d v="2025-02-15T00:00:00"/>
    <m/>
    <n v="1523.4333333333334"/>
    <n v="18"/>
    <n v="19"/>
    <m/>
    <d v="2026-08-15T00:00:00"/>
    <d v="2026-09-15T00:00:00"/>
    <d v="2027-09-15T00:00:00"/>
    <n v="1.0333333333333334"/>
    <m/>
    <m/>
    <m/>
    <m/>
    <n v="0"/>
    <n v="0"/>
    <m/>
    <s v=""/>
    <d v="2026-09-15T00:00:00"/>
    <d v="2026-10-15T00:00:00"/>
    <m/>
    <n v="1"/>
    <m/>
    <n v="0"/>
  </r>
  <r>
    <s v="Les Lataniers (AX 47 …) LLS"/>
    <s v="Etang-Salé"/>
    <s v="CIVIS"/>
    <x v="9"/>
    <s v="PRLC 0244"/>
    <s v="NILE"/>
    <m/>
    <s v="DBE"/>
    <s v="Faisa"/>
    <s v="AX 47 - 625 - 50"/>
    <x v="1"/>
    <n v="20"/>
    <n v="20"/>
    <n v="20"/>
    <m/>
    <m/>
    <m/>
    <n v="1290"/>
    <n v="1655"/>
    <n v="64.5"/>
    <n v="82.75"/>
    <n v="0.77945619335347427"/>
    <m/>
    <s v="propre"/>
    <s v="x"/>
    <m/>
    <n v="0"/>
    <n v="0"/>
    <n v="0"/>
    <m/>
    <m/>
    <m/>
    <n v="0"/>
    <m/>
    <m/>
    <n v="0"/>
    <s v=""/>
    <m/>
    <m/>
    <m/>
    <d v="1900-12-31T00:00:00"/>
    <m/>
    <s v="non"/>
    <n v="-1531.4666666666667"/>
    <n v="0"/>
    <n v="0"/>
    <n v="0"/>
    <d v="2025-02-15T00:00:00"/>
    <m/>
    <n v="1523.4333333333334"/>
    <n v="18"/>
    <n v="19"/>
    <m/>
    <d v="2026-08-15T00:00:00"/>
    <d v="2026-09-15T00:00:00"/>
    <d v="2027-09-15T00:00:00"/>
    <n v="1.0333333333333334"/>
    <m/>
    <m/>
    <m/>
    <m/>
    <n v="0"/>
    <n v="0"/>
    <m/>
    <s v=""/>
    <d v="2026-09-15T00:00:00"/>
    <d v="2026-10-15T00:00:00"/>
    <m/>
    <n v="1"/>
    <m/>
    <n v="0"/>
  </r>
  <r>
    <s v="Les Lataniers (AX 47 …) LLTS"/>
    <s v="Etang-Salé"/>
    <s v="CIVIS"/>
    <x v="9"/>
    <s v="PRLC 0244"/>
    <m/>
    <m/>
    <m/>
    <m/>
    <s v="AX 47 - 625 - 50"/>
    <x v="0"/>
    <n v="25"/>
    <n v="25"/>
    <m/>
    <n v="25"/>
    <m/>
    <m/>
    <n v="1070"/>
    <n v="1526.25"/>
    <n v="42.8"/>
    <n v="61.05"/>
    <n v="0.70106470106470109"/>
    <m/>
    <s v="propre"/>
    <s v="x"/>
    <m/>
    <n v="0"/>
    <n v="0"/>
    <n v="0"/>
    <m/>
    <m/>
    <m/>
    <n v="0"/>
    <m/>
    <m/>
    <n v="0"/>
    <s v=""/>
    <m/>
    <m/>
    <m/>
    <d v="1900-12-31T00:00:00"/>
    <m/>
    <s v="non"/>
    <n v="-1531.4666666666667"/>
    <n v="0"/>
    <n v="0"/>
    <n v="0"/>
    <d v="2025-02-15T00:00:00"/>
    <m/>
    <n v="1523.4333333333334"/>
    <n v="18"/>
    <n v="19"/>
    <m/>
    <d v="2026-08-15T00:00:00"/>
    <d v="2026-09-15T00:00:00"/>
    <d v="2027-09-15T00:00:00"/>
    <n v="1.0333333333333334"/>
    <m/>
    <m/>
    <m/>
    <m/>
    <n v="0"/>
    <n v="0"/>
    <m/>
    <s v=""/>
    <d v="2026-09-15T00:00:00"/>
    <d v="2026-10-15T00:00:00"/>
    <m/>
    <n v="1"/>
    <m/>
    <n v="0"/>
  </r>
  <r>
    <s v="LOLA &amp; JULIA PLS"/>
    <s v="Etang-Salé"/>
    <s v="CIVIS"/>
    <x v="12"/>
    <s v="PRLC 0232"/>
    <s v="LLA"/>
    <m/>
    <s v="MMA"/>
    <s v="ESQ"/>
    <s v="AT 558 - AT 561"/>
    <x v="2"/>
    <n v="18"/>
    <n v="18"/>
    <m/>
    <m/>
    <n v="18"/>
    <m/>
    <n v="1265.42"/>
    <n v="1540.18"/>
    <n v="70.301111111111112"/>
    <n v="85.565555555555562"/>
    <n v="0.82160526691685387"/>
    <m/>
    <s v="propre"/>
    <s v="x"/>
    <m/>
    <n v="0"/>
    <n v="0"/>
    <n v="0"/>
    <m/>
    <m/>
    <m/>
    <n v="0"/>
    <m/>
    <m/>
    <n v="0"/>
    <s v=""/>
    <m/>
    <m/>
    <m/>
    <d v="1900-12-31T00:00:00"/>
    <m/>
    <s v="non"/>
    <n v="-1531.4666666666667"/>
    <n v="0"/>
    <n v="0"/>
    <n v="0"/>
    <d v="2025-02-15T00:00:00"/>
    <m/>
    <n v="1523.4333333333334"/>
    <n v="18"/>
    <n v="19"/>
    <m/>
    <d v="2026-08-15T00:00:00"/>
    <d v="2026-09-15T00:00:00"/>
    <d v="2027-09-15T00:00:00"/>
    <n v="1.0333333333333334"/>
    <m/>
    <m/>
    <m/>
    <m/>
    <n v="0"/>
    <n v="0"/>
    <m/>
    <s v=""/>
    <d v="2026-09-15T00:00:00"/>
    <d v="2026-10-15T00:00:00"/>
    <m/>
    <n v="1"/>
    <m/>
    <n v="0"/>
  </r>
  <r>
    <s v="VEFA L'AVENTURIER LLTS"/>
    <s v="Tampon"/>
    <s v="CA SUD"/>
    <x v="12"/>
    <m/>
    <m/>
    <m/>
    <m/>
    <m/>
    <s v="BY 8"/>
    <x v="0"/>
    <n v="32"/>
    <n v="32"/>
    <m/>
    <n v="32"/>
    <m/>
    <m/>
    <n v="2273.35"/>
    <n v="2541.2600000000002"/>
    <n v="71.042187499999997"/>
    <n v="79.414375000000007"/>
    <n v="0.89457591903229094"/>
    <m/>
    <s v="VEFA"/>
    <s v="x"/>
    <n v="5802725.875"/>
    <n v="2552.5"/>
    <n v="2283.4050333299228"/>
    <n v="181335.18359375"/>
    <m/>
    <m/>
    <m/>
    <n v="0"/>
    <m/>
    <m/>
    <n v="0"/>
    <s v=""/>
    <m/>
    <m/>
    <m/>
    <d v="1900-12-31T00:00:00"/>
    <m/>
    <s v="non"/>
    <n v="-1537.5333333333333"/>
    <n v="0"/>
    <n v="0"/>
    <n v="0"/>
    <d v="2025-02-15T00:00:00"/>
    <m/>
    <n v="1523.4333333333334"/>
    <n v="24"/>
    <n v="25"/>
    <m/>
    <d v="2027-02-15T00:00:00"/>
    <d v="2027-03-15T00:00:00"/>
    <d v="2028-03-15T00:00:00"/>
    <n v="0.93333333333333335"/>
    <d v="2027-03-15T00:00:00"/>
    <d v="2027-03-15T00:00:00"/>
    <d v="2027-03-15T00:00:00"/>
    <d v="2027-03-15T00:00:00"/>
    <n v="0"/>
    <n v="0"/>
    <m/>
    <s v=""/>
    <d v="2027-04-15T00:00:00"/>
    <d v="2027-04-15T00:00:00"/>
    <m/>
    <n v="0"/>
    <m/>
    <n v="0"/>
  </r>
  <r>
    <s v="VEFA L'AVENTURIER PLS"/>
    <s v="Tampon"/>
    <s v="CA SUD"/>
    <x v="12"/>
    <m/>
    <s v="LCYC"/>
    <m/>
    <m/>
    <s v="PC"/>
    <s v="BY 8"/>
    <x v="2"/>
    <n v="32"/>
    <n v="32"/>
    <m/>
    <m/>
    <n v="32"/>
    <m/>
    <n v="2614.31"/>
    <n v="3059.14"/>
    <n v="81.697187499999998"/>
    <n v="95.598124999999996"/>
    <n v="0.85458985204992255"/>
    <m/>
    <s v="VEFA"/>
    <s v="x"/>
    <n v="6806486.8004999999"/>
    <n v="2603.5500000000002"/>
    <n v="2224.967409304576"/>
    <n v="212702.712515625"/>
    <m/>
    <m/>
    <m/>
    <n v="0"/>
    <m/>
    <m/>
    <n v="0"/>
    <s v=""/>
    <m/>
    <m/>
    <m/>
    <d v="1900-12-31T00:00:00"/>
    <m/>
    <s v="non"/>
    <n v="-1537.5333333333333"/>
    <n v="0"/>
    <n v="0"/>
    <n v="0"/>
    <d v="2025-02-15T00:00:00"/>
    <m/>
    <n v="1523.4333333333334"/>
    <n v="24"/>
    <n v="25"/>
    <m/>
    <d v="2027-02-15T00:00:00"/>
    <d v="2027-03-15T00:00:00"/>
    <d v="2028-03-15T00:00:00"/>
    <n v="0.93333333333333335"/>
    <d v="2027-03-15T00:00:00"/>
    <d v="2027-03-15T00:00:00"/>
    <d v="2027-03-15T00:00:00"/>
    <d v="2027-03-15T00:00:00"/>
    <n v="0"/>
    <n v="0"/>
    <m/>
    <s v=""/>
    <d v="2027-04-15T00:00:00"/>
    <d v="2027-04-15T00:00:00"/>
    <m/>
    <n v="0"/>
    <m/>
    <n v="0"/>
  </r>
  <r>
    <s v="VEFA PETIT NATTE LLS"/>
    <s v="Tampon"/>
    <s v="CA SUD"/>
    <x v="12"/>
    <m/>
    <m/>
    <m/>
    <m/>
    <s v="ESQ"/>
    <s v="BH1361"/>
    <x v="1"/>
    <n v="36"/>
    <n v="40"/>
    <n v="40"/>
    <m/>
    <m/>
    <m/>
    <n v="3060.56"/>
    <n v="3606.03"/>
    <n v="85.015555555555551"/>
    <n v="100.1675"/>
    <n v="0.84873392622912169"/>
    <m/>
    <s v="VEFA"/>
    <s v="x"/>
    <n v="8398443.8699999992"/>
    <n v="2744.0873140863109"/>
    <n v="2328.9999999999995"/>
    <n v="233290.10749999998"/>
    <m/>
    <m/>
    <m/>
    <n v="0"/>
    <m/>
    <m/>
    <n v="0"/>
    <s v=""/>
    <m/>
    <m/>
    <m/>
    <d v="1900-12-31T00:00:00"/>
    <m/>
    <s v="non"/>
    <n v="-1537.5333333333333"/>
    <n v="0"/>
    <n v="0"/>
    <n v="0"/>
    <d v="2025-02-15T00:00:00"/>
    <m/>
    <n v="1523.4333333333334"/>
    <n v="24"/>
    <n v="25"/>
    <m/>
    <d v="2027-02-15T00:00:00"/>
    <d v="2027-03-15T00:00:00"/>
    <d v="2028-03-15T00:00:00"/>
    <n v="0.93333333333333335"/>
    <d v="2027-03-15T00:00:00"/>
    <d v="2027-03-15T00:00:00"/>
    <d v="2027-03-15T00:00:00"/>
    <d v="2027-03-15T00:00:00"/>
    <n v="0"/>
    <n v="0"/>
    <m/>
    <s v=""/>
    <d v="2027-04-15T00:00:00"/>
    <d v="2027-04-15T00:00:00"/>
    <m/>
    <n v="0"/>
    <m/>
    <n v="0"/>
  </r>
  <r>
    <s v="VEFA PETIT NATTE LLTS"/>
    <s v="Tampon"/>
    <s v="CA SUD"/>
    <x v="12"/>
    <m/>
    <s v="LCYC"/>
    <m/>
    <s v="DAM"/>
    <s v="ESQ"/>
    <s v="BH1361"/>
    <x v="0"/>
    <n v="29"/>
    <n v="20"/>
    <m/>
    <n v="20"/>
    <m/>
    <m/>
    <n v="948.48"/>
    <n v="1050.78"/>
    <n v="32.706206896551727"/>
    <n v="36.233793103448278"/>
    <n v="0.90264375035687783"/>
    <m/>
    <s v="VEFA"/>
    <s v="x"/>
    <n v="2447266.62"/>
    <n v="2580.198443825911"/>
    <n v="2329"/>
    <n v="84388.504137931042"/>
    <m/>
    <m/>
    <m/>
    <n v="0"/>
    <m/>
    <m/>
    <n v="0"/>
    <s v=""/>
    <m/>
    <m/>
    <m/>
    <d v="1900-12-31T00:00:00"/>
    <m/>
    <s v="non"/>
    <n v="-1537.5333333333333"/>
    <n v="0"/>
    <n v="0"/>
    <n v="0"/>
    <d v="2025-02-15T00:00:00"/>
    <m/>
    <n v="1523.4333333333334"/>
    <n v="24"/>
    <n v="25"/>
    <m/>
    <d v="2027-02-15T00:00:00"/>
    <d v="2027-03-15T00:00:00"/>
    <d v="2028-03-15T00:00:00"/>
    <n v="0.93333333333333335"/>
    <d v="2027-03-15T00:00:00"/>
    <d v="2027-03-15T00:00:00"/>
    <d v="2027-03-15T00:00:00"/>
    <d v="2027-03-15T00:00:00"/>
    <n v="0"/>
    <n v="0"/>
    <m/>
    <s v=""/>
    <d v="2027-04-15T00:00:00"/>
    <d v="2027-04-15T00:00:00"/>
    <m/>
    <n v="0"/>
    <m/>
    <n v="0"/>
  </r>
  <r>
    <s v="VEFA SOCRATE et PLATON LLS"/>
    <s v="Tampon"/>
    <s v="CA SUD"/>
    <x v="12"/>
    <m/>
    <m/>
    <m/>
    <m/>
    <s v="Faisa"/>
    <s v="BW 2294 - 1738"/>
    <x v="1"/>
    <n v="24"/>
    <n v="24"/>
    <n v="24"/>
    <m/>
    <m/>
    <m/>
    <m/>
    <m/>
    <n v="0"/>
    <n v="0"/>
    <n v="0"/>
    <m/>
    <s v="VEFA"/>
    <s v="x"/>
    <m/>
    <n v="0"/>
    <s v="-"/>
    <n v="0"/>
    <m/>
    <m/>
    <m/>
    <n v="0"/>
    <m/>
    <m/>
    <n v="0"/>
    <s v=""/>
    <m/>
    <m/>
    <m/>
    <d v="1900-12-31T00:00:00"/>
    <m/>
    <s v="non"/>
    <n v="-1538.5333333333333"/>
    <n v="0"/>
    <n v="0"/>
    <n v="0"/>
    <d v="2025-03-15T00:00:00"/>
    <m/>
    <n v="1524.3666666666666"/>
    <n v="24"/>
    <n v="25"/>
    <m/>
    <d v="2027-03-15T00:00:00"/>
    <d v="2027-04-15T00:00:00"/>
    <d v="2028-04-15T00:00:00"/>
    <n v="1.0333333333333334"/>
    <d v="2027-04-15T00:00:00"/>
    <d v="2027-04-15T00:00:00"/>
    <d v="2027-04-15T00:00:00"/>
    <d v="2027-04-15T00:00:00"/>
    <n v="0"/>
    <n v="0"/>
    <m/>
    <s v=""/>
    <d v="2027-05-15T00:00:00"/>
    <d v="2027-05-15T00:00:00"/>
    <m/>
    <n v="0"/>
    <m/>
    <n v="0"/>
  </r>
  <r>
    <s v="VEFA HAMEAU DU PÈRE MARTIN LLS"/>
    <s v="Avirons"/>
    <s v="CIVIS"/>
    <x v="12"/>
    <m/>
    <s v="LLA"/>
    <m/>
    <s v="MMA"/>
    <s v="Faisa"/>
    <m/>
    <x v="1"/>
    <n v="33"/>
    <n v="33"/>
    <n v="33"/>
    <m/>
    <m/>
    <m/>
    <n v="1974"/>
    <n v="2585.0499999999997"/>
    <n v="59.81818181818182"/>
    <n v="78.334848484848479"/>
    <n v="0.7636215933927778"/>
    <m/>
    <s v="VEFA"/>
    <s v="x"/>
    <n v="6650998.2000000002"/>
    <n v="3369.3"/>
    <n v="2572.8702346182863"/>
    <n v="201545.4"/>
    <m/>
    <m/>
    <m/>
    <n v="0"/>
    <m/>
    <m/>
    <n v="0"/>
    <s v=""/>
    <m/>
    <m/>
    <m/>
    <d v="1900-12-31T00:00:00"/>
    <m/>
    <s v="non"/>
    <n v="-1538.5333333333333"/>
    <n v="0"/>
    <n v="0"/>
    <n v="0"/>
    <d v="2025-03-15T00:00:00"/>
    <m/>
    <n v="1524.3666666666666"/>
    <n v="24"/>
    <n v="25"/>
    <m/>
    <d v="2027-03-15T00:00:00"/>
    <d v="2027-04-15T00:00:00"/>
    <d v="2028-04-15T00:00:00"/>
    <n v="1.0333333333333334"/>
    <d v="2027-04-15T00:00:00"/>
    <d v="2027-04-15T00:00:00"/>
    <d v="2027-04-15T00:00:00"/>
    <d v="2027-04-15T00:00:00"/>
    <n v="0"/>
    <n v="0"/>
    <m/>
    <s v=""/>
    <d v="2027-05-15T00:00:00"/>
    <d v="2027-05-15T00:00:00"/>
    <m/>
    <n v="0"/>
    <m/>
    <n v="0"/>
  </r>
  <r>
    <s v="VEFA HAMEAU DU PÈRE MARTIN LLTS"/>
    <s v="Avirons"/>
    <s v="CIVIS"/>
    <x v="12"/>
    <m/>
    <m/>
    <m/>
    <m/>
    <s v="Faisa"/>
    <m/>
    <x v="0"/>
    <n v="12"/>
    <n v="12"/>
    <m/>
    <n v="12"/>
    <m/>
    <m/>
    <n v="553.20000000000005"/>
    <n v="773.3"/>
    <n v="46.1"/>
    <n v="64.441666666666663"/>
    <n v="0.71537566274408393"/>
    <m/>
    <s v="VEFA"/>
    <s v="x"/>
    <n v="1863896.7599999998"/>
    <n v="3369.2999999999993"/>
    <n v="2410.3152204836415"/>
    <n v="155324.72999999998"/>
    <m/>
    <m/>
    <m/>
    <n v="0"/>
    <m/>
    <m/>
    <n v="0"/>
    <s v=""/>
    <m/>
    <m/>
    <m/>
    <d v="1900-12-31T00:00:00"/>
    <m/>
    <s v="non"/>
    <n v="-1538.5333333333333"/>
    <n v="0"/>
    <n v="0"/>
    <n v="0"/>
    <d v="2025-03-15T00:00:00"/>
    <m/>
    <n v="1524.3666666666666"/>
    <n v="24"/>
    <n v="25"/>
    <m/>
    <d v="2027-03-15T00:00:00"/>
    <d v="2027-04-15T00:00:00"/>
    <d v="2028-04-15T00:00:00"/>
    <n v="1.0333333333333334"/>
    <d v="2027-04-15T00:00:00"/>
    <d v="2027-04-15T00:00:00"/>
    <d v="2027-04-15T00:00:00"/>
    <d v="2027-04-15T00:00:00"/>
    <n v="0"/>
    <n v="0"/>
    <m/>
    <s v=""/>
    <d v="2027-05-15T00:00:00"/>
    <d v="2027-05-15T00:00:00"/>
    <m/>
    <n v="0"/>
    <m/>
    <n v="0"/>
  </r>
  <r>
    <s v="VEFA HAMEAU DU PÈRE MARTIN PLS"/>
    <s v="Avirons"/>
    <s v="CIVIS"/>
    <x v="12"/>
    <m/>
    <m/>
    <m/>
    <m/>
    <s v="Faisa"/>
    <m/>
    <x v="2"/>
    <n v="6"/>
    <n v="6"/>
    <m/>
    <m/>
    <n v="6"/>
    <m/>
    <n v="451.5"/>
    <n v="535.6"/>
    <n v="75.25"/>
    <n v="89.266666666666666"/>
    <n v="0.84297983569828228"/>
    <m/>
    <s v="VEFA"/>
    <s v="x"/>
    <n v="1613435.2500000002"/>
    <n v="3573.5000000000005"/>
    <n v="3012.388442867812"/>
    <n v="268905.87500000006"/>
    <m/>
    <m/>
    <m/>
    <n v="0"/>
    <m/>
    <m/>
    <n v="0"/>
    <s v=""/>
    <m/>
    <m/>
    <m/>
    <d v="1900-12-31T00:00:00"/>
    <m/>
    <s v="non"/>
    <n v="-1538.5333333333333"/>
    <n v="0"/>
    <n v="0"/>
    <n v="0"/>
    <d v="2025-03-15T00:00:00"/>
    <m/>
    <n v="1524.3666666666666"/>
    <n v="24"/>
    <n v="25"/>
    <m/>
    <d v="2027-03-15T00:00:00"/>
    <d v="2027-04-15T00:00:00"/>
    <d v="2028-04-15T00:00:00"/>
    <n v="1.0333333333333334"/>
    <d v="2027-04-15T00:00:00"/>
    <d v="2027-04-15T00:00:00"/>
    <d v="2027-04-15T00:00:00"/>
    <d v="2027-04-15T00:00:00"/>
    <n v="0"/>
    <n v="0"/>
    <m/>
    <s v=""/>
    <d v="2027-05-15T00:00:00"/>
    <d v="2027-05-15T00:00:00"/>
    <m/>
    <n v="0"/>
    <m/>
    <n v="0"/>
  </r>
  <r>
    <s v="VEFA SOCRATE et PLATON PLS"/>
    <s v="Tampon"/>
    <s v="CA SUD"/>
    <x v="12"/>
    <m/>
    <s v="NBL / SGM"/>
    <m/>
    <m/>
    <s v="Faisa"/>
    <s v="BW 2294 - 1738"/>
    <x v="2"/>
    <n v="98"/>
    <n v="98"/>
    <m/>
    <m/>
    <n v="98"/>
    <m/>
    <m/>
    <m/>
    <n v="0"/>
    <n v="0"/>
    <n v="0"/>
    <m/>
    <s v="VEFA"/>
    <s v="x"/>
    <m/>
    <n v="0"/>
    <s v="-"/>
    <n v="0"/>
    <m/>
    <m/>
    <m/>
    <n v="0"/>
    <m/>
    <m/>
    <n v="0"/>
    <s v=""/>
    <m/>
    <m/>
    <m/>
    <d v="1900-12-31T00:00:00"/>
    <m/>
    <s v="non"/>
    <n v="-1538.5333333333333"/>
    <n v="0"/>
    <n v="0"/>
    <n v="0"/>
    <d v="2025-03-15T00:00:00"/>
    <m/>
    <n v="1524.3666666666666"/>
    <n v="24"/>
    <n v="25"/>
    <m/>
    <d v="2027-03-15T00:00:00"/>
    <d v="2027-04-15T00:00:00"/>
    <d v="2028-04-15T00:00:00"/>
    <n v="1.0333333333333334"/>
    <d v="2027-04-15T00:00:00"/>
    <d v="2027-04-15T00:00:00"/>
    <d v="2027-04-15T00:00:00"/>
    <d v="2027-04-15T00:00:00"/>
    <n v="0"/>
    <n v="0"/>
    <m/>
    <s v=""/>
    <d v="2027-05-15T00:00:00"/>
    <d v="2027-05-15T00:00:00"/>
    <m/>
    <n v="0"/>
    <m/>
    <n v="0"/>
  </r>
  <r>
    <s v="VEFA MAZEAU ROUSSEL  6a - 10 LLTS"/>
    <s v="Tampon"/>
    <s v="CA SUD"/>
    <x v="12"/>
    <s v="PRLC 0217"/>
    <s v="LLA"/>
    <m/>
    <s v="MMA"/>
    <s v="PC"/>
    <m/>
    <x v="0"/>
    <n v="10"/>
    <n v="10"/>
    <m/>
    <n v="10"/>
    <m/>
    <m/>
    <n v="467"/>
    <n v="621.5"/>
    <n v="46.7"/>
    <n v="62.15"/>
    <n v="0.75140788415124693"/>
    <m/>
    <s v="VEFA"/>
    <s v="x"/>
    <n v="1525782.4000000004"/>
    <n v="3267.2000000000007"/>
    <n v="2454.9998390989549"/>
    <n v="152578.24000000005"/>
    <m/>
    <m/>
    <m/>
    <n v="0"/>
    <m/>
    <m/>
    <n v="0"/>
    <s v=""/>
    <m/>
    <m/>
    <m/>
    <d v="1900-12-31T00:00:00"/>
    <m/>
    <s v="non"/>
    <n v="-1540.2333333333333"/>
    <n v="0"/>
    <n v="0"/>
    <n v="0"/>
    <d v="2025-05-05T00:00:00"/>
    <m/>
    <n v="1526.0666666666666"/>
    <n v="24"/>
    <n v="25"/>
    <m/>
    <d v="2027-05-05T00:00:00"/>
    <d v="2027-06-05T00:00:00"/>
    <d v="2028-06-05T00:00:00"/>
    <n v="1.0333333333333334"/>
    <d v="2027-06-05T00:00:00"/>
    <d v="2027-06-05T00:00:00"/>
    <d v="2027-06-05T00:00:00"/>
    <d v="2027-06-05T00:00:00"/>
    <n v="0"/>
    <n v="0"/>
    <m/>
    <s v=""/>
    <d v="2027-07-05T00:00:00"/>
    <d v="2027-07-05T00:00:00"/>
    <m/>
    <n v="0"/>
    <m/>
    <n v="0"/>
  </r>
  <r>
    <s v="VEFA MAZEAU ROUSSEL  6a - 30 LLS"/>
    <s v="Tampon"/>
    <s v="CA SUD"/>
    <x v="12"/>
    <s v="PRLC 0217"/>
    <m/>
    <m/>
    <m/>
    <m/>
    <m/>
    <x v="1"/>
    <n v="30"/>
    <n v="30"/>
    <n v="30"/>
    <m/>
    <m/>
    <m/>
    <n v="1844"/>
    <n v="2343.5"/>
    <n v="61.466666666666669"/>
    <n v="78.11666666666666"/>
    <n v="0.78685726477490936"/>
    <m/>
    <s v="VEFA"/>
    <s v="x"/>
    <n v="6024717"/>
    <n v="3267.2001084598696"/>
    <n v="2570.8201408150203"/>
    <n v="200823.9"/>
    <m/>
    <m/>
    <m/>
    <n v="0"/>
    <m/>
    <m/>
    <n v="0"/>
    <s v=""/>
    <m/>
    <m/>
    <m/>
    <d v="1900-12-31T00:00:00"/>
    <m/>
    <s v="non"/>
    <n v="-1540.2333333333333"/>
    <n v="0"/>
    <n v="0"/>
    <n v="0"/>
    <d v="2025-05-05T00:00:00"/>
    <m/>
    <n v="1526.0666666666666"/>
    <n v="24"/>
    <n v="25"/>
    <m/>
    <d v="2027-05-05T00:00:00"/>
    <d v="2027-06-05T00:00:00"/>
    <d v="2028-06-05T00:00:00"/>
    <n v="1.0333333333333334"/>
    <d v="2027-06-05T00:00:00"/>
    <d v="2027-06-05T00:00:00"/>
    <d v="2027-06-05T00:00:00"/>
    <d v="2027-06-05T00:00:00"/>
    <n v="0"/>
    <n v="0"/>
    <m/>
    <s v=""/>
    <d v="2027-07-05T00:00:00"/>
    <d v="2027-07-05T00:00:00"/>
    <m/>
    <n v="0"/>
    <m/>
    <n v="0"/>
  </r>
  <r>
    <s v="VEFA MAZEAU ROUSSEL  8 - 70 LLTS RPA"/>
    <s v="Tampon"/>
    <s v="CA SUD"/>
    <x v="12"/>
    <s v="PRLC 0223"/>
    <m/>
    <m/>
    <m/>
    <m/>
    <m/>
    <x v="0"/>
    <n v="70"/>
    <n v="70"/>
    <m/>
    <n v="70"/>
    <m/>
    <m/>
    <n v="3188.4"/>
    <n v="3812.05"/>
    <n v="45.548571428571428"/>
    <n v="54.457857142857144"/>
    <n v="0.83640036200994217"/>
    <m/>
    <s v="VEFA"/>
    <s v="x"/>
    <n v="9792852"/>
    <n v="3071.4000752728639"/>
    <n v="2568.9201348355869"/>
    <n v="139897.88571428572"/>
    <m/>
    <m/>
    <m/>
    <n v="0"/>
    <m/>
    <m/>
    <n v="0"/>
    <s v=""/>
    <m/>
    <m/>
    <m/>
    <d v="1900-12-31T00:00:00"/>
    <m/>
    <s v="non"/>
    <n v="-1540.2333333333333"/>
    <n v="0"/>
    <n v="0"/>
    <n v="0"/>
    <d v="2025-05-05T00:00:00"/>
    <m/>
    <n v="1526.0666666666666"/>
    <n v="24"/>
    <n v="25"/>
    <m/>
    <d v="2027-05-05T00:00:00"/>
    <d v="2027-06-05T00:00:00"/>
    <d v="2028-06-05T00:00:00"/>
    <n v="1.0333333333333334"/>
    <d v="2027-06-05T00:00:00"/>
    <d v="2027-06-05T00:00:00"/>
    <d v="2027-06-05T00:00:00"/>
    <d v="2027-06-05T00:00:00"/>
    <n v="0"/>
    <n v="0"/>
    <m/>
    <s v=""/>
    <d v="2027-07-05T00:00:00"/>
    <d v="2027-07-05T00:00:00"/>
    <m/>
    <n v="0"/>
    <m/>
    <n v="0"/>
  </r>
  <r>
    <s v="VEFA MAZEAU ROUSSEL 6B - 15 LLTS"/>
    <s v="Tampon"/>
    <s v="CA SUD"/>
    <x v="12"/>
    <s v="PRLC 0227"/>
    <m/>
    <m/>
    <m/>
    <m/>
    <m/>
    <x v="0"/>
    <n v="15"/>
    <n v="15"/>
    <m/>
    <n v="15"/>
    <m/>
    <m/>
    <n v="648.70000000000005"/>
    <n v="880.45"/>
    <n v="43.24666666666667"/>
    <n v="58.696666666666673"/>
    <n v="0.73678232721903569"/>
    <m/>
    <s v="VEFA"/>
    <s v="x"/>
    <n v="2119433"/>
    <n v="3267.2005549560658"/>
    <n v="2407.215628371855"/>
    <n v="141295.53333333333"/>
    <m/>
    <m/>
    <m/>
    <n v="0"/>
    <m/>
    <m/>
    <n v="0"/>
    <s v=""/>
    <m/>
    <m/>
    <m/>
    <d v="1900-12-31T00:00:00"/>
    <m/>
    <s v="non"/>
    <n v="-1540.2333333333333"/>
    <n v="0"/>
    <n v="0"/>
    <n v="0"/>
    <d v="2025-05-05T00:00:00"/>
    <m/>
    <n v="1526.0666666666666"/>
    <n v="24"/>
    <n v="25"/>
    <m/>
    <d v="2027-05-05T00:00:00"/>
    <d v="2027-06-05T00:00:00"/>
    <d v="2028-06-05T00:00:00"/>
    <n v="1.0333333333333334"/>
    <d v="2027-06-05T00:00:00"/>
    <d v="2027-06-05T00:00:00"/>
    <d v="2027-06-05T00:00:00"/>
    <d v="2027-06-05T00:00:00"/>
    <n v="0"/>
    <n v="0"/>
    <m/>
    <s v=""/>
    <d v="2027-07-05T00:00:00"/>
    <d v="2027-07-05T00:00:00"/>
    <m/>
    <n v="0"/>
    <m/>
    <n v="0"/>
  </r>
  <r>
    <s v="VEFA MAZEAU ROUSSEL 6B - 16 LLS"/>
    <s v="Tampon"/>
    <s v="CA SUD"/>
    <x v="12"/>
    <s v="PRLC 0227"/>
    <m/>
    <m/>
    <m/>
    <m/>
    <m/>
    <x v="1"/>
    <n v="16"/>
    <n v="16"/>
    <n v="16"/>
    <m/>
    <m/>
    <m/>
    <n v="959.8"/>
    <n v="1225"/>
    <n v="59.987499999999997"/>
    <n v="76.5625"/>
    <n v="0.78351020408163263"/>
    <m/>
    <s v="VEFA"/>
    <s v="x"/>
    <n v="3135859"/>
    <n v="3267.2004584288393"/>
    <n v="2559.8848979591835"/>
    <n v="195991.1875"/>
    <m/>
    <m/>
    <m/>
    <n v="0"/>
    <m/>
    <m/>
    <n v="0"/>
    <s v=""/>
    <m/>
    <m/>
    <m/>
    <d v="1900-12-31T00:00:00"/>
    <m/>
    <s v="non"/>
    <n v="-1540.2333333333333"/>
    <n v="0"/>
    <n v="0"/>
    <n v="0"/>
    <d v="2025-05-05T00:00:00"/>
    <m/>
    <n v="1526.0666666666666"/>
    <n v="24"/>
    <n v="25"/>
    <m/>
    <d v="2027-05-05T00:00:00"/>
    <d v="2027-06-05T00:00:00"/>
    <d v="2028-06-05T00:00:00"/>
    <n v="1.0333333333333334"/>
    <d v="2027-06-05T00:00:00"/>
    <d v="2027-06-05T00:00:00"/>
    <d v="2027-06-05T00:00:00"/>
    <d v="2027-06-05T00:00:00"/>
    <n v="0"/>
    <n v="0"/>
    <m/>
    <s v=""/>
    <d v="2027-07-05T00:00:00"/>
    <d v="2027-07-05T00:00:00"/>
    <m/>
    <n v="0"/>
    <m/>
    <n v="0"/>
  </r>
  <r>
    <s v="BENJAMIN HOAREAU"/>
    <s v="Tampon"/>
    <s v="CA SUD"/>
    <x v="9"/>
    <m/>
    <m/>
    <m/>
    <m/>
    <s v="Faisa"/>
    <s v="BX 1057,1055,1053,950"/>
    <x v="0"/>
    <n v="40"/>
    <n v="40"/>
    <m/>
    <n v="40"/>
    <m/>
    <m/>
    <m/>
    <m/>
    <n v="0"/>
    <n v="0"/>
    <n v="0"/>
    <m/>
    <s v="propre"/>
    <s v="x"/>
    <m/>
    <n v="0"/>
    <s v="-"/>
    <n v="0"/>
    <m/>
    <m/>
    <m/>
    <n v="0"/>
    <m/>
    <m/>
    <n v="0"/>
    <s v=""/>
    <m/>
    <m/>
    <m/>
    <d v="1900-12-31T00:00:00"/>
    <m/>
    <s v="non"/>
    <n v="-1572.1"/>
    <n v="0"/>
    <n v="0"/>
    <n v="0"/>
    <d v="2027-02-15T00:00:00"/>
    <m/>
    <n v="1547.7666666666667"/>
    <n v="34"/>
    <n v="35"/>
    <m/>
    <d v="2029-12-15T00:00:00"/>
    <d v="2030-01-15T00:00:00"/>
    <d v="2031-01-15T00:00:00"/>
    <n v="1.0333333333333334"/>
    <m/>
    <m/>
    <m/>
    <m/>
    <n v="0"/>
    <n v="0"/>
    <m/>
    <s v=""/>
    <d v="2030-01-15T00:00:00"/>
    <d v="2030-02-15T00:00:00"/>
    <m/>
    <n v="1.0333333333333334"/>
    <m/>
    <n v="0"/>
  </r>
  <r>
    <s v="CILAOS 3 MARES - AI 2154 LLS"/>
    <s v="Cilaos"/>
    <s v="CIVIS"/>
    <x v="9"/>
    <m/>
    <m/>
    <m/>
    <m/>
    <s v="Faisa"/>
    <m/>
    <x v="1"/>
    <n v="13"/>
    <n v="13"/>
    <n v="13"/>
    <m/>
    <m/>
    <m/>
    <n v="922"/>
    <n v="1009.75"/>
    <n v="70.92307692307692"/>
    <n v="77.67307692307692"/>
    <n v="0.91309730131220601"/>
    <m/>
    <s v="propre"/>
    <s v="x"/>
    <m/>
    <n v="0"/>
    <n v="0"/>
    <n v="0"/>
    <m/>
    <m/>
    <m/>
    <n v="0"/>
    <m/>
    <m/>
    <n v="0"/>
    <s v=""/>
    <m/>
    <m/>
    <m/>
    <d v="1900-12-31T00:00:00"/>
    <m/>
    <s v="non"/>
    <n v="-1538.5333333333333"/>
    <n v="0"/>
    <n v="0"/>
    <n v="0"/>
    <d v="2025-07-15T00:00:00"/>
    <m/>
    <n v="1528.4333333333334"/>
    <n v="20"/>
    <n v="21"/>
    <m/>
    <d v="2027-03-15T00:00:00"/>
    <d v="2027-04-15T00:00:00"/>
    <d v="2028-04-15T00:00:00"/>
    <n v="1.0333333333333334"/>
    <m/>
    <m/>
    <m/>
    <m/>
    <n v="0"/>
    <n v="0"/>
    <m/>
    <s v=""/>
    <d v="2027-04-15T00:00:00"/>
    <d v="2027-05-15T00:00:00"/>
    <m/>
    <n v="1"/>
    <m/>
    <n v="0"/>
  </r>
  <r>
    <s v="CILAOS 3 MARES - AI 2154 LLTS"/>
    <s v="Cilaos"/>
    <s v="CIVIS"/>
    <x v="9"/>
    <m/>
    <m/>
    <m/>
    <m/>
    <s v="Faisa"/>
    <m/>
    <x v="0"/>
    <n v="22"/>
    <n v="22"/>
    <m/>
    <n v="22"/>
    <m/>
    <m/>
    <n v="1122"/>
    <n v="1270.5"/>
    <n v="51"/>
    <n v="57.75"/>
    <n v="0.88311688311688308"/>
    <m/>
    <s v="propre"/>
    <s v="x"/>
    <m/>
    <n v="0"/>
    <n v="0"/>
    <n v="0"/>
    <m/>
    <m/>
    <m/>
    <n v="0"/>
    <m/>
    <m/>
    <n v="0"/>
    <s v=""/>
    <m/>
    <m/>
    <m/>
    <d v="1900-12-31T00:00:00"/>
    <m/>
    <s v="non"/>
    <n v="-1538.5333333333333"/>
    <n v="0"/>
    <n v="0"/>
    <n v="0"/>
    <d v="2025-07-15T00:00:00"/>
    <m/>
    <n v="1528.4333333333334"/>
    <n v="20"/>
    <n v="21"/>
    <m/>
    <d v="2027-03-15T00:00:00"/>
    <d v="2027-04-15T00:00:00"/>
    <d v="2028-04-15T00:00:00"/>
    <n v="1.0333333333333334"/>
    <m/>
    <m/>
    <m/>
    <m/>
    <n v="0"/>
    <n v="0"/>
    <m/>
    <s v=""/>
    <d v="2027-04-15T00:00:00"/>
    <d v="2027-05-15T00:00:00"/>
    <m/>
    <n v="1"/>
    <m/>
    <n v="0"/>
  </r>
  <r>
    <s v="CILAOS AH 901 LLS"/>
    <s v="Cilaos"/>
    <s v="CIVIS"/>
    <x v="9"/>
    <m/>
    <m/>
    <m/>
    <m/>
    <s v="Faisa"/>
    <m/>
    <x v="1"/>
    <n v="11"/>
    <n v="11"/>
    <n v="11"/>
    <m/>
    <m/>
    <m/>
    <n v="760"/>
    <n v="897.5"/>
    <n v="69.090909090909093"/>
    <n v="81.590909090909093"/>
    <n v="0.84679665738161558"/>
    <m/>
    <s v="propre"/>
    <s v="x"/>
    <m/>
    <n v="0"/>
    <n v="0"/>
    <n v="0"/>
    <m/>
    <m/>
    <m/>
    <n v="0"/>
    <m/>
    <m/>
    <n v="0"/>
    <s v=""/>
    <m/>
    <m/>
    <m/>
    <d v="1900-12-31T00:00:00"/>
    <m/>
    <s v="non"/>
    <n v="-1538.5333333333333"/>
    <n v="0"/>
    <n v="0"/>
    <n v="0"/>
    <d v="2025-07-15T00:00:00"/>
    <m/>
    <n v="1528.4333333333334"/>
    <n v="20"/>
    <n v="21"/>
    <m/>
    <d v="2027-03-15T00:00:00"/>
    <d v="2027-04-15T00:00:00"/>
    <d v="2028-04-15T00:00:00"/>
    <n v="1.0333333333333334"/>
    <m/>
    <m/>
    <m/>
    <m/>
    <n v="0"/>
    <n v="0"/>
    <m/>
    <s v=""/>
    <d v="2027-04-15T00:00:00"/>
    <d v="2027-05-15T00:00:00"/>
    <m/>
    <n v="1"/>
    <m/>
    <n v="0"/>
  </r>
  <r>
    <s v="CILAOS AH 901 LLTS"/>
    <s v="Cilaos"/>
    <s v="CIVIS"/>
    <x v="9"/>
    <m/>
    <m/>
    <m/>
    <m/>
    <s v="Faisa"/>
    <m/>
    <x v="0"/>
    <n v="6"/>
    <n v="6"/>
    <m/>
    <n v="6"/>
    <m/>
    <m/>
    <n v="306"/>
    <n v="381"/>
    <n v="51"/>
    <n v="63.5"/>
    <n v="0.80314960629921262"/>
    <m/>
    <s v="propre"/>
    <s v="x"/>
    <m/>
    <n v="0"/>
    <n v="0"/>
    <n v="0"/>
    <m/>
    <m/>
    <m/>
    <n v="0"/>
    <m/>
    <m/>
    <n v="0"/>
    <s v=""/>
    <m/>
    <m/>
    <m/>
    <d v="1900-12-31T00:00:00"/>
    <m/>
    <s v="non"/>
    <n v="-1538.5333333333333"/>
    <n v="0"/>
    <n v="0"/>
    <n v="0"/>
    <d v="2025-07-15T00:00:00"/>
    <m/>
    <n v="1528.4333333333334"/>
    <n v="20"/>
    <n v="21"/>
    <m/>
    <d v="2027-03-15T00:00:00"/>
    <d v="2027-04-15T00:00:00"/>
    <d v="2028-04-15T00:00:00"/>
    <n v="1.0333333333333334"/>
    <m/>
    <m/>
    <m/>
    <m/>
    <n v="0"/>
    <n v="0"/>
    <m/>
    <s v=""/>
    <d v="2027-04-15T00:00:00"/>
    <d v="2027-05-15T00:00:00"/>
    <m/>
    <n v="1"/>
    <m/>
    <n v="0"/>
  </r>
  <r>
    <s v="PAPYRUS "/>
    <s v="Etang-Salé"/>
    <s v="CIVIS"/>
    <x v="9"/>
    <s v="PRLC 0199"/>
    <s v="LLA"/>
    <m/>
    <s v="MMA"/>
    <s v="stand by"/>
    <m/>
    <x v="1"/>
    <n v="22"/>
    <n v="22"/>
    <n v="22"/>
    <m/>
    <m/>
    <m/>
    <n v="1172.1600000000001"/>
    <n v="1446.71"/>
    <n v="53.28"/>
    <n v="65.75954545454546"/>
    <n v="0.81022457852644969"/>
    <n v="523.54"/>
    <s v="propre"/>
    <s v="x"/>
    <m/>
    <n v="0"/>
    <n v="0"/>
    <n v="0"/>
    <d v="2018-03-30T00:00:00"/>
    <d v="2018-08-22T00:00:00"/>
    <m/>
    <n v="4.833333333333333"/>
    <m/>
    <m/>
    <n v="0"/>
    <s v=""/>
    <m/>
    <m/>
    <m/>
    <d v="1900-12-31T00:00:00"/>
    <m/>
    <s v="oui"/>
    <n v="-1538.5333333333333"/>
    <n v="-26596625.733333334"/>
    <n v="-26596625.733333334"/>
    <n v="26596625.733333334"/>
    <d v="2025-09-15T00:00:00"/>
    <m/>
    <n v="86.033333333333331"/>
    <n v="18"/>
    <n v="19"/>
    <m/>
    <d v="2027-03-15T00:00:00"/>
    <d v="2027-04-15T00:00:00"/>
    <d v="2028-04-15T00:00:00"/>
    <n v="1.0333333333333334"/>
    <m/>
    <m/>
    <m/>
    <m/>
    <n v="0"/>
    <n v="0"/>
    <m/>
    <s v=""/>
    <d v="2027-04-15T00:00:00"/>
    <d v="2027-05-15T00:00:00"/>
    <m/>
    <n v="1"/>
    <n v="17287"/>
    <n v="17287"/>
  </r>
  <r>
    <s v="Cœur de Village 45"/>
    <s v="St Joseph"/>
    <s v="CA SUD"/>
    <x v="9"/>
    <m/>
    <m/>
    <m/>
    <m/>
    <m/>
    <m/>
    <x v="3"/>
    <n v="45"/>
    <n v="0"/>
    <m/>
    <m/>
    <m/>
    <n v="45"/>
    <m/>
    <m/>
    <n v="0"/>
    <n v="0"/>
    <n v="0"/>
    <m/>
    <m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d v="2026-11-23T00:00:00"/>
    <m/>
    <n v="1544.9666666666667"/>
    <n v="12"/>
    <n v="13"/>
    <m/>
    <d v="2027-11-23T00:00:00"/>
    <d v="2027-12-23T00:00:00"/>
    <d v="2028-12-23T00:00:00"/>
    <n v="1"/>
    <m/>
    <m/>
    <m/>
    <m/>
    <n v="0"/>
    <n v="0"/>
    <m/>
    <s v=""/>
    <d v="2027-12-23T00:00:00"/>
    <d v="2028-01-23T00:00:00"/>
    <m/>
    <n v="1.0333333333333334"/>
    <m/>
    <s v=""/>
  </r>
  <r>
    <s v="Lacaussade 2"/>
    <s v="St Joseph"/>
    <s v="CA SUD"/>
    <x v="9"/>
    <m/>
    <m/>
    <m/>
    <m/>
    <m/>
    <m/>
    <x v="3"/>
    <n v="12"/>
    <n v="0"/>
    <m/>
    <m/>
    <m/>
    <n v="12"/>
    <m/>
    <m/>
    <n v="0"/>
    <n v="0"/>
    <n v="0"/>
    <m/>
    <m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d v="2026-11-23T00:00:00"/>
    <m/>
    <n v="1544.9666666666667"/>
    <n v="12"/>
    <n v="13"/>
    <m/>
    <d v="2027-11-23T00:00:00"/>
    <d v="2027-12-23T00:00:00"/>
    <d v="2028-12-23T00:00:00"/>
    <n v="1"/>
    <m/>
    <m/>
    <m/>
    <m/>
    <n v="0"/>
    <n v="0"/>
    <m/>
    <s v=""/>
    <d v="2027-12-23T00:00:00"/>
    <d v="2028-01-23T00:00:00"/>
    <m/>
    <n v="1.0333333333333334"/>
    <m/>
    <s v=""/>
  </r>
  <r>
    <s v="Sentier Belda"/>
    <s v="Avirons"/>
    <s v="CIVIS"/>
    <x v="9"/>
    <m/>
    <m/>
    <m/>
    <m/>
    <m/>
    <m/>
    <x v="3"/>
    <n v="29"/>
    <n v="0"/>
    <m/>
    <m/>
    <m/>
    <n v="29"/>
    <m/>
    <m/>
    <n v="0"/>
    <n v="0"/>
    <n v="0"/>
    <m/>
    <m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d v="2026-11-23T00:00:00"/>
    <m/>
    <n v="1544.9666666666667"/>
    <n v="12"/>
    <n v="13"/>
    <m/>
    <d v="2027-11-23T00:00:00"/>
    <d v="2027-12-23T00:00:00"/>
    <d v="2028-12-23T00:00:00"/>
    <n v="1"/>
    <m/>
    <m/>
    <m/>
    <m/>
    <n v="0"/>
    <n v="0"/>
    <m/>
    <s v=""/>
    <d v="2027-12-23T00:00:00"/>
    <d v="2028-01-23T00:00:00"/>
    <m/>
    <n v="1.0333333333333334"/>
    <m/>
    <s v=""/>
  </r>
  <r>
    <s v="Vincendo Bras Panon"/>
    <s v="St Joseph"/>
    <s v="CA SUD"/>
    <x v="9"/>
    <m/>
    <m/>
    <m/>
    <m/>
    <m/>
    <m/>
    <x v="3"/>
    <n v="32"/>
    <n v="0"/>
    <m/>
    <m/>
    <m/>
    <n v="32"/>
    <m/>
    <m/>
    <n v="0"/>
    <n v="0"/>
    <n v="0"/>
    <m/>
    <m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d v="2026-11-23T00:00:00"/>
    <m/>
    <n v="1544.9666666666667"/>
    <n v="12"/>
    <n v="13"/>
    <m/>
    <d v="2027-11-23T00:00:00"/>
    <d v="2027-12-23T00:00:00"/>
    <d v="2028-12-23T00:00:00"/>
    <n v="1"/>
    <m/>
    <m/>
    <m/>
    <m/>
    <n v="0"/>
    <n v="0"/>
    <m/>
    <s v=""/>
    <d v="2027-12-23T00:00:00"/>
    <d v="2028-01-23T00:00:00"/>
    <m/>
    <n v="1.0333333333333334"/>
    <m/>
    <s v=""/>
  </r>
  <r>
    <s v="CASTOR"/>
    <s v="Tampon"/>
    <s v="CA SUD"/>
    <x v="9"/>
    <m/>
    <m/>
    <m/>
    <m/>
    <s v="Faisa"/>
    <s v="BK 687 - 688 - 376p"/>
    <x v="0"/>
    <n v="90"/>
    <n v="90"/>
    <m/>
    <n v="90"/>
    <m/>
    <m/>
    <m/>
    <m/>
    <n v="0"/>
    <n v="0"/>
    <n v="0"/>
    <m/>
    <s v="propre"/>
    <m/>
    <m/>
    <n v="0"/>
    <s v="-"/>
    <n v="0"/>
    <m/>
    <m/>
    <m/>
    <n v="0"/>
    <m/>
    <m/>
    <n v="0"/>
    <s v=""/>
    <m/>
    <m/>
    <m/>
    <d v="1900-12-31T00:00:00"/>
    <m/>
    <s v="non"/>
    <n v="-1561.9"/>
    <n v="0"/>
    <n v="0"/>
    <n v="0"/>
    <d v="2027-06-15T00:00:00"/>
    <m/>
    <n v="1551.7666666666667"/>
    <n v="20"/>
    <n v="21"/>
    <m/>
    <d v="2029-02-15T00:00:00"/>
    <d v="2029-03-15T00:00:00"/>
    <d v="2030-03-15T00:00:00"/>
    <n v="0.93333333333333335"/>
    <m/>
    <m/>
    <m/>
    <m/>
    <n v="0"/>
    <n v="0"/>
    <m/>
    <s v=""/>
    <d v="2029-03-15T00:00:00"/>
    <d v="2029-04-15T00:00:00"/>
    <m/>
    <n v="1.0333333333333334"/>
    <m/>
    <n v="0"/>
  </r>
  <r>
    <s v="CILAOS AH 568 LLS"/>
    <s v="Cilaos"/>
    <s v="CIVIS"/>
    <x v="12"/>
    <s v="PRLC 0248"/>
    <s v="LCYC"/>
    <m/>
    <s v="DAM"/>
    <s v="Faisa"/>
    <s v="AH 568 - 779 - 278 - 279 - 802 -8"/>
    <x v="1"/>
    <n v="28"/>
    <n v="28"/>
    <n v="28"/>
    <m/>
    <m/>
    <m/>
    <n v="1726"/>
    <n v="1887.5"/>
    <n v="61.642857142857146"/>
    <n v="67.410714285714292"/>
    <n v="0.91443708609271523"/>
    <m/>
    <s v="propre"/>
    <s v="x"/>
    <m/>
    <n v="0"/>
    <n v="0"/>
    <n v="0"/>
    <m/>
    <m/>
    <m/>
    <n v="0"/>
    <m/>
    <m/>
    <n v="0"/>
    <s v=""/>
    <m/>
    <m/>
    <m/>
    <d v="1900-12-31T00:00:00"/>
    <m/>
    <s v="non"/>
    <n v="-1546.7"/>
    <n v="0"/>
    <n v="0"/>
    <n v="0"/>
    <d v="2026-03-15T00:00:00"/>
    <m/>
    <n v="1536.5333333333333"/>
    <n v="20"/>
    <n v="21"/>
    <m/>
    <d v="2027-11-15T00:00:00"/>
    <d v="2027-12-15T00:00:00"/>
    <d v="2028-12-15T00:00:00"/>
    <n v="1"/>
    <m/>
    <m/>
    <m/>
    <m/>
    <n v="0"/>
    <n v="0"/>
    <m/>
    <s v=""/>
    <d v="2027-12-15T00:00:00"/>
    <d v="2028-01-15T00:00:00"/>
    <m/>
    <n v="1.0333333333333334"/>
    <m/>
    <n v="0"/>
  </r>
  <r>
    <s v="CILAOS AH 568 LLTS"/>
    <s v="Cilaos"/>
    <s v="CIVIS"/>
    <x v="12"/>
    <s v="PRLC 0248"/>
    <m/>
    <m/>
    <m/>
    <s v="Faisa"/>
    <s v="AH 568 - 779 - 278 - 279 - 802 -8"/>
    <x v="0"/>
    <n v="9"/>
    <n v="9"/>
    <m/>
    <n v="9"/>
    <m/>
    <m/>
    <n v="342"/>
    <n v="382.75"/>
    <n v="38"/>
    <n v="42.527777777777779"/>
    <n v="0.89353363814500331"/>
    <m/>
    <s v="propre"/>
    <s v="x"/>
    <m/>
    <n v="0"/>
    <n v="0"/>
    <n v="0"/>
    <m/>
    <m/>
    <m/>
    <n v="0"/>
    <m/>
    <m/>
    <n v="0"/>
    <s v=""/>
    <m/>
    <m/>
    <m/>
    <d v="1900-12-31T00:00:00"/>
    <m/>
    <s v="non"/>
    <n v="-1546.7"/>
    <n v="0"/>
    <n v="0"/>
    <n v="0"/>
    <d v="2026-03-15T00:00:00"/>
    <m/>
    <n v="1536.5333333333333"/>
    <n v="20"/>
    <n v="21"/>
    <m/>
    <d v="2027-11-15T00:00:00"/>
    <d v="2027-12-15T00:00:00"/>
    <d v="2028-12-15T00:00:00"/>
    <n v="1"/>
    <m/>
    <m/>
    <m/>
    <m/>
    <n v="0"/>
    <n v="0"/>
    <m/>
    <s v=""/>
    <d v="2027-12-15T00:00:00"/>
    <d v="2028-01-15T00:00:00"/>
    <m/>
    <n v="1.0333333333333334"/>
    <m/>
    <n v="0"/>
  </r>
  <r>
    <s v="GALLIEN"/>
    <s v="St Philippe"/>
    <s v="CA SUD"/>
    <x v="13"/>
    <m/>
    <m/>
    <m/>
    <m/>
    <s v="Faisa"/>
    <s v="AT 72"/>
    <x v="0"/>
    <n v="35"/>
    <n v="35"/>
    <m/>
    <n v="35"/>
    <m/>
    <m/>
    <m/>
    <m/>
    <n v="0"/>
    <n v="0"/>
    <n v="0"/>
    <m/>
    <s v="propre"/>
    <s v="x"/>
    <m/>
    <n v="0"/>
    <s v="-"/>
    <n v="0"/>
    <m/>
    <m/>
    <m/>
    <n v="0"/>
    <m/>
    <m/>
    <n v="0"/>
    <s v=""/>
    <m/>
    <m/>
    <m/>
    <d v="1900-12-31T00:00:00"/>
    <m/>
    <s v="non"/>
    <n v="-1548.2333333333333"/>
    <n v="0"/>
    <n v="0"/>
    <n v="0"/>
    <d v="2026-09-01T00:00:00"/>
    <m/>
    <n v="1542.2"/>
    <n v="16"/>
    <n v="17"/>
    <m/>
    <d v="2028-01-01T00:00:00"/>
    <d v="2028-02-01T00:00:00"/>
    <d v="2029-02-01T00:00:00"/>
    <n v="1.0333333333333334"/>
    <m/>
    <m/>
    <m/>
    <m/>
    <n v="0"/>
    <n v="0"/>
    <m/>
    <s v=""/>
    <d v="2028-02-01T00:00:00"/>
    <d v="2028-03-01T00:00:00"/>
    <m/>
    <n v="0.96666666666666667"/>
    <m/>
    <n v="0"/>
  </r>
  <r>
    <s v="AV 120 - 124"/>
    <s v="Etang-Salé"/>
    <s v="CIVIS"/>
    <x v="13"/>
    <m/>
    <m/>
    <m/>
    <m/>
    <s v="Faisa"/>
    <s v="AV 120"/>
    <x v="0"/>
    <n v="88"/>
    <n v="88"/>
    <m/>
    <n v="88"/>
    <m/>
    <m/>
    <m/>
    <m/>
    <n v="0"/>
    <n v="0"/>
    <n v="0"/>
    <m/>
    <s v="propre"/>
    <s v="x"/>
    <m/>
    <n v="0"/>
    <s v="-"/>
    <n v="0"/>
    <m/>
    <m/>
    <m/>
    <n v="0"/>
    <m/>
    <m/>
    <n v="0"/>
    <s v=""/>
    <m/>
    <m/>
    <m/>
    <d v="1900-12-31T00:00:00"/>
    <m/>
    <s v="non"/>
    <n v="-1550.2666666666667"/>
    <n v="0"/>
    <n v="0"/>
    <n v="0"/>
    <d v="2026-09-01T00:00:00"/>
    <m/>
    <n v="1542.2"/>
    <n v="18"/>
    <n v="19"/>
    <m/>
    <d v="2028-03-01T00:00:00"/>
    <d v="2028-04-01T00:00:00"/>
    <d v="2029-04-01T00:00:00"/>
    <n v="1.0333333333333334"/>
    <m/>
    <m/>
    <m/>
    <m/>
    <n v="0"/>
    <n v="0"/>
    <m/>
    <s v=""/>
    <d v="2028-04-01T00:00:00"/>
    <d v="2028-05-01T00:00:00"/>
    <m/>
    <n v="1"/>
    <m/>
    <n v="0"/>
  </r>
  <r>
    <s v="Benjoins 2"/>
    <s v="Entre-Deux"/>
    <s v="CA SUD"/>
    <x v="10"/>
    <m/>
    <m/>
    <m/>
    <m/>
    <m/>
    <m/>
    <x v="3"/>
    <n v="14"/>
    <n v="0"/>
    <m/>
    <m/>
    <m/>
    <n v="14"/>
    <m/>
    <m/>
    <n v="0"/>
    <n v="0"/>
    <n v="0"/>
    <m/>
    <m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d v="2027-09-01T00:00:00"/>
    <m/>
    <n v="1554.3666666666666"/>
    <n v="12"/>
    <n v="13"/>
    <m/>
    <d v="2028-09-01T00:00:00"/>
    <d v="2028-10-01T00:00:00"/>
    <d v="2029-10-01T00:00:00"/>
    <n v="1"/>
    <m/>
    <m/>
    <m/>
    <m/>
    <n v="0"/>
    <n v="0"/>
    <m/>
    <s v=""/>
    <d v="2028-10-01T00:00:00"/>
    <d v="2028-11-01T00:00:00"/>
    <m/>
    <n v="1.0333333333333334"/>
    <m/>
    <s v=""/>
  </r>
  <r>
    <s v="VEFA DELEFLIE POINTEVIN"/>
    <s v="Tampon"/>
    <s v="CA SUD"/>
    <x v="9"/>
    <m/>
    <m/>
    <m/>
    <m/>
    <s v="Faisa"/>
    <s v="AK 1137"/>
    <x v="0"/>
    <n v="70"/>
    <n v="70"/>
    <n v="35"/>
    <n v="35"/>
    <m/>
    <m/>
    <m/>
    <m/>
    <n v="0"/>
    <n v="0"/>
    <n v="0"/>
    <m/>
    <s v="VEFA"/>
    <m/>
    <m/>
    <n v="0"/>
    <s v="-"/>
    <n v="0"/>
    <m/>
    <m/>
    <m/>
    <n v="0"/>
    <m/>
    <m/>
    <n v="0"/>
    <s v=""/>
    <m/>
    <m/>
    <m/>
    <d v="1900-12-31T00:00:00"/>
    <m/>
    <s v="non"/>
    <n v="-1561.9"/>
    <n v="0"/>
    <n v="0"/>
    <n v="0"/>
    <d v="2027-06-15T00:00:00"/>
    <m/>
    <n v="1551.7666666666667"/>
    <n v="20"/>
    <n v="21"/>
    <m/>
    <d v="2029-02-15T00:00:00"/>
    <d v="2029-03-15T00:00:00"/>
    <d v="2030-03-15T00:00:00"/>
    <n v="0.93333333333333335"/>
    <d v="2029-03-15T00:00:00"/>
    <d v="2029-03-15T00:00:00"/>
    <d v="2029-03-15T00:00:00"/>
    <d v="2029-03-15T00:00:00"/>
    <n v="0"/>
    <n v="0"/>
    <m/>
    <s v=""/>
    <d v="2029-04-15T00:00:00"/>
    <d v="2029-04-15T00:00:00"/>
    <m/>
    <n v="0"/>
    <m/>
    <n v="0"/>
  </r>
  <r>
    <s v="Les Lianes Ecole"/>
    <s v="St Joseph"/>
    <s v="CA SUD"/>
    <x v="10"/>
    <m/>
    <m/>
    <m/>
    <m/>
    <m/>
    <m/>
    <x v="3"/>
    <n v="16"/>
    <n v="0"/>
    <m/>
    <m/>
    <m/>
    <n v="16"/>
    <m/>
    <m/>
    <n v="0"/>
    <n v="0"/>
    <n v="0"/>
    <m/>
    <m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d v="2027-09-01T00:00:00"/>
    <m/>
    <n v="1554.3666666666666"/>
    <n v="12"/>
    <n v="13"/>
    <m/>
    <d v="2028-09-01T00:00:00"/>
    <d v="2028-10-01T00:00:00"/>
    <d v="2029-10-01T00:00:00"/>
    <n v="1"/>
    <m/>
    <m/>
    <m/>
    <m/>
    <n v="0"/>
    <n v="0"/>
    <m/>
    <s v=""/>
    <d v="2028-10-01T00:00:00"/>
    <d v="2028-11-01T00:00:00"/>
    <m/>
    <n v="1.0333333333333334"/>
    <m/>
    <s v=""/>
  </r>
  <r>
    <s v="Lotrobor 1"/>
    <s v="Avirons"/>
    <s v="CIVIS"/>
    <x v="10"/>
    <m/>
    <m/>
    <m/>
    <m/>
    <m/>
    <m/>
    <x v="3"/>
    <n v="48"/>
    <n v="0"/>
    <m/>
    <m/>
    <m/>
    <n v="48"/>
    <m/>
    <m/>
    <n v="0"/>
    <n v="0"/>
    <n v="0"/>
    <m/>
    <m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d v="2027-09-01T00:00:00"/>
    <m/>
    <n v="1554.3666666666666"/>
    <n v="12"/>
    <n v="13"/>
    <m/>
    <d v="2028-09-01T00:00:00"/>
    <d v="2028-10-01T00:00:00"/>
    <d v="2029-10-01T00:00:00"/>
    <n v="1"/>
    <m/>
    <m/>
    <m/>
    <m/>
    <n v="0"/>
    <n v="0"/>
    <m/>
    <s v=""/>
    <d v="2028-10-01T00:00:00"/>
    <d v="2028-11-01T00:00:00"/>
    <m/>
    <n v="1.0333333333333334"/>
    <m/>
    <s v=""/>
  </r>
  <r>
    <s v="Tourterelles"/>
    <s v="Etang-Salé"/>
    <s v="CIVIS"/>
    <x v="10"/>
    <m/>
    <m/>
    <m/>
    <m/>
    <m/>
    <m/>
    <x v="3"/>
    <n v="44"/>
    <n v="0"/>
    <m/>
    <m/>
    <m/>
    <n v="44"/>
    <m/>
    <m/>
    <n v="0"/>
    <n v="0"/>
    <n v="0"/>
    <m/>
    <m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d v="2027-09-01T00:00:00"/>
    <m/>
    <n v="1554.3666666666666"/>
    <n v="12"/>
    <n v="13"/>
    <m/>
    <d v="2028-09-01T00:00:00"/>
    <d v="2028-10-01T00:00:00"/>
    <d v="2029-10-01T00:00:00"/>
    <n v="1"/>
    <m/>
    <m/>
    <m/>
    <m/>
    <n v="0"/>
    <n v="0"/>
    <m/>
    <s v=""/>
    <d v="2028-10-01T00:00:00"/>
    <d v="2028-11-01T00:00:00"/>
    <m/>
    <n v="1.0333333333333334"/>
    <m/>
    <s v=""/>
  </r>
  <r>
    <s v="Usine à Vetyver 2"/>
    <s v="St Joseph"/>
    <s v="CA SUD"/>
    <x v="10"/>
    <m/>
    <m/>
    <m/>
    <m/>
    <m/>
    <m/>
    <x v="3"/>
    <n v="28"/>
    <n v="0"/>
    <m/>
    <m/>
    <m/>
    <n v="28"/>
    <m/>
    <m/>
    <n v="0"/>
    <n v="0"/>
    <n v="0"/>
    <m/>
    <m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d v="2027-09-01T00:00:00"/>
    <m/>
    <n v="1554.3666666666666"/>
    <n v="12"/>
    <n v="13"/>
    <m/>
    <d v="2028-09-01T00:00:00"/>
    <d v="2028-10-01T00:00:00"/>
    <d v="2029-10-01T00:00:00"/>
    <n v="1"/>
    <m/>
    <m/>
    <m/>
    <m/>
    <n v="0"/>
    <n v="0"/>
    <m/>
    <s v=""/>
    <d v="2028-10-01T00:00:00"/>
    <d v="2028-11-01T00:00:00"/>
    <m/>
    <n v="1.0333333333333334"/>
    <m/>
    <s v=""/>
  </r>
  <r>
    <s v="Molière"/>
    <s v="Tampon"/>
    <s v="CA SUD"/>
    <x v="10"/>
    <m/>
    <m/>
    <m/>
    <m/>
    <m/>
    <m/>
    <x v="3"/>
    <n v="93"/>
    <n v="0"/>
    <m/>
    <m/>
    <m/>
    <n v="93"/>
    <m/>
    <m/>
    <n v="0"/>
    <n v="0"/>
    <n v="0"/>
    <m/>
    <m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d v="2026-11-23T00:00:00"/>
    <m/>
    <n v="1544.9666666666667"/>
    <n v="12"/>
    <n v="13"/>
    <m/>
    <d v="2027-11-23T00:00:00"/>
    <d v="2027-12-23T00:00:00"/>
    <d v="2028-12-23T00:00:00"/>
    <n v="1"/>
    <m/>
    <m/>
    <m/>
    <m/>
    <n v="0"/>
    <n v="0"/>
    <m/>
    <s v=""/>
    <d v="2027-12-23T00:00:00"/>
    <d v="2028-01-23T00:00:00"/>
    <m/>
    <n v="1.0333333333333334"/>
    <m/>
    <s v=""/>
  </r>
  <r>
    <s v="Concession Dijoux"/>
    <s v="Tampon"/>
    <s v="CA SUD"/>
    <x v="10"/>
    <m/>
    <m/>
    <m/>
    <m/>
    <m/>
    <m/>
    <x v="3"/>
    <n v="24"/>
    <n v="0"/>
    <m/>
    <m/>
    <m/>
    <n v="24"/>
    <m/>
    <m/>
    <n v="0"/>
    <n v="0"/>
    <n v="0"/>
    <m/>
    <m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d v="2027-09-01T00:00:00"/>
    <m/>
    <n v="1554.3666666666666"/>
    <n v="12"/>
    <n v="13"/>
    <m/>
    <d v="2028-09-01T00:00:00"/>
    <d v="2028-10-01T00:00:00"/>
    <d v="2029-10-01T00:00:00"/>
    <n v="1"/>
    <m/>
    <m/>
    <m/>
    <m/>
    <n v="0"/>
    <n v="0"/>
    <m/>
    <s v=""/>
    <d v="2028-10-01T00:00:00"/>
    <d v="2028-11-01T00:00:00"/>
    <m/>
    <n v="1.0333333333333334"/>
    <m/>
    <s v=""/>
  </r>
  <r>
    <s v="Kerbel"/>
    <s v="Avirons"/>
    <s v="CIVIS"/>
    <x v="14"/>
    <m/>
    <m/>
    <m/>
    <m/>
    <m/>
    <m/>
    <x v="3"/>
    <n v="36"/>
    <n v="0"/>
    <m/>
    <m/>
    <m/>
    <n v="36"/>
    <m/>
    <m/>
    <n v="0"/>
    <n v="0"/>
    <n v="0"/>
    <m/>
    <m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d v="2028-09-01T00:00:00"/>
    <m/>
    <n v="1566.5666666666666"/>
    <n v="12"/>
    <n v="13"/>
    <m/>
    <d v="2029-09-01T00:00:00"/>
    <d v="2029-10-01T00:00:00"/>
    <d v="2030-10-01T00:00:00"/>
    <n v="1"/>
    <m/>
    <m/>
    <m/>
    <m/>
    <n v="0"/>
    <n v="0"/>
    <m/>
    <s v=""/>
    <d v="2029-10-01T00:00:00"/>
    <d v="2029-11-01T00:00:00"/>
    <m/>
    <n v="1.0333333333333334"/>
    <m/>
    <s v=""/>
  </r>
  <r>
    <s v="Les Ombrières"/>
    <s v="St Joseph"/>
    <s v="CA SUD"/>
    <x v="14"/>
    <m/>
    <m/>
    <m/>
    <m/>
    <m/>
    <m/>
    <x v="3"/>
    <n v="54"/>
    <n v="0"/>
    <m/>
    <m/>
    <m/>
    <n v="54"/>
    <m/>
    <m/>
    <n v="0"/>
    <n v="0"/>
    <n v="0"/>
    <m/>
    <m/>
    <s v="x"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d v="2028-09-01T00:00:00"/>
    <m/>
    <n v="1566.5666666666666"/>
    <n v="12"/>
    <n v="13"/>
    <m/>
    <d v="2029-09-01T00:00:00"/>
    <d v="2029-10-01T00:00:00"/>
    <d v="2030-10-01T00:00:00"/>
    <n v="1"/>
    <m/>
    <m/>
    <m/>
    <m/>
    <n v="0"/>
    <n v="0"/>
    <m/>
    <s v=""/>
    <d v="2029-10-01T00:00:00"/>
    <d v="2029-11-01T00:00:00"/>
    <m/>
    <n v="1.0333333333333334"/>
    <m/>
    <s v=""/>
  </r>
  <r>
    <s v="Santolines"/>
    <s v="Tampon"/>
    <s v="CA SUD"/>
    <x v="14"/>
    <m/>
    <m/>
    <m/>
    <m/>
    <m/>
    <m/>
    <x v="3"/>
    <n v="29"/>
    <n v="0"/>
    <m/>
    <m/>
    <m/>
    <n v="29"/>
    <m/>
    <m/>
    <n v="0"/>
    <n v="0"/>
    <n v="0"/>
    <m/>
    <m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d v="2028-09-01T00:00:00"/>
    <m/>
    <n v="1566.5666666666666"/>
    <n v="12"/>
    <n v="13"/>
    <m/>
    <d v="2029-09-01T00:00:00"/>
    <d v="2029-10-01T00:00:00"/>
    <d v="2030-10-01T00:00:00"/>
    <n v="1"/>
    <m/>
    <m/>
    <m/>
    <m/>
    <n v="0"/>
    <n v="0"/>
    <m/>
    <s v=""/>
    <d v="2029-10-01T00:00:00"/>
    <d v="2029-11-01T00:00:00"/>
    <m/>
    <n v="1.0333333333333334"/>
    <m/>
    <s v=""/>
  </r>
  <r>
    <s v="Sentier de la vierge"/>
    <s v="St Joseph"/>
    <s v="CA SUD"/>
    <x v="14"/>
    <m/>
    <m/>
    <m/>
    <m/>
    <m/>
    <m/>
    <x v="3"/>
    <n v="23"/>
    <n v="0"/>
    <m/>
    <m/>
    <m/>
    <n v="23"/>
    <m/>
    <m/>
    <n v="0"/>
    <n v="0"/>
    <n v="0"/>
    <m/>
    <m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d v="2028-09-01T00:00:00"/>
    <m/>
    <n v="1566.5666666666666"/>
    <n v="12"/>
    <n v="13"/>
    <m/>
    <d v="2029-09-01T00:00:00"/>
    <d v="2029-10-01T00:00:00"/>
    <d v="2030-10-01T00:00:00"/>
    <n v="1"/>
    <m/>
    <m/>
    <m/>
    <m/>
    <n v="0"/>
    <n v="0"/>
    <m/>
    <s v=""/>
    <d v="2029-10-01T00:00:00"/>
    <d v="2029-11-01T00:00:00"/>
    <m/>
    <n v="1.0333333333333334"/>
    <m/>
    <s v=""/>
  </r>
  <r>
    <s v="Troubadours"/>
    <s v="Tampon"/>
    <s v="CA SUD"/>
    <x v="14"/>
    <m/>
    <m/>
    <m/>
    <m/>
    <m/>
    <m/>
    <x v="3"/>
    <n v="55"/>
    <n v="0"/>
    <m/>
    <m/>
    <m/>
    <n v="55"/>
    <m/>
    <m/>
    <n v="0"/>
    <n v="0"/>
    <n v="0"/>
    <m/>
    <m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d v="2028-09-01T00:00:00"/>
    <m/>
    <n v="1566.5666666666666"/>
    <n v="12"/>
    <n v="13"/>
    <m/>
    <d v="2029-09-01T00:00:00"/>
    <d v="2029-10-01T00:00:00"/>
    <d v="2030-10-01T00:00:00"/>
    <n v="1"/>
    <m/>
    <m/>
    <m/>
    <m/>
    <n v="0"/>
    <n v="0"/>
    <m/>
    <s v=""/>
    <d v="2029-10-01T00:00:00"/>
    <d v="2029-11-01T00:00:00"/>
    <m/>
    <n v="1.0333333333333334"/>
    <m/>
    <s v=""/>
  </r>
  <r>
    <s v="Abdoul Hay Patel"/>
    <s v="Tampon"/>
    <s v="CA SUD"/>
    <x v="15"/>
    <m/>
    <m/>
    <m/>
    <m/>
    <m/>
    <m/>
    <x v="3"/>
    <n v="69"/>
    <n v="0"/>
    <m/>
    <m/>
    <m/>
    <n v="69"/>
    <m/>
    <m/>
    <n v="0"/>
    <n v="0"/>
    <n v="0"/>
    <m/>
    <m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d v="2029-09-01T00:00:00"/>
    <m/>
    <n v="1578.7333333333333"/>
    <n v="12"/>
    <n v="13"/>
    <m/>
    <d v="2030-09-01T00:00:00"/>
    <d v="2030-10-01T00:00:00"/>
    <d v="2031-10-01T00:00:00"/>
    <n v="1"/>
    <m/>
    <m/>
    <m/>
    <m/>
    <n v="0"/>
    <n v="0"/>
    <m/>
    <s v=""/>
    <d v="2030-10-01T00:00:00"/>
    <d v="2030-11-01T00:00:00"/>
    <m/>
    <n v="1.0333333333333334"/>
    <m/>
    <s v=""/>
  </r>
  <r>
    <s v="Don Juan 2"/>
    <s v="Tampon"/>
    <s v="CA SUD"/>
    <x v="15"/>
    <m/>
    <m/>
    <m/>
    <m/>
    <s v="Prosp"/>
    <m/>
    <x v="3"/>
    <n v="20"/>
    <n v="0"/>
    <m/>
    <m/>
    <m/>
    <n v="20"/>
    <m/>
    <m/>
    <n v="0"/>
    <n v="0"/>
    <n v="0"/>
    <m/>
    <m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d v="2029-11-23T00:00:00"/>
    <m/>
    <n v="1581.5"/>
    <n v="12"/>
    <n v="13"/>
    <m/>
    <d v="2030-11-23T00:00:00"/>
    <d v="2030-12-23T00:00:00"/>
    <d v="2031-12-23T00:00:00"/>
    <n v="1"/>
    <m/>
    <m/>
    <m/>
    <m/>
    <n v="0"/>
    <n v="0"/>
    <m/>
    <s v=""/>
    <d v="2030-12-23T00:00:00"/>
    <d v="2031-01-23T00:00:00"/>
    <m/>
    <n v="1.0333333333333334"/>
    <m/>
    <s v=""/>
  </r>
  <r>
    <s v="Source Marcel 1"/>
    <s v="Avirons"/>
    <s v="CIVIS"/>
    <x v="15"/>
    <m/>
    <m/>
    <m/>
    <m/>
    <m/>
    <m/>
    <x v="3"/>
    <n v="38"/>
    <n v="0"/>
    <m/>
    <m/>
    <m/>
    <n v="38"/>
    <m/>
    <m/>
    <n v="0"/>
    <n v="0"/>
    <n v="0"/>
    <m/>
    <m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d v="2029-09-01T00:00:00"/>
    <m/>
    <n v="1578.7333333333333"/>
    <n v="12"/>
    <n v="13"/>
    <m/>
    <d v="2030-09-01T00:00:00"/>
    <d v="2030-10-01T00:00:00"/>
    <d v="2031-10-01T00:00:00"/>
    <n v="1"/>
    <m/>
    <m/>
    <m/>
    <m/>
    <n v="0"/>
    <n v="0"/>
    <m/>
    <s v=""/>
    <d v="2030-10-01T00:00:00"/>
    <d v="2030-11-01T00:00:00"/>
    <m/>
    <n v="1.0333333333333334"/>
    <m/>
    <s v=""/>
  </r>
  <r>
    <s v="Baies Roses"/>
    <s v="Entre-Deux"/>
    <s v="CA SUD"/>
    <x v="15"/>
    <m/>
    <m/>
    <m/>
    <m/>
    <m/>
    <m/>
    <x v="3"/>
    <n v="19"/>
    <n v="0"/>
    <m/>
    <m/>
    <m/>
    <n v="19"/>
    <m/>
    <m/>
    <n v="0"/>
    <n v="0"/>
    <n v="0"/>
    <m/>
    <m/>
    <m/>
    <m/>
    <n v="0"/>
    <s v="-"/>
    <n v="0"/>
    <m/>
    <m/>
    <m/>
    <n v="0"/>
    <m/>
    <m/>
    <n v="0"/>
    <s v=""/>
    <m/>
    <m/>
    <m/>
    <d v="1900-12-31T00:00:00"/>
    <m/>
    <s v=""/>
    <n v="0"/>
    <s v=""/>
    <s v=""/>
    <n v="0"/>
    <d v="2029-11-23T00:00:00"/>
    <m/>
    <n v="1581.5"/>
    <n v="12"/>
    <n v="13"/>
    <m/>
    <d v="2030-11-23T00:00:00"/>
    <d v="2030-12-23T00:00:00"/>
    <d v="2031-12-23T00:00:00"/>
    <n v="1"/>
    <m/>
    <m/>
    <m/>
    <m/>
    <n v="0"/>
    <n v="0"/>
    <m/>
    <s v=""/>
    <d v="2030-12-23T00:00:00"/>
    <d v="2031-01-23T00:00:00"/>
    <m/>
    <n v="1.0333333333333334"/>
    <m/>
    <s v=""/>
  </r>
  <r>
    <s v="BK 1450"/>
    <s v="Tampon"/>
    <s v="CA SUD"/>
    <x v="13"/>
    <m/>
    <m/>
    <m/>
    <m/>
    <s v="Prosp"/>
    <s v="BK 1450"/>
    <x v="0"/>
    <n v="40"/>
    <n v="40"/>
    <n v="20"/>
    <n v="20"/>
    <m/>
    <m/>
    <m/>
    <m/>
    <n v="0"/>
    <n v="0"/>
    <n v="0"/>
    <m/>
    <s v="propre"/>
    <m/>
    <m/>
    <n v="0"/>
    <s v="-"/>
    <n v="0"/>
    <m/>
    <m/>
    <m/>
    <n v="0"/>
    <m/>
    <m/>
    <n v="0"/>
    <s v=""/>
    <m/>
    <m/>
    <m/>
    <d v="1900-12-31T00:00:00"/>
    <m/>
    <s v="non"/>
    <n v="12.2"/>
    <n v="0"/>
    <n v="0"/>
    <n v="0"/>
    <m/>
    <m/>
    <n v="0"/>
    <n v="20"/>
    <n v="21"/>
    <m/>
    <d v="1901-08-31T00:00:00"/>
    <d v="1901-10-01T00:00:00"/>
    <d v="1902-10-01T00:00:00"/>
    <n v="1.0333333333333334"/>
    <m/>
    <m/>
    <m/>
    <m/>
    <n v="0"/>
    <n v="0"/>
    <m/>
    <s v=""/>
    <d v="1901-09-30T00:00:00"/>
    <m/>
    <m/>
    <n v="0"/>
    <m/>
    <n v="0"/>
  </r>
  <r>
    <s v="BL 863"/>
    <s v="Tampon"/>
    <s v="CA SUD"/>
    <x v="13"/>
    <m/>
    <m/>
    <m/>
    <m/>
    <s v="Prosp"/>
    <m/>
    <x v="0"/>
    <n v="25"/>
    <n v="25"/>
    <m/>
    <n v="25"/>
    <m/>
    <m/>
    <m/>
    <m/>
    <n v="0"/>
    <n v="0"/>
    <n v="0"/>
    <m/>
    <s v="propre"/>
    <m/>
    <m/>
    <n v="0"/>
    <s v="-"/>
    <n v="0"/>
    <m/>
    <m/>
    <m/>
    <n v="0"/>
    <m/>
    <m/>
    <n v="0"/>
    <s v=""/>
    <m/>
    <m/>
    <m/>
    <d v="1900-12-31T00:00:00"/>
    <m/>
    <s v="non"/>
    <n v="12.2"/>
    <n v="0"/>
    <n v="0"/>
    <n v="0"/>
    <m/>
    <m/>
    <n v="0"/>
    <n v="20"/>
    <n v="21"/>
    <m/>
    <d v="1901-08-31T00:00:00"/>
    <d v="1901-10-01T00:00:00"/>
    <d v="1902-10-01T00:00:00"/>
    <n v="1.0333333333333334"/>
    <m/>
    <m/>
    <m/>
    <m/>
    <n v="0"/>
    <n v="0"/>
    <m/>
    <s v=""/>
    <d v="1901-09-30T00:00:00"/>
    <m/>
    <m/>
    <n v="0"/>
    <m/>
    <n v="0"/>
  </r>
  <r>
    <s v="BT 920 3 MARES"/>
    <s v="Tampon"/>
    <s v="CA SUD"/>
    <x v="13"/>
    <m/>
    <m/>
    <m/>
    <m/>
    <s v="Prosp"/>
    <s v="BT 920"/>
    <x v="0"/>
    <n v="102"/>
    <n v="102"/>
    <n v="25"/>
    <n v="25"/>
    <n v="52"/>
    <m/>
    <m/>
    <m/>
    <n v="0"/>
    <n v="0"/>
    <n v="0"/>
    <m/>
    <s v="propre"/>
    <s v="x"/>
    <m/>
    <n v="0"/>
    <s v="-"/>
    <n v="0"/>
    <m/>
    <m/>
    <m/>
    <n v="0"/>
    <m/>
    <m/>
    <n v="0"/>
    <s v=""/>
    <m/>
    <m/>
    <m/>
    <d v="1900-12-31T00:00:00"/>
    <m/>
    <s v="non"/>
    <n v="12.2"/>
    <n v="0"/>
    <n v="0"/>
    <n v="0"/>
    <m/>
    <m/>
    <n v="0"/>
    <n v="20"/>
    <n v="21"/>
    <m/>
    <d v="1901-08-31T00:00:00"/>
    <d v="1901-10-01T00:00:00"/>
    <d v="1902-10-01T00:00:00"/>
    <n v="1.0333333333333334"/>
    <m/>
    <m/>
    <m/>
    <m/>
    <n v="0"/>
    <n v="0"/>
    <m/>
    <s v=""/>
    <d v="1901-09-30T00:00:00"/>
    <m/>
    <m/>
    <n v="0"/>
    <m/>
    <n v="0"/>
  </r>
  <r>
    <s v="ETUDE URBAINE DU 23e KM - CHATAIGNERS"/>
    <s v="Tampon"/>
    <s v="CA SUD"/>
    <x v="13"/>
    <m/>
    <m/>
    <m/>
    <m/>
    <s v="Faisa"/>
    <s v="DE 22,407,408,265"/>
    <x v="0"/>
    <n v="150"/>
    <n v="150"/>
    <m/>
    <n v="150"/>
    <m/>
    <m/>
    <m/>
    <m/>
    <n v="0"/>
    <n v="0"/>
    <n v="0"/>
    <m/>
    <s v="propre"/>
    <s v="x"/>
    <m/>
    <n v="0"/>
    <s v="-"/>
    <n v="0"/>
    <m/>
    <m/>
    <m/>
    <n v="0"/>
    <m/>
    <m/>
    <n v="0"/>
    <s v=""/>
    <m/>
    <m/>
    <m/>
    <d v="1900-12-31T00:00:00"/>
    <m/>
    <s v="non"/>
    <n v="12.2"/>
    <n v="0"/>
    <n v="0"/>
    <n v="0"/>
    <m/>
    <m/>
    <n v="0"/>
    <n v="41"/>
    <n v="42"/>
    <m/>
    <d v="1903-05-31T00:00:00"/>
    <d v="1903-07-01T00:00:00"/>
    <d v="1904-07-01T00:00:00"/>
    <n v="1.0333333333333334"/>
    <m/>
    <m/>
    <m/>
    <m/>
    <n v="0"/>
    <n v="0"/>
    <m/>
    <s v=""/>
    <d v="1903-06-30T00:00:00"/>
    <m/>
    <m/>
    <n v="0"/>
    <m/>
    <n v="0"/>
  </r>
  <r>
    <s v="Eucher Pothin (CESARIA LLS)"/>
    <s v="Tampon"/>
    <s v="CA SUD"/>
    <x v="13"/>
    <m/>
    <m/>
    <m/>
    <s v="DBA"/>
    <s v="stand by"/>
    <s v="BD 2997"/>
    <x v="1"/>
    <n v="32"/>
    <n v="32"/>
    <n v="32"/>
    <m/>
    <m/>
    <m/>
    <n v="2160"/>
    <n v="2560"/>
    <n v="67.5"/>
    <n v="80"/>
    <n v="0.84375"/>
    <m/>
    <s v="propre"/>
    <s v="x"/>
    <m/>
    <n v="0"/>
    <n v="0"/>
    <n v="0"/>
    <m/>
    <m/>
    <m/>
    <n v="0"/>
    <m/>
    <m/>
    <n v="0"/>
    <s v=""/>
    <m/>
    <m/>
    <m/>
    <d v="1900-12-31T00:00:00"/>
    <m/>
    <s v="non"/>
    <n v="12.2"/>
    <n v="0"/>
    <n v="0"/>
    <n v="0"/>
    <m/>
    <m/>
    <n v="0"/>
    <n v="20"/>
    <n v="21"/>
    <m/>
    <d v="1901-08-31T00:00:00"/>
    <d v="1901-10-01T00:00:00"/>
    <d v="1902-10-01T00:00:00"/>
    <n v="1.0333333333333334"/>
    <m/>
    <m/>
    <m/>
    <m/>
    <n v="0"/>
    <n v="0"/>
    <m/>
    <s v=""/>
    <d v="1901-09-30T00:00:00"/>
    <m/>
    <m/>
    <n v="0"/>
    <m/>
    <n v="0"/>
  </r>
  <r>
    <s v="Eucher Pothin (CESARIA LLTS)"/>
    <s v="Tampon"/>
    <s v="CA SUD"/>
    <x v="13"/>
    <m/>
    <m/>
    <m/>
    <m/>
    <m/>
    <m/>
    <x v="0"/>
    <n v="18"/>
    <n v="18"/>
    <m/>
    <n v="18"/>
    <m/>
    <m/>
    <n v="912"/>
    <n v="1137"/>
    <n v="50.666666666666664"/>
    <n v="63.166666666666664"/>
    <n v="0.80211081794195249"/>
    <m/>
    <s v="propre"/>
    <s v="x"/>
    <m/>
    <n v="0"/>
    <n v="0"/>
    <n v="0"/>
    <m/>
    <m/>
    <m/>
    <n v="0"/>
    <m/>
    <m/>
    <n v="0"/>
    <s v=""/>
    <m/>
    <m/>
    <m/>
    <d v="1900-12-31T00:00:00"/>
    <m/>
    <s v="non"/>
    <n v="12.2"/>
    <n v="0"/>
    <n v="0"/>
    <n v="0"/>
    <m/>
    <m/>
    <n v="0"/>
    <n v="20"/>
    <n v="21"/>
    <m/>
    <d v="1901-08-31T00:00:00"/>
    <d v="1901-10-01T00:00:00"/>
    <d v="1902-10-01T00:00:00"/>
    <n v="1.0333333333333334"/>
    <m/>
    <m/>
    <m/>
    <m/>
    <n v="0"/>
    <n v="0"/>
    <m/>
    <s v=""/>
    <d v="1901-09-30T00:00:00"/>
    <m/>
    <m/>
    <n v="0"/>
    <m/>
    <n v="0"/>
  </r>
  <r>
    <s v="NID JOLI"/>
    <s v="Tampon"/>
    <s v="CA SUD"/>
    <x v="13"/>
    <m/>
    <m/>
    <m/>
    <m/>
    <s v="Prosp"/>
    <s v="BW 2545"/>
    <x v="1"/>
    <n v="80"/>
    <n v="80"/>
    <n v="80"/>
    <m/>
    <m/>
    <m/>
    <m/>
    <m/>
    <n v="0"/>
    <n v="0"/>
    <n v="0"/>
    <m/>
    <s v="propre"/>
    <m/>
    <m/>
    <n v="0"/>
    <s v="-"/>
    <n v="0"/>
    <m/>
    <m/>
    <m/>
    <n v="0"/>
    <m/>
    <m/>
    <n v="0"/>
    <s v=""/>
    <m/>
    <m/>
    <m/>
    <d v="1900-12-31T00:00:00"/>
    <m/>
    <s v="non"/>
    <n v="12.2"/>
    <n v="0"/>
    <n v="0"/>
    <n v="0"/>
    <m/>
    <m/>
    <n v="0"/>
    <n v="20"/>
    <n v="21"/>
    <m/>
    <d v="1901-08-31T00:00:00"/>
    <d v="1901-10-01T00:00:00"/>
    <d v="1902-10-01T00:00:00"/>
    <n v="1.0333333333333334"/>
    <m/>
    <m/>
    <m/>
    <m/>
    <n v="0"/>
    <n v="0"/>
    <m/>
    <s v=""/>
    <d v="1901-09-30T00:00:00"/>
    <m/>
    <m/>
    <n v="0"/>
    <m/>
    <n v="0"/>
  </r>
  <r>
    <s v="VEFA CROUS Tampon"/>
    <s v="Tampon"/>
    <s v="CA SUD"/>
    <x v="2"/>
    <s v="PRLC 0194"/>
    <m/>
    <m/>
    <s v="DAM"/>
    <s v="patrimoine"/>
    <s v="BW 683 p et suivants"/>
    <x v="2"/>
    <n v="100"/>
    <n v="100"/>
    <m/>
    <m/>
    <n v="100"/>
    <m/>
    <n v="1701.83"/>
    <n v="1923.47"/>
    <n v="17.0183"/>
    <n v="19.2347"/>
    <n v="0.88477075285811579"/>
    <m/>
    <s v="VEFA"/>
    <s v="x"/>
    <m/>
    <n v="0"/>
    <n v="0"/>
    <n v="0"/>
    <d v="2017-03-30T00:00:00"/>
    <d v="2018-01-02T00:00:00"/>
    <d v="2018-01-16T00:00:00"/>
    <n v="9.2666666666666675"/>
    <d v="2018-01-12T00:00:00"/>
    <d v="2018-02-13T00:00:00"/>
    <n v="1.0666666666666667"/>
    <d v="2018-03-31T00:00:00"/>
    <d v="2018-03-01T00:00:00"/>
    <d v="2018-06-01T00:00:00"/>
    <n v="24"/>
    <d v="2021-06-01T00:00:00"/>
    <n v="180630"/>
    <s v="oui"/>
    <n v="21.7"/>
    <n v="0"/>
    <n v="-180630"/>
    <n v="180630"/>
    <d v="2018-03-09T00:00:00"/>
    <n v="2018"/>
    <n v="2.2000000000000002"/>
    <n v="17"/>
    <n v="17"/>
    <d v="2018-09-05T00:00:00"/>
    <d v="2019-08-09T00:00:00"/>
    <d v="2019-08-16T00:00:00"/>
    <d v="2020-08-16T00:00:00"/>
    <n v="0.23333333333333334"/>
    <d v="2019-08-16T00:00:00"/>
    <d v="2019-08-16T00:00:00"/>
    <d v="2019-08-16T00:00:00"/>
    <d v="2019-08-16T00:00:00"/>
    <n v="0"/>
    <n v="0"/>
    <m/>
    <d v="2020-09-05T00:00:00"/>
    <d v="2019-09-16T00:00:00"/>
    <d v="2019-08-20T00:00:00"/>
    <n v="2019"/>
    <n v="0"/>
    <m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B8902FB-644F-4152-8E87-54F03CE1F5CF}" name="Tableau croisé dynamique6" cacheId="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">
  <location ref="F95:J100" firstHeaderRow="1" firstDataRow="2" firstDataCol="1"/>
  <pivotFields count="71">
    <pivotField showAll="0"/>
    <pivotField showAll="0"/>
    <pivotField showAll="0"/>
    <pivotField axis="axisRow" showAll="0">
      <items count="17">
        <item h="1" x="1"/>
        <item h="1" x="0"/>
        <item h="1" x="3"/>
        <item h="1" x="4"/>
        <item h="1" x="5"/>
        <item h="1" x="6"/>
        <item h="1" x="7"/>
        <item x="8"/>
        <item x="11"/>
        <item x="12"/>
        <item h="1" x="9"/>
        <item h="1" x="10"/>
        <item h="1" x="14"/>
        <item h="1" x="15"/>
        <item h="1" x="13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axis="axisCol" showAll="0">
      <items count="5">
        <item x="1"/>
        <item x="0"/>
        <item x="2"/>
        <item h="1" x="3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numFmtId="9" showAll="0"/>
    <pivotField showAll="0"/>
    <pivotField showAll="0"/>
    <pivotField showAll="0"/>
    <pivotField showAll="0"/>
    <pivotField numFmtId="164" showAll="0"/>
    <pivotField showAll="0"/>
    <pivotField numFmtId="164" showAll="0"/>
    <pivotField showAll="0"/>
    <pivotField showAll="0"/>
    <pivotField showAll="0"/>
    <pivotField numFmtId="3" showAll="0"/>
    <pivotField showAll="0"/>
    <pivotField showAll="0"/>
    <pivotField numFmtId="164" showAll="0"/>
    <pivotField showAll="0"/>
    <pivotField showAll="0"/>
    <pivotField showAll="0"/>
    <pivotField showAll="0"/>
    <pivotField numFmtId="166"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numFmtId="1" showAll="0"/>
    <pivotField numFmtId="1" showAll="0"/>
    <pivotField showAll="0"/>
    <pivotField showAll="0"/>
    <pivotField numFmtId="14" showAll="0"/>
    <pivotField numFmtId="166" showAll="0"/>
    <pivotField numFmtId="166" showAll="0"/>
    <pivotField numFmtId="1" showAll="0"/>
    <pivotField showAll="0"/>
    <pivotField showAll="0"/>
    <pivotField showAll="0"/>
    <pivotField showAll="0"/>
    <pivotField numFmtId="167" showAll="0"/>
    <pivotField numFmtId="164" showAll="0"/>
    <pivotField showAll="0"/>
    <pivotField showAll="0"/>
    <pivotField numFmtId="166" showAll="0"/>
    <pivotField showAll="0"/>
    <pivotField showAll="0"/>
    <pivotField showAll="0"/>
    <pivotField showAll="0"/>
    <pivotField showAll="0"/>
  </pivotFields>
  <rowFields count="1">
    <field x="3"/>
  </rowFields>
  <rowItems count="4">
    <i>
      <x v="7"/>
    </i>
    <i>
      <x v="8"/>
    </i>
    <i>
      <x v="9"/>
    </i>
    <i t="grand">
      <x/>
    </i>
  </rowItems>
  <colFields count="1">
    <field x="10"/>
  </colFields>
  <colItems count="4">
    <i>
      <x/>
    </i>
    <i>
      <x v="1"/>
    </i>
    <i>
      <x v="2"/>
    </i>
    <i t="grand">
      <x/>
    </i>
  </colItems>
  <dataFields count="1">
    <dataField name="Somme de N" fld="11" baseField="0" baseItem="0"/>
  </dataFields>
  <chartFormats count="6">
    <chartFormat chart="0" format="4" series="1">
      <pivotArea type="data" outline="0" fieldPosition="0">
        <references count="1">
          <reference field="10" count="1" selected="0">
            <x v="0"/>
          </reference>
        </references>
      </pivotArea>
    </chartFormat>
    <chartFormat chart="0" format="5" series="1">
      <pivotArea type="data" outline="0" fieldPosition="0">
        <references count="1">
          <reference field="10" count="1" selected="0">
            <x v="1"/>
          </reference>
        </references>
      </pivotArea>
    </chartFormat>
    <chartFormat chart="0" format="6" series="1">
      <pivotArea type="data" outline="0" fieldPosition="0">
        <references count="1">
          <reference field="10" count="1" selected="0">
            <x v="2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AEC2D4A-6D0D-4F1C-BAC9-B8CBC5D5D7C4}" name="Tableau croisé dynamique1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74:B79" firstHeaderRow="1" firstDataRow="1" firstDataCol="1"/>
  <pivotFields count="9">
    <pivotField showAll="0"/>
    <pivotField showAll="0"/>
    <pivotField axis="axisRow" showAll="0" sortType="descending">
      <items count="5">
        <item x="1"/>
        <item x="3"/>
        <item x="2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dataField="1" showAll="0"/>
    <pivotField showAll="0"/>
    <pivotField numFmtId="166" showAll="0"/>
    <pivotField numFmtId="166" showAll="0"/>
  </pivotFields>
  <rowFields count="1">
    <field x="2"/>
  </rowFields>
  <rowItems count="5">
    <i>
      <x/>
    </i>
    <i>
      <x v="2"/>
    </i>
    <i>
      <x v="3"/>
    </i>
    <i>
      <x v="1"/>
    </i>
    <i t="grand">
      <x/>
    </i>
  </rowItems>
  <colItems count="1">
    <i/>
  </colItems>
  <dataFields count="1">
    <dataField name="Somme de N" fld="5" baseField="2" baseItem="0" numFmtId="3"/>
  </dataFields>
  <pivotTableStyleInfo name="PivotStyleMedium1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AE3F56B-08C6-43F7-96E4-9D8F4A5A405E}" name="Tableau croisé dynamique5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2">
  <location ref="A94:B98" firstHeaderRow="1" firstDataRow="1" firstDataCol="1" rowPageCount="1" colPageCount="1"/>
  <pivotFields count="71">
    <pivotField showAll="0"/>
    <pivotField showAll="0"/>
    <pivotField showAll="0"/>
    <pivotField axis="axisRow" showAll="0">
      <items count="17">
        <item h="1" x="1"/>
        <item h="1" x="0"/>
        <item h="1" x="3"/>
        <item h="1" x="4"/>
        <item h="1" x="5"/>
        <item h="1" x="6"/>
        <item h="1" x="7"/>
        <item x="8"/>
        <item x="9"/>
        <item x="10"/>
        <item h="1" x="11"/>
        <item h="1" x="12"/>
        <item h="1" x="14"/>
        <item h="1" x="15"/>
        <item h="1" x="13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5">
        <item x="1"/>
        <item x="0"/>
        <item x="2"/>
        <item h="1" x="3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numFmtId="9" showAll="0"/>
    <pivotField showAll="0"/>
    <pivotField showAll="0"/>
    <pivotField showAll="0"/>
    <pivotField showAll="0"/>
    <pivotField numFmtId="164" showAll="0"/>
    <pivotField showAll="0"/>
    <pivotField numFmtId="164" showAll="0"/>
    <pivotField showAll="0"/>
    <pivotField showAll="0"/>
    <pivotField showAll="0"/>
    <pivotField numFmtId="3" showAll="0"/>
    <pivotField showAll="0"/>
    <pivotField showAll="0"/>
    <pivotField numFmtId="164" showAll="0"/>
    <pivotField showAll="0"/>
    <pivotField showAll="0"/>
    <pivotField showAll="0"/>
    <pivotField showAll="0"/>
    <pivotField numFmtId="166"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numFmtId="1" showAll="0"/>
    <pivotField numFmtId="1" showAll="0"/>
    <pivotField showAll="0"/>
    <pivotField showAll="0"/>
    <pivotField numFmtId="14" showAll="0"/>
    <pivotField numFmtId="166" showAll="0"/>
    <pivotField numFmtId="166" showAll="0"/>
    <pivotField numFmtId="1" showAll="0"/>
    <pivotField showAll="0"/>
    <pivotField showAll="0"/>
    <pivotField showAll="0"/>
    <pivotField showAll="0"/>
    <pivotField numFmtId="167" showAll="0"/>
    <pivotField numFmtId="164" showAll="0"/>
    <pivotField showAll="0"/>
    <pivotField showAll="0"/>
    <pivotField numFmtId="166" showAll="0"/>
    <pivotField showAll="0"/>
    <pivotField showAll="0"/>
    <pivotField showAll="0"/>
    <pivotField showAll="0"/>
    <pivotField showAll="0"/>
  </pivotFields>
  <rowFields count="1">
    <field x="3"/>
  </rowFields>
  <rowItems count="4">
    <i>
      <x v="7"/>
    </i>
    <i>
      <x v="8"/>
    </i>
    <i>
      <x v="9"/>
    </i>
    <i t="grand">
      <x/>
    </i>
  </rowItems>
  <colItems count="1">
    <i/>
  </colItems>
  <pageFields count="1">
    <pageField fld="10" hier="-1"/>
  </pageFields>
  <dataFields count="1">
    <dataField name="Somme de N" fld="11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F6BB6E-D8A3-482F-B131-47F442B13EE4}" name="Données" displayName="Données" ref="A1:AJ136" totalsRowCount="1" headerRowDxfId="68" dataDxfId="142" totalsRowDxfId="141">
  <autoFilter ref="A1:AJ135" xr:uid="{AA24B174-193E-4BC0-A7E1-008E10573B04}"/>
  <sortState xmlns:xlrd2="http://schemas.microsoft.com/office/spreadsheetml/2017/richdata2" ref="A2:AJ117">
    <sortCondition ref="D1:D117"/>
  </sortState>
  <tableColumns count="36">
    <tableColumn id="1" xr3:uid="{7907D3B4-DFEB-4967-9942-C03ACCB61BF3}" name="OPERATION" totalsRowLabel="Total" dataDxfId="140" totalsRowDxfId="139"/>
    <tableColumn id="3" xr3:uid="{C24A1FD0-324F-4943-8FD0-58219E5C656E}" name="BASSIN" dataDxfId="138" totalsRowDxfId="137"/>
    <tableColumn id="4" xr3:uid="{E53DB272-B18D-49F0-9E37-CC72AFB51EFE}" name="Prog" dataDxfId="136" totalsRowDxfId="135"/>
    <tableColumn id="11" xr3:uid="{3F6C9BDB-DF5C-404F-9447-407F2FEF8C4D}" name="TYPE" dataDxfId="134" totalsRowDxfId="133"/>
    <tableColumn id="12" xr3:uid="{9AA624E5-D765-473E-AF11-ED2430AF30CF}" name="N" totalsRowFunction="sum" dataDxfId="132" totalsRowDxfId="131">
      <calculatedColumnFormula>Données[[#This Row],[LLS]]+Données[[#This Row],[LLTS]]+Données[[#This Row],[PLS]]+Données[[#This Row],[REHAB]]</calculatedColumnFormula>
    </tableColumn>
    <tableColumn id="13" xr3:uid="{3408F4FC-941B-4CCA-A091-719880EBD6FF}" name="N hors REHAB" dataDxfId="130" totalsRowDxfId="129">
      <calculatedColumnFormula>Données[[#This Row],[LLS]]+Données[[#This Row],[LLTS]]+Données[[#This Row],[PLS]]</calculatedColumnFormula>
    </tableColumn>
    <tableColumn id="14" xr3:uid="{C08EF4AF-963A-478F-828C-6B017CC67F25}" name="LLS" dataDxfId="128" totalsRowDxfId="127"/>
    <tableColumn id="15" xr3:uid="{F0CFC7F9-EB7B-46E6-AA42-EDD4BC1B4154}" name="LLTS" dataDxfId="126" totalsRowDxfId="125"/>
    <tableColumn id="16" xr3:uid="{35E31A28-2A44-4E9E-9A34-2C82D8082DDB}" name="PLS" dataDxfId="124" totalsRowDxfId="123"/>
    <tableColumn id="17" xr3:uid="{9B36EAA1-228F-45CB-ABF2-906295B8E243}" name="REHAB" dataDxfId="122" totalsRowDxfId="121"/>
    <tableColumn id="24" xr3:uid="{76B890A1-8D1C-48FC-BB08-80C89589C364}" name="VEFA / PROPRE" dataDxfId="120" totalsRowDxfId="119" dataCellStyle="60 % - Accent1"/>
    <tableColumn id="31" xr3:uid="{45B1C9DA-4444-4C10-852B-A4CED9B3B4B3}" name="Arrêté LBU" dataDxfId="118" totalsRowDxfId="117" dataCellStyle="60 % - Accent1"/>
    <tableColumn id="47" xr3:uid="{8A108809-6787-4506-A51E-E5D2E2B320B2}" name="OS démarrage" dataDxfId="116" totalsRowDxfId="115"/>
    <tableColumn id="48" xr3:uid="{AC4CA017-5E0D-49CD-A0B9-12E25377C510}" name="ANNEE DEMARRAGE" dataDxfId="114" totalsRowDxfId="113"/>
    <tableColumn id="49" xr3:uid="{91E98A35-3744-4F33-AB6F-7A537973ACAF}" name="ECART Arrêté DEAL / OS" dataDxfId="112" totalsRowDxfId="111">
      <calculatedColumnFormula>IFERROR((DATEDIF(Données[[#This Row],[Arrêté LBU]],Données[[#This Row],[OS démarrage]],"d"))/30,0)</calculatedColumnFormula>
    </tableColumn>
    <tableColumn id="50" xr3:uid="{AC4BA437-D103-4EAF-8B82-5FBD7573EB64}" name="Délai chantier initial" dataDxfId="110" totalsRowDxfId="109"/>
    <tableColumn id="51" xr3:uid="{F9AC6D75-27DC-42AF-B4E3-055347186DC3}" name="Délai chantier réel" dataDxfId="108" totalsRowDxfId="107">
      <calculatedColumnFormula>DATEDIF(Données[[#This Row],[OS démarrage]],Données[[#This Row],[Date réception entreprise recalée]],"M")</calculatedColumnFormula>
    </tableColumn>
    <tableColumn id="52" xr3:uid="{2A933305-7C05-4BB1-A6D6-8D1099C03163}" name="Achèvement fondations" dataDxfId="106" totalsRowDxfId="105"/>
    <tableColumn id="53" xr3:uid="{B5347FA9-EA74-402A-8090-C87C3ABD981D}" name="Date réception entreprise prévue initialement" dataDxfId="104" totalsRowDxfId="103">
      <calculatedColumnFormula>EDATE(Données[[#This Row],[OS démarrage]],Données[[#This Row],[Délai chantier initial]])</calculatedColumnFormula>
    </tableColumn>
    <tableColumn id="54" xr3:uid="{80DB27C9-9228-491D-BBE1-2F46A6B04E90}" name="Date réception entreprise recalée" dataDxfId="102" totalsRowDxfId="101" dataCellStyle="Milliers"/>
    <tableColumn id="70" xr3:uid="{6086B4FD-37B9-428C-9AE5-47BF4F447176}" name="Fin GPA" dataDxfId="100" totalsRowDxfId="99" dataCellStyle="Milliers">
      <calculatedColumnFormula>EDATE(Données[[#This Row],[Date réception entreprise recalée]],12)</calculatedColumnFormula>
    </tableColumn>
    <tableColumn id="55" xr3:uid="{6BA7D608-9286-4E9E-B4C7-47F5E0F67617}" name="Retard de réception" dataDxfId="98" totalsRowDxfId="97">
      <calculatedColumnFormula>(Données[[#This Row],[Date réception entreprise recalée]]-Données[[#This Row],[Date réception entreprise prévue initialement]])/30</calculatedColumnFormula>
    </tableColumn>
    <tableColumn id="56" xr3:uid="{C3964C90-5700-4774-9AA6-A352373DF30A}" name="Date achèvement VEFA" dataDxfId="96" totalsRowDxfId="95" dataCellStyle="Milliers"/>
    <tableColumn id="57" xr3:uid="{47506088-8D44-48AC-B813-364D974785EF}" name="Date Livraison initiale VEFA" dataDxfId="94" totalsRowDxfId="93" dataCellStyle="Milliers"/>
    <tableColumn id="58" xr3:uid="{110D91D5-7741-453F-9F9C-2416BB78A768}" name="Date livraison contractuelle y/c avenant" dataDxfId="92" totalsRowDxfId="91" dataCellStyle="Milliers"/>
    <tableColumn id="59" xr3:uid="{41810D15-DE99-48B5-87E0-B5B7CDCBA088}" name="Date Livraison VEFA estimée avec retards constatés" dataDxfId="90" totalsRowDxfId="89" dataCellStyle="Milliers"/>
    <tableColumn id="60" xr3:uid="{9ACD0369-D68E-4825-A917-5FF81F1FA109}" name="Retard livraison VEFA (mois)" dataDxfId="88" totalsRowDxfId="87">
      <calculatedColumnFormula>IF(Données[[#This Row],[TYPE]]="Rehab",0,IFERROR((Données[[#This Row],[Date Livraison VEFA estimée avec retards constatés]]-Données[[#This Row],[Date livraison contractuelle y/c avenant]])/30,"-"))</calculatedColumnFormula>
    </tableColumn>
    <tableColumn id="61" xr3:uid="{BDFB5767-F598-4283-8459-33469EC064B3}" name="Retard livraison VEFA (jour)" dataDxfId="86" totalsRowDxfId="85">
      <calculatedColumnFormula>IF(Données[[#This Row],[TYPE]]="Rehab",0,Données[[#This Row],[Date Livraison VEFA estimée avec retards constatés]]-Données[[#This Row],[Date livraison contractuelle y/c avenant]])</calculatedColumnFormula>
    </tableColumn>
    <tableColumn id="71" xr3:uid="{A72D0016-5A84-4B93-AFFB-8150221F48B3}" name="DAACT" dataDxfId="84" totalsRowDxfId="83"/>
    <tableColumn id="62" xr3:uid="{98604152-48F6-4998-B7D1-B524058E0C80}" name="DATE LIMITE DAACT CREDIT IMPOT (Fondations + 24 mois)" dataDxfId="82" totalsRowDxfId="81">
      <calculatedColumnFormula>IF(AND(Données[[#This Row],[TYPE]]&lt;&gt;"Rehab",Données[[#This Row],[Achèvement fondations]]&lt;&gt;""),EDATE(Données[[#This Row],[Achèvement fondations]],24),"")</calculatedColumnFormula>
    </tableColumn>
    <tableColumn id="63" xr3:uid="{7C0AECBC-E76C-427A-A47D-52AB74EFC3A1}" name="Date inauguration initiale" dataDxfId="80" totalsRowDxfId="79">
      <calculatedColumnFormula>IF(Données[[#This Row],[VEFA / PROPRE]]="vefa",EDATE(Données[[#This Row],[Date Livraison initiale VEFA]],1),EDATE(Données[[#This Row],[Date réception entreprise prévue initialement]],1))</calculatedColumnFormula>
    </tableColumn>
    <tableColumn id="64" xr3:uid="{47384292-F3C3-4D9E-A531-6F83A5A62EA1}" name="Date inauguration recalée" dataDxfId="78" totalsRowDxfId="77" dataCellStyle="Milliers"/>
    <tableColumn id="65" xr3:uid="{D2BA80AD-E79D-4279-AC49-4B0EB383F5FF}" name="Année Inauguration" dataDxfId="76" totalsRowDxfId="75"/>
    <tableColumn id="66" xr3:uid="{2344F9DE-11E4-4163-9690-AC7F49B2C1F8}" name="Retard Inauguration (m)" dataDxfId="74" totalsRowDxfId="73">
      <calculatedColumnFormula>IF((Données[[#This Row],[Date inauguration recalée]]-Données[[#This Row],[Date inauguration initiale]])/30&lt;0,0,(Données[[#This Row],[Date inauguration recalée]]-Données[[#This Row],[Date inauguration initiale]])/30)</calculatedColumnFormula>
    </tableColumn>
    <tableColumn id="67" xr3:uid="{072D2682-F8CB-41F8-91E1-8A7FF3EA15BD}" name="Loyer mensuel" dataDxfId="72" totalsRowDxfId="71"/>
    <tableColumn id="68" xr3:uid="{5A0D2E6B-EF92-4475-8D31-68EE60BD53DB}" name="Perte loyer" totalsRowFunction="count" dataDxfId="70" totalsRowDxfId="69">
      <calculatedColumnFormula>IF(Données[[#This Row],[TYPE]]="Rehab","",Données[[#This Row],[Loyer mensuel]]*Données[[#This Row],[Retard Inauguration (m)]])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3EAFDDE-542B-4663-A2CD-F1560F9D12FE}" name="Tableau9" displayName="Tableau9" ref="J1:Q4" totalsRowShown="0" dataDxfId="22" headerRowBorderDxfId="31" tableBorderDxfId="32">
  <autoFilter ref="J1:Q4" xr:uid="{D3EAFDDE-542B-4663-A2CD-F1560F9D12FE}"/>
  <tableColumns count="8">
    <tableColumn id="1" xr3:uid="{451082F4-B311-40B3-A13E-13ECF3754E82}" name="ANNEE" dataDxfId="30"/>
    <tableColumn id="2" xr3:uid="{FA7170A6-CC34-4CA5-AFA8-255BE31D8043}" name="Programmation" dataDxfId="29">
      <calculatedColumnFormula array="1">SUMPRODUCT((Données[Prog]='Tableau de bord CN 2023-2024'!J2)*Données[N hors REHAB])</calculatedColumnFormula>
    </tableColumn>
    <tableColumn id="3" xr3:uid="{FE83DF6C-04AA-4424-A231-0709E8055609}" name="Livraisons" dataDxfId="28">
      <calculatedColumnFormula array="1">SUMPRODUCT((YEAR(Données[Date inauguration recalée])=J2)*Données[N hors REHAB])</calculatedColumnFormula>
    </tableColumn>
    <tableColumn id="4" xr3:uid="{C831DBB0-0846-412F-9CA7-3239AFF1AE91}" name="Objectif" dataDxfId="27">
      <calculatedColumnFormula>$F$80</calculatedColumnFormula>
    </tableColumn>
    <tableColumn id="5" xr3:uid="{D19E45C5-7080-4C73-BDE7-106A3E33F8DD}" name="LLS" dataDxfId="26">
      <calculatedColumnFormula>SUMIFS($E$2:$E$68,$C$2:$C$68,$J2,$D$2:$D$68,N$1)</calculatedColumnFormula>
    </tableColumn>
    <tableColumn id="6" xr3:uid="{9FF2A87E-5CD2-4312-AD15-DDBCD0D745B2}" name="LLTS" dataDxfId="25">
      <calculatedColumnFormula>SUMIFS($E$2:$E$68,$C$2:$C$68,$J2,$D$2:$D$68,O$1)</calculatedColumnFormula>
    </tableColumn>
    <tableColumn id="7" xr3:uid="{AA52A422-FCEA-49CB-9678-9AB71652E417}" name="PLS" dataDxfId="24">
      <calculatedColumnFormula>SUMIFS($E$2:$E$68,$C$2:$C$68,$J2,$D$2:$D$68,P$1)</calculatedColumnFormula>
    </tableColumn>
    <tableColumn id="8" xr3:uid="{D4D33CD5-DB91-4552-A79D-0AAC96537180}" name="Total général" dataDxfId="23">
      <calculatedColumnFormula>SUM($N2:$P2)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0E3E38C-F108-4344-A93B-584C918F35C7}" name="TBD_CN" displayName="TBD_CN" ref="A1:H69" totalsRowCount="1" headerRowDxfId="14" tableBorderDxfId="21">
  <autoFilter ref="A1:H68" xr:uid="{C0E3E38C-F108-4344-A93B-584C918F35C7}"/>
  <tableColumns count="8">
    <tableColumn id="1" xr3:uid="{19EA6C86-533B-453B-A127-DB3C0FC5F84D}" name="OPERATION" totalsRowLabel="Total"/>
    <tableColumn id="2" xr3:uid="{2A31E7EF-3341-4501-BC1C-AAAE1B5E815B}" name="BASSIN" dataDxfId="20" totalsRowDxfId="6"/>
    <tableColumn id="3" xr3:uid="{150E81E0-2531-4B7B-8172-4EE056F2A887}" name="Prog" dataDxfId="19" totalsRowDxfId="5"/>
    <tableColumn id="4" xr3:uid="{FAFF00D0-14F5-47DF-93D1-0B54D8CC727D}" name="TYPE" dataDxfId="18" totalsRowDxfId="4"/>
    <tableColumn id="5" xr3:uid="{49FFC936-5A77-4E35-9951-6EF0B680B231}" name="N" totalsRowFunction="sum" dataDxfId="7" totalsRowDxfId="3"/>
    <tableColumn id="6" xr3:uid="{4025E978-9C96-4355-819B-7F9D32335037}" name="Arrêté LBU" dataDxfId="17" totalsRowDxfId="2" dataCellStyle="60 % - Accent1"/>
    <tableColumn id="7" xr3:uid="{06CE3CE7-7521-4323-8398-709C5F219E31}" name="OS démarrage" dataDxfId="16" totalsRowDxfId="1"/>
    <tableColumn id="8" xr3:uid="{CB954DEB-76F8-4B0A-A49A-881760880B38}" name="Date inauguration recalée" totalsRowFunction="count" dataDxfId="15" totalsRowDxfId="0" dataCellStyle="Millie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C99C1-497A-475B-AD14-5FAD224C43B7}">
  <sheetPr>
    <pageSetUpPr fitToPage="1"/>
  </sheetPr>
  <dimension ref="A1:AZ169"/>
  <sheetViews>
    <sheetView zoomScale="55" zoomScaleNormal="55" zoomScaleSheetLayoutView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K11" sqref="K11"/>
    </sheetView>
  </sheetViews>
  <sheetFormatPr baseColWidth="10" defaultRowHeight="15" x14ac:dyDescent="0.25"/>
  <cols>
    <col min="1" max="1" width="47.5703125" style="85" bestFit="1" customWidth="1"/>
    <col min="2" max="3" width="11.5703125" customWidth="1"/>
    <col min="4" max="4" width="15.85546875" customWidth="1"/>
    <col min="5" max="8" width="11.5703125" customWidth="1"/>
    <col min="9" max="9" width="14.28515625" customWidth="1"/>
    <col min="10" max="10" width="33.85546875" customWidth="1"/>
    <col min="11" max="11" width="12.28515625" customWidth="1"/>
    <col min="13" max="13" width="18.5703125" customWidth="1"/>
    <col min="14" max="14" width="8.28515625" customWidth="1"/>
    <col min="15" max="15" width="9.28515625" customWidth="1"/>
    <col min="16" max="16" width="8.42578125" customWidth="1"/>
    <col min="17" max="17" width="11.140625" customWidth="1"/>
    <col min="18" max="18" width="21.7109375" customWidth="1"/>
    <col min="19" max="19" width="18.7109375" customWidth="1"/>
    <col min="20" max="20" width="25.7109375" customWidth="1"/>
    <col min="21" max="21" width="25.140625" customWidth="1"/>
    <col min="22" max="22" width="21.28515625" customWidth="1"/>
    <col min="23" max="23" width="32.28515625" customWidth="1"/>
    <col min="24" max="24" width="31.7109375" customWidth="1"/>
    <col min="25" max="25" width="21" customWidth="1"/>
    <col min="26" max="26" width="19.85546875" customWidth="1"/>
    <col min="27" max="27" width="24.7109375" customWidth="1"/>
    <col min="28" max="29" width="19.85546875" customWidth="1"/>
    <col min="30" max="30" width="15.28515625" customWidth="1"/>
    <col min="31" max="31" width="19" customWidth="1"/>
    <col min="32" max="32" width="24.28515625" customWidth="1"/>
    <col min="33" max="33" width="21" style="85" customWidth="1"/>
    <col min="34" max="34" width="19.85546875" customWidth="1"/>
    <col min="35" max="35" width="24.7109375" customWidth="1"/>
    <col min="36" max="36" width="11.5703125" customWidth="1"/>
    <col min="37" max="37" width="16" customWidth="1"/>
    <col min="38" max="38" width="18.5703125" customWidth="1"/>
    <col min="39" max="39" width="51.5703125" customWidth="1"/>
    <col min="40" max="40" width="28.140625" style="85" customWidth="1"/>
    <col min="41" max="41" width="24.42578125" customWidth="1"/>
    <col min="42" max="42" width="22.7109375" customWidth="1"/>
    <col min="43" max="43" width="27.85546875" customWidth="1"/>
    <col min="44" max="44" width="27.7109375" style="85" customWidth="1"/>
    <col min="45" max="45" width="35.28515625" style="86" customWidth="1"/>
    <col min="46" max="46" width="24.140625" style="85" customWidth="1"/>
    <col min="47" max="47" width="18.7109375" customWidth="1"/>
    <col min="48" max="48" width="18.140625" style="86" customWidth="1"/>
    <col min="49" max="49" width="19.28515625" style="86" customWidth="1"/>
    <col min="50" max="50" width="21.42578125" customWidth="1"/>
    <col min="51" max="51" width="32.140625" style="87" customWidth="1"/>
    <col min="52" max="52" width="27.85546875" style="87" customWidth="1"/>
    <col min="53" max="53" width="24.28515625" customWidth="1"/>
    <col min="54" max="54" width="19.28515625" customWidth="1"/>
    <col min="55" max="55" width="24.140625" customWidth="1"/>
    <col min="56" max="57" width="11.5703125" customWidth="1"/>
    <col min="58" max="58" width="21.7109375" customWidth="1"/>
    <col min="59" max="59" width="21" customWidth="1"/>
    <col min="60" max="60" width="20.140625" customWidth="1"/>
    <col min="61" max="61" width="25" customWidth="1"/>
    <col min="62" max="62" width="18.28515625" customWidth="1"/>
    <col min="63" max="63" width="29.7109375" customWidth="1"/>
    <col min="64" max="64" width="29.85546875" customWidth="1"/>
    <col min="65" max="65" width="24.140625" customWidth="1"/>
    <col min="66" max="66" width="25.7109375" customWidth="1"/>
    <col min="67" max="67" width="18.85546875" customWidth="1"/>
    <col min="68" max="68" width="15.7109375" customWidth="1"/>
    <col min="69" max="71" width="11.5703125" customWidth="1"/>
    <col min="75" max="75" width="19.5703125" bestFit="1" customWidth="1"/>
    <col min="76" max="76" width="22.28515625" bestFit="1" customWidth="1"/>
    <col min="77" max="78" width="5" bestFit="1" customWidth="1"/>
    <col min="79" max="79" width="6.28515625" bestFit="1" customWidth="1"/>
    <col min="80" max="80" width="11.85546875" bestFit="1" customWidth="1"/>
  </cols>
  <sheetData>
    <row r="1" spans="1:52" s="1" customFormat="1" ht="91.9" customHeight="1" x14ac:dyDescent="0.25">
      <c r="A1" s="110" t="s">
        <v>0</v>
      </c>
      <c r="B1" s="110" t="s">
        <v>1</v>
      </c>
      <c r="C1" s="109" t="s">
        <v>2</v>
      </c>
      <c r="D1" s="110" t="s">
        <v>3</v>
      </c>
      <c r="E1" s="110" t="s">
        <v>4</v>
      </c>
      <c r="F1" s="110" t="s">
        <v>5</v>
      </c>
      <c r="G1" s="110" t="s">
        <v>6</v>
      </c>
      <c r="H1" s="110" t="s">
        <v>7</v>
      </c>
      <c r="I1" s="110" t="s">
        <v>8</v>
      </c>
      <c r="J1" s="110" t="s">
        <v>9</v>
      </c>
      <c r="K1" s="110" t="s">
        <v>10</v>
      </c>
      <c r="L1" s="110" t="s">
        <v>11</v>
      </c>
      <c r="M1" s="110" t="s">
        <v>12</v>
      </c>
      <c r="N1" s="110" t="s">
        <v>13</v>
      </c>
      <c r="O1" s="110" t="s">
        <v>14</v>
      </c>
      <c r="P1" s="110" t="s">
        <v>15</v>
      </c>
      <c r="Q1" s="110" t="s">
        <v>16</v>
      </c>
      <c r="R1" s="110" t="s">
        <v>17</v>
      </c>
      <c r="S1" s="110" t="s">
        <v>18</v>
      </c>
      <c r="T1" s="110" t="s">
        <v>19</v>
      </c>
      <c r="U1" s="110" t="s">
        <v>20</v>
      </c>
      <c r="V1" s="110" t="s">
        <v>21</v>
      </c>
      <c r="W1" s="110" t="s">
        <v>22</v>
      </c>
      <c r="X1" s="110" t="s">
        <v>23</v>
      </c>
      <c r="Y1" s="110" t="s">
        <v>24</v>
      </c>
      <c r="Z1" s="110" t="s">
        <v>25</v>
      </c>
      <c r="AA1" s="110" t="s">
        <v>26</v>
      </c>
      <c r="AB1" s="110" t="s">
        <v>27</v>
      </c>
      <c r="AC1" s="110" t="s">
        <v>28</v>
      </c>
      <c r="AD1" s="110" t="s">
        <v>29</v>
      </c>
      <c r="AE1" s="110" t="s">
        <v>30</v>
      </c>
      <c r="AF1" s="110" t="s">
        <v>31</v>
      </c>
      <c r="AG1" s="110" t="s">
        <v>32</v>
      </c>
      <c r="AH1" s="110" t="s">
        <v>33</v>
      </c>
      <c r="AI1" s="110" t="s">
        <v>34</v>
      </c>
      <c r="AJ1" s="110" t="s">
        <v>35</v>
      </c>
    </row>
    <row r="2" spans="1:52" x14ac:dyDescent="0.25">
      <c r="A2" s="95" t="s">
        <v>57</v>
      </c>
      <c r="B2" s="27" t="s">
        <v>36</v>
      </c>
      <c r="C2" s="27">
        <v>2016</v>
      </c>
      <c r="D2" s="27" t="s">
        <v>6</v>
      </c>
      <c r="E2" s="4">
        <f>Données[[#This Row],[LLS]]+Données[[#This Row],[LLTS]]+Données[[#This Row],[PLS]]+Données[[#This Row],[REHAB]]</f>
        <v>30</v>
      </c>
      <c r="F2" s="4">
        <f>Données[[#This Row],[LLS]]+Données[[#This Row],[LLTS]]+Données[[#This Row],[PLS]]</f>
        <v>30</v>
      </c>
      <c r="G2" s="2">
        <v>30</v>
      </c>
      <c r="H2" s="2"/>
      <c r="I2" s="5"/>
      <c r="J2" s="5"/>
      <c r="K2" s="7" t="s">
        <v>39</v>
      </c>
      <c r="L2" s="8">
        <v>42601</v>
      </c>
      <c r="M2" s="9">
        <v>42780</v>
      </c>
      <c r="N2" s="28">
        <v>2017</v>
      </c>
      <c r="O2" s="6">
        <f>IFERROR((DATEDIF(Données[[#This Row],[Arrêté LBU]],Données[[#This Row],[OS démarrage]],"d"))/30,0)</f>
        <v>5.9666666666666668</v>
      </c>
      <c r="P2" s="29">
        <v>16</v>
      </c>
      <c r="Q2" s="12">
        <f>DATEDIF(Données[[#This Row],[OS démarrage]],Données[[#This Row],[Date réception entreprise recalée]],"M")</f>
        <v>17</v>
      </c>
      <c r="R2" s="13">
        <v>42936</v>
      </c>
      <c r="S2" s="14">
        <f>EDATE(Données[[#This Row],[OS démarrage]],Données[[#This Row],[Délai chantier initial]])</f>
        <v>43265</v>
      </c>
      <c r="T2" s="15">
        <v>43320</v>
      </c>
      <c r="U2" s="16">
        <f>EDATE(Données[[#This Row],[Date réception entreprise recalée]],12)</f>
        <v>43685</v>
      </c>
      <c r="V2" s="17">
        <f>(Données[[#This Row],[Date réception entreprise recalée]]-Données[[#This Row],[Date réception entreprise prévue initialement]])/30</f>
        <v>1.8333333333333333</v>
      </c>
      <c r="W2" s="19"/>
      <c r="X2" s="19"/>
      <c r="Y2" s="19"/>
      <c r="Z2" s="19"/>
      <c r="AA2" s="20">
        <f>IF(Données[[#This Row],[TYPE]]="Rehab",0,IFERROR((Données[[#This Row],[Date Livraison VEFA estimée avec retards constatés]]-Données[[#This Row],[Date livraison contractuelle y/c avenant]])/30,"-"))</f>
        <v>0</v>
      </c>
      <c r="AB2" s="21">
        <f>IF(Données[[#This Row],[TYPE]]="Rehab",0,Données[[#This Row],[Date Livraison VEFA estimée avec retards constatés]]-Données[[#This Row],[Date livraison contractuelle y/c avenant]])</f>
        <v>0</v>
      </c>
      <c r="AC2" s="22"/>
      <c r="AD2" s="23">
        <f>IF(AND(Données[[#This Row],[TYPE]]&lt;&gt;"Rehab",Données[[#This Row],[Achèvement fondations]]&lt;&gt;""),EDATE(Données[[#This Row],[Achèvement fondations]],24),"")</f>
        <v>43666</v>
      </c>
      <c r="AE2" s="23">
        <f>IF(Données[[#This Row],[VEFA / PROPRE]]="vefa",EDATE(Données[[#This Row],[Date Livraison initiale VEFA]],1),EDATE(Données[[#This Row],[Date réception entreprise prévue initialement]],1))</f>
        <v>43295</v>
      </c>
      <c r="AF2" s="24">
        <v>43342</v>
      </c>
      <c r="AG2" s="25">
        <v>2018</v>
      </c>
      <c r="AH2" s="26">
        <f>IF((Données[[#This Row],[Date inauguration recalée]]-Données[[#This Row],[Date inauguration initiale]])/30&lt;0,0,(Données[[#This Row],[Date inauguration recalée]]-Données[[#This Row],[Date inauguration initiale]])/30)</f>
        <v>1.5666666666666667</v>
      </c>
      <c r="AI2" s="26">
        <v>19598.869885009859</v>
      </c>
      <c r="AJ2" s="26">
        <f>IF(Données[[#This Row],[TYPE]]="Rehab","",Données[[#This Row],[Loyer mensuel]]*Données[[#This Row],[Retard Inauguration (m)]])</f>
        <v>30704.896153182111</v>
      </c>
      <c r="AN2"/>
      <c r="AR2"/>
      <c r="AS2"/>
      <c r="AT2"/>
      <c r="AV2"/>
      <c r="AW2"/>
      <c r="AY2"/>
      <c r="AZ2"/>
    </row>
    <row r="3" spans="1:52" x14ac:dyDescent="0.25">
      <c r="A3" s="95" t="s">
        <v>58</v>
      </c>
      <c r="B3" s="3" t="s">
        <v>36</v>
      </c>
      <c r="C3" s="3">
        <v>2015</v>
      </c>
      <c r="D3" s="27" t="s">
        <v>6</v>
      </c>
      <c r="E3" s="4">
        <f>Données[[#This Row],[LLS]]+Données[[#This Row],[LLTS]]+Données[[#This Row],[PLS]]+Données[[#This Row],[REHAB]]</f>
        <v>46</v>
      </c>
      <c r="F3" s="4">
        <f>Données[[#This Row],[LLS]]+Données[[#This Row],[LLTS]]+Données[[#This Row],[PLS]]</f>
        <v>46</v>
      </c>
      <c r="G3" s="5">
        <v>46</v>
      </c>
      <c r="H3" s="5"/>
      <c r="I3" s="5"/>
      <c r="J3" s="5"/>
      <c r="K3" s="7" t="s">
        <v>39</v>
      </c>
      <c r="L3" s="8">
        <v>42304</v>
      </c>
      <c r="M3" s="9">
        <v>42782</v>
      </c>
      <c r="N3" s="28">
        <v>2017</v>
      </c>
      <c r="O3" s="6">
        <f>IFERROR((DATEDIF(Données[[#This Row],[Arrêté LBU]],Données[[#This Row],[OS démarrage]],"d"))/30,0)</f>
        <v>15.933333333333334</v>
      </c>
      <c r="P3" s="29">
        <v>18</v>
      </c>
      <c r="Q3" s="12">
        <f>DATEDIF(Données[[#This Row],[OS démarrage]],Données[[#This Row],[Date réception entreprise recalée]],"M")</f>
        <v>23</v>
      </c>
      <c r="R3" s="32">
        <v>43160</v>
      </c>
      <c r="S3" s="14">
        <f>EDATE(Données[[#This Row],[OS démarrage]],Données[[#This Row],[Délai chantier initial]])</f>
        <v>43328</v>
      </c>
      <c r="T3" s="24">
        <v>43503</v>
      </c>
      <c r="U3" s="16">
        <f>EDATE(Données[[#This Row],[Date réception entreprise recalée]],12)</f>
        <v>43868</v>
      </c>
      <c r="V3" s="17">
        <f>(Données[[#This Row],[Date réception entreprise recalée]]-Données[[#This Row],[Date réception entreprise prévue initialement]])/30</f>
        <v>5.833333333333333</v>
      </c>
      <c r="W3" s="19"/>
      <c r="X3" s="19"/>
      <c r="Y3" s="19"/>
      <c r="Z3" s="19"/>
      <c r="AA3" s="20">
        <f>IF(Données[[#This Row],[TYPE]]="Rehab",0,IFERROR((Données[[#This Row],[Date Livraison VEFA estimée avec retards constatés]]-Données[[#This Row],[Date livraison contractuelle y/c avenant]])/30,"-"))</f>
        <v>0</v>
      </c>
      <c r="AB3" s="21">
        <f>IF(Données[[#This Row],[TYPE]]="Rehab",0,Données[[#This Row],[Date Livraison VEFA estimée avec retards constatés]]-Données[[#This Row],[Date livraison contractuelle y/c avenant]])</f>
        <v>0</v>
      </c>
      <c r="AC3" s="22"/>
      <c r="AD3" s="23">
        <f>IF(AND(Données[[#This Row],[TYPE]]&lt;&gt;"Rehab",Données[[#This Row],[Achèvement fondations]]&lt;&gt;""),EDATE(Données[[#This Row],[Achèvement fondations]],24),"")</f>
        <v>43891</v>
      </c>
      <c r="AE3" s="30">
        <f>IF(Données[[#This Row],[VEFA / PROPRE]]="vefa",EDATE(Données[[#This Row],[Date Livraison initiale VEFA]],1),EDATE(Données[[#This Row],[Date réception entreprise prévue initialement]],1))</f>
        <v>43359</v>
      </c>
      <c r="AF3" s="24">
        <v>43515</v>
      </c>
      <c r="AG3" s="33">
        <v>2019</v>
      </c>
      <c r="AH3" s="26">
        <f>IF((Données[[#This Row],[Date inauguration recalée]]-Données[[#This Row],[Date inauguration initiale]])/30&lt;0,0,(Données[[#This Row],[Date inauguration recalée]]-Données[[#This Row],[Date inauguration initiale]])/30)</f>
        <v>5.2</v>
      </c>
      <c r="AI3" s="26">
        <v>26633.333333333332</v>
      </c>
      <c r="AJ3" s="26">
        <f>IF(Données[[#This Row],[TYPE]]="Rehab","",Données[[#This Row],[Loyer mensuel]]*Données[[#This Row],[Retard Inauguration (m)]])</f>
        <v>138493.33333333334</v>
      </c>
      <c r="AN3"/>
      <c r="AR3"/>
      <c r="AS3"/>
      <c r="AT3"/>
      <c r="AV3"/>
      <c r="AW3"/>
      <c r="AY3"/>
      <c r="AZ3"/>
    </row>
    <row r="4" spans="1:52" x14ac:dyDescent="0.25">
      <c r="A4" s="95" t="s">
        <v>59</v>
      </c>
      <c r="B4" s="3" t="s">
        <v>38</v>
      </c>
      <c r="C4" s="3">
        <v>2015</v>
      </c>
      <c r="D4" s="27" t="s">
        <v>6</v>
      </c>
      <c r="E4" s="4">
        <f>Données[[#This Row],[LLS]]+Données[[#This Row],[LLTS]]+Données[[#This Row],[PLS]]+Données[[#This Row],[REHAB]]</f>
        <v>20</v>
      </c>
      <c r="F4" s="4">
        <f>Données[[#This Row],[LLS]]+Données[[#This Row],[LLTS]]+Données[[#This Row],[PLS]]</f>
        <v>20</v>
      </c>
      <c r="G4" s="5">
        <v>20</v>
      </c>
      <c r="H4" s="5"/>
      <c r="I4" s="5"/>
      <c r="J4" s="5"/>
      <c r="K4" s="7" t="s">
        <v>39</v>
      </c>
      <c r="L4" s="8">
        <v>42354</v>
      </c>
      <c r="M4" s="9">
        <v>43129</v>
      </c>
      <c r="N4" s="10">
        <v>2018</v>
      </c>
      <c r="O4" s="6">
        <f>IFERROR((DATEDIF(Données[[#This Row],[Arrêté LBU]],Données[[#This Row],[OS démarrage]],"d"))/30,0)</f>
        <v>25.833333333333332</v>
      </c>
      <c r="P4" s="29">
        <v>21</v>
      </c>
      <c r="Q4" s="12">
        <f>DATEDIF(Données[[#This Row],[OS démarrage]],Données[[#This Row],[Date réception entreprise recalée]],"M")</f>
        <v>33</v>
      </c>
      <c r="R4" s="32">
        <v>43446</v>
      </c>
      <c r="S4" s="14">
        <f>EDATE(Données[[#This Row],[OS démarrage]],Données[[#This Row],[Délai chantier initial]])</f>
        <v>43767</v>
      </c>
      <c r="T4" s="24">
        <v>44150</v>
      </c>
      <c r="U4" s="16">
        <f>EDATE(Données[[#This Row],[Date réception entreprise recalée]],12)</f>
        <v>44515</v>
      </c>
      <c r="V4" s="17">
        <f>(Données[[#This Row],[Date réception entreprise recalée]]-Données[[#This Row],[Date réception entreprise prévue initialement]])/30</f>
        <v>12.766666666666667</v>
      </c>
      <c r="W4" s="19"/>
      <c r="X4" s="19"/>
      <c r="Y4" s="19"/>
      <c r="Z4" s="19"/>
      <c r="AA4" s="20">
        <f>IF(Données[[#This Row],[TYPE]]="Rehab",0,IFERROR((Données[[#This Row],[Date Livraison VEFA estimée avec retards constatés]]-Données[[#This Row],[Date livraison contractuelle y/c avenant]])/30,"-"))</f>
        <v>0</v>
      </c>
      <c r="AB4" s="21">
        <f>IF(Données[[#This Row],[TYPE]]="Rehab",0,Données[[#This Row],[Date Livraison VEFA estimée avec retards constatés]]-Données[[#This Row],[Date livraison contractuelle y/c avenant]])</f>
        <v>0</v>
      </c>
      <c r="AC4" s="22"/>
      <c r="AD4" s="23">
        <f>IF(AND(Données[[#This Row],[TYPE]]&lt;&gt;"Rehab",Données[[#This Row],[Achèvement fondations]]&lt;&gt;""),EDATE(Données[[#This Row],[Achèvement fondations]],24),"")</f>
        <v>44177</v>
      </c>
      <c r="AE4" s="30">
        <f>IF(Données[[#This Row],[VEFA / PROPRE]]="vefa",EDATE(Données[[#This Row],[Date Livraison initiale VEFA]],1),EDATE(Données[[#This Row],[Date réception entreprise prévue initialement]],1))</f>
        <v>43798</v>
      </c>
      <c r="AF4" s="24">
        <v>44166</v>
      </c>
      <c r="AG4" s="41">
        <v>2020</v>
      </c>
      <c r="AH4" s="26">
        <f>IF((Données[[#This Row],[Date inauguration recalée]]-Données[[#This Row],[Date inauguration initiale]])/30&lt;0,0,(Données[[#This Row],[Date inauguration recalée]]-Données[[#This Row],[Date inauguration initiale]])/30)</f>
        <v>12.266666666666667</v>
      </c>
      <c r="AI4" s="26">
        <v>12346</v>
      </c>
      <c r="AJ4" s="26">
        <f>IF(Données[[#This Row],[TYPE]]="Rehab","",Données[[#This Row],[Loyer mensuel]]*Données[[#This Row],[Retard Inauguration (m)]])</f>
        <v>151444.26666666666</v>
      </c>
      <c r="AN4"/>
      <c r="AR4"/>
      <c r="AS4"/>
      <c r="AT4"/>
      <c r="AV4"/>
      <c r="AW4"/>
      <c r="AY4"/>
      <c r="AZ4"/>
    </row>
    <row r="5" spans="1:52" x14ac:dyDescent="0.25">
      <c r="A5" s="5" t="s">
        <v>60</v>
      </c>
      <c r="B5" s="3" t="s">
        <v>38</v>
      </c>
      <c r="C5" s="3">
        <v>2016</v>
      </c>
      <c r="D5" s="3" t="s">
        <v>6</v>
      </c>
      <c r="E5" s="4">
        <f>Données[[#This Row],[LLS]]+Données[[#This Row],[LLTS]]+Données[[#This Row],[PLS]]+Données[[#This Row],[REHAB]]</f>
        <v>30</v>
      </c>
      <c r="F5" s="4">
        <f>Données[[#This Row],[LLS]]+Données[[#This Row],[LLTS]]+Données[[#This Row],[PLS]]</f>
        <v>30</v>
      </c>
      <c r="G5" s="5">
        <v>30</v>
      </c>
      <c r="H5" s="5"/>
      <c r="I5" s="5"/>
      <c r="J5" s="5"/>
      <c r="K5" s="7" t="s">
        <v>39</v>
      </c>
      <c r="L5" s="8">
        <v>42618</v>
      </c>
      <c r="M5" s="9">
        <v>44231</v>
      </c>
      <c r="N5" s="10">
        <v>2021</v>
      </c>
      <c r="O5" s="6">
        <f>IFERROR((DATEDIF(Données[[#This Row],[Arrêté LBU]],Données[[#This Row],[OS démarrage]],"d"))/30,0)</f>
        <v>53.766666666666666</v>
      </c>
      <c r="P5" s="43">
        <v>17</v>
      </c>
      <c r="Q5" s="12">
        <f>DATEDIF(Données[[#This Row],[OS démarrage]],Données[[#This Row],[Date réception entreprise recalée]],"M")</f>
        <v>21</v>
      </c>
      <c r="R5" s="32">
        <v>44449</v>
      </c>
      <c r="S5" s="14">
        <f>EDATE(Données[[#This Row],[OS démarrage]],Données[[#This Row],[Délai chantier initial]])</f>
        <v>44746</v>
      </c>
      <c r="T5" s="24">
        <v>44874</v>
      </c>
      <c r="U5" s="16">
        <f>EDATE(Données[[#This Row],[Date réception entreprise recalée]],12)</f>
        <v>45239</v>
      </c>
      <c r="V5" s="17">
        <f>(Données[[#This Row],[Date réception entreprise recalée]]-Données[[#This Row],[Date réception entreprise prévue initialement]])/30</f>
        <v>4.2666666666666666</v>
      </c>
      <c r="W5" s="44"/>
      <c r="X5" s="19"/>
      <c r="Y5" s="45"/>
      <c r="Z5" s="45"/>
      <c r="AA5" s="20">
        <f>IF(Données[[#This Row],[TYPE]]="Rehab",0,IFERROR((Données[[#This Row],[Date Livraison VEFA estimée avec retards constatés]]-Données[[#This Row],[Date livraison contractuelle y/c avenant]])/30,"-"))</f>
        <v>0</v>
      </c>
      <c r="AB5" s="21">
        <f>IF(Données[[#This Row],[TYPE]]="Rehab",0,Données[[#This Row],[Date Livraison VEFA estimée avec retards constatés]]-Données[[#This Row],[Date livraison contractuelle y/c avenant]])</f>
        <v>0</v>
      </c>
      <c r="AC5" s="22">
        <v>44809</v>
      </c>
      <c r="AD5" s="23">
        <f>IF(AND(Données[[#This Row],[TYPE]]&lt;&gt;"Rehab",Données[[#This Row],[Achèvement fondations]]&lt;&gt;""),EDATE(Données[[#This Row],[Achèvement fondations]],24),"")</f>
        <v>45179</v>
      </c>
      <c r="AE5" s="30">
        <f>IF(Données[[#This Row],[VEFA / PROPRE]]="vefa",EDATE(Données[[#This Row],[Date Livraison initiale VEFA]],1),EDATE(Données[[#This Row],[Date réception entreprise prévue initialement]],1))</f>
        <v>44777</v>
      </c>
      <c r="AF5" s="24">
        <v>44889</v>
      </c>
      <c r="AG5" s="46">
        <v>2022</v>
      </c>
      <c r="AH5" s="26">
        <f>IF((Données[[#This Row],[Date inauguration recalée]]-Données[[#This Row],[Date inauguration initiale]])/30&lt;0,0,(Données[[#This Row],[Date inauguration recalée]]-Données[[#This Row],[Date inauguration initiale]])/30)</f>
        <v>3.7333333333333334</v>
      </c>
      <c r="AI5" s="26">
        <v>16515</v>
      </c>
      <c r="AJ5" s="26">
        <f>IF(Données[[#This Row],[TYPE]]="Rehab","",Données[[#This Row],[Loyer mensuel]]*Données[[#This Row],[Retard Inauguration (m)]])</f>
        <v>61656</v>
      </c>
      <c r="AN5"/>
      <c r="AR5"/>
      <c r="AS5"/>
      <c r="AT5"/>
      <c r="AV5"/>
      <c r="AW5"/>
      <c r="AY5"/>
      <c r="AZ5"/>
    </row>
    <row r="6" spans="1:52" x14ac:dyDescent="0.25">
      <c r="A6" s="5" t="s">
        <v>61</v>
      </c>
      <c r="B6" s="3" t="s">
        <v>36</v>
      </c>
      <c r="C6" s="3">
        <v>2018</v>
      </c>
      <c r="D6" s="3" t="s">
        <v>6</v>
      </c>
      <c r="E6" s="4">
        <f>Données[[#This Row],[LLS]]+Données[[#This Row],[LLTS]]+Données[[#This Row],[PLS]]+Données[[#This Row],[REHAB]]</f>
        <v>17</v>
      </c>
      <c r="F6" s="4">
        <f>Données[[#This Row],[LLS]]+Données[[#This Row],[LLTS]]+Données[[#This Row],[PLS]]</f>
        <v>17</v>
      </c>
      <c r="G6" s="5">
        <v>17</v>
      </c>
      <c r="H6" s="5"/>
      <c r="I6" s="5"/>
      <c r="J6" s="5"/>
      <c r="K6" s="7" t="s">
        <v>42</v>
      </c>
      <c r="L6" s="8">
        <v>43334</v>
      </c>
      <c r="M6" s="9">
        <v>43738</v>
      </c>
      <c r="N6" s="10">
        <v>2019</v>
      </c>
      <c r="O6" s="6">
        <f>IFERROR((DATEDIF(Données[[#This Row],[Arrêté LBU]],Données[[#This Row],[OS démarrage]],"d"))/30,0)</f>
        <v>13.466666666666667</v>
      </c>
      <c r="P6" s="29">
        <v>14</v>
      </c>
      <c r="Q6" s="12">
        <f>DATEDIF(Données[[#This Row],[OS démarrage]],Données[[#This Row],[Date réception entreprise recalée]],"M")</f>
        <v>21</v>
      </c>
      <c r="R6" s="32">
        <v>44165</v>
      </c>
      <c r="S6" s="14">
        <f>EDATE(Données[[#This Row],[OS démarrage]],Données[[#This Row],[Délai chantier initial]])</f>
        <v>44165</v>
      </c>
      <c r="T6" s="24">
        <v>44377</v>
      </c>
      <c r="U6" s="16">
        <f>EDATE(Données[[#This Row],[Date réception entreprise recalée]],12)</f>
        <v>44742</v>
      </c>
      <c r="V6" s="17">
        <f>(Données[[#This Row],[Date réception entreprise recalée]]-Données[[#This Row],[Date réception entreprise prévue initialement]])/30</f>
        <v>7.0666666666666664</v>
      </c>
      <c r="W6" s="19"/>
      <c r="X6" s="19"/>
      <c r="Y6" s="19"/>
      <c r="Z6" s="19"/>
      <c r="AA6" s="20">
        <f>IF(Données[[#This Row],[TYPE]]="Rehab",0,IFERROR((Données[[#This Row],[Date Livraison VEFA estimée avec retards constatés]]-Données[[#This Row],[Date livraison contractuelle y/c avenant]])/30,"-"))</f>
        <v>0</v>
      </c>
      <c r="AB6" s="21">
        <f>IF(Données[[#This Row],[TYPE]]="Rehab",0,Données[[#This Row],[Date Livraison VEFA estimée avec retards constatés]]-Données[[#This Row],[Date livraison contractuelle y/c avenant]])</f>
        <v>0</v>
      </c>
      <c r="AC6" s="50">
        <v>44504</v>
      </c>
      <c r="AD6" s="51">
        <f>IF(AND(Données[[#This Row],[TYPE]]&lt;&gt;"Rehab",Données[[#This Row],[Achèvement fondations]]&lt;&gt;""),EDATE(Données[[#This Row],[Achèvement fondations]],24),"")</f>
        <v>44895</v>
      </c>
      <c r="AE6" s="30">
        <f>IF(Données[[#This Row],[VEFA / PROPRE]]="vefa",EDATE(Données[[#This Row],[Date Livraison initiale VEFA]],1),EDATE(Données[[#This Row],[Date réception entreprise prévue initialement]],1))</f>
        <v>44195</v>
      </c>
      <c r="AF6" s="24">
        <v>44390</v>
      </c>
      <c r="AG6" s="25">
        <v>2021</v>
      </c>
      <c r="AH6" s="26">
        <f>IF((Données[[#This Row],[Date inauguration recalée]]-Données[[#This Row],[Date inauguration initiale]])/30&lt;0,0,(Données[[#This Row],[Date inauguration recalée]]-Données[[#This Row],[Date inauguration initiale]])/30)</f>
        <v>6.5</v>
      </c>
      <c r="AI6" s="26">
        <v>9966</v>
      </c>
      <c r="AJ6" s="26">
        <f>IF(Données[[#This Row],[TYPE]]="Rehab","",Données[[#This Row],[Loyer mensuel]]*Données[[#This Row],[Retard Inauguration (m)]])</f>
        <v>64779</v>
      </c>
      <c r="AN6"/>
      <c r="AR6"/>
      <c r="AS6"/>
      <c r="AT6"/>
      <c r="AV6"/>
      <c r="AW6"/>
      <c r="AY6"/>
      <c r="AZ6"/>
    </row>
    <row r="7" spans="1:52" x14ac:dyDescent="0.25">
      <c r="A7" s="5" t="s">
        <v>62</v>
      </c>
      <c r="B7" s="3" t="s">
        <v>38</v>
      </c>
      <c r="C7" s="3">
        <v>2019</v>
      </c>
      <c r="D7" s="3" t="s">
        <v>6</v>
      </c>
      <c r="E7" s="4">
        <f>Données[[#This Row],[LLS]]+Données[[#This Row],[LLTS]]+Données[[#This Row],[PLS]]+Données[[#This Row],[REHAB]]</f>
        <v>34</v>
      </c>
      <c r="F7" s="4">
        <f>Données[[#This Row],[LLS]]+Données[[#This Row],[LLTS]]+Données[[#This Row],[PLS]]</f>
        <v>34</v>
      </c>
      <c r="G7" s="5">
        <v>34</v>
      </c>
      <c r="H7" s="5"/>
      <c r="I7" s="5"/>
      <c r="J7" s="5"/>
      <c r="K7" s="7" t="s">
        <v>37</v>
      </c>
      <c r="L7" s="8">
        <v>43665</v>
      </c>
      <c r="M7" s="9">
        <v>43850</v>
      </c>
      <c r="N7" s="10">
        <v>2020</v>
      </c>
      <c r="O7" s="6">
        <f>IFERROR((DATEDIF(Données[[#This Row],[Arrêté LBU]],Données[[#This Row],[OS démarrage]],"d"))/30,0)</f>
        <v>6.166666666666667</v>
      </c>
      <c r="P7" s="29">
        <v>21</v>
      </c>
      <c r="Q7" s="12">
        <f>DATEDIF(Données[[#This Row],[OS démarrage]],Données[[#This Row],[Date réception entreprise recalée]],"M")</f>
        <v>29</v>
      </c>
      <c r="R7" s="32">
        <v>44131</v>
      </c>
      <c r="S7" s="14">
        <f>EDATE(Données[[#This Row],[OS démarrage]],Données[[#This Row],[Délai chantier initial]])</f>
        <v>44489</v>
      </c>
      <c r="T7" s="24">
        <v>44760</v>
      </c>
      <c r="U7" s="16">
        <f>EDATE(Données[[#This Row],[Date réception entreprise recalée]],12)</f>
        <v>45125</v>
      </c>
      <c r="V7" s="17">
        <f>(Données[[#This Row],[Date réception entreprise recalée]]-Données[[#This Row],[Date réception entreprise prévue initialement]])/30</f>
        <v>9.0333333333333332</v>
      </c>
      <c r="W7" s="19">
        <v>44616</v>
      </c>
      <c r="X7" s="19">
        <v>44530</v>
      </c>
      <c r="Y7" s="19">
        <v>44644</v>
      </c>
      <c r="Z7" s="19">
        <v>44760</v>
      </c>
      <c r="AA7" s="20">
        <f>IF(Données[[#This Row],[TYPE]]="Rehab",0,IFERROR((Données[[#This Row],[Date Livraison VEFA estimée avec retards constatés]]-Données[[#This Row],[Date livraison contractuelle y/c avenant]])/30,"-"))</f>
        <v>3.8666666666666667</v>
      </c>
      <c r="AB7" s="21">
        <f>IF(Données[[#This Row],[TYPE]]="Rehab",0,Données[[#This Row],[Date Livraison VEFA estimée avec retards constatés]]-Données[[#This Row],[Date livraison contractuelle y/c avenant]])</f>
        <v>116</v>
      </c>
      <c r="AC7" s="22">
        <v>44811</v>
      </c>
      <c r="AD7" s="23">
        <f>IF(AND(Données[[#This Row],[TYPE]]&lt;&gt;"Rehab",Données[[#This Row],[Achèvement fondations]]&lt;&gt;""),EDATE(Données[[#This Row],[Achèvement fondations]],24),"")</f>
        <v>44861</v>
      </c>
      <c r="AE7" s="30">
        <f>IF(Données[[#This Row],[VEFA / PROPRE]]="vefa",EDATE(Données[[#This Row],[Date Livraison initiale VEFA]],1),EDATE(Données[[#This Row],[Date réception entreprise prévue initialement]],1))</f>
        <v>44560</v>
      </c>
      <c r="AF7" s="24">
        <v>44768</v>
      </c>
      <c r="AG7" s="25">
        <v>2022</v>
      </c>
      <c r="AH7" s="26">
        <f>IF((Données[[#This Row],[Date inauguration recalée]]-Données[[#This Row],[Date inauguration initiale]])/30&lt;0,0,(Données[[#This Row],[Date inauguration recalée]]-Données[[#This Row],[Date inauguration initiale]])/30)</f>
        <v>6.9333333333333336</v>
      </c>
      <c r="AI7" s="26">
        <v>16093.25</v>
      </c>
      <c r="AJ7" s="26">
        <f>IF(Données[[#This Row],[TYPE]]="Rehab","",Données[[#This Row],[Loyer mensuel]]*Données[[#This Row],[Retard Inauguration (m)]])</f>
        <v>111579.86666666667</v>
      </c>
      <c r="AN7"/>
      <c r="AR7"/>
      <c r="AS7"/>
      <c r="AT7"/>
      <c r="AV7"/>
      <c r="AW7"/>
      <c r="AY7"/>
      <c r="AZ7"/>
    </row>
    <row r="8" spans="1:52" x14ac:dyDescent="0.25">
      <c r="A8" s="95" t="s">
        <v>63</v>
      </c>
      <c r="B8" s="3" t="s">
        <v>36</v>
      </c>
      <c r="C8" s="3">
        <v>2018</v>
      </c>
      <c r="D8" s="3" t="s">
        <v>6</v>
      </c>
      <c r="E8" s="4">
        <f>Données[[#This Row],[LLS]]+Données[[#This Row],[LLTS]]+Données[[#This Row],[PLS]]+Données[[#This Row],[REHAB]]</f>
        <v>39</v>
      </c>
      <c r="F8" s="4">
        <f>Données[[#This Row],[LLS]]+Données[[#This Row],[LLTS]]+Données[[#This Row],[PLS]]</f>
        <v>39</v>
      </c>
      <c r="G8" s="5">
        <v>39</v>
      </c>
      <c r="H8" s="5"/>
      <c r="I8" s="5"/>
      <c r="J8" s="5"/>
      <c r="K8" s="7" t="s">
        <v>39</v>
      </c>
      <c r="L8" s="8">
        <v>43371</v>
      </c>
      <c r="M8" s="9">
        <v>44242</v>
      </c>
      <c r="N8" s="10">
        <v>2021</v>
      </c>
      <c r="O8" s="6">
        <f>IFERROR((DATEDIF(Données[[#This Row],[Arrêté LBU]],Données[[#This Row],[OS démarrage]],"d"))/30,0)</f>
        <v>29.033333333333335</v>
      </c>
      <c r="P8" s="29">
        <v>18</v>
      </c>
      <c r="Q8" s="12">
        <f>DATEDIF(Données[[#This Row],[OS démarrage]],Données[[#This Row],[Date réception entreprise recalée]],"M")</f>
        <v>20</v>
      </c>
      <c r="R8" s="32">
        <v>44424</v>
      </c>
      <c r="S8" s="14">
        <f>EDATE(Données[[#This Row],[OS démarrage]],Données[[#This Row],[Délai chantier initial]])</f>
        <v>44788</v>
      </c>
      <c r="T8" s="52">
        <v>44874</v>
      </c>
      <c r="U8" s="53">
        <f>EDATE(Données[[#This Row],[Date réception entreprise recalée]],12)</f>
        <v>45239</v>
      </c>
      <c r="V8" s="17">
        <f>(Données[[#This Row],[Date réception entreprise recalée]]-Données[[#This Row],[Date réception entreprise prévue initialement]])/30</f>
        <v>2.8666666666666667</v>
      </c>
      <c r="W8" s="44"/>
      <c r="X8" s="19"/>
      <c r="Y8" s="19"/>
      <c r="Z8" s="19"/>
      <c r="AA8" s="20">
        <f>IF(Données[[#This Row],[TYPE]]="Rehab",0,IFERROR((Données[[#This Row],[Date Livraison VEFA estimée avec retards constatés]]-Données[[#This Row],[Date livraison contractuelle y/c avenant]])/30,"-"))</f>
        <v>0</v>
      </c>
      <c r="AB8" s="21">
        <f>IF(Données[[#This Row],[TYPE]]="Rehab",0,Données[[#This Row],[Date Livraison VEFA estimée avec retards constatés]]-Données[[#This Row],[Date livraison contractuelle y/c avenant]])</f>
        <v>0</v>
      </c>
      <c r="AC8" s="22"/>
      <c r="AD8" s="23">
        <f>IF(AND(Données[[#This Row],[TYPE]]&lt;&gt;"Rehab",Données[[#This Row],[Achèvement fondations]]&lt;&gt;""),EDATE(Données[[#This Row],[Achèvement fondations]],24),"")</f>
        <v>45154</v>
      </c>
      <c r="AE8" s="30">
        <f>IF(Données[[#This Row],[VEFA / PROPRE]]="vefa",EDATE(Données[[#This Row],[Date Livraison initiale VEFA]],1),EDATE(Données[[#This Row],[Date réception entreprise prévue initialement]],1))</f>
        <v>44819</v>
      </c>
      <c r="AF8" s="24">
        <v>44874</v>
      </c>
      <c r="AG8" s="25">
        <v>2022</v>
      </c>
      <c r="AH8" s="26">
        <f>IF((Données[[#This Row],[Date inauguration recalée]]-Données[[#This Row],[Date inauguration initiale]])/30&lt;0,0,(Données[[#This Row],[Date inauguration recalée]]-Données[[#This Row],[Date inauguration initiale]])/30)</f>
        <v>1.8333333333333333</v>
      </c>
      <c r="AI8" s="26">
        <v>19427</v>
      </c>
      <c r="AJ8" s="26">
        <f>IF(Données[[#This Row],[TYPE]]="Rehab","",Données[[#This Row],[Loyer mensuel]]*Données[[#This Row],[Retard Inauguration (m)]])</f>
        <v>35616.166666666664</v>
      </c>
      <c r="AN8"/>
      <c r="AR8"/>
      <c r="AS8"/>
      <c r="AT8"/>
      <c r="AV8"/>
      <c r="AW8"/>
      <c r="AY8"/>
      <c r="AZ8"/>
    </row>
    <row r="9" spans="1:52" x14ac:dyDescent="0.25">
      <c r="A9" s="95" t="s">
        <v>64</v>
      </c>
      <c r="B9" s="3" t="s">
        <v>40</v>
      </c>
      <c r="C9" s="3">
        <v>2018</v>
      </c>
      <c r="D9" s="3" t="s">
        <v>6</v>
      </c>
      <c r="E9" s="4">
        <f>Données[[#This Row],[LLS]]+Données[[#This Row],[LLTS]]+Données[[#This Row],[PLS]]+Données[[#This Row],[REHAB]]</f>
        <v>22</v>
      </c>
      <c r="F9" s="4">
        <f>Données[[#This Row],[LLS]]+Données[[#This Row],[LLTS]]+Données[[#This Row],[PLS]]</f>
        <v>22</v>
      </c>
      <c r="G9" s="5">
        <v>22</v>
      </c>
      <c r="H9" s="5"/>
      <c r="I9" s="5"/>
      <c r="J9" s="5"/>
      <c r="K9" s="7" t="s">
        <v>39</v>
      </c>
      <c r="L9" s="54">
        <v>43334</v>
      </c>
      <c r="M9" s="9">
        <v>44148</v>
      </c>
      <c r="N9" s="10">
        <v>2020</v>
      </c>
      <c r="O9" s="6">
        <f>IFERROR((DATEDIF(Données[[#This Row],[Arrêté LBU]],Données[[#This Row],[OS démarrage]],"d"))/30,0)</f>
        <v>27.133333333333333</v>
      </c>
      <c r="P9" s="29">
        <v>26</v>
      </c>
      <c r="Q9" s="12">
        <f>DATEDIF(Données[[#This Row],[OS démarrage]],Données[[#This Row],[Date réception entreprise recalée]],"M")</f>
        <v>35</v>
      </c>
      <c r="R9" s="13">
        <v>44538</v>
      </c>
      <c r="S9" s="14">
        <f>EDATE(Données[[#This Row],[OS démarrage]],Données[[#This Row],[Délai chantier initial]])</f>
        <v>44939</v>
      </c>
      <c r="T9" s="24">
        <v>45230</v>
      </c>
      <c r="U9" s="16">
        <f>EDATE(Données[[#This Row],[Date réception entreprise recalée]],12)</f>
        <v>45596</v>
      </c>
      <c r="V9" s="17">
        <f>(Données[[#This Row],[Date réception entreprise recalée]]-Données[[#This Row],[Date réception entreprise prévue initialement]])/30</f>
        <v>9.6999999999999993</v>
      </c>
      <c r="W9" s="44"/>
      <c r="X9" s="19"/>
      <c r="Y9" s="19"/>
      <c r="Z9" s="19"/>
      <c r="AA9" s="20">
        <f>IF(Données[[#This Row],[TYPE]]="Rehab",0,IFERROR((Données[[#This Row],[Date Livraison VEFA estimée avec retards constatés]]-Données[[#This Row],[Date livraison contractuelle y/c avenant]])/30,"-"))</f>
        <v>0</v>
      </c>
      <c r="AB9" s="21">
        <f>IF(Données[[#This Row],[TYPE]]="Rehab",0,Données[[#This Row],[Date Livraison VEFA estimée avec retards constatés]]-Données[[#This Row],[Date livraison contractuelle y/c avenant]])</f>
        <v>0</v>
      </c>
      <c r="AC9" s="22"/>
      <c r="AD9" s="23">
        <f>IF(AND(Données[[#This Row],[TYPE]]&lt;&gt;"Rehab",Données[[#This Row],[Achèvement fondations]]&lt;&gt;""),EDATE(Données[[#This Row],[Achèvement fondations]],24),"")</f>
        <v>45268</v>
      </c>
      <c r="AE9" s="30">
        <f>IF(Données[[#This Row],[VEFA / PROPRE]]="vefa",EDATE(Données[[#This Row],[Date Livraison initiale VEFA]],1),EDATE(Données[[#This Row],[Date réception entreprise prévue initialement]],1))</f>
        <v>44970</v>
      </c>
      <c r="AF9" s="56">
        <v>45238</v>
      </c>
      <c r="AG9" s="55"/>
      <c r="AH9" s="26">
        <f>IF((Données[[#This Row],[Date inauguration recalée]]-Données[[#This Row],[Date inauguration initiale]])/30&lt;0,0,(Données[[#This Row],[Date inauguration recalée]]-Données[[#This Row],[Date inauguration initiale]])/30)</f>
        <v>8.9333333333333336</v>
      </c>
      <c r="AI9" s="26">
        <v>13231</v>
      </c>
      <c r="AJ9" s="26">
        <f>IF(Données[[#This Row],[TYPE]]="Rehab","",Données[[#This Row],[Loyer mensuel]]*Données[[#This Row],[Retard Inauguration (m)]])</f>
        <v>118196.93333333333</v>
      </c>
      <c r="AN9"/>
      <c r="AR9"/>
      <c r="AS9"/>
      <c r="AT9"/>
      <c r="AV9"/>
      <c r="AW9"/>
      <c r="AY9"/>
      <c r="AZ9"/>
    </row>
    <row r="10" spans="1:52" x14ac:dyDescent="0.25">
      <c r="A10" s="2" t="s">
        <v>65</v>
      </c>
      <c r="B10" s="3" t="s">
        <v>38</v>
      </c>
      <c r="C10" s="3">
        <v>2019</v>
      </c>
      <c r="D10" s="3" t="s">
        <v>6</v>
      </c>
      <c r="E10" s="4">
        <f>Données[[#This Row],[LLS]]+Données[[#This Row],[LLTS]]+Données[[#This Row],[PLS]]+Données[[#This Row],[REHAB]]</f>
        <v>46</v>
      </c>
      <c r="F10" s="4">
        <f>Données[[#This Row],[LLS]]+Données[[#This Row],[LLTS]]+Données[[#This Row],[PLS]]</f>
        <v>46</v>
      </c>
      <c r="G10" s="5">
        <v>46</v>
      </c>
      <c r="H10" s="5"/>
      <c r="I10" s="5"/>
      <c r="J10" s="5"/>
      <c r="K10" s="7" t="s">
        <v>37</v>
      </c>
      <c r="L10" s="54">
        <v>43745</v>
      </c>
      <c r="M10" s="9">
        <v>43997</v>
      </c>
      <c r="N10" s="10">
        <v>2020</v>
      </c>
      <c r="O10" s="6">
        <f>IFERROR((DATEDIF(Données[[#This Row],[Arrêté LBU]],Données[[#This Row],[OS démarrage]],"d"))/30,0)</f>
        <v>8.4</v>
      </c>
      <c r="P10" s="29">
        <v>21</v>
      </c>
      <c r="Q10" s="12">
        <f>DATEDIF(Données[[#This Row],[OS démarrage]],Données[[#This Row],[Date réception entreprise recalée]],"M")</f>
        <v>28</v>
      </c>
      <c r="R10" s="13">
        <v>44137</v>
      </c>
      <c r="S10" s="14">
        <f>EDATE(Données[[#This Row],[OS démarrage]],Données[[#This Row],[Délai chantier initial]])</f>
        <v>44635</v>
      </c>
      <c r="T10" s="24">
        <v>44849</v>
      </c>
      <c r="U10" s="16">
        <f>EDATE(Données[[#This Row],[Date réception entreprise recalée]],12)</f>
        <v>45214</v>
      </c>
      <c r="V10" s="17">
        <f>(Données[[#This Row],[Date réception entreprise recalée]]-Données[[#This Row],[Date réception entreprise prévue initialement]])/30</f>
        <v>7.1333333333333337</v>
      </c>
      <c r="W10" s="19">
        <v>44658</v>
      </c>
      <c r="X10" s="19">
        <v>44688</v>
      </c>
      <c r="Y10" s="19">
        <v>44827</v>
      </c>
      <c r="Z10" s="19">
        <v>45119</v>
      </c>
      <c r="AA10" s="20">
        <f>IF(Données[[#This Row],[TYPE]]="Rehab",0,IFERROR((Données[[#This Row],[Date Livraison VEFA estimée avec retards constatés]]-Données[[#This Row],[Date livraison contractuelle y/c avenant]])/30,"-"))</f>
        <v>9.7333333333333325</v>
      </c>
      <c r="AB10" s="21">
        <f>IF(Données[[#This Row],[TYPE]]="Rehab",0,Données[[#This Row],[Date Livraison VEFA estimée avec retards constatés]]-Données[[#This Row],[Date livraison contractuelle y/c avenant]])</f>
        <v>292</v>
      </c>
      <c r="AC10" s="22"/>
      <c r="AD10" s="23">
        <f>IF(AND(Données[[#This Row],[TYPE]]&lt;&gt;"Rehab",Données[[#This Row],[Achèvement fondations]]&lt;&gt;""),EDATE(Données[[#This Row],[Achèvement fondations]],24),"")</f>
        <v>44867</v>
      </c>
      <c r="AE10" s="30">
        <f>IF(Données[[#This Row],[VEFA / PROPRE]]="vefa",EDATE(Données[[#This Row],[Date Livraison initiale VEFA]],1),EDATE(Données[[#This Row],[Date réception entreprise prévue initialement]],1))</f>
        <v>44719</v>
      </c>
      <c r="AF10" s="24">
        <v>45138</v>
      </c>
      <c r="AG10" s="25">
        <v>2023</v>
      </c>
      <c r="AH10" s="26">
        <f>IF((Données[[#This Row],[Date inauguration recalée]]-Données[[#This Row],[Date inauguration initiale]])/30&lt;0,0,(Données[[#This Row],[Date inauguration recalée]]-Données[[#This Row],[Date inauguration initiale]])/30)</f>
        <v>13.966666666666667</v>
      </c>
      <c r="AI10" s="26">
        <v>25827</v>
      </c>
      <c r="AJ10" s="26">
        <f>IF(Données[[#This Row],[TYPE]]="Rehab","",Données[[#This Row],[Loyer mensuel]]*Données[[#This Row],[Retard Inauguration (m)]])</f>
        <v>360717.1</v>
      </c>
      <c r="AN10"/>
      <c r="AR10"/>
      <c r="AS10"/>
      <c r="AT10"/>
      <c r="AV10"/>
      <c r="AW10"/>
      <c r="AY10"/>
      <c r="AZ10"/>
    </row>
    <row r="11" spans="1:52" x14ac:dyDescent="0.25">
      <c r="A11" s="2" t="s">
        <v>66</v>
      </c>
      <c r="B11" s="3" t="s">
        <v>38</v>
      </c>
      <c r="C11" s="3">
        <v>2020</v>
      </c>
      <c r="D11" s="3" t="s">
        <v>6</v>
      </c>
      <c r="E11" s="4">
        <f>Données[[#This Row],[LLS]]+Données[[#This Row],[LLTS]]+Données[[#This Row],[PLS]]+Données[[#This Row],[REHAB]]</f>
        <v>30</v>
      </c>
      <c r="F11" s="4">
        <f>Données[[#This Row],[LLS]]+Données[[#This Row],[LLTS]]+Données[[#This Row],[PLS]]</f>
        <v>30</v>
      </c>
      <c r="G11" s="5">
        <v>30</v>
      </c>
      <c r="H11" s="5"/>
      <c r="I11" s="5"/>
      <c r="J11" s="5"/>
      <c r="K11" s="7" t="s">
        <v>37</v>
      </c>
      <c r="L11" s="54">
        <v>43993</v>
      </c>
      <c r="M11" s="9">
        <v>44186</v>
      </c>
      <c r="N11" s="10">
        <v>2020</v>
      </c>
      <c r="O11" s="6">
        <f>IFERROR((DATEDIF(Données[[#This Row],[Arrêté LBU]],Données[[#This Row],[OS démarrage]],"d"))/30,0)</f>
        <v>6.4333333333333336</v>
      </c>
      <c r="P11" s="29">
        <v>29</v>
      </c>
      <c r="Q11" s="12">
        <f>DATEDIF(Données[[#This Row],[OS démarrage]],Données[[#This Row],[Date réception entreprise recalée]],"M")</f>
        <v>33</v>
      </c>
      <c r="R11" s="32">
        <v>44540</v>
      </c>
      <c r="S11" s="14">
        <f>EDATE(Données[[#This Row],[OS démarrage]],Données[[#This Row],[Délai chantier initial]])</f>
        <v>45067</v>
      </c>
      <c r="T11" s="24">
        <v>45200</v>
      </c>
      <c r="U11" s="16">
        <f>EDATE(Données[[#This Row],[Date réception entreprise recalée]],12)</f>
        <v>45566</v>
      </c>
      <c r="V11" s="17">
        <f>(Données[[#This Row],[Date réception entreprise recalée]]-Données[[#This Row],[Date réception entreprise prévue initialement]])/30</f>
        <v>4.4333333333333336</v>
      </c>
      <c r="W11" s="44">
        <v>45077</v>
      </c>
      <c r="X11" s="19">
        <v>45077</v>
      </c>
      <c r="Y11" s="19">
        <v>45211</v>
      </c>
      <c r="Z11" s="19">
        <v>45199</v>
      </c>
      <c r="AA11" s="20">
        <f>IF(Données[[#This Row],[TYPE]]="Rehab",0,IFERROR((Données[[#This Row],[Date Livraison VEFA estimée avec retards constatés]]-Données[[#This Row],[Date livraison contractuelle y/c avenant]])/30,"-"))</f>
        <v>-0.4</v>
      </c>
      <c r="AB11" s="21">
        <f>IF(Données[[#This Row],[TYPE]]="Rehab",0,Données[[#This Row],[Date Livraison VEFA estimée avec retards constatés]]-Données[[#This Row],[Date livraison contractuelle y/c avenant]])</f>
        <v>-12</v>
      </c>
      <c r="AC11" s="22"/>
      <c r="AD11" s="23">
        <f>IF(AND(Données[[#This Row],[TYPE]]&lt;&gt;"Rehab",Données[[#This Row],[Achèvement fondations]]&lt;&gt;""),EDATE(Données[[#This Row],[Achèvement fondations]],24),"")</f>
        <v>45270</v>
      </c>
      <c r="AE11" s="30">
        <f>IF(Données[[#This Row],[VEFA / PROPRE]]="vefa",EDATE(Données[[#This Row],[Date Livraison initiale VEFA]],1),EDATE(Données[[#This Row],[Date réception entreprise prévue initialement]],1))</f>
        <v>45107</v>
      </c>
      <c r="AF11" s="24">
        <v>45225</v>
      </c>
      <c r="AG11" s="55"/>
      <c r="AH11" s="26">
        <f>IF((Données[[#This Row],[Date inauguration recalée]]-Données[[#This Row],[Date inauguration initiale]])/30&lt;0,0,(Données[[#This Row],[Date inauguration recalée]]-Données[[#This Row],[Date inauguration initiale]])/30)</f>
        <v>3.9333333333333331</v>
      </c>
      <c r="AI11" s="26">
        <v>11443.849907364167</v>
      </c>
      <c r="AJ11" s="26">
        <f>IF(Données[[#This Row],[TYPE]]="Rehab","",Données[[#This Row],[Loyer mensuel]]*Données[[#This Row],[Retard Inauguration (m)]])</f>
        <v>45012.476302299052</v>
      </c>
      <c r="AN11"/>
      <c r="AR11"/>
      <c r="AS11"/>
      <c r="AT11"/>
      <c r="AV11"/>
      <c r="AW11"/>
      <c r="AY11"/>
      <c r="AZ11"/>
    </row>
    <row r="12" spans="1:52" x14ac:dyDescent="0.25">
      <c r="A12" s="95" t="s">
        <v>67</v>
      </c>
      <c r="B12" s="3" t="s">
        <v>38</v>
      </c>
      <c r="C12" s="3">
        <v>2020</v>
      </c>
      <c r="D12" s="3" t="s">
        <v>6</v>
      </c>
      <c r="E12" s="4">
        <f>Données[[#This Row],[LLS]]+Données[[#This Row],[LLTS]]+Données[[#This Row],[PLS]]+Données[[#This Row],[REHAB]]</f>
        <v>30</v>
      </c>
      <c r="F12" s="4">
        <f>Données[[#This Row],[LLS]]+Données[[#This Row],[LLTS]]+Données[[#This Row],[PLS]]</f>
        <v>30</v>
      </c>
      <c r="G12" s="5">
        <v>30</v>
      </c>
      <c r="H12" s="5"/>
      <c r="I12" s="5"/>
      <c r="J12" s="5"/>
      <c r="K12" s="7" t="s">
        <v>37</v>
      </c>
      <c r="L12" s="54">
        <v>44027</v>
      </c>
      <c r="M12" s="9">
        <v>44256</v>
      </c>
      <c r="N12" s="10">
        <v>2021</v>
      </c>
      <c r="O12" s="6">
        <f>IFERROR((DATEDIF(Données[[#This Row],[Arrêté LBU]],Données[[#This Row],[OS démarrage]],"d"))/30,0)</f>
        <v>7.6333333333333337</v>
      </c>
      <c r="P12" s="29">
        <v>18</v>
      </c>
      <c r="Q12" s="12">
        <f>DATEDIF(Données[[#This Row],[OS démarrage]],Données[[#This Row],[Date réception entreprise recalée]],"M")</f>
        <v>26</v>
      </c>
      <c r="R12" s="32">
        <v>44459</v>
      </c>
      <c r="S12" s="14">
        <f>EDATE(Données[[#This Row],[OS démarrage]],Données[[#This Row],[Délai chantier initial]])</f>
        <v>44805</v>
      </c>
      <c r="T12" s="24">
        <v>45076</v>
      </c>
      <c r="U12" s="16">
        <f>EDATE(Données[[#This Row],[Date réception entreprise recalée]],12)</f>
        <v>45442</v>
      </c>
      <c r="V12" s="17">
        <f>(Données[[#This Row],[Date réception entreprise recalée]]-Données[[#This Row],[Date réception entreprise prévue initialement]])/30</f>
        <v>9.0333333333333332</v>
      </c>
      <c r="W12" s="57">
        <v>44834</v>
      </c>
      <c r="X12" s="57">
        <v>44925</v>
      </c>
      <c r="Y12" s="57">
        <v>45019</v>
      </c>
      <c r="Z12" s="57">
        <v>45106</v>
      </c>
      <c r="AA12" s="20">
        <f>IF(Données[[#This Row],[TYPE]]="Rehab",0,IFERROR((Données[[#This Row],[Date Livraison VEFA estimée avec retards constatés]]-Données[[#This Row],[Date livraison contractuelle y/c avenant]])/30,"-"))</f>
        <v>2.9</v>
      </c>
      <c r="AB12" s="21">
        <f>IF(Données[[#This Row],[TYPE]]="Rehab",0,Données[[#This Row],[Date Livraison VEFA estimée avec retards constatés]]-Données[[#This Row],[Date livraison contractuelle y/c avenant]])</f>
        <v>87</v>
      </c>
      <c r="AC12" s="22">
        <v>45015</v>
      </c>
      <c r="AD12" s="23">
        <f>IF(AND(Données[[#This Row],[TYPE]]&lt;&gt;"Rehab",Données[[#This Row],[Achèvement fondations]]&lt;&gt;""),EDATE(Données[[#This Row],[Achèvement fondations]],24),"")</f>
        <v>45189</v>
      </c>
      <c r="AE12" s="30">
        <f>IF(Données[[#This Row],[VEFA / PROPRE]]="vefa",EDATE(Données[[#This Row],[Date Livraison initiale VEFA]],1),EDATE(Données[[#This Row],[Date réception entreprise prévue initialement]],1))</f>
        <v>44956</v>
      </c>
      <c r="AF12" s="24">
        <v>45126</v>
      </c>
      <c r="AG12" s="25">
        <v>2023</v>
      </c>
      <c r="AH12" s="26">
        <f>IF((Données[[#This Row],[Date inauguration recalée]]-Données[[#This Row],[Date inauguration initiale]])/30&lt;0,0,(Données[[#This Row],[Date inauguration recalée]]-Données[[#This Row],[Date inauguration initiale]])/30)</f>
        <v>5.666666666666667</v>
      </c>
      <c r="AI12" s="26">
        <f>179035/12</f>
        <v>14919.583333333334</v>
      </c>
      <c r="AJ12" s="26">
        <f>IF(Données[[#This Row],[TYPE]]="Rehab","",Données[[#This Row],[Loyer mensuel]]*Données[[#This Row],[Retard Inauguration (m)]])</f>
        <v>84544.305555555562</v>
      </c>
      <c r="AN12"/>
      <c r="AR12"/>
      <c r="AS12"/>
      <c r="AT12"/>
      <c r="AV12"/>
      <c r="AW12"/>
      <c r="AY12"/>
      <c r="AZ12"/>
    </row>
    <row r="13" spans="1:52" x14ac:dyDescent="0.25">
      <c r="A13" s="95" t="s">
        <v>68</v>
      </c>
      <c r="B13" s="3" t="s">
        <v>38</v>
      </c>
      <c r="C13" s="3">
        <v>2020</v>
      </c>
      <c r="D13" s="3" t="s">
        <v>6</v>
      </c>
      <c r="E13" s="4">
        <f>Données[[#This Row],[LLS]]+Données[[#This Row],[LLTS]]+Données[[#This Row],[PLS]]+Données[[#This Row],[REHAB]]</f>
        <v>53</v>
      </c>
      <c r="F13" s="4">
        <f>Données[[#This Row],[LLS]]+Données[[#This Row],[LLTS]]+Données[[#This Row],[PLS]]</f>
        <v>53</v>
      </c>
      <c r="G13" s="5">
        <v>53</v>
      </c>
      <c r="H13" s="5"/>
      <c r="I13" s="5"/>
      <c r="J13" s="47"/>
      <c r="K13" s="7" t="s">
        <v>37</v>
      </c>
      <c r="L13" s="54">
        <v>44027</v>
      </c>
      <c r="M13" s="9">
        <v>44368</v>
      </c>
      <c r="N13" s="10">
        <v>2021</v>
      </c>
      <c r="O13" s="6">
        <f>IFERROR((DATEDIF(Données[[#This Row],[Arrêté LBU]],Données[[#This Row],[OS démarrage]],"d"))/30,0)</f>
        <v>11.366666666666667</v>
      </c>
      <c r="P13" s="29">
        <v>24</v>
      </c>
      <c r="Q13" s="12">
        <f>DATEDIF(Données[[#This Row],[OS démarrage]],Données[[#This Row],[Date réception entreprise recalée]],"M")</f>
        <v>29</v>
      </c>
      <c r="R13" s="32">
        <v>44543</v>
      </c>
      <c r="S13" s="14">
        <f>EDATE(Données[[#This Row],[OS démarrage]],Données[[#This Row],[Délai chantier initial]])</f>
        <v>45098</v>
      </c>
      <c r="T13" s="24">
        <v>45258</v>
      </c>
      <c r="U13" s="16">
        <f>EDATE(Données[[#This Row],[Date réception entreprise recalée]],12)</f>
        <v>45624</v>
      </c>
      <c r="V13" s="17">
        <f>(Données[[#This Row],[Date réception entreprise recalée]]-Données[[#This Row],[Date réception entreprise prévue initialement]])/30</f>
        <v>5.333333333333333</v>
      </c>
      <c r="W13" s="44">
        <v>45078</v>
      </c>
      <c r="X13" s="19">
        <v>45078</v>
      </c>
      <c r="Y13" s="19">
        <f>X13</f>
        <v>45078</v>
      </c>
      <c r="Z13" s="19">
        <v>45231</v>
      </c>
      <c r="AA13" s="20">
        <f>IF(Données[[#This Row],[TYPE]]="Rehab",0,IFERROR((Données[[#This Row],[Date Livraison VEFA estimée avec retards constatés]]-Données[[#This Row],[Date livraison contractuelle y/c avenant]])/30,"-"))</f>
        <v>5.0999999999999996</v>
      </c>
      <c r="AB13" s="21">
        <f>IF(Données[[#This Row],[TYPE]]="Rehab",0,Données[[#This Row],[Date Livraison VEFA estimée avec retards constatés]]-Données[[#This Row],[Date livraison contractuelle y/c avenant]])</f>
        <v>153</v>
      </c>
      <c r="AC13" s="22"/>
      <c r="AD13" s="23">
        <f>IF(AND(Données[[#This Row],[TYPE]]&lt;&gt;"Rehab",Données[[#This Row],[Achèvement fondations]]&lt;&gt;""),EDATE(Données[[#This Row],[Achèvement fondations]],24),"")</f>
        <v>45273</v>
      </c>
      <c r="AE13" s="30">
        <f>IF(Données[[#This Row],[VEFA / PROPRE]]="vefa",EDATE(Données[[#This Row],[Date Livraison initiale VEFA]],1),EDATE(Données[[#This Row],[Date réception entreprise prévue initialement]],1))</f>
        <v>45108</v>
      </c>
      <c r="AF13" s="24">
        <v>45245</v>
      </c>
      <c r="AG13" s="55"/>
      <c r="AH13" s="26">
        <f>IF((Données[[#This Row],[Date inauguration recalée]]-Données[[#This Row],[Date inauguration initiale]])/30&lt;0,0,(Données[[#This Row],[Date inauguration recalée]]-Données[[#This Row],[Date inauguration initiale]])/30)</f>
        <v>4.5666666666666664</v>
      </c>
      <c r="AI13" s="26">
        <v>32040.583627870667</v>
      </c>
      <c r="AJ13" s="26">
        <f>IF(Données[[#This Row],[TYPE]]="Rehab","",Données[[#This Row],[Loyer mensuel]]*Données[[#This Row],[Retard Inauguration (m)]])</f>
        <v>146318.66523394271</v>
      </c>
      <c r="AN13"/>
      <c r="AR13"/>
      <c r="AS13"/>
      <c r="AT13"/>
      <c r="AV13"/>
      <c r="AW13"/>
      <c r="AY13"/>
      <c r="AZ13"/>
    </row>
    <row r="14" spans="1:52" x14ac:dyDescent="0.25">
      <c r="A14" s="31" t="s">
        <v>69</v>
      </c>
      <c r="B14" s="3" t="s">
        <v>38</v>
      </c>
      <c r="C14" s="3">
        <v>2020</v>
      </c>
      <c r="D14" s="3" t="s">
        <v>6</v>
      </c>
      <c r="E14" s="4">
        <f>Données[[#This Row],[LLS]]+Données[[#This Row],[LLTS]]+Données[[#This Row],[PLS]]+Données[[#This Row],[REHAB]]</f>
        <v>10</v>
      </c>
      <c r="F14" s="4">
        <f>Données[[#This Row],[LLS]]+Données[[#This Row],[LLTS]]+Données[[#This Row],[PLS]]</f>
        <v>10</v>
      </c>
      <c r="G14" s="2">
        <v>10</v>
      </c>
      <c r="H14" s="2"/>
      <c r="I14" s="5"/>
      <c r="J14" s="5"/>
      <c r="K14" s="7" t="s">
        <v>39</v>
      </c>
      <c r="L14" s="54">
        <v>44175</v>
      </c>
      <c r="M14" s="9">
        <v>44301</v>
      </c>
      <c r="N14" s="10">
        <v>2021</v>
      </c>
      <c r="O14" s="6">
        <f>IFERROR((DATEDIF(Données[[#This Row],[Arrêté LBU]],Données[[#This Row],[OS démarrage]],"d"))/30,0)</f>
        <v>4.2</v>
      </c>
      <c r="P14" s="29">
        <v>18</v>
      </c>
      <c r="Q14" s="12">
        <f>DATEDIF(Données[[#This Row],[OS démarrage]],Données[[#This Row],[Date réception entreprise recalée]],"M")</f>
        <v>28</v>
      </c>
      <c r="R14" s="32">
        <v>44474</v>
      </c>
      <c r="S14" s="14">
        <f>EDATE(Données[[#This Row],[OS démarrage]],Données[[#This Row],[Délai chantier initial]])</f>
        <v>44849</v>
      </c>
      <c r="T14" s="24">
        <v>45162</v>
      </c>
      <c r="U14" s="16">
        <f>EDATE(Données[[#This Row],[Date réception entreprise recalée]],12)</f>
        <v>45528</v>
      </c>
      <c r="V14" s="17">
        <f>(Données[[#This Row],[Date réception entreprise recalée]]-Données[[#This Row],[Date réception entreprise prévue initialement]])/30</f>
        <v>10.433333333333334</v>
      </c>
      <c r="W14" s="44"/>
      <c r="X14" s="19"/>
      <c r="Y14" s="19"/>
      <c r="Z14" s="19"/>
      <c r="AA14" s="20">
        <f>IF(Données[[#This Row],[TYPE]]="Rehab",0,IFERROR((Données[[#This Row],[Date Livraison VEFA estimée avec retards constatés]]-Données[[#This Row],[Date livraison contractuelle y/c avenant]])/30,"-"))</f>
        <v>0</v>
      </c>
      <c r="AB14" s="21">
        <f>IF(Données[[#This Row],[TYPE]]="Rehab",0,Données[[#This Row],[Date Livraison VEFA estimée avec retards constatés]]-Données[[#This Row],[Date livraison contractuelle y/c avenant]])</f>
        <v>0</v>
      </c>
      <c r="AC14" s="22">
        <v>45173</v>
      </c>
      <c r="AD14" s="51">
        <f>IF(AND(Données[[#This Row],[TYPE]]&lt;&gt;"Rehab",Données[[#This Row],[Achèvement fondations]]&lt;&gt;""),EDATE(Données[[#This Row],[Achèvement fondations]],24),"")</f>
        <v>45204</v>
      </c>
      <c r="AE14" s="30">
        <f>IF(Données[[#This Row],[VEFA / PROPRE]]="vefa",EDATE(Données[[#This Row],[Date Livraison initiale VEFA]],1),EDATE(Données[[#This Row],[Date réception entreprise prévue initialement]],1))</f>
        <v>44880</v>
      </c>
      <c r="AF14" s="24">
        <v>45167</v>
      </c>
      <c r="AG14" s="25">
        <v>2023</v>
      </c>
      <c r="AH14" s="26">
        <f>IF((Données[[#This Row],[Date inauguration recalée]]-Données[[#This Row],[Date inauguration initiale]])/30&lt;0,0,(Données[[#This Row],[Date inauguration recalée]]-Données[[#This Row],[Date inauguration initiale]])/30)</f>
        <v>9.5666666666666664</v>
      </c>
      <c r="AI14" s="26">
        <v>5891.6250268306248</v>
      </c>
      <c r="AJ14" s="26">
        <f>IF(Données[[#This Row],[TYPE]]="Rehab","",Données[[#This Row],[Loyer mensuel]]*Données[[#This Row],[Retard Inauguration (m)]])</f>
        <v>56363.212756679641</v>
      </c>
      <c r="AN14"/>
      <c r="AR14"/>
      <c r="AS14"/>
      <c r="AT14"/>
      <c r="AV14"/>
      <c r="AW14"/>
      <c r="AY14"/>
      <c r="AZ14"/>
    </row>
    <row r="15" spans="1:52" x14ac:dyDescent="0.25">
      <c r="A15" s="31" t="s">
        <v>70</v>
      </c>
      <c r="B15" s="3" t="s">
        <v>38</v>
      </c>
      <c r="C15" s="3">
        <v>2020</v>
      </c>
      <c r="D15" s="3" t="s">
        <v>6</v>
      </c>
      <c r="E15" s="4">
        <f>Données[[#This Row],[LLS]]+Données[[#This Row],[LLTS]]+Données[[#This Row],[PLS]]+Données[[#This Row],[REHAB]]</f>
        <v>21</v>
      </c>
      <c r="F15" s="4">
        <f>Données[[#This Row],[LLS]]+Données[[#This Row],[LLTS]]+Données[[#This Row],[PLS]]</f>
        <v>21</v>
      </c>
      <c r="G15" s="5">
        <v>21</v>
      </c>
      <c r="H15" s="5"/>
      <c r="I15" s="5"/>
      <c r="J15" s="5"/>
      <c r="K15" s="7" t="s">
        <v>39</v>
      </c>
      <c r="L15" s="54">
        <v>43993</v>
      </c>
      <c r="M15" s="9">
        <v>44760</v>
      </c>
      <c r="N15" s="10">
        <v>2022</v>
      </c>
      <c r="O15" s="6">
        <f>IFERROR((DATEDIF(Données[[#This Row],[Arrêté LBU]],Données[[#This Row],[OS démarrage]],"d"))/30,0)</f>
        <v>25.566666666666666</v>
      </c>
      <c r="P15" s="29">
        <v>18</v>
      </c>
      <c r="Q15" s="12">
        <f>DATEDIF(Données[[#This Row],[OS démarrage]],Données[[#This Row],[Date réception entreprise recalée]],"M")</f>
        <v>20</v>
      </c>
      <c r="R15" s="32">
        <v>45041</v>
      </c>
      <c r="S15" s="14">
        <f>EDATE(Données[[#This Row],[OS démarrage]],Données[[#This Row],[Délai chantier initial]])</f>
        <v>45309</v>
      </c>
      <c r="T15" s="24">
        <f>DATE(YEAR(Données[[#This Row],[Date réception entreprise prévue initialement]]),MONTH(Données[[#This Row],[Date réception entreprise prévue initialement]])+2,DAY(Données[[#This Row],[Date réception entreprise prévue initialement]]))</f>
        <v>45369</v>
      </c>
      <c r="U15" s="16">
        <f>EDATE(Données[[#This Row],[Date réception entreprise recalée]],12)</f>
        <v>45734</v>
      </c>
      <c r="V15" s="17">
        <f>(Données[[#This Row],[Date réception entreprise recalée]]-Données[[#This Row],[Date réception entreprise prévue initialement]])/30</f>
        <v>2</v>
      </c>
      <c r="W15" s="44"/>
      <c r="X15" s="19"/>
      <c r="Y15" s="19"/>
      <c r="Z15" s="19"/>
      <c r="AA15" s="20">
        <f>IF(Données[[#This Row],[TYPE]]="Rehab",0,IFERROR((Données[[#This Row],[Date Livraison VEFA estimée avec retards constatés]]-Données[[#This Row],[Date livraison contractuelle y/c avenant]])/30,"-"))</f>
        <v>0</v>
      </c>
      <c r="AB15" s="21">
        <f>IF(Données[[#This Row],[TYPE]]="Rehab",0,Données[[#This Row],[Date Livraison VEFA estimée avec retards constatés]]-Données[[#This Row],[Date livraison contractuelle y/c avenant]])</f>
        <v>0</v>
      </c>
      <c r="AC15" s="22"/>
      <c r="AD15" s="23">
        <f>IF(AND(Données[[#This Row],[TYPE]]&lt;&gt;"Rehab",Données[[#This Row],[Achèvement fondations]]&lt;&gt;""),EDATE(Données[[#This Row],[Achèvement fondations]],24),"")</f>
        <v>45772</v>
      </c>
      <c r="AE15" s="30">
        <f>IF(Données[[#This Row],[VEFA / PROPRE]]="vefa",EDATE(Données[[#This Row],[Date Livraison initiale VEFA]],1),EDATE(Données[[#This Row],[Date réception entreprise prévue initialement]],1))</f>
        <v>45340</v>
      </c>
      <c r="AF15" s="24">
        <f>IF(Données[[#This Row],[VEFA / PROPRE]]="VEFA",EDATE(Données[[#This Row],[Date Livraison VEFA estimée avec retards constatés]],1),EDATE(Données[[#This Row],[Date réception entreprise recalée]],1))</f>
        <v>45400</v>
      </c>
      <c r="AG15" s="55"/>
      <c r="AH15" s="26">
        <f>IF((Données[[#This Row],[Date inauguration recalée]]-Données[[#This Row],[Date inauguration initiale]])/30&lt;0,0,(Données[[#This Row],[Date inauguration recalée]]-Données[[#This Row],[Date inauguration initiale]])/30)</f>
        <v>2</v>
      </c>
      <c r="AI15" s="26">
        <v>11349.992538520974</v>
      </c>
      <c r="AJ15" s="26">
        <f>IF(Données[[#This Row],[TYPE]]="Rehab","",Données[[#This Row],[Loyer mensuel]]*Données[[#This Row],[Retard Inauguration (m)]])</f>
        <v>22699.985077041947</v>
      </c>
      <c r="AN15"/>
      <c r="AR15"/>
      <c r="AS15"/>
      <c r="AT15"/>
      <c r="AV15"/>
      <c r="AW15"/>
      <c r="AY15"/>
      <c r="AZ15"/>
    </row>
    <row r="16" spans="1:52" x14ac:dyDescent="0.25">
      <c r="A16" s="95" t="s">
        <v>71</v>
      </c>
      <c r="B16" s="3" t="s">
        <v>38</v>
      </c>
      <c r="C16" s="3">
        <v>2020</v>
      </c>
      <c r="D16" s="27" t="s">
        <v>6</v>
      </c>
      <c r="E16" s="4">
        <f>Données[[#This Row],[LLS]]+Données[[#This Row],[LLTS]]+Données[[#This Row],[PLS]]+Données[[#This Row],[REHAB]]</f>
        <v>20</v>
      </c>
      <c r="F16" s="4">
        <f>Données[[#This Row],[LLS]]+Données[[#This Row],[LLTS]]+Données[[#This Row],[PLS]]</f>
        <v>20</v>
      </c>
      <c r="G16" s="5">
        <v>20</v>
      </c>
      <c r="H16" s="5"/>
      <c r="I16" s="5"/>
      <c r="J16" s="5"/>
      <c r="K16" s="7" t="s">
        <v>39</v>
      </c>
      <c r="L16" s="54">
        <v>44022</v>
      </c>
      <c r="M16" s="9">
        <v>45076</v>
      </c>
      <c r="N16" s="10">
        <v>2023</v>
      </c>
      <c r="O16" s="6">
        <f>IFERROR((DATEDIF(Données[[#This Row],[Arrêté LBU]],Données[[#This Row],[OS démarrage]],"d"))/30,0)</f>
        <v>35.133333333333333</v>
      </c>
      <c r="P16" s="29">
        <v>21</v>
      </c>
      <c r="Q16" s="12">
        <f>DATEDIF(Données[[#This Row],[OS démarrage]],Données[[#This Row],[Date réception entreprise recalée]],"M")</f>
        <v>22</v>
      </c>
      <c r="R16" s="13"/>
      <c r="S16" s="14">
        <v>45720</v>
      </c>
      <c r="T16" s="24">
        <f>DATE(YEAR(Données[[#This Row],[Date réception entreprise prévue initialement]]),MONTH(Données[[#This Row],[Date réception entreprise prévue initialement]])+1,DAY(Données[[#This Row],[Date réception entreprise prévue initialement]]))</f>
        <v>45751</v>
      </c>
      <c r="U16" s="16">
        <f>EDATE(Données[[#This Row],[Date réception entreprise recalée]],12)</f>
        <v>46116</v>
      </c>
      <c r="V16" s="17">
        <f>(Données[[#This Row],[Date réception entreprise recalée]]-Données[[#This Row],[Date réception entreprise prévue initialement]])/30</f>
        <v>1.0333333333333334</v>
      </c>
      <c r="W16" s="44"/>
      <c r="X16" s="19"/>
      <c r="Y16" s="19"/>
      <c r="Z16" s="19"/>
      <c r="AA16" s="20">
        <f>IF(Données[[#This Row],[TYPE]]="Rehab",0,IFERROR((Données[[#This Row],[Date Livraison VEFA estimée avec retards constatés]]-Données[[#This Row],[Date livraison contractuelle y/c avenant]])/30,"-"))</f>
        <v>0</v>
      </c>
      <c r="AB16" s="21">
        <f>IF(Données[[#This Row],[TYPE]]="Rehab",0,Données[[#This Row],[Date Livraison VEFA estimée avec retards constatés]]-Données[[#This Row],[Date livraison contractuelle y/c avenant]])</f>
        <v>0</v>
      </c>
      <c r="AC16" s="22"/>
      <c r="AD16" s="23" t="str">
        <f>IF(AND(Données[[#This Row],[TYPE]]&lt;&gt;"Rehab",Données[[#This Row],[Achèvement fondations]]&lt;&gt;""),EDATE(Données[[#This Row],[Achèvement fondations]],24),"")</f>
        <v/>
      </c>
      <c r="AE16" s="30">
        <f>IF(Données[[#This Row],[VEFA / PROPRE]]="vefa",EDATE(Données[[#This Row],[Date Livraison initiale VEFA]],1),EDATE(Données[[#This Row],[Date réception entreprise prévue initialement]],1))</f>
        <v>45751</v>
      </c>
      <c r="AF16" s="24">
        <f>IF(Données[[#This Row],[VEFA / PROPRE]]="VEFA",EDATE(Données[[#This Row],[Date Livraison VEFA estimée avec retards constatés]],1),EDATE(Données[[#This Row],[Date réception entreprise recalée]],1))</f>
        <v>45781</v>
      </c>
      <c r="AG16" s="55"/>
      <c r="AH16" s="26">
        <f>IF((Données[[#This Row],[Date inauguration recalée]]-Données[[#This Row],[Date inauguration initiale]])/30&lt;0,0,(Données[[#This Row],[Date inauguration recalée]]-Données[[#This Row],[Date inauguration initiale]])/30)</f>
        <v>1</v>
      </c>
      <c r="AI16" s="26">
        <v>7349.65396324834</v>
      </c>
      <c r="AJ16" s="26">
        <f>IF(Données[[#This Row],[TYPE]]="Rehab","",Données[[#This Row],[Loyer mensuel]]*Données[[#This Row],[Retard Inauguration (m)]])</f>
        <v>7349.65396324834</v>
      </c>
      <c r="AN16"/>
      <c r="AR16"/>
      <c r="AS16"/>
      <c r="AT16"/>
      <c r="AV16"/>
      <c r="AW16"/>
      <c r="AY16"/>
      <c r="AZ16"/>
    </row>
    <row r="17" spans="1:52" x14ac:dyDescent="0.25">
      <c r="A17" s="2" t="s">
        <v>72</v>
      </c>
      <c r="B17" s="27" t="s">
        <v>36</v>
      </c>
      <c r="C17" s="3">
        <v>2020</v>
      </c>
      <c r="D17" s="27" t="s">
        <v>6</v>
      </c>
      <c r="E17" s="4">
        <f>Données[[#This Row],[LLS]]+Données[[#This Row],[LLTS]]+Données[[#This Row],[PLS]]+Données[[#This Row],[REHAB]]</f>
        <v>16</v>
      </c>
      <c r="F17" s="4">
        <f>Données[[#This Row],[LLS]]+Données[[#This Row],[LLTS]]+Données[[#This Row],[PLS]]</f>
        <v>16</v>
      </c>
      <c r="G17" s="2">
        <v>16</v>
      </c>
      <c r="H17" s="5"/>
      <c r="I17" s="5"/>
      <c r="J17" s="5"/>
      <c r="K17" s="7" t="s">
        <v>39</v>
      </c>
      <c r="L17" s="54">
        <v>44022</v>
      </c>
      <c r="M17" s="58">
        <v>45366</v>
      </c>
      <c r="N17" s="10"/>
      <c r="O17" s="6">
        <f>IFERROR((DATEDIF(Données[[#This Row],[Arrêté LBU]],Données[[#This Row],[OS démarrage]],"d"))/30,0)</f>
        <v>44.8</v>
      </c>
      <c r="P17" s="29">
        <v>18</v>
      </c>
      <c r="Q17" s="12">
        <f>DATEDIF(Données[[#This Row],[OS démarrage]],Données[[#This Row],[Date réception entreprise recalée]],"M")</f>
        <v>19</v>
      </c>
      <c r="R17" s="13"/>
      <c r="S17" s="14">
        <f>EDATE(Données[[#This Row],[OS démarrage]],Données[[#This Row],[Délai chantier initial]])</f>
        <v>45915</v>
      </c>
      <c r="T17" s="24">
        <f>DATE(YEAR(Données[[#This Row],[Date réception entreprise prévue initialement]]),MONTH(Données[[#This Row],[Date réception entreprise prévue initialement]])+1,DAY(Données[[#This Row],[Date réception entreprise prévue initialement]]))</f>
        <v>45945</v>
      </c>
      <c r="U17" s="16">
        <f>EDATE(Données[[#This Row],[Date réception entreprise recalée]],12)</f>
        <v>46310</v>
      </c>
      <c r="V17" s="17">
        <f>(Données[[#This Row],[Date réception entreprise recalée]]-Données[[#This Row],[Date réception entreprise prévue initialement]])/30</f>
        <v>1</v>
      </c>
      <c r="W17" s="44"/>
      <c r="X17" s="19"/>
      <c r="Y17" s="19"/>
      <c r="Z17" s="19"/>
      <c r="AA17" s="20">
        <f>IF(Données[[#This Row],[TYPE]]="Rehab",0,IFERROR((Données[[#This Row],[Date Livraison VEFA estimée avec retards constatés]]-Données[[#This Row],[Date livraison contractuelle y/c avenant]])/30,"-"))</f>
        <v>0</v>
      </c>
      <c r="AB17" s="21">
        <f>IF(Données[[#This Row],[TYPE]]="Rehab",0,Données[[#This Row],[Date Livraison VEFA estimée avec retards constatés]]-Données[[#This Row],[Date livraison contractuelle y/c avenant]])</f>
        <v>0</v>
      </c>
      <c r="AC17" s="22"/>
      <c r="AD17" s="23" t="str">
        <f>IF(AND(Données[[#This Row],[TYPE]]&lt;&gt;"Rehab",Données[[#This Row],[Achèvement fondations]]&lt;&gt;""),EDATE(Données[[#This Row],[Achèvement fondations]],24),"")</f>
        <v/>
      </c>
      <c r="AE17" s="30">
        <f>IF(Données[[#This Row],[VEFA / PROPRE]]="vefa",EDATE(Données[[#This Row],[Date Livraison initiale VEFA]],1),EDATE(Données[[#This Row],[Date réception entreprise prévue initialement]],1))</f>
        <v>45945</v>
      </c>
      <c r="AF17" s="24">
        <f>IF(Données[[#This Row],[VEFA / PROPRE]]="VEFA",EDATE(Données[[#This Row],[Date Livraison VEFA estimée avec retards constatés]],1),EDATE(Données[[#This Row],[Date réception entreprise recalée]],1))</f>
        <v>45976</v>
      </c>
      <c r="AG17" s="55"/>
      <c r="AH17" s="26">
        <f>IF((Données[[#This Row],[Date inauguration recalée]]-Données[[#This Row],[Date inauguration initiale]])/30&lt;0,0,(Données[[#This Row],[Date inauguration recalée]]-Données[[#This Row],[Date inauguration initiale]])/30)</f>
        <v>1.0333333333333334</v>
      </c>
      <c r="AI17" s="26"/>
      <c r="AJ17" s="26">
        <f>IF(Données[[#This Row],[TYPE]]="Rehab","",Données[[#This Row],[Loyer mensuel]]*Données[[#This Row],[Retard Inauguration (m)]])</f>
        <v>0</v>
      </c>
      <c r="AN17"/>
      <c r="AR17"/>
      <c r="AS17"/>
      <c r="AT17"/>
      <c r="AV17"/>
      <c r="AW17"/>
      <c r="AY17"/>
      <c r="AZ17"/>
    </row>
    <row r="18" spans="1:52" x14ac:dyDescent="0.25">
      <c r="A18" s="2" t="s">
        <v>73</v>
      </c>
      <c r="B18" s="3" t="s">
        <v>38</v>
      </c>
      <c r="C18" s="3">
        <v>2021</v>
      </c>
      <c r="D18" s="3" t="s">
        <v>6</v>
      </c>
      <c r="E18" s="4">
        <f>Données[[#This Row],[LLS]]+Données[[#This Row],[LLTS]]+Données[[#This Row],[PLS]]+Données[[#This Row],[REHAB]]</f>
        <v>34</v>
      </c>
      <c r="F18" s="4">
        <f>Données[[#This Row],[LLS]]+Données[[#This Row],[LLTS]]+Données[[#This Row],[PLS]]</f>
        <v>34</v>
      </c>
      <c r="G18" s="5">
        <v>34</v>
      </c>
      <c r="H18" s="5"/>
      <c r="I18" s="5"/>
      <c r="J18" s="5"/>
      <c r="K18" s="7" t="s">
        <v>37</v>
      </c>
      <c r="L18" s="54">
        <v>44545</v>
      </c>
      <c r="M18" s="9">
        <v>45076</v>
      </c>
      <c r="N18" s="10">
        <v>2023</v>
      </c>
      <c r="O18" s="6">
        <f>IFERROR((DATEDIF(Données[[#This Row],[Arrêté LBU]],Données[[#This Row],[OS démarrage]],"d"))/30,0)</f>
        <v>17.7</v>
      </c>
      <c r="P18" s="29">
        <v>27</v>
      </c>
      <c r="Q18" s="12">
        <f>DATEDIF(Données[[#This Row],[OS démarrage]],Données[[#This Row],[Date réception entreprise recalée]],"M")</f>
        <v>28</v>
      </c>
      <c r="R18" s="13"/>
      <c r="S18" s="14">
        <f>EDATE(Données[[#This Row],[OS démarrage]],Données[[#This Row],[Délai chantier initial]])</f>
        <v>45899</v>
      </c>
      <c r="T18" s="24">
        <f>DATE(YEAR(Données[[#This Row],[Date réception entreprise prévue initialement]]),MONTH(Données[[#This Row],[Date réception entreprise prévue initialement]])+1,DAY(Données[[#This Row],[Date réception entreprise prévue initialement]]))</f>
        <v>45930</v>
      </c>
      <c r="U18" s="16">
        <f>EDATE(Données[[#This Row],[Date réception entreprise recalée]],12)</f>
        <v>46295</v>
      </c>
      <c r="V18" s="17">
        <f>(Données[[#This Row],[Date réception entreprise recalée]]-Données[[#This Row],[Date réception entreprise prévue initialement]])/30</f>
        <v>1.0333333333333334</v>
      </c>
      <c r="W18" s="44">
        <f>Données[[#This Row],[Date réception entreprise recalée]]</f>
        <v>45930</v>
      </c>
      <c r="X18" s="19">
        <f>Données[[#This Row],[Date achèvement VEFA]]</f>
        <v>45930</v>
      </c>
      <c r="Y18" s="19">
        <f>Données[[#This Row],[Date achèvement VEFA]]</f>
        <v>45930</v>
      </c>
      <c r="Z18" s="19">
        <f>Données[[#This Row],[Date achèvement VEFA]]</f>
        <v>45930</v>
      </c>
      <c r="AA18" s="20">
        <f>IF(Données[[#This Row],[TYPE]]="Rehab",0,IFERROR((Données[[#This Row],[Date Livraison VEFA estimée avec retards constatés]]-Données[[#This Row],[Date livraison contractuelle y/c avenant]])/30,"-"))</f>
        <v>0</v>
      </c>
      <c r="AB18" s="21">
        <f>IF(Données[[#This Row],[TYPE]]="Rehab",0,Données[[#This Row],[Date Livraison VEFA estimée avec retards constatés]]-Données[[#This Row],[Date livraison contractuelle y/c avenant]])</f>
        <v>0</v>
      </c>
      <c r="AC18" s="22"/>
      <c r="AD18" s="23" t="str">
        <f>IF(AND(Données[[#This Row],[TYPE]]&lt;&gt;"Rehab",Données[[#This Row],[Achèvement fondations]]&lt;&gt;""),EDATE(Données[[#This Row],[Achèvement fondations]],24),"")</f>
        <v/>
      </c>
      <c r="AE18" s="30">
        <f>IF(Données[[#This Row],[VEFA / PROPRE]]="vefa",EDATE(Données[[#This Row],[Date Livraison initiale VEFA]],1),EDATE(Données[[#This Row],[Date réception entreprise prévue initialement]],1))</f>
        <v>45960</v>
      </c>
      <c r="AF18" s="24">
        <f>IF(Données[[#This Row],[VEFA / PROPRE]]="VEFA",EDATE(Données[[#This Row],[Date Livraison VEFA estimée avec retards constatés]],1),EDATE(Données[[#This Row],[Date réception entreprise recalée]],1))</f>
        <v>45960</v>
      </c>
      <c r="AG18" s="55"/>
      <c r="AH18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8" s="26">
        <v>18491.604029330036</v>
      </c>
      <c r="AJ18" s="26">
        <f>IF(Données[[#This Row],[TYPE]]="Rehab","",Données[[#This Row],[Loyer mensuel]]*Données[[#This Row],[Retard Inauguration (m)]])</f>
        <v>0</v>
      </c>
      <c r="AN18"/>
      <c r="AR18"/>
      <c r="AS18"/>
      <c r="AT18"/>
      <c r="AV18"/>
      <c r="AW18"/>
      <c r="AY18"/>
      <c r="AZ18"/>
    </row>
    <row r="19" spans="1:52" x14ac:dyDescent="0.25">
      <c r="A19" s="5" t="s">
        <v>67</v>
      </c>
      <c r="B19" s="3" t="s">
        <v>38</v>
      </c>
      <c r="C19" s="3">
        <v>2021</v>
      </c>
      <c r="D19" s="3" t="s">
        <v>6</v>
      </c>
      <c r="E19" s="4">
        <f>Données[[#This Row],[LLS]]+Données[[#This Row],[LLTS]]+Données[[#This Row],[PLS]]+Données[[#This Row],[REHAB]]</f>
        <v>40</v>
      </c>
      <c r="F19" s="4">
        <f>Données[[#This Row],[LLS]]+Données[[#This Row],[LLTS]]+Données[[#This Row],[PLS]]</f>
        <v>40</v>
      </c>
      <c r="G19" s="5">
        <v>40</v>
      </c>
      <c r="H19" s="5"/>
      <c r="I19" s="5"/>
      <c r="J19" s="5"/>
      <c r="K19" s="7" t="s">
        <v>37</v>
      </c>
      <c r="L19" s="54">
        <v>44545</v>
      </c>
      <c r="M19" s="9">
        <v>45076</v>
      </c>
      <c r="N19" s="10">
        <v>2023</v>
      </c>
      <c r="O19" s="6">
        <f>IFERROR((DATEDIF(Données[[#This Row],[Arrêté LBU]],Données[[#This Row],[OS démarrage]],"d"))/30,0)</f>
        <v>17.7</v>
      </c>
      <c r="P19" s="29">
        <v>27</v>
      </c>
      <c r="Q19" s="12">
        <f>DATEDIF(Données[[#This Row],[OS démarrage]],Données[[#This Row],[Date réception entreprise recalée]],"M")</f>
        <v>28</v>
      </c>
      <c r="R19" s="13"/>
      <c r="S19" s="14">
        <f>EDATE(Données[[#This Row],[OS démarrage]],Données[[#This Row],[Délai chantier initial]])</f>
        <v>45899</v>
      </c>
      <c r="T19" s="24">
        <f>DATE(YEAR(Données[[#This Row],[Date réception entreprise prévue initialement]]),MONTH(Données[[#This Row],[Date réception entreprise prévue initialement]])+1,DAY(Données[[#This Row],[Date réception entreprise prévue initialement]]))</f>
        <v>45930</v>
      </c>
      <c r="U19" s="16">
        <f>EDATE(Données[[#This Row],[Date réception entreprise recalée]],12)</f>
        <v>46295</v>
      </c>
      <c r="V19" s="17">
        <f>(Données[[#This Row],[Date réception entreprise recalée]]-Données[[#This Row],[Date réception entreprise prévue initialement]])/30</f>
        <v>1.0333333333333334</v>
      </c>
      <c r="W19" s="44">
        <f>Données[[#This Row],[Date réception entreprise recalée]]</f>
        <v>45930</v>
      </c>
      <c r="X19" s="19">
        <f>Données[[#This Row],[Date achèvement VEFA]]</f>
        <v>45930</v>
      </c>
      <c r="Y19" s="19">
        <f>Données[[#This Row],[Date achèvement VEFA]]</f>
        <v>45930</v>
      </c>
      <c r="Z19" s="19">
        <f>Données[[#This Row],[Date achèvement VEFA]]</f>
        <v>45930</v>
      </c>
      <c r="AA19" s="20">
        <f>IF(Données[[#This Row],[TYPE]]="Rehab",0,IFERROR((Données[[#This Row],[Date Livraison VEFA estimée avec retards constatés]]-Données[[#This Row],[Date livraison contractuelle y/c avenant]])/30,"-"))</f>
        <v>0</v>
      </c>
      <c r="AB19" s="21">
        <f>IF(Données[[#This Row],[TYPE]]="Rehab",0,Données[[#This Row],[Date Livraison VEFA estimée avec retards constatés]]-Données[[#This Row],[Date livraison contractuelle y/c avenant]])</f>
        <v>0</v>
      </c>
      <c r="AC19" s="22"/>
      <c r="AD19" s="23" t="str">
        <f>IF(AND(Données[[#This Row],[TYPE]]&lt;&gt;"Rehab",Données[[#This Row],[Achèvement fondations]]&lt;&gt;""),EDATE(Données[[#This Row],[Achèvement fondations]],24),"")</f>
        <v/>
      </c>
      <c r="AE19" s="30">
        <f>IF(Données[[#This Row],[VEFA / PROPRE]]="vefa",EDATE(Données[[#This Row],[Date Livraison initiale VEFA]],1),EDATE(Données[[#This Row],[Date réception entreprise prévue initialement]],1))</f>
        <v>45960</v>
      </c>
      <c r="AF19" s="24">
        <f>IF(Données[[#This Row],[VEFA / PROPRE]]="VEFA",EDATE(Données[[#This Row],[Date Livraison VEFA estimée avec retards constatés]],1),EDATE(Données[[#This Row],[Date réception entreprise recalée]],1))</f>
        <v>45960</v>
      </c>
      <c r="AG19" s="55"/>
      <c r="AH19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9" s="26">
        <v>21978.811499870313</v>
      </c>
      <c r="AJ19" s="26">
        <f>IF(Données[[#This Row],[TYPE]]="Rehab","",Données[[#This Row],[Loyer mensuel]]*Données[[#This Row],[Retard Inauguration (m)]])</f>
        <v>0</v>
      </c>
      <c r="AN19"/>
      <c r="AR19"/>
      <c r="AS19"/>
      <c r="AT19"/>
      <c r="AV19"/>
      <c r="AW19"/>
      <c r="AY19"/>
      <c r="AZ19"/>
    </row>
    <row r="20" spans="1:52" x14ac:dyDescent="0.25">
      <c r="A20" s="5" t="s">
        <v>74</v>
      </c>
      <c r="B20" s="3" t="s">
        <v>38</v>
      </c>
      <c r="C20" s="3">
        <v>2021</v>
      </c>
      <c r="D20" s="3" t="s">
        <v>6</v>
      </c>
      <c r="E20" s="4">
        <f>Données[[#This Row],[LLS]]+Données[[#This Row],[LLTS]]+Données[[#This Row],[PLS]]+Données[[#This Row],[REHAB]]</f>
        <v>48</v>
      </c>
      <c r="F20" s="4">
        <f>Données[[#This Row],[LLS]]+Données[[#This Row],[LLTS]]+Données[[#This Row],[PLS]]</f>
        <v>48</v>
      </c>
      <c r="G20" s="5">
        <v>48</v>
      </c>
      <c r="H20" s="5"/>
      <c r="I20" s="5"/>
      <c r="J20" s="5"/>
      <c r="K20" s="7" t="s">
        <v>37</v>
      </c>
      <c r="L20" s="54">
        <v>44545</v>
      </c>
      <c r="M20" s="58">
        <v>45383</v>
      </c>
      <c r="N20" s="10"/>
      <c r="O20" s="6">
        <f>IFERROR((DATEDIF(Données[[#This Row],[Arrêté LBU]],Données[[#This Row],[OS démarrage]],"d"))/30,0)</f>
        <v>27.933333333333334</v>
      </c>
      <c r="P20" s="29">
        <v>24</v>
      </c>
      <c r="Q20" s="12">
        <f>DATEDIF(Données[[#This Row],[OS démarrage]],Données[[#This Row],[Date réception entreprise recalée]],"M")</f>
        <v>25</v>
      </c>
      <c r="R20" s="13"/>
      <c r="S20" s="14">
        <f>EDATE(Données[[#This Row],[OS démarrage]],Données[[#This Row],[Délai chantier initial]])</f>
        <v>46113</v>
      </c>
      <c r="T20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46143</v>
      </c>
      <c r="U20" s="16">
        <f>EDATE(Données[[#This Row],[Date réception entreprise recalée]],12)</f>
        <v>46508</v>
      </c>
      <c r="V20" s="17">
        <f>(Données[[#This Row],[Date réception entreprise recalée]]-Données[[#This Row],[Date réception entreprise prévue initialement]])/30</f>
        <v>1</v>
      </c>
      <c r="W20" s="44">
        <f>Données[[#This Row],[Date réception entreprise recalée]]</f>
        <v>46143</v>
      </c>
      <c r="X20" s="19">
        <f>Données[[#This Row],[Date achèvement VEFA]]</f>
        <v>46143</v>
      </c>
      <c r="Y20" s="19">
        <f>Données[[#This Row],[Date achèvement VEFA]]</f>
        <v>46143</v>
      </c>
      <c r="Z20" s="19">
        <f>Données[[#This Row],[Date achèvement VEFA]]</f>
        <v>46143</v>
      </c>
      <c r="AA20" s="20">
        <f>IF(Données[[#This Row],[TYPE]]="Rehab",0,IFERROR((Données[[#This Row],[Date Livraison VEFA estimée avec retards constatés]]-Données[[#This Row],[Date livraison contractuelle y/c avenant]])/30,"-"))</f>
        <v>0</v>
      </c>
      <c r="AB20" s="21">
        <f>IF(Données[[#This Row],[TYPE]]="Rehab",0,Données[[#This Row],[Date Livraison VEFA estimée avec retards constatés]]-Données[[#This Row],[Date livraison contractuelle y/c avenant]])</f>
        <v>0</v>
      </c>
      <c r="AC20" s="22"/>
      <c r="AD20" s="23" t="str">
        <f>IF(AND(Données[[#This Row],[TYPE]]&lt;&gt;"Rehab",Données[[#This Row],[Achèvement fondations]]&lt;&gt;""),EDATE(Données[[#This Row],[Achèvement fondations]],24),"")</f>
        <v/>
      </c>
      <c r="AE20" s="30">
        <f>IF(Données[[#This Row],[VEFA / PROPRE]]="vefa",EDATE(Données[[#This Row],[Date Livraison initiale VEFA]],1),EDATE(Données[[#This Row],[Date réception entreprise prévue initialement]],1))</f>
        <v>46174</v>
      </c>
      <c r="AF20" s="24">
        <f>IF(Données[[#This Row],[VEFA / PROPRE]]="VEFA",EDATE(Données[[#This Row],[Date Livraison VEFA estimée avec retards constatés]],1),EDATE(Données[[#This Row],[Date réception entreprise recalée]],1))</f>
        <v>46174</v>
      </c>
      <c r="AG20" s="55"/>
      <c r="AH20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20" s="26"/>
      <c r="AJ20" s="26">
        <f>IF(Données[[#This Row],[TYPE]]="Rehab","",Données[[#This Row],[Loyer mensuel]]*Données[[#This Row],[Retard Inauguration (m)]])</f>
        <v>0</v>
      </c>
      <c r="AN20"/>
      <c r="AR20"/>
      <c r="AS20"/>
      <c r="AT20"/>
      <c r="AV20"/>
      <c r="AW20"/>
      <c r="AY20"/>
      <c r="AZ20"/>
    </row>
    <row r="21" spans="1:52" x14ac:dyDescent="0.25">
      <c r="A21" s="5" t="s">
        <v>71</v>
      </c>
      <c r="B21" s="3" t="s">
        <v>38</v>
      </c>
      <c r="C21" s="27">
        <v>2021</v>
      </c>
      <c r="D21" s="3" t="s">
        <v>6</v>
      </c>
      <c r="E21" s="4">
        <f>Données[[#This Row],[LLS]]+Données[[#This Row],[LLTS]]+Données[[#This Row],[PLS]]+Données[[#This Row],[REHAB]]</f>
        <v>17</v>
      </c>
      <c r="F21" s="4">
        <f>Données[[#This Row],[LLS]]+Données[[#This Row],[LLTS]]+Données[[#This Row],[PLS]]</f>
        <v>17</v>
      </c>
      <c r="G21" s="5">
        <v>17</v>
      </c>
      <c r="H21" s="5"/>
      <c r="I21" s="5"/>
      <c r="J21" s="5"/>
      <c r="K21" s="7" t="s">
        <v>37</v>
      </c>
      <c r="L21" s="54">
        <v>44545</v>
      </c>
      <c r="M21" s="58">
        <v>45383</v>
      </c>
      <c r="N21" s="10"/>
      <c r="O21" s="6">
        <f>IFERROR((DATEDIF(Données[[#This Row],[Arrêté LBU]],Données[[#This Row],[OS démarrage]],"d"))/30,0)</f>
        <v>27.933333333333334</v>
      </c>
      <c r="P21" s="29">
        <v>24</v>
      </c>
      <c r="Q21" s="12">
        <f>DATEDIF(Données[[#This Row],[OS démarrage]],Données[[#This Row],[Date réception entreprise recalée]],"M")</f>
        <v>25</v>
      </c>
      <c r="R21" s="13"/>
      <c r="S21" s="14">
        <f>EDATE(Données[[#This Row],[OS démarrage]],Données[[#This Row],[Délai chantier initial]])</f>
        <v>46113</v>
      </c>
      <c r="T21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46143</v>
      </c>
      <c r="U21" s="16">
        <f>EDATE(Données[[#This Row],[Date réception entreprise recalée]],12)</f>
        <v>46508</v>
      </c>
      <c r="V21" s="17">
        <f>(Données[[#This Row],[Date réception entreprise recalée]]-Données[[#This Row],[Date réception entreprise prévue initialement]])/30</f>
        <v>1</v>
      </c>
      <c r="W21" s="44">
        <f>Données[[#This Row],[Date réception entreprise recalée]]</f>
        <v>46143</v>
      </c>
      <c r="X21" s="19">
        <f>Données[[#This Row],[Date achèvement VEFA]]</f>
        <v>46143</v>
      </c>
      <c r="Y21" s="19">
        <f>Données[[#This Row],[Date achèvement VEFA]]</f>
        <v>46143</v>
      </c>
      <c r="Z21" s="19">
        <f>Données[[#This Row],[Date achèvement VEFA]]</f>
        <v>46143</v>
      </c>
      <c r="AA21" s="20">
        <f>IF(Données[[#This Row],[TYPE]]="Rehab",0,IFERROR((Données[[#This Row],[Date Livraison VEFA estimée avec retards constatés]]-Données[[#This Row],[Date livraison contractuelle y/c avenant]])/30,"-"))</f>
        <v>0</v>
      </c>
      <c r="AB21" s="21">
        <f>IF(Données[[#This Row],[TYPE]]="Rehab",0,Données[[#This Row],[Date Livraison VEFA estimée avec retards constatés]]-Données[[#This Row],[Date livraison contractuelle y/c avenant]])</f>
        <v>0</v>
      </c>
      <c r="AC21" s="22"/>
      <c r="AD21" s="23" t="str">
        <f>IF(AND(Données[[#This Row],[TYPE]]&lt;&gt;"Rehab",Données[[#This Row],[Achèvement fondations]]&lt;&gt;""),EDATE(Données[[#This Row],[Achèvement fondations]],24),"")</f>
        <v/>
      </c>
      <c r="AE21" s="30">
        <f>IF(Données[[#This Row],[VEFA / PROPRE]]="vefa",EDATE(Données[[#This Row],[Date Livraison initiale VEFA]],1),EDATE(Données[[#This Row],[Date réception entreprise prévue initialement]],1))</f>
        <v>46174</v>
      </c>
      <c r="AF21" s="24">
        <f>IF(Données[[#This Row],[VEFA / PROPRE]]="VEFA",EDATE(Données[[#This Row],[Date Livraison VEFA estimée avec retards constatés]],1),EDATE(Données[[#This Row],[Date réception entreprise recalée]],1))</f>
        <v>46174</v>
      </c>
      <c r="AG21" s="55"/>
      <c r="AH21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21" s="26"/>
      <c r="AJ21" s="26">
        <f>IF(Données[[#This Row],[TYPE]]="Rehab","",Données[[#This Row],[Loyer mensuel]]*Données[[#This Row],[Retard Inauguration (m)]])</f>
        <v>0</v>
      </c>
      <c r="AN21"/>
      <c r="AR21"/>
      <c r="AS21"/>
      <c r="AT21"/>
      <c r="AV21"/>
      <c r="AW21"/>
      <c r="AY21"/>
      <c r="AZ21"/>
    </row>
    <row r="22" spans="1:52" x14ac:dyDescent="0.25">
      <c r="A22" s="95" t="s">
        <v>75</v>
      </c>
      <c r="B22" s="3" t="s">
        <v>38</v>
      </c>
      <c r="C22" s="3">
        <v>2022</v>
      </c>
      <c r="D22" s="3" t="s">
        <v>6</v>
      </c>
      <c r="E22" s="4">
        <f>Données[[#This Row],[LLS]]+Données[[#This Row],[LLTS]]+Données[[#This Row],[PLS]]+Données[[#This Row],[REHAB]]</f>
        <v>48</v>
      </c>
      <c r="F22" s="4">
        <f>Données[[#This Row],[LLS]]+Données[[#This Row],[LLTS]]+Données[[#This Row],[PLS]]</f>
        <v>48</v>
      </c>
      <c r="G22" s="5">
        <v>48</v>
      </c>
      <c r="H22" s="5"/>
      <c r="I22" s="5"/>
      <c r="J22" s="5"/>
      <c r="K22" s="7" t="s">
        <v>37</v>
      </c>
      <c r="L22" s="54">
        <v>44701</v>
      </c>
      <c r="M22" s="58">
        <v>45536</v>
      </c>
      <c r="N22" s="10"/>
      <c r="O22" s="6">
        <f>IFERROR((DATEDIF(Données[[#This Row],[Arrêté LBU]],Données[[#This Row],[OS démarrage]],"d"))/30,0)</f>
        <v>27.833333333333332</v>
      </c>
      <c r="P22" s="29">
        <v>24</v>
      </c>
      <c r="Q22" s="12">
        <f>DATEDIF(Données[[#This Row],[OS démarrage]],Données[[#This Row],[Date réception entreprise recalée]],"M")</f>
        <v>25</v>
      </c>
      <c r="R22" s="13"/>
      <c r="S22" s="14">
        <f>EDATE(Données[[#This Row],[OS démarrage]],Données[[#This Row],[Délai chantier initial]])</f>
        <v>46266</v>
      </c>
      <c r="T22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46296</v>
      </c>
      <c r="U22" s="16">
        <f>EDATE(Données[[#This Row],[Date réception entreprise recalée]],12)</f>
        <v>46661</v>
      </c>
      <c r="V22" s="17">
        <f>(Données[[#This Row],[Date réception entreprise recalée]]-Données[[#This Row],[Date réception entreprise prévue initialement]])/30</f>
        <v>1</v>
      </c>
      <c r="W22" s="44">
        <f>Données[[#This Row],[Date réception entreprise recalée]]</f>
        <v>46296</v>
      </c>
      <c r="X22" s="19">
        <f>Données[[#This Row],[Date achèvement VEFA]]</f>
        <v>46296</v>
      </c>
      <c r="Y22" s="19">
        <f>Données[[#This Row],[Date achèvement VEFA]]</f>
        <v>46296</v>
      </c>
      <c r="Z22" s="19">
        <f>Données[[#This Row],[Date achèvement VEFA]]</f>
        <v>46296</v>
      </c>
      <c r="AA22" s="20">
        <f>IF(Données[[#This Row],[TYPE]]="Rehab",0,IFERROR((Données[[#This Row],[Date Livraison VEFA estimée avec retards constatés]]-Données[[#This Row],[Date livraison contractuelle y/c avenant]])/30,"-"))</f>
        <v>0</v>
      </c>
      <c r="AB22" s="21">
        <f>IF(Données[[#This Row],[TYPE]]="Rehab",0,Données[[#This Row],[Date Livraison VEFA estimée avec retards constatés]]-Données[[#This Row],[Date livraison contractuelle y/c avenant]])</f>
        <v>0</v>
      </c>
      <c r="AC22" s="22"/>
      <c r="AD22" s="23" t="str">
        <f>IF(AND(Données[[#This Row],[TYPE]]&lt;&gt;"Rehab",Données[[#This Row],[Achèvement fondations]]&lt;&gt;""),EDATE(Données[[#This Row],[Achèvement fondations]],24),"")</f>
        <v/>
      </c>
      <c r="AE22" s="30">
        <f>IF(Données[[#This Row],[VEFA / PROPRE]]="vefa",EDATE(Données[[#This Row],[Date Livraison initiale VEFA]],1),EDATE(Données[[#This Row],[Date réception entreprise prévue initialement]],1))</f>
        <v>46327</v>
      </c>
      <c r="AF22" s="24">
        <f>IF(Données[[#This Row],[VEFA / PROPRE]]="VEFA",EDATE(Données[[#This Row],[Date Livraison VEFA estimée avec retards constatés]],1),EDATE(Données[[#This Row],[Date réception entreprise recalée]],1))</f>
        <v>46327</v>
      </c>
      <c r="AG22" s="55"/>
      <c r="AH22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22" s="26"/>
      <c r="AJ22" s="26">
        <f>IF(Données[[#This Row],[TYPE]]="Rehab","",Données[[#This Row],[Loyer mensuel]]*Données[[#This Row],[Retard Inauguration (m)]])</f>
        <v>0</v>
      </c>
      <c r="AN22"/>
      <c r="AR22"/>
      <c r="AS22"/>
      <c r="AT22"/>
      <c r="AV22"/>
      <c r="AW22"/>
      <c r="AY22"/>
      <c r="AZ22"/>
    </row>
    <row r="23" spans="1:52" x14ac:dyDescent="0.25">
      <c r="A23" s="96" t="s">
        <v>66</v>
      </c>
      <c r="B23" s="3" t="s">
        <v>38</v>
      </c>
      <c r="C23" s="3">
        <v>2022</v>
      </c>
      <c r="D23" s="3" t="s">
        <v>6</v>
      </c>
      <c r="E23" s="4">
        <f>Données[[#This Row],[LLS]]+Données[[#This Row],[LLTS]]+Données[[#This Row],[PLS]]+Données[[#This Row],[REHAB]]</f>
        <v>15</v>
      </c>
      <c r="F23" s="4">
        <f>Données[[#This Row],[LLS]]+Données[[#This Row],[LLTS]]+Données[[#This Row],[PLS]]</f>
        <v>15</v>
      </c>
      <c r="G23" s="5">
        <v>15</v>
      </c>
      <c r="H23" s="5"/>
      <c r="I23" s="5"/>
      <c r="J23" s="5"/>
      <c r="K23" s="7" t="s">
        <v>39</v>
      </c>
      <c r="L23" s="54">
        <v>44804</v>
      </c>
      <c r="M23" s="58">
        <v>45550</v>
      </c>
      <c r="N23" s="10"/>
      <c r="O23" s="6">
        <f>IFERROR((DATEDIF(Données[[#This Row],[Arrêté LBU]],Données[[#This Row],[OS démarrage]],"d"))/30,0)</f>
        <v>24.866666666666667</v>
      </c>
      <c r="P23" s="29">
        <v>20</v>
      </c>
      <c r="Q23" s="12">
        <f>DATEDIF(Données[[#This Row],[OS démarrage]],Données[[#This Row],[Date réception entreprise recalée]],"M")</f>
        <v>21</v>
      </c>
      <c r="R23" s="13"/>
      <c r="S23" s="14">
        <f>EDATE(Données[[#This Row],[OS démarrage]],Données[[#This Row],[Délai chantier initial]])</f>
        <v>46157</v>
      </c>
      <c r="T23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46188</v>
      </c>
      <c r="U23" s="16">
        <f>EDATE(Données[[#This Row],[Date réception entreprise recalée]],12)</f>
        <v>46553</v>
      </c>
      <c r="V23" s="17">
        <f>(Données[[#This Row],[Date réception entreprise recalée]]-Données[[#This Row],[Date réception entreprise prévue initialement]])/30</f>
        <v>1.0333333333333334</v>
      </c>
      <c r="W23" s="44"/>
      <c r="X23" s="19"/>
      <c r="Y23" s="19"/>
      <c r="Z23" s="19"/>
      <c r="AA23" s="20">
        <f>IF(Données[[#This Row],[TYPE]]="Rehab",0,IFERROR((Données[[#This Row],[Date Livraison VEFA estimée avec retards constatés]]-Données[[#This Row],[Date livraison contractuelle y/c avenant]])/30,"-"))</f>
        <v>0</v>
      </c>
      <c r="AB23" s="21">
        <f>IF(Données[[#This Row],[TYPE]]="Rehab",0,Données[[#This Row],[Date Livraison VEFA estimée avec retards constatés]]-Données[[#This Row],[Date livraison contractuelle y/c avenant]])</f>
        <v>0</v>
      </c>
      <c r="AC23" s="22"/>
      <c r="AD23" s="23" t="str">
        <f>IF(AND(Données[[#This Row],[TYPE]]&lt;&gt;"Rehab",Données[[#This Row],[Achèvement fondations]]&lt;&gt;""),EDATE(Données[[#This Row],[Achèvement fondations]],24),"")</f>
        <v/>
      </c>
      <c r="AE23" s="30">
        <f>IF(Données[[#This Row],[VEFA / PROPRE]]="vefa",EDATE(Données[[#This Row],[Date Livraison initiale VEFA]],1),EDATE(Données[[#This Row],[Date réception entreprise prévue initialement]],1))</f>
        <v>46188</v>
      </c>
      <c r="AF23" s="24">
        <f>IF(Données[[#This Row],[VEFA / PROPRE]]="VEFA",EDATE(Données[[#This Row],[Date Livraison VEFA estimée avec retards constatés]],1),EDATE(Données[[#This Row],[Date réception entreprise recalée]],1))</f>
        <v>46218</v>
      </c>
      <c r="AG23" s="55"/>
      <c r="AH23" s="26">
        <f>IF((Données[[#This Row],[Date inauguration recalée]]-Données[[#This Row],[Date inauguration initiale]])/30&lt;0,0,(Données[[#This Row],[Date inauguration recalée]]-Données[[#This Row],[Date inauguration initiale]])/30)</f>
        <v>1</v>
      </c>
      <c r="AI23" s="26"/>
      <c r="AJ23" s="26">
        <f>IF(Données[[#This Row],[TYPE]]="Rehab","",Données[[#This Row],[Loyer mensuel]]*Données[[#This Row],[Retard Inauguration (m)]])</f>
        <v>0</v>
      </c>
      <c r="AN23"/>
      <c r="AR23"/>
      <c r="AS23"/>
      <c r="AT23"/>
      <c r="AV23"/>
      <c r="AW23"/>
      <c r="AY23"/>
      <c r="AZ23"/>
    </row>
    <row r="24" spans="1:52" x14ac:dyDescent="0.25">
      <c r="A24" s="95" t="s">
        <v>76</v>
      </c>
      <c r="B24" s="3" t="s">
        <v>36</v>
      </c>
      <c r="C24" s="3">
        <v>2023</v>
      </c>
      <c r="D24" s="3" t="s">
        <v>6</v>
      </c>
      <c r="E24" s="4">
        <f>Données[[#This Row],[LLS]]+Données[[#This Row],[LLTS]]+Données[[#This Row],[PLS]]+Données[[#This Row],[REHAB]]</f>
        <v>36</v>
      </c>
      <c r="F24" s="4">
        <f>Données[[#This Row],[LLS]]+Données[[#This Row],[LLTS]]+Données[[#This Row],[PLS]]</f>
        <v>36</v>
      </c>
      <c r="G24" s="5">
        <v>36</v>
      </c>
      <c r="H24" s="5"/>
      <c r="I24" s="5"/>
      <c r="J24" s="5"/>
      <c r="K24" s="7" t="s">
        <v>37</v>
      </c>
      <c r="L24" s="8"/>
      <c r="M24" s="58">
        <v>45381</v>
      </c>
      <c r="N24" s="49"/>
      <c r="O24" s="6">
        <f>IFERROR((DATEDIF(Données[[#This Row],[Arrêté LBU]],Données[[#This Row],[OS démarrage]],"d"))/30,0)</f>
        <v>1512.7</v>
      </c>
      <c r="P24" s="29">
        <v>24</v>
      </c>
      <c r="Q24" s="12">
        <f>DATEDIF(Données[[#This Row],[OS démarrage]],Données[[#This Row],[Date réception entreprise recalée]],"M")</f>
        <v>25</v>
      </c>
      <c r="R24" s="13"/>
      <c r="S24" s="14">
        <f>EDATE(Données[[#This Row],[OS démarrage]],Données[[#This Row],[Délai chantier initial]])</f>
        <v>46111</v>
      </c>
      <c r="T24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46142</v>
      </c>
      <c r="U24" s="16">
        <f>EDATE(Données[[#This Row],[Date réception entreprise recalée]],12)</f>
        <v>46507</v>
      </c>
      <c r="V24" s="17">
        <f>(Données[[#This Row],[Date réception entreprise recalée]]-Données[[#This Row],[Date réception entreprise prévue initialement]])/30</f>
        <v>1.0333333333333334</v>
      </c>
      <c r="W24" s="44">
        <f>Données[[#This Row],[Date réception entreprise recalée]]</f>
        <v>46142</v>
      </c>
      <c r="X24" s="19">
        <f>Données[[#This Row],[Date achèvement VEFA]]</f>
        <v>46142</v>
      </c>
      <c r="Y24" s="19">
        <f>Données[[#This Row],[Date achèvement VEFA]]</f>
        <v>46142</v>
      </c>
      <c r="Z24" s="19">
        <f>Données[[#This Row],[Date achèvement VEFA]]</f>
        <v>46142</v>
      </c>
      <c r="AA24" s="20">
        <f>IF(Données[[#This Row],[TYPE]]="Rehab",0,IFERROR((Données[[#This Row],[Date Livraison VEFA estimée avec retards constatés]]-Données[[#This Row],[Date livraison contractuelle y/c avenant]])/30,"-"))</f>
        <v>0</v>
      </c>
      <c r="AB24" s="21">
        <f>IF(Données[[#This Row],[TYPE]]="Rehab",0,Données[[#This Row],[Date Livraison VEFA estimée avec retards constatés]]-Données[[#This Row],[Date livraison contractuelle y/c avenant]])</f>
        <v>0</v>
      </c>
      <c r="AC24" s="22"/>
      <c r="AD24" s="23" t="str">
        <f>IF(AND(Données[[#This Row],[TYPE]]&lt;&gt;"Rehab",Données[[#This Row],[Achèvement fondations]]&lt;&gt;""),EDATE(Données[[#This Row],[Achèvement fondations]],24),"")</f>
        <v/>
      </c>
      <c r="AE24" s="30">
        <f>IF(Données[[#This Row],[VEFA / PROPRE]]="vefa",EDATE(Données[[#This Row],[Date Livraison initiale VEFA]],1),EDATE(Données[[#This Row],[Date réception entreprise prévue initialement]],1))</f>
        <v>46172</v>
      </c>
      <c r="AF24" s="24">
        <f>IF(Données[[#This Row],[VEFA / PROPRE]]="VEFA",EDATE(Données[[#This Row],[Date Livraison VEFA estimée avec retards constatés]],1),EDATE(Données[[#This Row],[Date réception entreprise recalée]],1))</f>
        <v>46172</v>
      </c>
      <c r="AG24" s="60"/>
      <c r="AH24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24" s="26"/>
      <c r="AJ24" s="26">
        <f>IF(Données[[#This Row],[TYPE]]="Rehab","",Données[[#This Row],[Loyer mensuel]]*Données[[#This Row],[Retard Inauguration (m)]])</f>
        <v>0</v>
      </c>
      <c r="AN24"/>
      <c r="AR24"/>
      <c r="AS24"/>
      <c r="AT24"/>
      <c r="AV24"/>
      <c r="AW24"/>
      <c r="AY24"/>
      <c r="AZ24"/>
    </row>
    <row r="25" spans="1:52" x14ac:dyDescent="0.25">
      <c r="A25" s="95" t="s">
        <v>77</v>
      </c>
      <c r="B25" s="3" t="s">
        <v>38</v>
      </c>
      <c r="C25" s="3">
        <v>2023</v>
      </c>
      <c r="D25" s="3" t="s">
        <v>6</v>
      </c>
      <c r="E25" s="4">
        <f>Données[[#This Row],[LLS]]+Données[[#This Row],[LLTS]]+Données[[#This Row],[PLS]]+Données[[#This Row],[REHAB]]</f>
        <v>24</v>
      </c>
      <c r="F25" s="4">
        <f>Données[[#This Row],[LLS]]+Données[[#This Row],[LLTS]]+Données[[#This Row],[PLS]]</f>
        <v>24</v>
      </c>
      <c r="G25" s="5">
        <v>24</v>
      </c>
      <c r="H25" s="5"/>
      <c r="I25" s="5"/>
      <c r="J25" s="5"/>
      <c r="K25" s="7" t="s">
        <v>37</v>
      </c>
      <c r="L25" s="8"/>
      <c r="M25" s="58">
        <v>45444</v>
      </c>
      <c r="N25" s="10"/>
      <c r="O25" s="6">
        <f>IFERROR((DATEDIF(Données[[#This Row],[Arrêté LBU]],Données[[#This Row],[OS démarrage]],"d"))/30,0)</f>
        <v>1514.8</v>
      </c>
      <c r="P25" s="29">
        <v>24</v>
      </c>
      <c r="Q25" s="12">
        <f>DATEDIF(Données[[#This Row],[OS démarrage]],Données[[#This Row],[Date réception entreprise recalée]],"M")</f>
        <v>25</v>
      </c>
      <c r="R25" s="13"/>
      <c r="S25" s="14">
        <f>EDATE(Données[[#This Row],[OS démarrage]],Données[[#This Row],[Délai chantier initial]])</f>
        <v>46174</v>
      </c>
      <c r="T25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46204</v>
      </c>
      <c r="U25" s="16">
        <f>EDATE(Données[[#This Row],[Date réception entreprise recalée]],12)</f>
        <v>46569</v>
      </c>
      <c r="V25" s="17">
        <f>(Données[[#This Row],[Date réception entreprise recalée]]-Données[[#This Row],[Date réception entreprise prévue initialement]])/30</f>
        <v>1</v>
      </c>
      <c r="W25" s="44">
        <f>Données[[#This Row],[Date réception entreprise recalée]]</f>
        <v>46204</v>
      </c>
      <c r="X25" s="19">
        <f>Données[[#This Row],[Date achèvement VEFA]]</f>
        <v>46204</v>
      </c>
      <c r="Y25" s="19">
        <f>Données[[#This Row],[Date achèvement VEFA]]</f>
        <v>46204</v>
      </c>
      <c r="Z25" s="19">
        <f>Données[[#This Row],[Date achèvement VEFA]]</f>
        <v>46204</v>
      </c>
      <c r="AA25" s="20">
        <f>IF(Données[[#This Row],[TYPE]]="Rehab",0,IFERROR((Données[[#This Row],[Date Livraison VEFA estimée avec retards constatés]]-Données[[#This Row],[Date livraison contractuelle y/c avenant]])/30,"-"))</f>
        <v>0</v>
      </c>
      <c r="AB25" s="21">
        <f>IF(Données[[#This Row],[TYPE]]="Rehab",0,Données[[#This Row],[Date Livraison VEFA estimée avec retards constatés]]-Données[[#This Row],[Date livraison contractuelle y/c avenant]])</f>
        <v>0</v>
      </c>
      <c r="AC25" s="22"/>
      <c r="AD25" s="23" t="str">
        <f>IF(AND(Données[[#This Row],[TYPE]]&lt;&gt;"Rehab",Données[[#This Row],[Achèvement fondations]]&lt;&gt;""),EDATE(Données[[#This Row],[Achèvement fondations]],24),"")</f>
        <v/>
      </c>
      <c r="AE25" s="30">
        <f>IF(Données[[#This Row],[VEFA / PROPRE]]="vefa",EDATE(Données[[#This Row],[Date Livraison initiale VEFA]],1),EDATE(Données[[#This Row],[Date réception entreprise prévue initialement]],1))</f>
        <v>46235</v>
      </c>
      <c r="AF25" s="24">
        <f>IF(Données[[#This Row],[VEFA / PROPRE]]="VEFA",EDATE(Données[[#This Row],[Date Livraison VEFA estimée avec retards constatés]],1),EDATE(Données[[#This Row],[Date réception entreprise recalée]],1))</f>
        <v>46235</v>
      </c>
      <c r="AG25" s="55"/>
      <c r="AH25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25" s="26"/>
      <c r="AJ25" s="26">
        <f>IF(Données[[#This Row],[TYPE]]="Rehab","",Données[[#This Row],[Loyer mensuel]]*Données[[#This Row],[Retard Inauguration (m)]])</f>
        <v>0</v>
      </c>
      <c r="AN25"/>
      <c r="AR25"/>
      <c r="AS25"/>
      <c r="AT25"/>
      <c r="AV25"/>
      <c r="AW25"/>
      <c r="AY25"/>
      <c r="AZ25"/>
    </row>
    <row r="26" spans="1:52" x14ac:dyDescent="0.25">
      <c r="A26" s="5" t="s">
        <v>72</v>
      </c>
      <c r="B26" s="3" t="s">
        <v>38</v>
      </c>
      <c r="C26" s="3">
        <v>2024</v>
      </c>
      <c r="D26" s="3" t="s">
        <v>6</v>
      </c>
      <c r="E26" s="4">
        <f>Données[[#This Row],[LLS]]+Données[[#This Row],[LLTS]]+Données[[#This Row],[PLS]]+Données[[#This Row],[REHAB]]</f>
        <v>30</v>
      </c>
      <c r="F26" s="4">
        <f>Données[[#This Row],[LLS]]+Données[[#This Row],[LLTS]]+Données[[#This Row],[PLS]]</f>
        <v>30</v>
      </c>
      <c r="G26" s="4">
        <v>30</v>
      </c>
      <c r="H26" s="4"/>
      <c r="I26" s="4"/>
      <c r="J26" s="4"/>
      <c r="K26" s="7" t="s">
        <v>37</v>
      </c>
      <c r="L26" s="8"/>
      <c r="M26" s="58">
        <v>45458</v>
      </c>
      <c r="N26" s="10"/>
      <c r="O26" s="6">
        <f>IFERROR((DATEDIF(Données[[#This Row],[Arrêté LBU]],Données[[#This Row],[OS démarrage]],"d"))/30,0)</f>
        <v>1515.2666666666667</v>
      </c>
      <c r="P26" s="29">
        <v>24</v>
      </c>
      <c r="Q26" s="61">
        <f>DATEDIF(Données[[#This Row],[OS démarrage]],Données[[#This Row],[Date réception entreprise recalée]],"M")</f>
        <v>25</v>
      </c>
      <c r="R26" s="36"/>
      <c r="S26" s="14">
        <f>EDATE(Données[[#This Row],[OS démarrage]],Données[[#This Row],[Délai chantier initial]])</f>
        <v>46188</v>
      </c>
      <c r="T26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46218</v>
      </c>
      <c r="U26" s="16">
        <f>EDATE(Données[[#This Row],[Date réception entreprise recalée]],12)</f>
        <v>46583</v>
      </c>
      <c r="V26" s="17">
        <f>(Données[[#This Row],[Date réception entreprise recalée]]-Données[[#This Row],[Date réception entreprise prévue initialement]])/30</f>
        <v>1</v>
      </c>
      <c r="W26" s="44">
        <f>Données[[#This Row],[Date réception entreprise recalée]]</f>
        <v>46218</v>
      </c>
      <c r="X26" s="19">
        <f>Données[[#This Row],[Date réception entreprise recalée]]</f>
        <v>46218</v>
      </c>
      <c r="Y26" s="19">
        <f>Données[[#This Row],[Date réception entreprise recalée]]</f>
        <v>46218</v>
      </c>
      <c r="Z26" s="19">
        <f>Données[[#This Row],[Date livraison contractuelle y/c avenant]]</f>
        <v>46218</v>
      </c>
      <c r="AA26" s="20">
        <f>IF(Données[[#This Row],[TYPE]]="Rehab",0,IFERROR((Données[[#This Row],[Date Livraison VEFA estimée avec retards constatés]]-Données[[#This Row],[Date livraison contractuelle y/c avenant]])/30,"-"))</f>
        <v>0</v>
      </c>
      <c r="AB26" s="21">
        <f>IF(Données[[#This Row],[TYPE]]="Rehab",0,Données[[#This Row],[Date Livraison VEFA estimée avec retards constatés]]-Données[[#This Row],[Date livraison contractuelle y/c avenant]])</f>
        <v>0</v>
      </c>
      <c r="AC26" s="22"/>
      <c r="AD26" s="23" t="str">
        <f>IF(AND(Données[[#This Row],[TYPE]]&lt;&gt;"Rehab",Données[[#This Row],[Achèvement fondations]]&lt;&gt;""),EDATE(Données[[#This Row],[Achèvement fondations]],24),"")</f>
        <v/>
      </c>
      <c r="AE26" s="30">
        <f>IF(Données[[#This Row],[VEFA / PROPRE]]="vefa",EDATE(Données[[#This Row],[Date Livraison initiale VEFA]],1),EDATE(Données[[#This Row],[Date réception entreprise prévue initialement]],1))</f>
        <v>46249</v>
      </c>
      <c r="AF26" s="24">
        <f>IF(Données[[#This Row],[VEFA / PROPRE]]="VEFA",EDATE(Données[[#This Row],[Date Livraison VEFA estimée avec retards constatés]],1),EDATE(Données[[#This Row],[Date réception entreprise recalée]],1))</f>
        <v>46249</v>
      </c>
      <c r="AG26" s="55"/>
      <c r="AH26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26" s="26"/>
      <c r="AJ26" s="26">
        <f>IF(Données[[#This Row],[TYPE]]="Rehab","",Données[[#This Row],[Loyer mensuel]]*Données[[#This Row],[Retard Inauguration (m)]])</f>
        <v>0</v>
      </c>
      <c r="AN26"/>
      <c r="AR26"/>
      <c r="AS26"/>
      <c r="AT26"/>
      <c r="AV26"/>
      <c r="AW26"/>
      <c r="AY26"/>
      <c r="AZ26"/>
    </row>
    <row r="27" spans="1:52" x14ac:dyDescent="0.25">
      <c r="A27" s="5" t="s">
        <v>73</v>
      </c>
      <c r="B27" s="3" t="s">
        <v>36</v>
      </c>
      <c r="C27" s="3">
        <v>2024</v>
      </c>
      <c r="D27" s="3" t="s">
        <v>6</v>
      </c>
      <c r="E27" s="4">
        <f>Données[[#This Row],[LLS]]+Données[[#This Row],[LLTS]]+Données[[#This Row],[PLS]]+Données[[#This Row],[REHAB]]</f>
        <v>21</v>
      </c>
      <c r="F27" s="4">
        <f>Données[[#This Row],[LLS]]+Données[[#This Row],[LLTS]]+Données[[#This Row],[PLS]]</f>
        <v>21</v>
      </c>
      <c r="G27" s="5">
        <v>21</v>
      </c>
      <c r="H27" s="5"/>
      <c r="I27" s="5"/>
      <c r="J27" s="5"/>
      <c r="K27" s="7" t="s">
        <v>39</v>
      </c>
      <c r="L27" s="8"/>
      <c r="M27" s="58">
        <v>45703</v>
      </c>
      <c r="N27" s="10"/>
      <c r="O27" s="6">
        <f>IFERROR((DATEDIF(Données[[#This Row],[Arrêté LBU]],Données[[#This Row],[OS démarrage]],"d"))/30,0)</f>
        <v>1523.4333333333334</v>
      </c>
      <c r="P27" s="29">
        <v>18</v>
      </c>
      <c r="Q27" s="12">
        <f>DATEDIF(Données[[#This Row],[OS démarrage]],Données[[#This Row],[Date réception entreprise recalée]],"M")</f>
        <v>19</v>
      </c>
      <c r="R27" s="13"/>
      <c r="S27" s="14">
        <f>EDATE(Données[[#This Row],[OS démarrage]],Données[[#This Row],[Délai chantier initial]])</f>
        <v>46249</v>
      </c>
      <c r="T27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46280</v>
      </c>
      <c r="U27" s="16">
        <f>EDATE(Données[[#This Row],[Date réception entreprise recalée]],12)</f>
        <v>46645</v>
      </c>
      <c r="V27" s="17">
        <f>(Données[[#This Row],[Date réception entreprise recalée]]-Données[[#This Row],[Date réception entreprise prévue initialement]])/30</f>
        <v>1.0333333333333334</v>
      </c>
      <c r="W27" s="44"/>
      <c r="X27" s="19"/>
      <c r="Y27" s="19"/>
      <c r="Z27" s="19"/>
      <c r="AA27" s="20">
        <f>IF(Données[[#This Row],[TYPE]]="Rehab",0,IFERROR((Données[[#This Row],[Date Livraison VEFA estimée avec retards constatés]]-Données[[#This Row],[Date livraison contractuelle y/c avenant]])/30,"-"))</f>
        <v>0</v>
      </c>
      <c r="AB27" s="21">
        <f>IF(Données[[#This Row],[TYPE]]="Rehab",0,Données[[#This Row],[Date Livraison VEFA estimée avec retards constatés]]-Données[[#This Row],[Date livraison contractuelle y/c avenant]])</f>
        <v>0</v>
      </c>
      <c r="AC27" s="22"/>
      <c r="AD27" s="23" t="str">
        <f>IF(AND(Données[[#This Row],[TYPE]]&lt;&gt;"Rehab",Données[[#This Row],[Achèvement fondations]]&lt;&gt;""),EDATE(Données[[#This Row],[Achèvement fondations]],24),"")</f>
        <v/>
      </c>
      <c r="AE27" s="30">
        <f>IF(Données[[#This Row],[VEFA / PROPRE]]="vefa",EDATE(Données[[#This Row],[Date Livraison initiale VEFA]],1),EDATE(Données[[#This Row],[Date réception entreprise prévue initialement]],1))</f>
        <v>46280</v>
      </c>
      <c r="AF27" s="24">
        <f>IF(Données[[#This Row],[VEFA / PROPRE]]="VEFA",EDATE(Données[[#This Row],[Date Livraison VEFA estimée avec retards constatés]],1),EDATE(Données[[#This Row],[Date réception entreprise recalée]],1))</f>
        <v>46310</v>
      </c>
      <c r="AG27" s="55"/>
      <c r="AH27" s="26">
        <f>IF((Données[[#This Row],[Date inauguration recalée]]-Données[[#This Row],[Date inauguration initiale]])/30&lt;0,0,(Données[[#This Row],[Date inauguration recalée]]-Données[[#This Row],[Date inauguration initiale]])/30)</f>
        <v>1</v>
      </c>
      <c r="AI27" s="26"/>
      <c r="AJ27" s="26">
        <f>IF(Données[[#This Row],[TYPE]]="Rehab","",Données[[#This Row],[Loyer mensuel]]*Données[[#This Row],[Retard Inauguration (m)]])</f>
        <v>0</v>
      </c>
      <c r="AN27"/>
      <c r="AR27"/>
      <c r="AS27"/>
      <c r="AT27"/>
      <c r="AV27"/>
      <c r="AW27"/>
      <c r="AY27"/>
      <c r="AZ27"/>
    </row>
    <row r="28" spans="1:52" x14ac:dyDescent="0.25">
      <c r="A28" s="5" t="s">
        <v>78</v>
      </c>
      <c r="B28" s="3" t="s">
        <v>36</v>
      </c>
      <c r="C28" s="3">
        <v>2025</v>
      </c>
      <c r="D28" s="3" t="s">
        <v>6</v>
      </c>
      <c r="E28" s="4">
        <f>Données[[#This Row],[LLS]]+Données[[#This Row],[LLTS]]+Données[[#This Row],[PLS]]+Données[[#This Row],[REHAB]]</f>
        <v>20</v>
      </c>
      <c r="F28" s="4">
        <f>Données[[#This Row],[LLS]]+Données[[#This Row],[LLTS]]+Données[[#This Row],[PLS]]</f>
        <v>20</v>
      </c>
      <c r="G28" s="5">
        <v>20</v>
      </c>
      <c r="H28" s="5"/>
      <c r="I28" s="5"/>
      <c r="J28" s="5"/>
      <c r="K28" s="7" t="s">
        <v>39</v>
      </c>
      <c r="L28" s="8"/>
      <c r="M28" s="58">
        <v>45703</v>
      </c>
      <c r="N28" s="10"/>
      <c r="O28" s="6">
        <f>IFERROR((DATEDIF(Données[[#This Row],[Arrêté LBU]],Données[[#This Row],[OS démarrage]],"d"))/30,0)</f>
        <v>1523.4333333333334</v>
      </c>
      <c r="P28" s="29">
        <v>18</v>
      </c>
      <c r="Q28" s="12">
        <f>DATEDIF(Données[[#This Row],[OS démarrage]],Données[[#This Row],[Date réception entreprise recalée]],"M")</f>
        <v>19</v>
      </c>
      <c r="R28" s="13"/>
      <c r="S28" s="14">
        <f>EDATE(Données[[#This Row],[OS démarrage]],Données[[#This Row],[Délai chantier initial]])</f>
        <v>46249</v>
      </c>
      <c r="T28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46280</v>
      </c>
      <c r="U28" s="16">
        <f>EDATE(Données[[#This Row],[Date réception entreprise recalée]],12)</f>
        <v>46645</v>
      </c>
      <c r="V28" s="17">
        <f>(Données[[#This Row],[Date réception entreprise recalée]]-Données[[#This Row],[Date réception entreprise prévue initialement]])/30</f>
        <v>1.0333333333333334</v>
      </c>
      <c r="W28" s="44"/>
      <c r="X28" s="19"/>
      <c r="Y28" s="19"/>
      <c r="Z28" s="19"/>
      <c r="AA28" s="20">
        <f>IF(Données[[#This Row],[TYPE]]="Rehab",0,IFERROR((Données[[#This Row],[Date Livraison VEFA estimée avec retards constatés]]-Données[[#This Row],[Date livraison contractuelle y/c avenant]])/30,"-"))</f>
        <v>0</v>
      </c>
      <c r="AB28" s="21">
        <f>IF(Données[[#This Row],[TYPE]]="Rehab",0,Données[[#This Row],[Date Livraison VEFA estimée avec retards constatés]]-Données[[#This Row],[Date livraison contractuelle y/c avenant]])</f>
        <v>0</v>
      </c>
      <c r="AC28" s="22"/>
      <c r="AD28" s="23" t="str">
        <f>IF(AND(Données[[#This Row],[TYPE]]&lt;&gt;"Rehab",Données[[#This Row],[Achèvement fondations]]&lt;&gt;""),EDATE(Données[[#This Row],[Achèvement fondations]],24),"")</f>
        <v/>
      </c>
      <c r="AE28" s="30">
        <f>IF(Données[[#This Row],[VEFA / PROPRE]]="vefa",EDATE(Données[[#This Row],[Date Livraison initiale VEFA]],1),EDATE(Données[[#This Row],[Date réception entreprise prévue initialement]],1))</f>
        <v>46280</v>
      </c>
      <c r="AF28" s="24">
        <f>IF(Données[[#This Row],[VEFA / PROPRE]]="VEFA",EDATE(Données[[#This Row],[Date Livraison VEFA estimée avec retards constatés]],1),EDATE(Données[[#This Row],[Date réception entreprise recalée]],1))</f>
        <v>46310</v>
      </c>
      <c r="AG28" s="55"/>
      <c r="AH28" s="26">
        <f>IF((Données[[#This Row],[Date inauguration recalée]]-Données[[#This Row],[Date inauguration initiale]])/30&lt;0,0,(Données[[#This Row],[Date inauguration recalée]]-Données[[#This Row],[Date inauguration initiale]])/30)</f>
        <v>1</v>
      </c>
      <c r="AI28" s="26"/>
      <c r="AJ28" s="26">
        <f>IF(Données[[#This Row],[TYPE]]="Rehab","",Données[[#This Row],[Loyer mensuel]]*Données[[#This Row],[Retard Inauguration (m)]])</f>
        <v>0</v>
      </c>
      <c r="AN28"/>
      <c r="AR28"/>
      <c r="AS28"/>
      <c r="AT28"/>
      <c r="AV28"/>
      <c r="AW28"/>
      <c r="AY28"/>
      <c r="AZ28"/>
    </row>
    <row r="29" spans="1:52" x14ac:dyDescent="0.25">
      <c r="A29" s="97" t="s">
        <v>79</v>
      </c>
      <c r="B29" s="3" t="s">
        <v>36</v>
      </c>
      <c r="C29" s="3">
        <v>2025</v>
      </c>
      <c r="D29" s="3" t="s">
        <v>6</v>
      </c>
      <c r="E29" s="4">
        <f>Données[[#This Row],[LLS]]+Données[[#This Row],[LLTS]]+Données[[#This Row],[PLS]]+Données[[#This Row],[REHAB]]</f>
        <v>20</v>
      </c>
      <c r="F29" s="4">
        <f>Données[[#This Row],[LLS]]+Données[[#This Row],[LLTS]]+Données[[#This Row],[PLS]]</f>
        <v>20</v>
      </c>
      <c r="G29" s="5">
        <v>20</v>
      </c>
      <c r="H29" s="5"/>
      <c r="I29" s="5"/>
      <c r="J29" s="5"/>
      <c r="K29" s="7" t="s">
        <v>39</v>
      </c>
      <c r="L29" s="8"/>
      <c r="M29" s="58">
        <v>45703</v>
      </c>
      <c r="N29" s="10"/>
      <c r="O29" s="6">
        <f>IFERROR((DATEDIF(Données[[#This Row],[Arrêté LBU]],Données[[#This Row],[OS démarrage]],"d"))/30,0)</f>
        <v>1523.4333333333334</v>
      </c>
      <c r="P29" s="29">
        <v>18</v>
      </c>
      <c r="Q29" s="12">
        <f>DATEDIF(Données[[#This Row],[OS démarrage]],Données[[#This Row],[Date réception entreprise recalée]],"M")</f>
        <v>19</v>
      </c>
      <c r="R29" s="13"/>
      <c r="S29" s="14">
        <f>EDATE(Données[[#This Row],[OS démarrage]],Données[[#This Row],[Délai chantier initial]])</f>
        <v>46249</v>
      </c>
      <c r="T29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46280</v>
      </c>
      <c r="U29" s="16">
        <f>EDATE(Données[[#This Row],[Date réception entreprise recalée]],12)</f>
        <v>46645</v>
      </c>
      <c r="V29" s="17">
        <f>(Données[[#This Row],[Date réception entreprise recalée]]-Données[[#This Row],[Date réception entreprise prévue initialement]])/30</f>
        <v>1.0333333333333334</v>
      </c>
      <c r="W29" s="44"/>
      <c r="X29" s="19"/>
      <c r="Y29" s="19"/>
      <c r="Z29" s="19"/>
      <c r="AA29" s="20">
        <f>IF(Données[[#This Row],[TYPE]]="Rehab",0,IFERROR((Données[[#This Row],[Date Livraison VEFA estimée avec retards constatés]]-Données[[#This Row],[Date livraison contractuelle y/c avenant]])/30,"-"))</f>
        <v>0</v>
      </c>
      <c r="AB29" s="21">
        <f>IF(Données[[#This Row],[TYPE]]="Rehab",0,Données[[#This Row],[Date Livraison VEFA estimée avec retards constatés]]-Données[[#This Row],[Date livraison contractuelle y/c avenant]])</f>
        <v>0</v>
      </c>
      <c r="AC29" s="22"/>
      <c r="AD29" s="23" t="str">
        <f>IF(AND(Données[[#This Row],[TYPE]]&lt;&gt;"Rehab",Données[[#This Row],[Achèvement fondations]]&lt;&gt;""),EDATE(Données[[#This Row],[Achèvement fondations]],24),"")</f>
        <v/>
      </c>
      <c r="AE29" s="30">
        <f>IF(Données[[#This Row],[VEFA / PROPRE]]="vefa",EDATE(Données[[#This Row],[Date Livraison initiale VEFA]],1),EDATE(Données[[#This Row],[Date réception entreprise prévue initialement]],1))</f>
        <v>46280</v>
      </c>
      <c r="AF29" s="24">
        <f>IF(Données[[#This Row],[VEFA / PROPRE]]="VEFA",EDATE(Données[[#This Row],[Date Livraison VEFA estimée avec retards constatés]],1),EDATE(Données[[#This Row],[Date réception entreprise recalée]],1))</f>
        <v>46310</v>
      </c>
      <c r="AG29" s="55"/>
      <c r="AH29" s="26">
        <f>IF((Données[[#This Row],[Date inauguration recalée]]-Données[[#This Row],[Date inauguration initiale]])/30&lt;0,0,(Données[[#This Row],[Date inauguration recalée]]-Données[[#This Row],[Date inauguration initiale]])/30)</f>
        <v>1</v>
      </c>
      <c r="AI29" s="26"/>
      <c r="AJ29" s="26">
        <f>IF(Données[[#This Row],[TYPE]]="Rehab","",Données[[#This Row],[Loyer mensuel]]*Données[[#This Row],[Retard Inauguration (m)]])</f>
        <v>0</v>
      </c>
      <c r="AN29"/>
      <c r="AR29"/>
      <c r="AS29"/>
      <c r="AT29"/>
      <c r="AV29"/>
      <c r="AW29"/>
      <c r="AY29"/>
      <c r="AZ29"/>
    </row>
    <row r="30" spans="1:52" x14ac:dyDescent="0.25">
      <c r="A30" s="97" t="s">
        <v>80</v>
      </c>
      <c r="B30" s="3" t="s">
        <v>38</v>
      </c>
      <c r="C30" s="3">
        <v>2024</v>
      </c>
      <c r="D30" s="3" t="s">
        <v>6</v>
      </c>
      <c r="E30" s="4">
        <v>36</v>
      </c>
      <c r="F30" s="4">
        <f>Données[[#This Row],[LLS]]+Données[[#This Row],[LLTS]]+Données[[#This Row],[PLS]]</f>
        <v>40</v>
      </c>
      <c r="G30" s="5">
        <v>40</v>
      </c>
      <c r="H30" s="5"/>
      <c r="I30" s="5"/>
      <c r="J30" s="5"/>
      <c r="K30" s="7" t="s">
        <v>37</v>
      </c>
      <c r="L30" s="8"/>
      <c r="M30" s="58">
        <v>45703</v>
      </c>
      <c r="N30" s="10"/>
      <c r="O30" s="6">
        <f>IFERROR((DATEDIF(Données[[#This Row],[Arrêté LBU]],Données[[#This Row],[OS démarrage]],"d"))/30,0)</f>
        <v>1523.4333333333334</v>
      </c>
      <c r="P30" s="29">
        <v>24</v>
      </c>
      <c r="Q30" s="12">
        <f>DATEDIF(Données[[#This Row],[OS démarrage]],Données[[#This Row],[Date réception entreprise recalée]],"M")</f>
        <v>25</v>
      </c>
      <c r="R30" s="13"/>
      <c r="S30" s="14">
        <f>EDATE(Données[[#This Row],[OS démarrage]],Données[[#This Row],[Délai chantier initial]])</f>
        <v>46433</v>
      </c>
      <c r="T30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46461</v>
      </c>
      <c r="U30" s="16">
        <f>EDATE(Données[[#This Row],[Date réception entreprise recalée]],12)</f>
        <v>46827</v>
      </c>
      <c r="V30" s="17">
        <f>(Données[[#This Row],[Date réception entreprise recalée]]-Données[[#This Row],[Date réception entreprise prévue initialement]])/30</f>
        <v>0.93333333333333335</v>
      </c>
      <c r="W30" s="44">
        <f>Données[[#This Row],[Date réception entreprise recalée]]</f>
        <v>46461</v>
      </c>
      <c r="X30" s="19">
        <f>Données[[#This Row],[Date achèvement VEFA]]</f>
        <v>46461</v>
      </c>
      <c r="Y30" s="19">
        <f>Données[[#This Row],[Date Livraison initiale VEFA]]</f>
        <v>46461</v>
      </c>
      <c r="Z30" s="19">
        <f>Données[[#This Row],[Date achèvement VEFA]]</f>
        <v>46461</v>
      </c>
      <c r="AA30" s="20">
        <f>IF(Données[[#This Row],[TYPE]]="Rehab",0,IFERROR((Données[[#This Row],[Date Livraison VEFA estimée avec retards constatés]]-Données[[#This Row],[Date livraison contractuelle y/c avenant]])/30,"-"))</f>
        <v>0</v>
      </c>
      <c r="AB30" s="21">
        <f>IF(Données[[#This Row],[TYPE]]="Rehab",0,Données[[#This Row],[Date Livraison VEFA estimée avec retards constatés]]-Données[[#This Row],[Date livraison contractuelle y/c avenant]])</f>
        <v>0</v>
      </c>
      <c r="AC30" s="22"/>
      <c r="AD30" s="23" t="str">
        <f>IF(AND(Données[[#This Row],[TYPE]]&lt;&gt;"Rehab",Données[[#This Row],[Achèvement fondations]]&lt;&gt;""),EDATE(Données[[#This Row],[Achèvement fondations]],24),"")</f>
        <v/>
      </c>
      <c r="AE30" s="30">
        <f>IF(Données[[#This Row],[VEFA / PROPRE]]="vefa",EDATE(Données[[#This Row],[Date Livraison initiale VEFA]],1),EDATE(Données[[#This Row],[Date réception entreprise prévue initialement]],1))</f>
        <v>46492</v>
      </c>
      <c r="AF30" s="24">
        <f>IF(Données[[#This Row],[VEFA / PROPRE]]="VEFA",EDATE(Données[[#This Row],[Date Livraison VEFA estimée avec retards constatés]],1),EDATE(Données[[#This Row],[Date réception entreprise recalée]],1))</f>
        <v>46492</v>
      </c>
      <c r="AG30" s="60"/>
      <c r="AH30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30" s="26"/>
      <c r="AJ30" s="26">
        <f>IF(Données[[#This Row],[TYPE]]="Rehab","",Données[[#This Row],[Loyer mensuel]]*Données[[#This Row],[Retard Inauguration (m)]])</f>
        <v>0</v>
      </c>
      <c r="AN30"/>
      <c r="AR30"/>
      <c r="AS30"/>
      <c r="AT30"/>
      <c r="AV30"/>
      <c r="AW30"/>
      <c r="AY30"/>
      <c r="AZ30"/>
    </row>
    <row r="31" spans="1:52" x14ac:dyDescent="0.25">
      <c r="A31" s="95" t="s">
        <v>81</v>
      </c>
      <c r="B31" s="3" t="s">
        <v>38</v>
      </c>
      <c r="C31" s="3">
        <v>2024</v>
      </c>
      <c r="D31" s="3" t="s">
        <v>6</v>
      </c>
      <c r="E31" s="62">
        <f>Données[[#This Row],[LLS]]+Données[[#This Row],[LLTS]]+Données[[#This Row],[PLS]]+Données[[#This Row],[REHAB]]</f>
        <v>24</v>
      </c>
      <c r="F31" s="4">
        <f>Données[[#This Row],[LLS]]+Données[[#This Row],[LLTS]]+Données[[#This Row],[PLS]]</f>
        <v>24</v>
      </c>
      <c r="G31" s="4">
        <v>24</v>
      </c>
      <c r="H31" s="4"/>
      <c r="I31" s="4"/>
      <c r="J31" s="4"/>
      <c r="K31" s="7" t="s">
        <v>37</v>
      </c>
      <c r="L31" s="8"/>
      <c r="M31" s="58">
        <v>45731</v>
      </c>
      <c r="N31" s="10"/>
      <c r="O31" s="6">
        <f>IFERROR((DATEDIF(Données[[#This Row],[Arrêté LBU]],Données[[#This Row],[OS démarrage]],"d"))/30,0)</f>
        <v>1524.3666666666666</v>
      </c>
      <c r="P31" s="29">
        <v>24</v>
      </c>
      <c r="Q31" s="61">
        <f>DATEDIF(Données[[#This Row],[OS démarrage]],Données[[#This Row],[Date réception entreprise recalée]],"M")</f>
        <v>25</v>
      </c>
      <c r="R31" s="36"/>
      <c r="S31" s="14">
        <f>EDATE(Données[[#This Row],[OS démarrage]],Données[[#This Row],[Délai chantier initial]])</f>
        <v>46461</v>
      </c>
      <c r="T31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46492</v>
      </c>
      <c r="U31" s="16">
        <f>EDATE(Données[[#This Row],[Date réception entreprise recalée]],12)</f>
        <v>46858</v>
      </c>
      <c r="V31" s="17">
        <f>(Données[[#This Row],[Date réception entreprise recalée]]-Données[[#This Row],[Date réception entreprise prévue initialement]])/30</f>
        <v>1.0333333333333334</v>
      </c>
      <c r="W31" s="44">
        <f>Données[[#This Row],[Date réception entreprise recalée]]</f>
        <v>46492</v>
      </c>
      <c r="X31" s="19">
        <f>Données[[#This Row],[Date achèvement VEFA]]</f>
        <v>46492</v>
      </c>
      <c r="Y31" s="19">
        <f>Données[[#This Row],[Date Livraison initiale VEFA]]</f>
        <v>46492</v>
      </c>
      <c r="Z31" s="19">
        <f>Données[[#This Row],[Date livraison contractuelle y/c avenant]]</f>
        <v>46492</v>
      </c>
      <c r="AA31" s="20">
        <f>IF(Données[[#This Row],[TYPE]]="Rehab",0,IFERROR((Données[[#This Row],[Date Livraison VEFA estimée avec retards constatés]]-Données[[#This Row],[Date livraison contractuelle y/c avenant]])/30,"-"))</f>
        <v>0</v>
      </c>
      <c r="AB31" s="21">
        <f>IF(Données[[#This Row],[TYPE]]="Rehab",0,Données[[#This Row],[Date Livraison VEFA estimée avec retards constatés]]-Données[[#This Row],[Date livraison contractuelle y/c avenant]])</f>
        <v>0</v>
      </c>
      <c r="AC31" s="22"/>
      <c r="AD31" s="23" t="str">
        <f>IF(AND(Données[[#This Row],[TYPE]]&lt;&gt;"Rehab",Données[[#This Row],[Achèvement fondations]]&lt;&gt;""),EDATE(Données[[#This Row],[Achèvement fondations]],24),"")</f>
        <v/>
      </c>
      <c r="AE31" s="30">
        <f>IF(Données[[#This Row],[VEFA / PROPRE]]="vefa",EDATE(Données[[#This Row],[Date Livraison initiale VEFA]],1),EDATE(Données[[#This Row],[Date réception entreprise prévue initialement]],1))</f>
        <v>46522</v>
      </c>
      <c r="AF31" s="24">
        <f>IF(Données[[#This Row],[VEFA / PROPRE]]="VEFA",EDATE(Données[[#This Row],[Date Livraison VEFA estimée avec retards constatés]],1),EDATE(Données[[#This Row],[Date réception entreprise recalée]],1))</f>
        <v>46522</v>
      </c>
      <c r="AG31" s="55"/>
      <c r="AH31" s="59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31" s="26"/>
      <c r="AJ31" s="26">
        <f>IF(Données[[#This Row],[TYPE]]="Rehab","",Données[[#This Row],[Loyer mensuel]]*Données[[#This Row],[Retard Inauguration (m)]])</f>
        <v>0</v>
      </c>
      <c r="AN31"/>
      <c r="AR31"/>
      <c r="AS31"/>
      <c r="AT31"/>
      <c r="AV31"/>
      <c r="AW31"/>
      <c r="AY31"/>
      <c r="AZ31"/>
    </row>
    <row r="32" spans="1:52" x14ac:dyDescent="0.25">
      <c r="A32" s="96" t="s">
        <v>82</v>
      </c>
      <c r="B32" s="3" t="s">
        <v>36</v>
      </c>
      <c r="C32" s="3">
        <v>2024</v>
      </c>
      <c r="D32" s="3" t="s">
        <v>6</v>
      </c>
      <c r="E32" s="4">
        <f>Données[[#This Row],[LLS]]+Données[[#This Row],[LLTS]]+Données[[#This Row],[PLS]]+Données[[#This Row],[REHAB]]</f>
        <v>33</v>
      </c>
      <c r="F32" s="4">
        <f>Données[[#This Row],[LLS]]+Données[[#This Row],[LLTS]]+Données[[#This Row],[PLS]]</f>
        <v>33</v>
      </c>
      <c r="G32" s="4">
        <v>33</v>
      </c>
      <c r="H32" s="4"/>
      <c r="I32" s="4"/>
      <c r="J32" s="4"/>
      <c r="K32" s="7" t="s">
        <v>37</v>
      </c>
      <c r="L32" s="8"/>
      <c r="M32" s="58">
        <v>45731</v>
      </c>
      <c r="N32" s="10"/>
      <c r="O32" s="6">
        <f>IFERROR((DATEDIF(Données[[#This Row],[Arrêté LBU]],Données[[#This Row],[OS démarrage]],"d"))/30,0)</f>
        <v>1524.3666666666666</v>
      </c>
      <c r="P32" s="29">
        <v>24</v>
      </c>
      <c r="Q32" s="61">
        <f>DATEDIF(Données[[#This Row],[OS démarrage]],Données[[#This Row],[Date réception entreprise recalée]],"M")</f>
        <v>25</v>
      </c>
      <c r="R32" s="36"/>
      <c r="S32" s="14">
        <f>EDATE(Données[[#This Row],[OS démarrage]],Données[[#This Row],[Délai chantier initial]])</f>
        <v>46461</v>
      </c>
      <c r="T32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46492</v>
      </c>
      <c r="U32" s="16">
        <f>EDATE(Données[[#This Row],[Date réception entreprise recalée]],12)</f>
        <v>46858</v>
      </c>
      <c r="V32" s="17">
        <f>(Données[[#This Row],[Date réception entreprise recalée]]-Données[[#This Row],[Date réception entreprise prévue initialement]])/30</f>
        <v>1.0333333333333334</v>
      </c>
      <c r="W32" s="44">
        <f>Données[[#This Row],[Date réception entreprise recalée]]</f>
        <v>46492</v>
      </c>
      <c r="X32" s="19">
        <f>Données[[#This Row],[Date achèvement VEFA]]</f>
        <v>46492</v>
      </c>
      <c r="Y32" s="19">
        <f>Données[[#This Row],[Date Livraison initiale VEFA]]</f>
        <v>46492</v>
      </c>
      <c r="Z32" s="19">
        <f>Données[[#This Row],[Date livraison contractuelle y/c avenant]]</f>
        <v>46492</v>
      </c>
      <c r="AA32" s="20">
        <f>IF(Données[[#This Row],[TYPE]]="Rehab",0,IFERROR((Données[[#This Row],[Date Livraison VEFA estimée avec retards constatés]]-Données[[#This Row],[Date livraison contractuelle y/c avenant]])/30,"-"))</f>
        <v>0</v>
      </c>
      <c r="AB32" s="21">
        <f>IF(Données[[#This Row],[TYPE]]="Rehab",0,Données[[#This Row],[Date Livraison VEFA estimée avec retards constatés]]-Données[[#This Row],[Date livraison contractuelle y/c avenant]])</f>
        <v>0</v>
      </c>
      <c r="AC32" s="22"/>
      <c r="AD32" s="23" t="str">
        <f>IF(AND(Données[[#This Row],[TYPE]]&lt;&gt;"Rehab",Données[[#This Row],[Achèvement fondations]]&lt;&gt;""),EDATE(Données[[#This Row],[Achèvement fondations]],24),"")</f>
        <v/>
      </c>
      <c r="AE32" s="30">
        <f>IF(Données[[#This Row],[VEFA / PROPRE]]="vefa",EDATE(Données[[#This Row],[Date Livraison initiale VEFA]],1),EDATE(Données[[#This Row],[Date réception entreprise prévue initialement]],1))</f>
        <v>46522</v>
      </c>
      <c r="AF32" s="24">
        <f>IF(Données[[#This Row],[VEFA / PROPRE]]="VEFA",EDATE(Données[[#This Row],[Date Livraison VEFA estimée avec retards constatés]],1),EDATE(Données[[#This Row],[Date réception entreprise recalée]],1))</f>
        <v>46522</v>
      </c>
      <c r="AG32" s="55"/>
      <c r="AH32" s="59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32" s="26"/>
      <c r="AJ32" s="26">
        <f>IF(Données[[#This Row],[TYPE]]="Rehab","",Données[[#This Row],[Loyer mensuel]]*Données[[#This Row],[Retard Inauguration (m)]])</f>
        <v>0</v>
      </c>
      <c r="AN32"/>
      <c r="AR32"/>
      <c r="AS32"/>
      <c r="AT32"/>
      <c r="AV32"/>
      <c r="AW32"/>
      <c r="AY32"/>
      <c r="AZ32"/>
    </row>
    <row r="33" spans="1:52" x14ac:dyDescent="0.25">
      <c r="A33" s="96" t="s">
        <v>69</v>
      </c>
      <c r="B33" s="3" t="s">
        <v>38</v>
      </c>
      <c r="C33" s="27">
        <v>2024</v>
      </c>
      <c r="D33" s="3" t="s">
        <v>6</v>
      </c>
      <c r="E33" s="4">
        <f>Données[[#This Row],[LLS]]+Données[[#This Row],[LLTS]]+Données[[#This Row],[PLS]]+Données[[#This Row],[REHAB]]</f>
        <v>30</v>
      </c>
      <c r="F33" s="4">
        <f>Données[[#This Row],[LLS]]+Données[[#This Row],[LLTS]]+Données[[#This Row],[PLS]]</f>
        <v>30</v>
      </c>
      <c r="G33" s="5">
        <v>30</v>
      </c>
      <c r="H33" s="5"/>
      <c r="I33" s="5"/>
      <c r="J33" s="47"/>
      <c r="K33" s="7" t="s">
        <v>37</v>
      </c>
      <c r="L33" s="8"/>
      <c r="M33" s="58">
        <v>45782</v>
      </c>
      <c r="N33" s="10"/>
      <c r="O33" s="6">
        <f>IFERROR((DATEDIF(Données[[#This Row],[Arrêté LBU]],Données[[#This Row],[OS démarrage]],"d"))/30,0)</f>
        <v>1526.0666666666666</v>
      </c>
      <c r="P33" s="29">
        <v>24</v>
      </c>
      <c r="Q33" s="12">
        <f>DATEDIF(Données[[#This Row],[OS démarrage]],Données[[#This Row],[Date réception entreprise recalée]],"M")</f>
        <v>25</v>
      </c>
      <c r="R33" s="13"/>
      <c r="S33" s="14">
        <f>EDATE(Données[[#This Row],[OS démarrage]],Données[[#This Row],[Délai chantier initial]])</f>
        <v>46512</v>
      </c>
      <c r="T33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46543</v>
      </c>
      <c r="U33" s="16">
        <f>EDATE(Données[[#This Row],[Date réception entreprise recalée]],12)</f>
        <v>46909</v>
      </c>
      <c r="V33" s="17">
        <f>(Données[[#This Row],[Date réception entreprise recalée]]-Données[[#This Row],[Date réception entreprise prévue initialement]])/30</f>
        <v>1.0333333333333334</v>
      </c>
      <c r="W33" s="44">
        <f>Données[[#This Row],[Date réception entreprise recalée]]</f>
        <v>46543</v>
      </c>
      <c r="X33" s="19">
        <f>Données[[#This Row],[Date achèvement VEFA]]</f>
        <v>46543</v>
      </c>
      <c r="Y33" s="19">
        <f>Données[[#This Row],[Date achèvement VEFA]]</f>
        <v>46543</v>
      </c>
      <c r="Z33" s="19">
        <f>Données[[#This Row],[Date achèvement VEFA]]</f>
        <v>46543</v>
      </c>
      <c r="AA33" s="20">
        <f>IF(Données[[#This Row],[TYPE]]="Rehab",0,IFERROR((Données[[#This Row],[Date Livraison VEFA estimée avec retards constatés]]-Données[[#This Row],[Date livraison contractuelle y/c avenant]])/30,"-"))</f>
        <v>0</v>
      </c>
      <c r="AB33" s="21">
        <f>IF(Données[[#This Row],[TYPE]]="Rehab",0,Données[[#This Row],[Date Livraison VEFA estimée avec retards constatés]]-Données[[#This Row],[Date livraison contractuelle y/c avenant]])</f>
        <v>0</v>
      </c>
      <c r="AC33" s="22"/>
      <c r="AD33" s="23" t="str">
        <f>IF(AND(Données[[#This Row],[TYPE]]&lt;&gt;"Rehab",Données[[#This Row],[Achèvement fondations]]&lt;&gt;""),EDATE(Données[[#This Row],[Achèvement fondations]],24),"")</f>
        <v/>
      </c>
      <c r="AE33" s="30">
        <f>IF(Données[[#This Row],[VEFA / PROPRE]]="vefa",EDATE(Données[[#This Row],[Date Livraison initiale VEFA]],1),EDATE(Données[[#This Row],[Date réception entreprise prévue initialement]],1))</f>
        <v>46573</v>
      </c>
      <c r="AF33" s="24">
        <f>IF(Données[[#This Row],[VEFA / PROPRE]]="VEFA",EDATE(Données[[#This Row],[Date Livraison VEFA estimée avec retards constatés]],1),EDATE(Données[[#This Row],[Date réception entreprise recalée]],1))</f>
        <v>46573</v>
      </c>
      <c r="AG33" s="55"/>
      <c r="AH33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33" s="26"/>
      <c r="AJ33" s="26">
        <f>IF(Données[[#This Row],[TYPE]]="Rehab","",Données[[#This Row],[Loyer mensuel]]*Données[[#This Row],[Retard Inauguration (m)]])</f>
        <v>0</v>
      </c>
      <c r="AN33"/>
      <c r="AR33"/>
      <c r="AS33"/>
      <c r="AT33"/>
      <c r="AV33"/>
      <c r="AW33"/>
      <c r="AY33"/>
      <c r="AZ33"/>
    </row>
    <row r="34" spans="1:52" x14ac:dyDescent="0.25">
      <c r="A34" s="96" t="s">
        <v>83</v>
      </c>
      <c r="B34" s="3" t="s">
        <v>38</v>
      </c>
      <c r="C34" s="27">
        <v>2024</v>
      </c>
      <c r="D34" s="3" t="s">
        <v>6</v>
      </c>
      <c r="E34" s="4">
        <f>Données[[#This Row],[LLS]]+Données[[#This Row],[LLTS]]+Données[[#This Row],[PLS]]+Données[[#This Row],[REHAB]]</f>
        <v>16</v>
      </c>
      <c r="F34" s="4">
        <f>Données[[#This Row],[LLS]]+Données[[#This Row],[LLTS]]+Données[[#This Row],[PLS]]</f>
        <v>16</v>
      </c>
      <c r="G34" s="5">
        <v>16</v>
      </c>
      <c r="H34" s="5"/>
      <c r="I34" s="5"/>
      <c r="J34" s="47"/>
      <c r="K34" s="7" t="s">
        <v>37</v>
      </c>
      <c r="L34" s="8"/>
      <c r="M34" s="58">
        <v>45782</v>
      </c>
      <c r="N34" s="10"/>
      <c r="O34" s="6">
        <f>IFERROR((DATEDIF(Données[[#This Row],[Arrêté LBU]],Données[[#This Row],[OS démarrage]],"d"))/30,0)</f>
        <v>1526.0666666666666</v>
      </c>
      <c r="P34" s="29">
        <v>24</v>
      </c>
      <c r="Q34" s="12">
        <f>DATEDIF(Données[[#This Row],[OS démarrage]],Données[[#This Row],[Date réception entreprise recalée]],"M")</f>
        <v>25</v>
      </c>
      <c r="R34" s="13"/>
      <c r="S34" s="14">
        <f>EDATE(Données[[#This Row],[OS démarrage]],Données[[#This Row],[Délai chantier initial]])</f>
        <v>46512</v>
      </c>
      <c r="T34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46543</v>
      </c>
      <c r="U34" s="16">
        <f>EDATE(Données[[#This Row],[Date réception entreprise recalée]],12)</f>
        <v>46909</v>
      </c>
      <c r="V34" s="17">
        <f>(Données[[#This Row],[Date réception entreprise recalée]]-Données[[#This Row],[Date réception entreprise prévue initialement]])/30</f>
        <v>1.0333333333333334</v>
      </c>
      <c r="W34" s="44">
        <f>Données[[#This Row],[Date réception entreprise recalée]]</f>
        <v>46543</v>
      </c>
      <c r="X34" s="19">
        <f>Données[[#This Row],[Date achèvement VEFA]]</f>
        <v>46543</v>
      </c>
      <c r="Y34" s="19">
        <f>Données[[#This Row],[Date achèvement VEFA]]</f>
        <v>46543</v>
      </c>
      <c r="Z34" s="19">
        <f>Données[[#This Row],[Date achèvement VEFA]]</f>
        <v>46543</v>
      </c>
      <c r="AA34" s="20">
        <f>IF(Données[[#This Row],[TYPE]]="Rehab",0,IFERROR((Données[[#This Row],[Date Livraison VEFA estimée avec retards constatés]]-Données[[#This Row],[Date livraison contractuelle y/c avenant]])/30,"-"))</f>
        <v>0</v>
      </c>
      <c r="AB34" s="21">
        <f>IF(Données[[#This Row],[TYPE]]="Rehab",0,Données[[#This Row],[Date Livraison VEFA estimée avec retards constatés]]-Données[[#This Row],[Date livraison contractuelle y/c avenant]])</f>
        <v>0</v>
      </c>
      <c r="AC34" s="22"/>
      <c r="AD34" s="23" t="str">
        <f>IF(AND(Données[[#This Row],[TYPE]]&lt;&gt;"Rehab",Données[[#This Row],[Achèvement fondations]]&lt;&gt;""),EDATE(Données[[#This Row],[Achèvement fondations]],24),"")</f>
        <v/>
      </c>
      <c r="AE34" s="30">
        <f>IF(Données[[#This Row],[VEFA / PROPRE]]="vefa",EDATE(Données[[#This Row],[Date Livraison initiale VEFA]],1),EDATE(Données[[#This Row],[Date réception entreprise prévue initialement]],1))</f>
        <v>46573</v>
      </c>
      <c r="AF34" s="24">
        <f>IF(Données[[#This Row],[VEFA / PROPRE]]="VEFA",EDATE(Données[[#This Row],[Date Livraison VEFA estimée avec retards constatés]],1),EDATE(Données[[#This Row],[Date réception entreprise recalée]],1))</f>
        <v>46573</v>
      </c>
      <c r="AG34" s="55"/>
      <c r="AH34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34" s="26"/>
      <c r="AJ34" s="26">
        <f>IF(Données[[#This Row],[TYPE]]="Rehab","",Données[[#This Row],[Loyer mensuel]]*Données[[#This Row],[Retard Inauguration (m)]])</f>
        <v>0</v>
      </c>
      <c r="AN34"/>
      <c r="AR34"/>
      <c r="AS34"/>
      <c r="AT34"/>
      <c r="AV34"/>
      <c r="AW34"/>
      <c r="AY34"/>
      <c r="AZ34"/>
    </row>
    <row r="35" spans="1:52" x14ac:dyDescent="0.25">
      <c r="A35" s="96" t="s">
        <v>67</v>
      </c>
      <c r="B35" s="3" t="s">
        <v>36</v>
      </c>
      <c r="C35" s="3">
        <v>2025</v>
      </c>
      <c r="D35" s="3" t="s">
        <v>6</v>
      </c>
      <c r="E35" s="4">
        <f>Données[[#This Row],[LLS]]+Données[[#This Row],[LLTS]]+Données[[#This Row],[PLS]]+Données[[#This Row],[REHAB]]</f>
        <v>13</v>
      </c>
      <c r="F35" s="4">
        <f>Données[[#This Row],[LLS]]+Données[[#This Row],[LLTS]]+Données[[#This Row],[PLS]]</f>
        <v>13</v>
      </c>
      <c r="G35" s="4">
        <v>13</v>
      </c>
      <c r="H35" s="4"/>
      <c r="I35" s="4"/>
      <c r="J35" s="4"/>
      <c r="K35" s="7" t="s">
        <v>39</v>
      </c>
      <c r="L35" s="8"/>
      <c r="M35" s="58">
        <v>45853</v>
      </c>
      <c r="N35" s="10"/>
      <c r="O35" s="6">
        <f>IFERROR((DATEDIF(Données[[#This Row],[Arrêté LBU]],Données[[#This Row],[OS démarrage]],"d"))/30,0)</f>
        <v>1528.4333333333334</v>
      </c>
      <c r="P35" s="29">
        <v>20</v>
      </c>
      <c r="Q35" s="61">
        <f>DATEDIF(Données[[#This Row],[OS démarrage]],Données[[#This Row],[Date réception entreprise recalée]],"M")</f>
        <v>21</v>
      </c>
      <c r="R35" s="36"/>
      <c r="S35" s="14">
        <f>EDATE(Données[[#This Row],[OS démarrage]],Données[[#This Row],[Délai chantier initial]])</f>
        <v>46461</v>
      </c>
      <c r="T35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46492</v>
      </c>
      <c r="U35" s="16">
        <f>EDATE(Données[[#This Row],[Date réception entreprise recalée]],12)</f>
        <v>46858</v>
      </c>
      <c r="V35" s="17">
        <f>(Données[[#This Row],[Date réception entreprise recalée]]-Données[[#This Row],[Date réception entreprise prévue initialement]])/30</f>
        <v>1.0333333333333334</v>
      </c>
      <c r="W35" s="44"/>
      <c r="X35" s="19"/>
      <c r="Y35" s="19"/>
      <c r="Z35" s="19"/>
      <c r="AA35" s="20">
        <f>IF(Données[[#This Row],[TYPE]]="Rehab",0,IFERROR((Données[[#This Row],[Date Livraison VEFA estimée avec retards constatés]]-Données[[#This Row],[Date livraison contractuelle y/c avenant]])/30,"-"))</f>
        <v>0</v>
      </c>
      <c r="AB35" s="21">
        <f>IF(Données[[#This Row],[TYPE]]="Rehab",0,Données[[#This Row],[Date Livraison VEFA estimée avec retards constatés]]-Données[[#This Row],[Date livraison contractuelle y/c avenant]])</f>
        <v>0</v>
      </c>
      <c r="AC35" s="22"/>
      <c r="AD35" s="23" t="str">
        <f>IF(AND(Données[[#This Row],[TYPE]]&lt;&gt;"Rehab",Données[[#This Row],[Achèvement fondations]]&lt;&gt;""),EDATE(Données[[#This Row],[Achèvement fondations]],24),"")</f>
        <v/>
      </c>
      <c r="AE35" s="30">
        <f>IF(Données[[#This Row],[VEFA / PROPRE]]="vefa",EDATE(Données[[#This Row],[Date Livraison initiale VEFA]],1),EDATE(Données[[#This Row],[Date réception entreprise prévue initialement]],1))</f>
        <v>46492</v>
      </c>
      <c r="AF35" s="24">
        <f>IF(Données[[#This Row],[VEFA / PROPRE]]="VEFA",EDATE(Données[[#This Row],[Date Livraison VEFA estimée avec retards constatés]],1),EDATE(Données[[#This Row],[Date réception entreprise recalée]],1))</f>
        <v>46522</v>
      </c>
      <c r="AG35" s="55"/>
      <c r="AH35" s="59">
        <f>IF((Données[[#This Row],[Date inauguration recalée]]-Données[[#This Row],[Date inauguration initiale]])/30&lt;0,0,(Données[[#This Row],[Date inauguration recalée]]-Données[[#This Row],[Date inauguration initiale]])/30)</f>
        <v>1</v>
      </c>
      <c r="AI35" s="26"/>
      <c r="AJ35" s="26">
        <f>IF(Données[[#This Row],[TYPE]]="Rehab","",Données[[#This Row],[Loyer mensuel]]*Données[[#This Row],[Retard Inauguration (m)]])</f>
        <v>0</v>
      </c>
      <c r="AN35"/>
      <c r="AR35"/>
      <c r="AS35"/>
      <c r="AT35"/>
      <c r="AV35"/>
      <c r="AW35"/>
      <c r="AY35"/>
      <c r="AZ35"/>
    </row>
    <row r="36" spans="1:52" x14ac:dyDescent="0.25">
      <c r="A36" s="96" t="s">
        <v>71</v>
      </c>
      <c r="B36" s="3" t="s">
        <v>36</v>
      </c>
      <c r="C36" s="3">
        <v>2025</v>
      </c>
      <c r="D36" s="3" t="s">
        <v>6</v>
      </c>
      <c r="E36" s="4">
        <f>Données[[#This Row],[LLS]]+Données[[#This Row],[LLTS]]+Données[[#This Row],[PLS]]+Données[[#This Row],[REHAB]]</f>
        <v>11</v>
      </c>
      <c r="F36" s="4">
        <f>Données[[#This Row],[LLS]]+Données[[#This Row],[LLTS]]+Données[[#This Row],[PLS]]</f>
        <v>11</v>
      </c>
      <c r="G36" s="4">
        <v>11</v>
      </c>
      <c r="H36" s="4"/>
      <c r="I36" s="4"/>
      <c r="J36" s="4"/>
      <c r="K36" s="7" t="s">
        <v>39</v>
      </c>
      <c r="L36" s="8"/>
      <c r="M36" s="58">
        <v>45853</v>
      </c>
      <c r="N36" s="10"/>
      <c r="O36" s="6">
        <f>IFERROR((DATEDIF(Données[[#This Row],[Arrêté LBU]],Données[[#This Row],[OS démarrage]],"d"))/30,0)</f>
        <v>1528.4333333333334</v>
      </c>
      <c r="P36" s="29">
        <v>20</v>
      </c>
      <c r="Q36" s="61">
        <f>DATEDIF(Données[[#This Row],[OS démarrage]],Données[[#This Row],[Date réception entreprise recalée]],"M")</f>
        <v>21</v>
      </c>
      <c r="R36" s="36"/>
      <c r="S36" s="14">
        <f>EDATE(Données[[#This Row],[OS démarrage]],Données[[#This Row],[Délai chantier initial]])</f>
        <v>46461</v>
      </c>
      <c r="T36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46492</v>
      </c>
      <c r="U36" s="16">
        <f>EDATE(Données[[#This Row],[Date réception entreprise recalée]],12)</f>
        <v>46858</v>
      </c>
      <c r="V36" s="17">
        <f>(Données[[#This Row],[Date réception entreprise recalée]]-Données[[#This Row],[Date réception entreprise prévue initialement]])/30</f>
        <v>1.0333333333333334</v>
      </c>
      <c r="W36" s="44"/>
      <c r="X36" s="19"/>
      <c r="Y36" s="19"/>
      <c r="Z36" s="19"/>
      <c r="AA36" s="20">
        <f>IF(Données[[#This Row],[TYPE]]="Rehab",0,IFERROR((Données[[#This Row],[Date Livraison VEFA estimée avec retards constatés]]-Données[[#This Row],[Date livraison contractuelle y/c avenant]])/30,"-"))</f>
        <v>0</v>
      </c>
      <c r="AB36" s="21">
        <f>IF(Données[[#This Row],[TYPE]]="Rehab",0,Données[[#This Row],[Date Livraison VEFA estimée avec retards constatés]]-Données[[#This Row],[Date livraison contractuelle y/c avenant]])</f>
        <v>0</v>
      </c>
      <c r="AC36" s="22"/>
      <c r="AD36" s="23" t="str">
        <f>IF(AND(Données[[#This Row],[TYPE]]&lt;&gt;"Rehab",Données[[#This Row],[Achèvement fondations]]&lt;&gt;""),EDATE(Données[[#This Row],[Achèvement fondations]],24),"")</f>
        <v/>
      </c>
      <c r="AE36" s="30">
        <f>IF(Données[[#This Row],[VEFA / PROPRE]]="vefa",EDATE(Données[[#This Row],[Date Livraison initiale VEFA]],1),EDATE(Données[[#This Row],[Date réception entreprise prévue initialement]],1))</f>
        <v>46492</v>
      </c>
      <c r="AF36" s="24">
        <f>IF(Données[[#This Row],[VEFA / PROPRE]]="VEFA",EDATE(Données[[#This Row],[Date Livraison VEFA estimée avec retards constatés]],1),EDATE(Données[[#This Row],[Date réception entreprise recalée]],1))</f>
        <v>46522</v>
      </c>
      <c r="AG36" s="55"/>
      <c r="AH36" s="59">
        <f>IF((Données[[#This Row],[Date inauguration recalée]]-Données[[#This Row],[Date inauguration initiale]])/30&lt;0,0,(Données[[#This Row],[Date inauguration recalée]]-Données[[#This Row],[Date inauguration initiale]])/30)</f>
        <v>1</v>
      </c>
      <c r="AI36" s="26"/>
      <c r="AJ36" s="26">
        <f>IF(Données[[#This Row],[TYPE]]="Rehab","",Données[[#This Row],[Loyer mensuel]]*Données[[#This Row],[Retard Inauguration (m)]])</f>
        <v>0</v>
      </c>
      <c r="AN36"/>
      <c r="AR36"/>
      <c r="AS36"/>
      <c r="AT36"/>
      <c r="AV36"/>
      <c r="AW36"/>
      <c r="AY36"/>
      <c r="AZ36"/>
    </row>
    <row r="37" spans="1:52" x14ac:dyDescent="0.25">
      <c r="A37" s="96" t="s">
        <v>67</v>
      </c>
      <c r="B37" s="3" t="s">
        <v>36</v>
      </c>
      <c r="C37" s="3">
        <v>2025</v>
      </c>
      <c r="D37" s="3" t="s">
        <v>6</v>
      </c>
      <c r="E37" s="4">
        <f>Données[[#This Row],[LLS]]+Données[[#This Row],[LLTS]]+Données[[#This Row],[PLS]]+Données[[#This Row],[REHAB]]</f>
        <v>22</v>
      </c>
      <c r="F37" s="4">
        <f>Données[[#This Row],[LLS]]+Données[[#This Row],[LLTS]]+Données[[#This Row],[PLS]]</f>
        <v>22</v>
      </c>
      <c r="G37" s="5">
        <v>22</v>
      </c>
      <c r="H37" s="5"/>
      <c r="I37" s="5"/>
      <c r="J37" s="5"/>
      <c r="K37" s="7" t="s">
        <v>39</v>
      </c>
      <c r="L37" s="8">
        <v>43334</v>
      </c>
      <c r="M37" s="58">
        <v>45915</v>
      </c>
      <c r="N37" s="10"/>
      <c r="O37" s="6">
        <f>IFERROR((DATEDIF(Données[[#This Row],[Arrêté LBU]],Données[[#This Row],[OS démarrage]],"d"))/30,0)</f>
        <v>86.033333333333331</v>
      </c>
      <c r="P37" s="29">
        <v>18</v>
      </c>
      <c r="Q37" s="12">
        <f>DATEDIF(Données[[#This Row],[OS démarrage]],Données[[#This Row],[Date réception entreprise recalée]],"M")</f>
        <v>19</v>
      </c>
      <c r="R37" s="13"/>
      <c r="S37" s="14">
        <f>EDATE(Données[[#This Row],[OS démarrage]],Données[[#This Row],[Délai chantier initial]])</f>
        <v>46461</v>
      </c>
      <c r="T37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46492</v>
      </c>
      <c r="U37" s="16">
        <f>EDATE(Données[[#This Row],[Date réception entreprise recalée]],12)</f>
        <v>46858</v>
      </c>
      <c r="V37" s="17">
        <f>(Données[[#This Row],[Date réception entreprise recalée]]-Données[[#This Row],[Date réception entreprise prévue initialement]])/30</f>
        <v>1.0333333333333334</v>
      </c>
      <c r="W37" s="44"/>
      <c r="X37" s="19"/>
      <c r="Y37" s="19"/>
      <c r="Z37" s="19"/>
      <c r="AA37" s="20">
        <f>IF(Données[[#This Row],[TYPE]]="Rehab",0,IFERROR((Données[[#This Row],[Date Livraison VEFA estimée avec retards constatés]]-Données[[#This Row],[Date livraison contractuelle y/c avenant]])/30,"-"))</f>
        <v>0</v>
      </c>
      <c r="AB37" s="21">
        <f>IF(Données[[#This Row],[TYPE]]="Rehab",0,Données[[#This Row],[Date Livraison VEFA estimée avec retards constatés]]-Données[[#This Row],[Date livraison contractuelle y/c avenant]])</f>
        <v>0</v>
      </c>
      <c r="AC37" s="22"/>
      <c r="AD37" s="23" t="str">
        <f>IF(AND(Données[[#This Row],[TYPE]]&lt;&gt;"Rehab",Données[[#This Row],[Achèvement fondations]]&lt;&gt;""),EDATE(Données[[#This Row],[Achèvement fondations]],24),"")</f>
        <v/>
      </c>
      <c r="AE37" s="30">
        <f>IF(Données[[#This Row],[VEFA / PROPRE]]="vefa",EDATE(Données[[#This Row],[Date Livraison initiale VEFA]],1),EDATE(Données[[#This Row],[Date réception entreprise prévue initialement]],1))</f>
        <v>46492</v>
      </c>
      <c r="AF37" s="24">
        <f>IF(Données[[#This Row],[VEFA / PROPRE]]="VEFA",EDATE(Données[[#This Row],[Date Livraison VEFA estimée avec retards constatés]],1),EDATE(Données[[#This Row],[Date réception entreprise recalée]],1))</f>
        <v>46522</v>
      </c>
      <c r="AG37" s="55"/>
      <c r="AH37" s="26">
        <f>IF((Données[[#This Row],[Date inauguration recalée]]-Données[[#This Row],[Date inauguration initiale]])/30&lt;0,0,(Données[[#This Row],[Date inauguration recalée]]-Données[[#This Row],[Date inauguration initiale]])/30)</f>
        <v>1</v>
      </c>
      <c r="AI37" s="26">
        <v>17287</v>
      </c>
      <c r="AJ37" s="26">
        <f>IF(Données[[#This Row],[TYPE]]="Rehab","",Données[[#This Row],[Loyer mensuel]]*Données[[#This Row],[Retard Inauguration (m)]])</f>
        <v>17287</v>
      </c>
      <c r="AN37"/>
      <c r="AR37"/>
      <c r="AS37"/>
      <c r="AT37"/>
      <c r="AV37"/>
      <c r="AW37"/>
      <c r="AY37"/>
      <c r="AZ37"/>
    </row>
    <row r="38" spans="1:52" x14ac:dyDescent="0.25">
      <c r="A38" s="31" t="s">
        <v>66</v>
      </c>
      <c r="B38" s="3" t="s">
        <v>36</v>
      </c>
      <c r="C38" s="3">
        <v>2024</v>
      </c>
      <c r="D38" s="3" t="s">
        <v>6</v>
      </c>
      <c r="E38" s="4">
        <f>Données[[#This Row],[LLS]]+Données[[#This Row],[LLTS]]+Données[[#This Row],[PLS]]+Données[[#This Row],[REHAB]]</f>
        <v>28</v>
      </c>
      <c r="F38" s="4">
        <f>Données[[#This Row],[LLS]]+Données[[#This Row],[LLTS]]+Données[[#This Row],[PLS]]</f>
        <v>28</v>
      </c>
      <c r="G38" s="4">
        <v>28</v>
      </c>
      <c r="H38" s="4"/>
      <c r="I38" s="4"/>
      <c r="J38" s="4"/>
      <c r="K38" s="7" t="s">
        <v>39</v>
      </c>
      <c r="L38" s="8"/>
      <c r="M38" s="58">
        <v>46096</v>
      </c>
      <c r="N38" s="10"/>
      <c r="O38" s="6">
        <f>IFERROR((DATEDIF(Données[[#This Row],[Arrêté LBU]],Données[[#This Row],[OS démarrage]],"d"))/30,0)</f>
        <v>1536.5333333333333</v>
      </c>
      <c r="P38" s="29">
        <v>20</v>
      </c>
      <c r="Q38" s="61">
        <f>DATEDIF(Données[[#This Row],[OS démarrage]],Données[[#This Row],[Date réception entreprise recalée]],"M")</f>
        <v>21</v>
      </c>
      <c r="R38" s="36"/>
      <c r="S38" s="14">
        <f>EDATE(Données[[#This Row],[OS démarrage]],Données[[#This Row],[Délai chantier initial]])</f>
        <v>46706</v>
      </c>
      <c r="T38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46736</v>
      </c>
      <c r="U38" s="16">
        <f>EDATE(Données[[#This Row],[Date réception entreprise recalée]],12)</f>
        <v>47102</v>
      </c>
      <c r="V38" s="17">
        <f>(Données[[#This Row],[Date réception entreprise recalée]]-Données[[#This Row],[Date réception entreprise prévue initialement]])/30</f>
        <v>1</v>
      </c>
      <c r="W38" s="44"/>
      <c r="X38" s="19"/>
      <c r="Y38" s="19"/>
      <c r="Z38" s="19"/>
      <c r="AA38" s="20">
        <f>IF(Données[[#This Row],[TYPE]]="Rehab",0,IFERROR((Données[[#This Row],[Date Livraison VEFA estimée avec retards constatés]]-Données[[#This Row],[Date livraison contractuelle y/c avenant]])/30,"-"))</f>
        <v>0</v>
      </c>
      <c r="AB38" s="21">
        <f>IF(Données[[#This Row],[TYPE]]="Rehab",0,Données[[#This Row],[Date Livraison VEFA estimée avec retards constatés]]-Données[[#This Row],[Date livraison contractuelle y/c avenant]])</f>
        <v>0</v>
      </c>
      <c r="AC38" s="22"/>
      <c r="AD38" s="23" t="str">
        <f>IF(AND(Données[[#This Row],[TYPE]]&lt;&gt;"Rehab",Données[[#This Row],[Achèvement fondations]]&lt;&gt;""),EDATE(Données[[#This Row],[Achèvement fondations]],24),"")</f>
        <v/>
      </c>
      <c r="AE38" s="30">
        <f>IF(Données[[#This Row],[VEFA / PROPRE]]="vefa",EDATE(Données[[#This Row],[Date Livraison initiale VEFA]],1),EDATE(Données[[#This Row],[Date réception entreprise prévue initialement]],1))</f>
        <v>46736</v>
      </c>
      <c r="AF38" s="24">
        <f>IF(Données[[#This Row],[VEFA / PROPRE]]="VEFA",EDATE(Données[[#This Row],[Date Livraison VEFA estimée avec retards constatés]],1),EDATE(Données[[#This Row],[Date réception entreprise recalée]],1))</f>
        <v>46767</v>
      </c>
      <c r="AG38" s="55"/>
      <c r="AH38" s="59">
        <f>IF((Données[[#This Row],[Date inauguration recalée]]-Données[[#This Row],[Date inauguration initiale]])/30&lt;0,0,(Données[[#This Row],[Date inauguration recalée]]-Données[[#This Row],[Date inauguration initiale]])/30)</f>
        <v>1.0333333333333334</v>
      </c>
      <c r="AI38" s="26"/>
      <c r="AJ38" s="26">
        <f>IF(Données[[#This Row],[TYPE]]="Rehab","",Données[[#This Row],[Loyer mensuel]]*Données[[#This Row],[Retard Inauguration (m)]])</f>
        <v>0</v>
      </c>
      <c r="AN38"/>
      <c r="AR38"/>
      <c r="AS38"/>
      <c r="AT38"/>
      <c r="AV38"/>
      <c r="AW38"/>
      <c r="AY38"/>
      <c r="AZ38"/>
    </row>
    <row r="39" spans="1:52" x14ac:dyDescent="0.25">
      <c r="A39" s="31" t="s">
        <v>67</v>
      </c>
      <c r="B39" s="3" t="s">
        <v>38</v>
      </c>
      <c r="C39" s="3" t="s">
        <v>44</v>
      </c>
      <c r="D39" s="3" t="s">
        <v>6</v>
      </c>
      <c r="E39" s="4">
        <f>Données[[#This Row],[LLS]]+Données[[#This Row],[LLTS]]+Données[[#This Row],[PLS]]+Données[[#This Row],[REHAB]]</f>
        <v>32</v>
      </c>
      <c r="F39" s="4">
        <f>Données[[#This Row],[LLS]]+Données[[#This Row],[LLTS]]+Données[[#This Row],[PLS]]</f>
        <v>32</v>
      </c>
      <c r="G39" s="5">
        <v>32</v>
      </c>
      <c r="H39" s="5"/>
      <c r="I39" s="5"/>
      <c r="J39" s="5"/>
      <c r="K39" s="7" t="s">
        <v>39</v>
      </c>
      <c r="L39" s="8"/>
      <c r="M39" s="58"/>
      <c r="N39" s="10"/>
      <c r="O39" s="6">
        <f>IFERROR((DATEDIF(Données[[#This Row],[Arrêté LBU]],Données[[#This Row],[OS démarrage]],"d"))/30,0)</f>
        <v>0</v>
      </c>
      <c r="P39" s="29">
        <v>20</v>
      </c>
      <c r="Q39" s="12">
        <f>DATEDIF(Données[[#This Row],[OS démarrage]],Données[[#This Row],[Date réception entreprise recalée]],"M")</f>
        <v>21</v>
      </c>
      <c r="R39" s="13"/>
      <c r="S39" s="14">
        <f>EDATE(Données[[#This Row],[OS démarrage]],Données[[#This Row],[Délai chantier initial]])</f>
        <v>609</v>
      </c>
      <c r="T39" s="24">
        <f>DATE(YEAR(Données[[#This Row],[Date réception entreprise prévue initialement]]),MONTH(Données[[#This Row],[Date réception entreprise prévue initialement]])+1,DAY(Données[[#This Row],[Date réception entreprise prévue initialement]]))</f>
        <v>640</v>
      </c>
      <c r="U39" s="16">
        <f>EDATE(Données[[#This Row],[Date réception entreprise recalée]],12)</f>
        <v>1005</v>
      </c>
      <c r="V39" s="17">
        <f>(Données[[#This Row],[Date réception entreprise recalée]]-Données[[#This Row],[Date réception entreprise prévue initialement]])/30</f>
        <v>1.0333333333333334</v>
      </c>
      <c r="W39" s="44"/>
      <c r="X39" s="19"/>
      <c r="Y39" s="19"/>
      <c r="Z39" s="19"/>
      <c r="AA39" s="20">
        <f>IF(Données[[#This Row],[TYPE]]="Rehab",0,IFERROR((Données[[#This Row],[Date Livraison VEFA estimée avec retards constatés]]-Données[[#This Row],[Date livraison contractuelle y/c avenant]])/30,"-"))</f>
        <v>0</v>
      </c>
      <c r="AB39" s="21">
        <f>IF(Données[[#This Row],[TYPE]]="Rehab",0,Données[[#This Row],[Date Livraison VEFA estimée avec retards constatés]]-Données[[#This Row],[Date livraison contractuelle y/c avenant]])</f>
        <v>0</v>
      </c>
      <c r="AC39" s="22"/>
      <c r="AD39" s="23" t="str">
        <f>IF(AND(Données[[#This Row],[TYPE]]&lt;&gt;"Rehab",Données[[#This Row],[Achèvement fondations]]&lt;&gt;""),EDATE(Données[[#This Row],[Achèvement fondations]],24),"")</f>
        <v/>
      </c>
      <c r="AE39" s="30">
        <f>IF(Données[[#This Row],[VEFA / PROPRE]]="vefa",EDATE(Données[[#This Row],[Date Livraison initiale VEFA]],1),EDATE(Données[[#This Row],[Date réception entreprise prévue initialement]],1))</f>
        <v>639</v>
      </c>
      <c r="AF39" s="24"/>
      <c r="AG39" s="55"/>
      <c r="AH39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39" s="26"/>
      <c r="AJ39" s="26">
        <f>IF(Données[[#This Row],[TYPE]]="Rehab","",Données[[#This Row],[Loyer mensuel]]*Données[[#This Row],[Retard Inauguration (m)]])</f>
        <v>0</v>
      </c>
      <c r="AN39"/>
      <c r="AR39"/>
      <c r="AS39"/>
      <c r="AT39"/>
      <c r="AV39"/>
      <c r="AW39"/>
      <c r="AY39"/>
      <c r="AZ39"/>
    </row>
    <row r="40" spans="1:52" x14ac:dyDescent="0.25">
      <c r="A40" s="42" t="s">
        <v>67</v>
      </c>
      <c r="B40" s="3" t="s">
        <v>38</v>
      </c>
      <c r="C40" s="3" t="s">
        <v>44</v>
      </c>
      <c r="D40" s="3" t="s">
        <v>6</v>
      </c>
      <c r="E40" s="4">
        <f>Données[[#This Row],[LLS]]+Données[[#This Row],[LLTS]]+Données[[#This Row],[PLS]]+Données[[#This Row],[REHAB]]</f>
        <v>80</v>
      </c>
      <c r="F40" s="4">
        <f>Données[[#This Row],[LLS]]+Données[[#This Row],[LLTS]]+Données[[#This Row],[PLS]]</f>
        <v>80</v>
      </c>
      <c r="G40" s="5">
        <v>80</v>
      </c>
      <c r="H40" s="2"/>
      <c r="I40" s="5"/>
      <c r="J40" s="5"/>
      <c r="K40" s="7" t="s">
        <v>39</v>
      </c>
      <c r="L40" s="8"/>
      <c r="M40" s="58"/>
      <c r="N40" s="10"/>
      <c r="O40" s="6">
        <f>IFERROR((DATEDIF(Données[[#This Row],[Arrêté LBU]],Données[[#This Row],[OS démarrage]],"d"))/30,0)</f>
        <v>0</v>
      </c>
      <c r="P40" s="29">
        <v>20</v>
      </c>
      <c r="Q40" s="12">
        <f>DATEDIF(Données[[#This Row],[OS démarrage]],Données[[#This Row],[Date réception entreprise recalée]],"M")</f>
        <v>21</v>
      </c>
      <c r="R40" s="32"/>
      <c r="S40" s="14">
        <f>EDATE(Données[[#This Row],[OS démarrage]],Données[[#This Row],[Délai chantier initial]])</f>
        <v>609</v>
      </c>
      <c r="T40" s="24">
        <f>DATE(YEAR(Données[[#This Row],[Date réception entreprise prévue initialement]]),MONTH(Données[[#This Row],[Date réception entreprise prévue initialement]])+1,DAY(Données[[#This Row],[Date réception entreprise prévue initialement]]))</f>
        <v>640</v>
      </c>
      <c r="U40" s="16">
        <f>EDATE(Données[[#This Row],[Date réception entreprise recalée]],12)</f>
        <v>1005</v>
      </c>
      <c r="V40" s="17">
        <f>(Données[[#This Row],[Date réception entreprise recalée]]-Données[[#This Row],[Date réception entreprise prévue initialement]])/30</f>
        <v>1.0333333333333334</v>
      </c>
      <c r="W40" s="18"/>
      <c r="X40" s="19"/>
      <c r="Y40" s="19"/>
      <c r="Z40" s="19"/>
      <c r="AA40" s="20">
        <f>IF(Données[[#This Row],[TYPE]]="Rehab",0,IFERROR((Données[[#This Row],[Date Livraison VEFA estimée avec retards constatés]]-Données[[#This Row],[Date livraison contractuelle y/c avenant]])/30,"-"))</f>
        <v>0</v>
      </c>
      <c r="AB40" s="21">
        <f>IF(Données[[#This Row],[TYPE]]="Rehab",0,Données[[#This Row],[Date Livraison VEFA estimée avec retards constatés]]-Données[[#This Row],[Date livraison contractuelle y/c avenant]])</f>
        <v>0</v>
      </c>
      <c r="AC40" s="22"/>
      <c r="AD40" s="23" t="str">
        <f>IF(AND(Données[[#This Row],[TYPE]]&lt;&gt;"Rehab",Données[[#This Row],[Achèvement fondations]]&lt;&gt;""),EDATE(Données[[#This Row],[Achèvement fondations]],24),"")</f>
        <v/>
      </c>
      <c r="AE40" s="30">
        <f>IF(Données[[#This Row],[VEFA / PROPRE]]="vefa",EDATE(Données[[#This Row],[Date Livraison initiale VEFA]],1),EDATE(Données[[#This Row],[Date réception entreprise prévue initialement]],1))</f>
        <v>639</v>
      </c>
      <c r="AF40" s="24"/>
      <c r="AG40" s="55"/>
      <c r="AH40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40" s="26"/>
      <c r="AJ40" s="26">
        <f>IF(Données[[#This Row],[TYPE]]="Rehab","",Données[[#This Row],[Loyer mensuel]]*Données[[#This Row],[Retard Inauguration (m)]])</f>
        <v>0</v>
      </c>
      <c r="AN40"/>
      <c r="AR40"/>
      <c r="AS40"/>
      <c r="AT40"/>
      <c r="AV40"/>
      <c r="AW40"/>
      <c r="AY40"/>
      <c r="AZ40"/>
    </row>
    <row r="41" spans="1:52" x14ac:dyDescent="0.25">
      <c r="A41" s="96" t="s">
        <v>67</v>
      </c>
      <c r="B41" s="3" t="s">
        <v>36</v>
      </c>
      <c r="C41" s="3">
        <v>2016</v>
      </c>
      <c r="D41" s="3" t="s">
        <v>7</v>
      </c>
      <c r="E41" s="4">
        <f>Données[[#This Row],[LLS]]+Données[[#This Row],[LLTS]]+Données[[#This Row],[PLS]]+Données[[#This Row],[REHAB]]</f>
        <v>23</v>
      </c>
      <c r="F41" s="4">
        <f>Données[[#This Row],[LLS]]+Données[[#This Row],[LLTS]]+Données[[#This Row],[PLS]]</f>
        <v>23</v>
      </c>
      <c r="G41" s="5"/>
      <c r="H41" s="5">
        <v>23</v>
      </c>
      <c r="I41" s="5"/>
      <c r="J41" s="5"/>
      <c r="K41" s="7" t="s">
        <v>37</v>
      </c>
      <c r="L41" s="8">
        <v>42543</v>
      </c>
      <c r="M41" s="9">
        <v>42583</v>
      </c>
      <c r="N41" s="10">
        <v>2016</v>
      </c>
      <c r="O41" s="6">
        <f>IFERROR((DATEDIF(Données[[#This Row],[Arrêté LBU]],Données[[#This Row],[OS démarrage]],"d"))/30,0)</f>
        <v>1.3333333333333333</v>
      </c>
      <c r="P41" s="11">
        <v>18</v>
      </c>
      <c r="Q41" s="12">
        <f>DATEDIF(Données[[#This Row],[OS démarrage]],Données[[#This Row],[Date réception entreprise recalée]],"M")</f>
        <v>20</v>
      </c>
      <c r="R41" s="13">
        <v>42712</v>
      </c>
      <c r="S41" s="14">
        <f>EDATE(Données[[#This Row],[OS démarrage]],Données[[#This Row],[Délai chantier initial]])</f>
        <v>43132</v>
      </c>
      <c r="T41" s="24">
        <v>43210</v>
      </c>
      <c r="U41" s="16">
        <f>EDATE(Données[[#This Row],[Date réception entreprise recalée]],12)</f>
        <v>43575</v>
      </c>
      <c r="V41" s="17">
        <f>(Données[[#This Row],[Date réception entreprise recalée]]-Données[[#This Row],[Date réception entreprise prévue initialement]])/30</f>
        <v>2.6</v>
      </c>
      <c r="W41" s="18">
        <v>43396</v>
      </c>
      <c r="X41" s="19">
        <v>43396</v>
      </c>
      <c r="Y41" s="19">
        <v>43396</v>
      </c>
      <c r="Z41" s="19">
        <v>43396</v>
      </c>
      <c r="AA41" s="20">
        <f>IF(Données[[#This Row],[TYPE]]="Rehab",0,IFERROR((Données[[#This Row],[Date Livraison VEFA estimée avec retards constatés]]-Données[[#This Row],[Date livraison contractuelle y/c avenant]])/30,"-"))</f>
        <v>0</v>
      </c>
      <c r="AB41" s="21">
        <f>IF(Données[[#This Row],[TYPE]]="Rehab",0,Données[[#This Row],[Date Livraison VEFA estimée avec retards constatés]]-Données[[#This Row],[Date livraison contractuelle y/c avenant]])</f>
        <v>0</v>
      </c>
      <c r="AC41" s="22"/>
      <c r="AD41" s="23">
        <f>IF(AND(Données[[#This Row],[TYPE]]&lt;&gt;"Rehab",Données[[#This Row],[Achèvement fondations]]&lt;&gt;""),EDATE(Données[[#This Row],[Achèvement fondations]],24),"")</f>
        <v>43442</v>
      </c>
      <c r="AE41" s="30">
        <f>IF(Données[[#This Row],[VEFA / PROPRE]]="vefa",EDATE(Données[[#This Row],[Date Livraison initiale VEFA]],1),EDATE(Données[[#This Row],[Date réception entreprise prévue initialement]],1))</f>
        <v>43427</v>
      </c>
      <c r="AF41" s="24">
        <v>43242</v>
      </c>
      <c r="AG41" s="25">
        <v>2018</v>
      </c>
      <c r="AH41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41" s="26">
        <v>9389.1280127044502</v>
      </c>
      <c r="AJ41" s="26">
        <f>IF(Données[[#This Row],[TYPE]]="Rehab","",Données[[#This Row],[Loyer mensuel]]*Données[[#This Row],[Retard Inauguration (m)]])</f>
        <v>0</v>
      </c>
      <c r="AN41"/>
      <c r="AR41"/>
      <c r="AS41"/>
      <c r="AT41"/>
      <c r="AV41"/>
      <c r="AW41"/>
      <c r="AY41"/>
      <c r="AZ41"/>
    </row>
    <row r="42" spans="1:52" x14ac:dyDescent="0.25">
      <c r="A42" s="96" t="s">
        <v>67</v>
      </c>
      <c r="B42" s="3" t="s">
        <v>38</v>
      </c>
      <c r="C42" s="3">
        <v>2015</v>
      </c>
      <c r="D42" s="27" t="s">
        <v>7</v>
      </c>
      <c r="E42" s="4">
        <f>Données[[#This Row],[LLS]]+Données[[#This Row],[LLTS]]+Données[[#This Row],[PLS]]+Données[[#This Row],[REHAB]]</f>
        <v>20</v>
      </c>
      <c r="F42" s="4">
        <f>Données[[#This Row],[LLS]]+Données[[#This Row],[LLTS]]+Données[[#This Row],[PLS]]</f>
        <v>20</v>
      </c>
      <c r="G42" s="5"/>
      <c r="H42" s="5">
        <v>20</v>
      </c>
      <c r="I42" s="5"/>
      <c r="J42" s="5"/>
      <c r="K42" s="7" t="s">
        <v>39</v>
      </c>
      <c r="L42" s="8">
        <v>42249</v>
      </c>
      <c r="M42" s="9">
        <v>42786</v>
      </c>
      <c r="N42" s="28">
        <v>2017</v>
      </c>
      <c r="O42" s="6">
        <f>IFERROR((DATEDIF(Données[[#This Row],[Arrêté LBU]],Données[[#This Row],[OS démarrage]],"d"))/30,0)</f>
        <v>17.899999999999999</v>
      </c>
      <c r="P42" s="29">
        <v>14</v>
      </c>
      <c r="Q42" s="12">
        <f>DATEDIF(Données[[#This Row],[OS démarrage]],Données[[#This Row],[Date réception entreprise recalée]],"M")</f>
        <v>17</v>
      </c>
      <c r="R42" s="13">
        <v>42978</v>
      </c>
      <c r="S42" s="14">
        <f>EDATE(Données[[#This Row],[OS démarrage]],Données[[#This Row],[Délai chantier initial]])</f>
        <v>43210</v>
      </c>
      <c r="T42" s="24">
        <v>43326</v>
      </c>
      <c r="U42" s="16">
        <f>EDATE(Données[[#This Row],[Date réception entreprise recalée]],12)</f>
        <v>43691</v>
      </c>
      <c r="V42" s="17">
        <f>(Données[[#This Row],[Date réception entreprise recalée]]-Données[[#This Row],[Date réception entreprise prévue initialement]])/30</f>
        <v>3.8666666666666667</v>
      </c>
      <c r="W42" s="19"/>
      <c r="X42" s="19"/>
      <c r="Y42" s="19"/>
      <c r="Z42" s="19"/>
      <c r="AA42" s="20">
        <f>IF(Données[[#This Row],[TYPE]]="Rehab",0,IFERROR((Données[[#This Row],[Date Livraison VEFA estimée avec retards constatés]]-Données[[#This Row],[Date livraison contractuelle y/c avenant]])/30,"-"))</f>
        <v>0</v>
      </c>
      <c r="AB42" s="21">
        <f>IF(Données[[#This Row],[TYPE]]="Rehab",0,Données[[#This Row],[Date Livraison VEFA estimée avec retards constatés]]-Données[[#This Row],[Date livraison contractuelle y/c avenant]])</f>
        <v>0</v>
      </c>
      <c r="AC42" s="22"/>
      <c r="AD42" s="23">
        <f>IF(AND(Données[[#This Row],[TYPE]]&lt;&gt;"Rehab",Données[[#This Row],[Achèvement fondations]]&lt;&gt;""),EDATE(Données[[#This Row],[Achèvement fondations]],24),"")</f>
        <v>43708</v>
      </c>
      <c r="AE42" s="30">
        <f>IF(Données[[#This Row],[VEFA / PROPRE]]="vefa",EDATE(Données[[#This Row],[Date Livraison initiale VEFA]],1),EDATE(Données[[#This Row],[Date réception entreprise prévue initialement]],1))</f>
        <v>43240</v>
      </c>
      <c r="AF42" s="24">
        <v>43336</v>
      </c>
      <c r="AG42" s="25">
        <v>2018</v>
      </c>
      <c r="AH42" s="26">
        <f>IF((Données[[#This Row],[Date inauguration recalée]]-Données[[#This Row],[Date inauguration initiale]])/30&lt;0,0,(Données[[#This Row],[Date inauguration recalée]]-Données[[#This Row],[Date inauguration initiale]])/30)</f>
        <v>3.2</v>
      </c>
      <c r="AI42" s="26">
        <v>8644.3916387439876</v>
      </c>
      <c r="AJ42" s="26">
        <f>IF(Données[[#This Row],[TYPE]]="Rehab","",Données[[#This Row],[Loyer mensuel]]*Données[[#This Row],[Retard Inauguration (m)]])</f>
        <v>27662.053243980761</v>
      </c>
      <c r="AN42"/>
      <c r="AR42"/>
      <c r="AS42"/>
      <c r="AT42"/>
      <c r="AV42"/>
      <c r="AW42"/>
      <c r="AY42"/>
      <c r="AZ42"/>
    </row>
    <row r="43" spans="1:52" x14ac:dyDescent="0.25">
      <c r="A43" s="96" t="s">
        <v>71</v>
      </c>
      <c r="B43" s="3" t="s">
        <v>40</v>
      </c>
      <c r="C43" s="3">
        <v>2015</v>
      </c>
      <c r="D43" s="27" t="s">
        <v>7</v>
      </c>
      <c r="E43" s="4">
        <f>Données[[#This Row],[LLS]]+Données[[#This Row],[LLTS]]+Données[[#This Row],[PLS]]+Données[[#This Row],[REHAB]]</f>
        <v>18</v>
      </c>
      <c r="F43" s="4">
        <f>Données[[#This Row],[LLS]]+Données[[#This Row],[LLTS]]+Données[[#This Row],[PLS]]</f>
        <v>18</v>
      </c>
      <c r="G43" s="5"/>
      <c r="H43" s="5">
        <v>18</v>
      </c>
      <c r="I43" s="5"/>
      <c r="J43" s="5"/>
      <c r="K43" s="7" t="s">
        <v>39</v>
      </c>
      <c r="L43" s="8">
        <v>42320</v>
      </c>
      <c r="M43" s="9">
        <v>42772</v>
      </c>
      <c r="N43" s="28">
        <v>2017</v>
      </c>
      <c r="O43" s="6">
        <f>IFERROR((DATEDIF(Données[[#This Row],[Arrêté LBU]],Données[[#This Row],[OS démarrage]],"d"))/30,0)</f>
        <v>15.066666666666666</v>
      </c>
      <c r="P43" s="29">
        <v>16</v>
      </c>
      <c r="Q43" s="12">
        <f>DATEDIF(Données[[#This Row],[OS démarrage]],Données[[#This Row],[Date réception entreprise recalée]],"M")</f>
        <v>18</v>
      </c>
      <c r="R43" s="32">
        <v>42923</v>
      </c>
      <c r="S43" s="14">
        <f>EDATE(Données[[#This Row],[OS démarrage]],Données[[#This Row],[Délai chantier initial]])</f>
        <v>43257</v>
      </c>
      <c r="T43" s="24">
        <v>43346</v>
      </c>
      <c r="U43" s="16">
        <f>EDATE(Données[[#This Row],[Date réception entreprise recalée]],12)</f>
        <v>43711</v>
      </c>
      <c r="V43" s="17">
        <f>(Données[[#This Row],[Date réception entreprise recalée]]-Données[[#This Row],[Date réception entreprise prévue initialement]])/30</f>
        <v>2.9666666666666668</v>
      </c>
      <c r="W43" s="19"/>
      <c r="X43" s="19"/>
      <c r="Y43" s="19"/>
      <c r="Z43" s="19"/>
      <c r="AA43" s="20">
        <f>IF(Données[[#This Row],[TYPE]]="Rehab",0,IFERROR((Données[[#This Row],[Date Livraison VEFA estimée avec retards constatés]]-Données[[#This Row],[Date livraison contractuelle y/c avenant]])/30,"-"))</f>
        <v>0</v>
      </c>
      <c r="AB43" s="21">
        <f>IF(Données[[#This Row],[TYPE]]="Rehab",0,Données[[#This Row],[Date Livraison VEFA estimée avec retards constatés]]-Données[[#This Row],[Date livraison contractuelle y/c avenant]])</f>
        <v>0</v>
      </c>
      <c r="AC43" s="22"/>
      <c r="AD43" s="23">
        <f>IF(AND(Données[[#This Row],[TYPE]]&lt;&gt;"Rehab",Données[[#This Row],[Achèvement fondations]]&lt;&gt;""),EDATE(Données[[#This Row],[Achèvement fondations]],24),"")</f>
        <v>43653</v>
      </c>
      <c r="AE43" s="30">
        <f>IF(Données[[#This Row],[VEFA / PROPRE]]="vefa",EDATE(Données[[#This Row],[Date Livraison initiale VEFA]],1),EDATE(Données[[#This Row],[Date réception entreprise prévue initialement]],1))</f>
        <v>43287</v>
      </c>
      <c r="AF43" s="24">
        <v>43370</v>
      </c>
      <c r="AG43" s="25">
        <v>2018</v>
      </c>
      <c r="AH43" s="26">
        <f>IF((Données[[#This Row],[Date inauguration recalée]]-Données[[#This Row],[Date inauguration initiale]])/30&lt;0,0,(Données[[#This Row],[Date inauguration recalée]]-Données[[#This Row],[Date inauguration initiale]])/30)</f>
        <v>2.7666666666666666</v>
      </c>
      <c r="AI43" s="26">
        <v>10154.050122509068</v>
      </c>
      <c r="AJ43" s="26">
        <f>IF(Données[[#This Row],[TYPE]]="Rehab","",Données[[#This Row],[Loyer mensuel]]*Données[[#This Row],[Retard Inauguration (m)]])</f>
        <v>28092.87200560842</v>
      </c>
      <c r="AN43"/>
      <c r="AR43"/>
      <c r="AS43"/>
      <c r="AT43"/>
      <c r="AV43"/>
      <c r="AW43"/>
      <c r="AY43"/>
      <c r="AZ43"/>
    </row>
    <row r="44" spans="1:52" x14ac:dyDescent="0.25">
      <c r="A44" s="98" t="s">
        <v>72</v>
      </c>
      <c r="B44" s="3" t="s">
        <v>36</v>
      </c>
      <c r="C44" s="3">
        <v>2015</v>
      </c>
      <c r="D44" s="27" t="s">
        <v>7</v>
      </c>
      <c r="E44" s="4">
        <f>Données[[#This Row],[LLS]]+Données[[#This Row],[LLTS]]+Données[[#This Row],[PLS]]+Données[[#This Row],[REHAB]]</f>
        <v>12</v>
      </c>
      <c r="F44" s="4">
        <f>Données[[#This Row],[LLS]]+Données[[#This Row],[LLTS]]+Données[[#This Row],[PLS]]</f>
        <v>12</v>
      </c>
      <c r="G44" s="5"/>
      <c r="H44" s="5">
        <v>12</v>
      </c>
      <c r="I44" s="5"/>
      <c r="J44" s="5"/>
      <c r="K44" s="7" t="s">
        <v>39</v>
      </c>
      <c r="L44" s="8">
        <v>42306</v>
      </c>
      <c r="M44" s="9">
        <v>42782</v>
      </c>
      <c r="N44" s="28">
        <v>2017</v>
      </c>
      <c r="O44" s="6">
        <f>IFERROR((DATEDIF(Données[[#This Row],[Arrêté LBU]],Données[[#This Row],[OS démarrage]],"d"))/30,0)</f>
        <v>15.866666666666667</v>
      </c>
      <c r="P44" s="29">
        <v>18</v>
      </c>
      <c r="Q44" s="12">
        <f>DATEDIF(Données[[#This Row],[OS démarrage]],Données[[#This Row],[Date réception entreprise recalée]],"M")</f>
        <v>23</v>
      </c>
      <c r="R44" s="32">
        <v>43160</v>
      </c>
      <c r="S44" s="14">
        <f>EDATE(Données[[#This Row],[OS démarrage]],Données[[#This Row],[Délai chantier initial]])</f>
        <v>43328</v>
      </c>
      <c r="T44" s="24">
        <v>43503</v>
      </c>
      <c r="U44" s="16">
        <f>EDATE(Données[[#This Row],[Date réception entreprise recalée]],12)</f>
        <v>43868</v>
      </c>
      <c r="V44" s="17">
        <f>(Données[[#This Row],[Date réception entreprise recalée]]-Données[[#This Row],[Date réception entreprise prévue initialement]])/30</f>
        <v>5.833333333333333</v>
      </c>
      <c r="W44" s="19"/>
      <c r="X44" s="19"/>
      <c r="Y44" s="19"/>
      <c r="Z44" s="19"/>
      <c r="AA44" s="20">
        <f>IF(Données[[#This Row],[TYPE]]="Rehab",0,IFERROR((Données[[#This Row],[Date Livraison VEFA estimée avec retards constatés]]-Données[[#This Row],[Date livraison contractuelle y/c avenant]])/30,"-"))</f>
        <v>0</v>
      </c>
      <c r="AB44" s="21">
        <f>IF(Données[[#This Row],[TYPE]]="Rehab",0,Données[[#This Row],[Date Livraison VEFA estimée avec retards constatés]]-Données[[#This Row],[Date livraison contractuelle y/c avenant]])</f>
        <v>0</v>
      </c>
      <c r="AC44" s="22"/>
      <c r="AD44" s="23">
        <f>IF(AND(Données[[#This Row],[TYPE]]&lt;&gt;"Rehab",Données[[#This Row],[Achèvement fondations]]&lt;&gt;""),EDATE(Données[[#This Row],[Achèvement fondations]],24),"")</f>
        <v>43891</v>
      </c>
      <c r="AE44" s="30">
        <f>IF(Données[[#This Row],[VEFA / PROPRE]]="vefa",EDATE(Données[[#This Row],[Date Livraison initiale VEFA]],1),EDATE(Données[[#This Row],[Date réception entreprise prévue initialement]],1))</f>
        <v>43359</v>
      </c>
      <c r="AF44" s="24">
        <v>43515</v>
      </c>
      <c r="AG44" s="34">
        <v>2019</v>
      </c>
      <c r="AH44" s="26">
        <f>IF((Données[[#This Row],[Date inauguration recalée]]-Données[[#This Row],[Date inauguration initiale]])/30&lt;0,0,(Données[[#This Row],[Date inauguration recalée]]-Données[[#This Row],[Date inauguration initiale]])/30)</f>
        <v>5.2</v>
      </c>
      <c r="AI44" s="26">
        <v>4102.166666666667</v>
      </c>
      <c r="AJ44" s="26">
        <f>IF(Données[[#This Row],[TYPE]]="Rehab","",Données[[#This Row],[Loyer mensuel]]*Données[[#This Row],[Retard Inauguration (m)]])</f>
        <v>21331.26666666667</v>
      </c>
      <c r="AN44"/>
      <c r="AR44"/>
      <c r="AS44"/>
      <c r="AT44"/>
      <c r="AV44"/>
      <c r="AW44"/>
      <c r="AY44"/>
      <c r="AZ44"/>
    </row>
    <row r="45" spans="1:52" x14ac:dyDescent="0.25">
      <c r="A45" s="63" t="s">
        <v>72</v>
      </c>
      <c r="B45" s="27" t="s">
        <v>38</v>
      </c>
      <c r="C45" s="27">
        <v>2015</v>
      </c>
      <c r="D45" s="27" t="s">
        <v>7</v>
      </c>
      <c r="E45" s="4">
        <f>Données[[#This Row],[LLS]]+Données[[#This Row],[LLTS]]+Données[[#This Row],[PLS]]+Données[[#This Row],[REHAB]]</f>
        <v>19</v>
      </c>
      <c r="F45" s="4">
        <f>Données[[#This Row],[LLS]]+Données[[#This Row],[LLTS]]+Données[[#This Row],[PLS]]</f>
        <v>19</v>
      </c>
      <c r="G45" s="2"/>
      <c r="H45" s="2">
        <v>19</v>
      </c>
      <c r="I45" s="5"/>
      <c r="J45" s="5"/>
      <c r="K45" s="7" t="s">
        <v>39</v>
      </c>
      <c r="L45" s="8">
        <v>42248</v>
      </c>
      <c r="M45" s="9">
        <v>42947</v>
      </c>
      <c r="N45" s="28">
        <v>2017</v>
      </c>
      <c r="O45" s="6">
        <f>IFERROR((DATEDIF(Données[[#This Row],[Arrêté LBU]],Données[[#This Row],[OS démarrage]],"d"))/30,0)</f>
        <v>23.3</v>
      </c>
      <c r="P45" s="29">
        <v>15</v>
      </c>
      <c r="Q45" s="12">
        <f>DATEDIF(Données[[#This Row],[OS démarrage]],Données[[#This Row],[Date réception entreprise recalée]],"M")</f>
        <v>22</v>
      </c>
      <c r="R45" s="13">
        <v>43144</v>
      </c>
      <c r="S45" s="14">
        <f>EDATE(Données[[#This Row],[OS démarrage]],Données[[#This Row],[Délai chantier initial]])</f>
        <v>43404</v>
      </c>
      <c r="T45" s="24">
        <v>43634</v>
      </c>
      <c r="U45" s="16">
        <f>EDATE(Données[[#This Row],[Date réception entreprise recalée]],12)</f>
        <v>44000</v>
      </c>
      <c r="V45" s="17">
        <f>(Données[[#This Row],[Date réception entreprise recalée]]-Données[[#This Row],[Date réception entreprise prévue initialement]])/30</f>
        <v>7.666666666666667</v>
      </c>
      <c r="W45" s="19"/>
      <c r="X45" s="19"/>
      <c r="Y45" s="19"/>
      <c r="Z45" s="19"/>
      <c r="AA45" s="20">
        <f>IF(Données[[#This Row],[TYPE]]="Rehab",0,IFERROR((Données[[#This Row],[Date Livraison VEFA estimée avec retards constatés]]-Données[[#This Row],[Date livraison contractuelle y/c avenant]])/30,"-"))</f>
        <v>0</v>
      </c>
      <c r="AB45" s="21">
        <f>IF(Données[[#This Row],[TYPE]]="Rehab",0,Données[[#This Row],[Date Livraison VEFA estimée avec retards constatés]]-Données[[#This Row],[Date livraison contractuelle y/c avenant]])</f>
        <v>0</v>
      </c>
      <c r="AC45" s="22"/>
      <c r="AD45" s="23">
        <f>IF(AND(Données[[#This Row],[TYPE]]&lt;&gt;"Rehab",Données[[#This Row],[Achèvement fondations]]&lt;&gt;""),EDATE(Données[[#This Row],[Achèvement fondations]],24),"")</f>
        <v>43874</v>
      </c>
      <c r="AE45" s="30">
        <f>IF(Données[[#This Row],[VEFA / PROPRE]]="vefa",EDATE(Données[[#This Row],[Date Livraison initiale VEFA]],1),EDATE(Données[[#This Row],[Date réception entreprise prévue initialement]],1))</f>
        <v>43434</v>
      </c>
      <c r="AF45" s="24">
        <v>43634</v>
      </c>
      <c r="AG45" s="35">
        <v>2019</v>
      </c>
      <c r="AH45" s="26">
        <f>IF((Données[[#This Row],[Date inauguration recalée]]-Données[[#This Row],[Date inauguration initiale]])/30&lt;0,0,(Données[[#This Row],[Date inauguration recalée]]-Données[[#This Row],[Date inauguration initiale]])/30)</f>
        <v>6.666666666666667</v>
      </c>
      <c r="AI45" s="26">
        <v>7000.416666666667</v>
      </c>
      <c r="AJ45" s="26">
        <f>IF(Données[[#This Row],[TYPE]]="Rehab","",Données[[#This Row],[Loyer mensuel]]*Données[[#This Row],[Retard Inauguration (m)]])</f>
        <v>46669.444444444445</v>
      </c>
      <c r="AN45"/>
      <c r="AR45"/>
      <c r="AS45"/>
      <c r="AT45"/>
      <c r="AV45"/>
      <c r="AW45"/>
      <c r="AY45"/>
      <c r="AZ45"/>
    </row>
    <row r="46" spans="1:52" x14ac:dyDescent="0.25">
      <c r="A46" s="3" t="s">
        <v>68</v>
      </c>
      <c r="B46" s="3" t="s">
        <v>38</v>
      </c>
      <c r="C46" s="3">
        <v>2015</v>
      </c>
      <c r="D46" s="27" t="s">
        <v>7</v>
      </c>
      <c r="E46" s="4">
        <f>Données[[#This Row],[LLS]]+Données[[#This Row],[LLTS]]+Données[[#This Row],[PLS]]+Données[[#This Row],[REHAB]]</f>
        <v>55</v>
      </c>
      <c r="F46" s="4">
        <f>Données[[#This Row],[LLS]]+Données[[#This Row],[LLTS]]+Données[[#This Row],[PLS]]</f>
        <v>55</v>
      </c>
      <c r="G46" s="5"/>
      <c r="H46" s="4">
        <v>55</v>
      </c>
      <c r="I46" s="5"/>
      <c r="J46" s="5"/>
      <c r="K46" s="4" t="s">
        <v>37</v>
      </c>
      <c r="L46" s="8">
        <v>42320</v>
      </c>
      <c r="M46" s="9">
        <v>42767</v>
      </c>
      <c r="N46" s="28">
        <v>2017</v>
      </c>
      <c r="O46" s="6">
        <f>IFERROR((DATEDIF(Données[[#This Row],[Arrêté LBU]],Données[[#This Row],[OS démarrage]],"d"))/30,0)</f>
        <v>14.9</v>
      </c>
      <c r="P46" s="29">
        <v>22</v>
      </c>
      <c r="Q46" s="12">
        <f>DATEDIF(Données[[#This Row],[OS démarrage]],Données[[#This Row],[Date réception entreprise recalée]],"M")</f>
        <v>24</v>
      </c>
      <c r="R46" s="13">
        <v>42895</v>
      </c>
      <c r="S46" s="14">
        <f>EDATE(Données[[#This Row],[OS démarrage]],Données[[#This Row],[Délai chantier initial]])</f>
        <v>43435</v>
      </c>
      <c r="T46" s="24">
        <v>43524</v>
      </c>
      <c r="U46" s="16">
        <f>EDATE(Données[[#This Row],[Date réception entreprise recalée]],12)</f>
        <v>43889</v>
      </c>
      <c r="V46" s="17">
        <f>(Données[[#This Row],[Date réception entreprise recalée]]-Données[[#This Row],[Date réception entreprise prévue initialement]])/30</f>
        <v>2.9666666666666668</v>
      </c>
      <c r="W46" s="37">
        <v>43457</v>
      </c>
      <c r="X46" s="19">
        <v>43457</v>
      </c>
      <c r="Y46" s="19">
        <v>43457</v>
      </c>
      <c r="Z46" s="19">
        <v>43457</v>
      </c>
      <c r="AA46" s="20">
        <f>IF(Données[[#This Row],[TYPE]]="Rehab",0,IFERROR((Données[[#This Row],[Date Livraison VEFA estimée avec retards constatés]]-Données[[#This Row],[Date livraison contractuelle y/c avenant]])/30,"-"))</f>
        <v>0</v>
      </c>
      <c r="AB46" s="21">
        <f>IF(Données[[#This Row],[TYPE]]="Rehab",0,Données[[#This Row],[Date Livraison VEFA estimée avec retards constatés]]-Données[[#This Row],[Date livraison contractuelle y/c avenant]])</f>
        <v>0</v>
      </c>
      <c r="AC46" s="22"/>
      <c r="AD46" s="38">
        <f>IF(AND(Données[[#This Row],[TYPE]]&lt;&gt;"Rehab",Données[[#This Row],[Achèvement fondations]]&lt;&gt;""),EDATE(Données[[#This Row],[Achèvement fondations]],24),"")</f>
        <v>43625</v>
      </c>
      <c r="AE46" s="39">
        <f>IF(Données[[#This Row],[VEFA / PROPRE]]="vefa",EDATE(Données[[#This Row],[Date Livraison initiale VEFA]],1),EDATE(Données[[#This Row],[Date réception entreprise prévue initialement]],1))</f>
        <v>43488</v>
      </c>
      <c r="AF46" s="24">
        <v>43638</v>
      </c>
      <c r="AG46" s="40">
        <v>2019</v>
      </c>
      <c r="AH46" s="26">
        <f>IF((Données[[#This Row],[Date inauguration recalée]]-Données[[#This Row],[Date inauguration initiale]])/30&lt;0,0,(Données[[#This Row],[Date inauguration recalée]]-Données[[#This Row],[Date inauguration initiale]])/30)</f>
        <v>5</v>
      </c>
      <c r="AI46" s="26">
        <v>19421.333333333332</v>
      </c>
      <c r="AJ46" s="26">
        <f>IF(Données[[#This Row],[TYPE]]="Rehab","",Données[[#This Row],[Loyer mensuel]]*Données[[#This Row],[Retard Inauguration (m)]])</f>
        <v>97106.666666666657</v>
      </c>
      <c r="AN46"/>
      <c r="AR46"/>
      <c r="AS46"/>
      <c r="AT46"/>
      <c r="AV46"/>
      <c r="AW46"/>
      <c r="AY46"/>
      <c r="AZ46"/>
    </row>
    <row r="47" spans="1:52" x14ac:dyDescent="0.25">
      <c r="A47" s="3" t="s">
        <v>72</v>
      </c>
      <c r="B47" s="3" t="s">
        <v>36</v>
      </c>
      <c r="C47" s="3">
        <v>2015</v>
      </c>
      <c r="D47" s="27" t="s">
        <v>7</v>
      </c>
      <c r="E47" s="4">
        <f>Données[[#This Row],[LLS]]+Données[[#This Row],[LLTS]]+Données[[#This Row],[PLS]]+Données[[#This Row],[REHAB]]</f>
        <v>18</v>
      </c>
      <c r="F47" s="4">
        <f>Données[[#This Row],[LLS]]+Données[[#This Row],[LLTS]]+Données[[#This Row],[PLS]]</f>
        <v>18</v>
      </c>
      <c r="G47" s="5"/>
      <c r="H47" s="5">
        <v>18</v>
      </c>
      <c r="I47" s="5"/>
      <c r="J47" s="5"/>
      <c r="K47" s="7" t="s">
        <v>39</v>
      </c>
      <c r="L47" s="8">
        <v>42298</v>
      </c>
      <c r="M47" s="9">
        <v>43122</v>
      </c>
      <c r="N47" s="10">
        <v>2018</v>
      </c>
      <c r="O47" s="6">
        <f>IFERROR((DATEDIF(Données[[#This Row],[Arrêté LBU]],Données[[#This Row],[OS démarrage]],"d"))/30,0)</f>
        <v>27.466666666666665</v>
      </c>
      <c r="P47" s="29">
        <v>15</v>
      </c>
      <c r="Q47" s="12">
        <f>DATEDIF(Données[[#This Row],[OS démarrage]],Données[[#This Row],[Date réception entreprise recalée]],"M")</f>
        <v>17</v>
      </c>
      <c r="R47" s="32">
        <v>43222</v>
      </c>
      <c r="S47" s="14">
        <f>EDATE(Données[[#This Row],[OS démarrage]],Données[[#This Row],[Délai chantier initial]])</f>
        <v>43577</v>
      </c>
      <c r="T47" s="24">
        <v>43642</v>
      </c>
      <c r="U47" s="16">
        <f>EDATE(Données[[#This Row],[Date réception entreprise recalée]],12)</f>
        <v>44008</v>
      </c>
      <c r="V47" s="17">
        <f>(Données[[#This Row],[Date réception entreprise recalée]]-Données[[#This Row],[Date réception entreprise prévue initialement]])/30</f>
        <v>2.1666666666666665</v>
      </c>
      <c r="W47" s="19"/>
      <c r="X47" s="19"/>
      <c r="Y47" s="19"/>
      <c r="Z47" s="19"/>
      <c r="AA47" s="20">
        <f>IF(Données[[#This Row],[TYPE]]="Rehab",0,IFERROR((Données[[#This Row],[Date Livraison VEFA estimée avec retards constatés]]-Données[[#This Row],[Date livraison contractuelle y/c avenant]])/30,"-"))</f>
        <v>0</v>
      </c>
      <c r="AB47" s="21">
        <f>IF(Données[[#This Row],[TYPE]]="Rehab",0,Données[[#This Row],[Date Livraison VEFA estimée avec retards constatés]]-Données[[#This Row],[Date livraison contractuelle y/c avenant]])</f>
        <v>0</v>
      </c>
      <c r="AC47" s="22"/>
      <c r="AD47" s="23">
        <f>IF(AND(Données[[#This Row],[TYPE]]&lt;&gt;"Rehab",Données[[#This Row],[Achèvement fondations]]&lt;&gt;""),EDATE(Données[[#This Row],[Achèvement fondations]],24),"")</f>
        <v>43953</v>
      </c>
      <c r="AE47" s="30">
        <f>IF(Données[[#This Row],[VEFA / PROPRE]]="vefa",EDATE(Données[[#This Row],[Date Livraison initiale VEFA]],1),EDATE(Données[[#This Row],[Date réception entreprise prévue initialement]],1))</f>
        <v>43607</v>
      </c>
      <c r="AF47" s="24">
        <v>43682</v>
      </c>
      <c r="AG47" s="41">
        <v>2019</v>
      </c>
      <c r="AH47" s="26">
        <f>IF((Données[[#This Row],[Date inauguration recalée]]-Données[[#This Row],[Date inauguration initiale]])/30&lt;0,0,(Données[[#This Row],[Date inauguration recalée]]-Données[[#This Row],[Date inauguration initiale]])/30)</f>
        <v>2.5</v>
      </c>
      <c r="AI47" s="26">
        <v>7725.5</v>
      </c>
      <c r="AJ47" s="26">
        <f>IF(Données[[#This Row],[TYPE]]="Rehab","",Données[[#This Row],[Loyer mensuel]]*Données[[#This Row],[Retard Inauguration (m)]])</f>
        <v>19313.75</v>
      </c>
      <c r="AN47"/>
      <c r="AR47"/>
      <c r="AS47"/>
      <c r="AT47"/>
      <c r="AV47"/>
      <c r="AW47"/>
      <c r="AY47"/>
      <c r="AZ47"/>
    </row>
    <row r="48" spans="1:52" x14ac:dyDescent="0.25">
      <c r="A48" s="63" t="s">
        <v>67</v>
      </c>
      <c r="B48" s="3" t="s">
        <v>38</v>
      </c>
      <c r="C48" s="3">
        <v>2016</v>
      </c>
      <c r="D48" s="3" t="s">
        <v>7</v>
      </c>
      <c r="E48" s="4">
        <f>Données[[#This Row],[LLS]]+Données[[#This Row],[LLTS]]+Données[[#This Row],[PLS]]+Données[[#This Row],[REHAB]]</f>
        <v>35</v>
      </c>
      <c r="F48" s="4">
        <f>Données[[#This Row],[LLS]]+Données[[#This Row],[LLTS]]+Données[[#This Row],[PLS]]</f>
        <v>35</v>
      </c>
      <c r="G48" s="5"/>
      <c r="H48" s="5">
        <v>35</v>
      </c>
      <c r="I48" s="5"/>
      <c r="J48" s="5"/>
      <c r="K48" s="7" t="s">
        <v>39</v>
      </c>
      <c r="L48" s="8">
        <v>42660</v>
      </c>
      <c r="M48" s="9">
        <v>43164</v>
      </c>
      <c r="N48" s="10">
        <v>2018</v>
      </c>
      <c r="O48" s="6">
        <f>IFERROR((DATEDIF(Données[[#This Row],[Arrêté LBU]],Données[[#This Row],[OS démarrage]],"d"))/30,0)</f>
        <v>16.8</v>
      </c>
      <c r="P48" s="29">
        <v>14</v>
      </c>
      <c r="Q48" s="12">
        <f>DATEDIF(Données[[#This Row],[OS démarrage]],Données[[#This Row],[Date réception entreprise recalée]],"M")</f>
        <v>18</v>
      </c>
      <c r="R48" s="32">
        <v>43355</v>
      </c>
      <c r="S48" s="14">
        <f>EDATE(Données[[#This Row],[OS démarrage]],Données[[#This Row],[Délai chantier initial]])</f>
        <v>43590</v>
      </c>
      <c r="T48" s="24">
        <v>43732</v>
      </c>
      <c r="U48" s="16">
        <f>EDATE(Données[[#This Row],[Date réception entreprise recalée]],12)</f>
        <v>44098</v>
      </c>
      <c r="V48" s="17">
        <f>(Données[[#This Row],[Date réception entreprise recalée]]-Données[[#This Row],[Date réception entreprise prévue initialement]])/30</f>
        <v>4.7333333333333334</v>
      </c>
      <c r="W48" s="19"/>
      <c r="X48" s="19"/>
      <c r="Y48" s="19"/>
      <c r="Z48" s="19"/>
      <c r="AA48" s="20">
        <f>IF(Données[[#This Row],[TYPE]]="Rehab",0,IFERROR((Données[[#This Row],[Date Livraison VEFA estimée avec retards constatés]]-Données[[#This Row],[Date livraison contractuelle y/c avenant]])/30,"-"))</f>
        <v>0</v>
      </c>
      <c r="AB48" s="21">
        <f>IF(Données[[#This Row],[TYPE]]="Rehab",0,Données[[#This Row],[Date Livraison VEFA estimée avec retards constatés]]-Données[[#This Row],[Date livraison contractuelle y/c avenant]])</f>
        <v>0</v>
      </c>
      <c r="AC48" s="22"/>
      <c r="AD48" s="23">
        <f>IF(AND(Données[[#This Row],[TYPE]]&lt;&gt;"Rehab",Données[[#This Row],[Achèvement fondations]]&lt;&gt;""),EDATE(Données[[#This Row],[Achèvement fondations]],24),"")</f>
        <v>44086</v>
      </c>
      <c r="AE48" s="30">
        <f>IF(Données[[#This Row],[VEFA / PROPRE]]="vefa",EDATE(Données[[#This Row],[Date Livraison initiale VEFA]],1),EDATE(Données[[#This Row],[Date réception entreprise prévue initialement]],1))</f>
        <v>43621</v>
      </c>
      <c r="AF48" s="24">
        <v>43732</v>
      </c>
      <c r="AG48" s="25">
        <v>2019</v>
      </c>
      <c r="AH48" s="26">
        <f>IF((Données[[#This Row],[Date inauguration recalée]]-Données[[#This Row],[Date inauguration initiale]])/30&lt;0,0,(Données[[#This Row],[Date inauguration recalée]]-Données[[#This Row],[Date inauguration initiale]])/30)</f>
        <v>3.7</v>
      </c>
      <c r="AI48" s="26">
        <v>15460.817159543478</v>
      </c>
      <c r="AJ48" s="26">
        <f>IF(Données[[#This Row],[TYPE]]="Rehab","",Données[[#This Row],[Loyer mensuel]]*Données[[#This Row],[Retard Inauguration (m)]])</f>
        <v>57205.023490310872</v>
      </c>
      <c r="AN48"/>
      <c r="AR48"/>
      <c r="AS48"/>
      <c r="AT48"/>
      <c r="AV48"/>
      <c r="AW48"/>
      <c r="AY48"/>
      <c r="AZ48"/>
    </row>
    <row r="49" spans="1:52" x14ac:dyDescent="0.25">
      <c r="A49" s="96" t="s">
        <v>84</v>
      </c>
      <c r="B49" s="3" t="s">
        <v>36</v>
      </c>
      <c r="C49" s="3">
        <v>2016</v>
      </c>
      <c r="D49" s="3" t="s">
        <v>7</v>
      </c>
      <c r="E49" s="4">
        <f>Données[[#This Row],[LLS]]+Données[[#This Row],[LLTS]]+Données[[#This Row],[PLS]]+Données[[#This Row],[REHAB]]</f>
        <v>28</v>
      </c>
      <c r="F49" s="4">
        <f>Données[[#This Row],[LLS]]+Données[[#This Row],[LLTS]]+Données[[#This Row],[PLS]]</f>
        <v>28</v>
      </c>
      <c r="G49" s="5"/>
      <c r="H49" s="5">
        <v>28</v>
      </c>
      <c r="I49" s="5"/>
      <c r="J49" s="5"/>
      <c r="K49" s="7" t="s">
        <v>39</v>
      </c>
      <c r="L49" s="8">
        <v>42604</v>
      </c>
      <c r="M49" s="9">
        <v>43263</v>
      </c>
      <c r="N49" s="10">
        <v>2018</v>
      </c>
      <c r="O49" s="6">
        <f>IFERROR((DATEDIF(Données[[#This Row],[Arrêté LBU]],Données[[#This Row],[OS démarrage]],"d"))/30,0)</f>
        <v>21.966666666666665</v>
      </c>
      <c r="P49" s="29">
        <v>16</v>
      </c>
      <c r="Q49" s="12">
        <f>DATEDIF(Données[[#This Row],[OS démarrage]],Données[[#This Row],[Date réception entreprise recalée]],"M")</f>
        <v>19</v>
      </c>
      <c r="R49" s="32">
        <v>43453</v>
      </c>
      <c r="S49" s="14">
        <f>EDATE(Données[[#This Row],[OS démarrage]],Données[[#This Row],[Délai chantier initial]])</f>
        <v>43750</v>
      </c>
      <c r="T49" s="24">
        <v>43850</v>
      </c>
      <c r="U49" s="16">
        <f>EDATE(Données[[#This Row],[Date réception entreprise recalée]],12)</f>
        <v>44216</v>
      </c>
      <c r="V49" s="17">
        <f>(Données[[#This Row],[Date réception entreprise recalée]]-Données[[#This Row],[Date réception entreprise prévue initialement]])/30</f>
        <v>3.3333333333333335</v>
      </c>
      <c r="W49" s="19"/>
      <c r="X49" s="19"/>
      <c r="Y49" s="19"/>
      <c r="Z49" s="19"/>
      <c r="AA49" s="20">
        <f>IF(Données[[#This Row],[TYPE]]="Rehab",0,IFERROR((Données[[#This Row],[Date Livraison VEFA estimée avec retards constatés]]-Données[[#This Row],[Date livraison contractuelle y/c avenant]])/30,"-"))</f>
        <v>0</v>
      </c>
      <c r="AB49" s="21">
        <f>IF(Données[[#This Row],[TYPE]]="Rehab",0,Données[[#This Row],[Date Livraison VEFA estimée avec retards constatés]]-Données[[#This Row],[Date livraison contractuelle y/c avenant]])</f>
        <v>0</v>
      </c>
      <c r="AC49" s="22"/>
      <c r="AD49" s="23">
        <f>IF(AND(Données[[#This Row],[TYPE]]&lt;&gt;"Rehab",Données[[#This Row],[Achèvement fondations]]&lt;&gt;""),EDATE(Données[[#This Row],[Achèvement fondations]],24),"")</f>
        <v>44184</v>
      </c>
      <c r="AE49" s="30">
        <f>IF(Données[[#This Row],[VEFA / PROPRE]]="vefa",EDATE(Données[[#This Row],[Date Livraison initiale VEFA]],1),EDATE(Données[[#This Row],[Date réception entreprise prévue initialement]],1))</f>
        <v>43781</v>
      </c>
      <c r="AF49" s="24">
        <v>43850</v>
      </c>
      <c r="AG49" s="41">
        <v>2020</v>
      </c>
      <c r="AH49" s="26">
        <f>IF((Données[[#This Row],[Date inauguration recalée]]-Données[[#This Row],[Date inauguration initiale]])/30&lt;0,0,(Données[[#This Row],[Date inauguration recalée]]-Données[[#This Row],[Date inauguration initiale]])/30)</f>
        <v>2.2999999999999998</v>
      </c>
      <c r="AI49" s="26">
        <v>10758.758830000001</v>
      </c>
      <c r="AJ49" s="26">
        <f>IF(Données[[#This Row],[TYPE]]="Rehab","",Données[[#This Row],[Loyer mensuel]]*Données[[#This Row],[Retard Inauguration (m)]])</f>
        <v>24745.145309</v>
      </c>
      <c r="AN49"/>
      <c r="AR49"/>
      <c r="AS49"/>
      <c r="AT49"/>
      <c r="AV49"/>
      <c r="AW49"/>
      <c r="AY49"/>
      <c r="AZ49"/>
    </row>
    <row r="50" spans="1:52" x14ac:dyDescent="0.25">
      <c r="A50" s="96" t="s">
        <v>72</v>
      </c>
      <c r="B50" s="3" t="s">
        <v>36</v>
      </c>
      <c r="C50" s="3">
        <v>2017</v>
      </c>
      <c r="D50" s="3" t="s">
        <v>7</v>
      </c>
      <c r="E50" s="4">
        <f>Données[[#This Row],[LLS]]+Données[[#This Row],[LLTS]]+Données[[#This Row],[PLS]]+Données[[#This Row],[REHAB]]</f>
        <v>30</v>
      </c>
      <c r="F50" s="4">
        <f>Données[[#This Row],[LLS]]+Données[[#This Row],[LLTS]]+Données[[#This Row],[PLS]]</f>
        <v>30</v>
      </c>
      <c r="G50" s="5"/>
      <c r="H50" s="5">
        <v>30</v>
      </c>
      <c r="I50" s="5"/>
      <c r="J50" s="5"/>
      <c r="K50" s="7" t="s">
        <v>37</v>
      </c>
      <c r="L50" s="8">
        <v>42909</v>
      </c>
      <c r="M50" s="9">
        <v>43101</v>
      </c>
      <c r="N50" s="10">
        <v>2018</v>
      </c>
      <c r="O50" s="6">
        <f>IFERROR((DATEDIF(Données[[#This Row],[Arrêté LBU]],Données[[#This Row],[OS démarrage]],"d"))/30,0)</f>
        <v>6.4</v>
      </c>
      <c r="P50" s="29">
        <v>15</v>
      </c>
      <c r="Q50" s="12">
        <f>DATEDIF(Données[[#This Row],[OS démarrage]],Données[[#This Row],[Date réception entreprise recalée]],"M")</f>
        <v>28</v>
      </c>
      <c r="R50" s="32">
        <v>43145</v>
      </c>
      <c r="S50" s="14">
        <f>EDATE(Données[[#This Row],[OS démarrage]],Données[[#This Row],[Délai chantier initial]])</f>
        <v>43556</v>
      </c>
      <c r="T50" s="24">
        <v>43965</v>
      </c>
      <c r="U50" s="16">
        <f>EDATE(Données[[#This Row],[Date réception entreprise recalée]],12)</f>
        <v>44330</v>
      </c>
      <c r="V50" s="17">
        <f>(Données[[#This Row],[Date réception entreprise recalée]]-Données[[#This Row],[Date réception entreprise prévue initialement]])/30</f>
        <v>13.633333333333333</v>
      </c>
      <c r="W50" s="19">
        <v>43769</v>
      </c>
      <c r="X50" s="19">
        <v>43769</v>
      </c>
      <c r="Y50" s="19">
        <v>43769</v>
      </c>
      <c r="Z50" s="19">
        <v>43769</v>
      </c>
      <c r="AA50" s="20">
        <f>IF(Données[[#This Row],[TYPE]]="Rehab",0,IFERROR((Données[[#This Row],[Date Livraison VEFA estimée avec retards constatés]]-Données[[#This Row],[Date livraison contractuelle y/c avenant]])/30,"-"))</f>
        <v>0</v>
      </c>
      <c r="AB50" s="21">
        <f>IF(Données[[#This Row],[TYPE]]="Rehab",0,Données[[#This Row],[Date Livraison VEFA estimée avec retards constatés]]-Données[[#This Row],[Date livraison contractuelle y/c avenant]])</f>
        <v>0</v>
      </c>
      <c r="AC50" s="22"/>
      <c r="AD50" s="23">
        <f>IF(AND(Données[[#This Row],[TYPE]]&lt;&gt;"Rehab",Données[[#This Row],[Achèvement fondations]]&lt;&gt;""),EDATE(Données[[#This Row],[Achèvement fondations]],24),"")</f>
        <v>43875</v>
      </c>
      <c r="AE50" s="30">
        <f>IF(Données[[#This Row],[VEFA / PROPRE]]="vefa",EDATE(Données[[#This Row],[Date Livraison initiale VEFA]],1),EDATE(Données[[#This Row],[Date réception entreprise prévue initialement]],1))</f>
        <v>43799</v>
      </c>
      <c r="AF50" s="24">
        <v>43979</v>
      </c>
      <c r="AG50" s="41">
        <v>2020</v>
      </c>
      <c r="AH50" s="26">
        <f>IF((Données[[#This Row],[Date inauguration recalée]]-Données[[#This Row],[Date inauguration initiale]])/30&lt;0,0,(Données[[#This Row],[Date inauguration recalée]]-Données[[#This Row],[Date inauguration initiale]])/30)</f>
        <v>6</v>
      </c>
      <c r="AI50" s="26">
        <v>10308</v>
      </c>
      <c r="AJ50" s="26">
        <f>IF(Données[[#This Row],[TYPE]]="Rehab","",Données[[#This Row],[Loyer mensuel]]*Données[[#This Row],[Retard Inauguration (m)]])</f>
        <v>61848</v>
      </c>
      <c r="AN50"/>
      <c r="AR50"/>
      <c r="AS50"/>
      <c r="AT50"/>
      <c r="AV50"/>
      <c r="AW50"/>
      <c r="AY50"/>
      <c r="AZ50"/>
    </row>
    <row r="51" spans="1:52" x14ac:dyDescent="0.25">
      <c r="A51" s="31" t="s">
        <v>69</v>
      </c>
      <c r="B51" s="3" t="s">
        <v>38</v>
      </c>
      <c r="C51" s="3">
        <v>2016</v>
      </c>
      <c r="D51" s="27" t="s">
        <v>7</v>
      </c>
      <c r="E51" s="4">
        <f>Données[[#This Row],[LLS]]+Données[[#This Row],[LLTS]]+Données[[#This Row],[PLS]]+Données[[#This Row],[REHAB]]</f>
        <v>69</v>
      </c>
      <c r="F51" s="4">
        <f>Données[[#This Row],[LLS]]+Données[[#This Row],[LLTS]]+Données[[#This Row],[PLS]]</f>
        <v>69</v>
      </c>
      <c r="G51" s="5"/>
      <c r="H51" s="5">
        <v>69</v>
      </c>
      <c r="I51" s="5"/>
      <c r="J51" s="5"/>
      <c r="K51" s="7" t="s">
        <v>39</v>
      </c>
      <c r="L51" s="8">
        <v>42462</v>
      </c>
      <c r="M51" s="9">
        <v>43129</v>
      </c>
      <c r="N51" s="10">
        <v>2018</v>
      </c>
      <c r="O51" s="6">
        <f>IFERROR((DATEDIF(Données[[#This Row],[Arrêté LBU]],Données[[#This Row],[OS démarrage]],"d"))/30,0)</f>
        <v>22.233333333333334</v>
      </c>
      <c r="P51" s="29">
        <v>21</v>
      </c>
      <c r="Q51" s="12">
        <f>DATEDIF(Données[[#This Row],[OS démarrage]],Données[[#This Row],[Date réception entreprise recalée]],"M")</f>
        <v>33</v>
      </c>
      <c r="R51" s="32">
        <v>43446</v>
      </c>
      <c r="S51" s="14">
        <f>EDATE(Données[[#This Row],[OS démarrage]],Données[[#This Row],[Délai chantier initial]])</f>
        <v>43767</v>
      </c>
      <c r="T51" s="24">
        <v>44150</v>
      </c>
      <c r="U51" s="16">
        <f>EDATE(Données[[#This Row],[Date réception entreprise recalée]],12)</f>
        <v>44515</v>
      </c>
      <c r="V51" s="17">
        <f>(Données[[#This Row],[Date réception entreprise recalée]]-Données[[#This Row],[Date réception entreprise prévue initialement]])/30</f>
        <v>12.766666666666667</v>
      </c>
      <c r="W51" s="19"/>
      <c r="X51" s="19"/>
      <c r="Y51" s="19"/>
      <c r="Z51" s="19"/>
      <c r="AA51" s="20">
        <f>IF(Données[[#This Row],[TYPE]]="Rehab",0,IFERROR((Données[[#This Row],[Date Livraison VEFA estimée avec retards constatés]]-Données[[#This Row],[Date livraison contractuelle y/c avenant]])/30,"-"))</f>
        <v>0</v>
      </c>
      <c r="AB51" s="21">
        <f>IF(Données[[#This Row],[TYPE]]="Rehab",0,Données[[#This Row],[Date Livraison VEFA estimée avec retards constatés]]-Données[[#This Row],[Date livraison contractuelle y/c avenant]])</f>
        <v>0</v>
      </c>
      <c r="AC51" s="22"/>
      <c r="AD51" s="23">
        <f>IF(AND(Données[[#This Row],[TYPE]]&lt;&gt;"Rehab",Données[[#This Row],[Achèvement fondations]]&lt;&gt;""),EDATE(Données[[#This Row],[Achèvement fondations]],24),"")</f>
        <v>44177</v>
      </c>
      <c r="AE51" s="30">
        <f>IF(Données[[#This Row],[VEFA / PROPRE]]="vefa",EDATE(Données[[#This Row],[Date Livraison initiale VEFA]],1),EDATE(Données[[#This Row],[Date réception entreprise prévue initialement]],1))</f>
        <v>43798</v>
      </c>
      <c r="AF51" s="24">
        <v>44166</v>
      </c>
      <c r="AG51" s="25">
        <v>2020</v>
      </c>
      <c r="AH51" s="26">
        <f>IF((Données[[#This Row],[Date inauguration recalée]]-Données[[#This Row],[Date inauguration initiale]])/30&lt;0,0,(Données[[#This Row],[Date inauguration recalée]]-Données[[#This Row],[Date inauguration initiale]])/30)</f>
        <v>12.266666666666667</v>
      </c>
      <c r="AI51" s="26">
        <v>25392.626856423114</v>
      </c>
      <c r="AJ51" s="26">
        <f>IF(Données[[#This Row],[TYPE]]="Rehab","",Données[[#This Row],[Loyer mensuel]]*Données[[#This Row],[Retard Inauguration (m)]])</f>
        <v>311482.88943879021</v>
      </c>
      <c r="AN51"/>
      <c r="AR51"/>
      <c r="AS51"/>
      <c r="AT51"/>
      <c r="AV51"/>
      <c r="AW51"/>
      <c r="AY51"/>
      <c r="AZ51"/>
    </row>
    <row r="52" spans="1:52" x14ac:dyDescent="0.25">
      <c r="A52" s="96" t="s">
        <v>74</v>
      </c>
      <c r="B52" s="3" t="s">
        <v>38</v>
      </c>
      <c r="C52" s="3">
        <v>2017</v>
      </c>
      <c r="D52" s="3" t="s">
        <v>7</v>
      </c>
      <c r="E52" s="4">
        <f>Données[[#This Row],[LLS]]+Données[[#This Row],[LLTS]]+Données[[#This Row],[PLS]]+Données[[#This Row],[REHAB]]</f>
        <v>24</v>
      </c>
      <c r="F52" s="4">
        <f>Données[[#This Row],[LLS]]+Données[[#This Row],[LLTS]]+Données[[#This Row],[PLS]]</f>
        <v>24</v>
      </c>
      <c r="G52" s="5"/>
      <c r="H52" s="5">
        <v>24</v>
      </c>
      <c r="I52" s="5"/>
      <c r="J52" s="5"/>
      <c r="K52" s="7" t="s">
        <v>39</v>
      </c>
      <c r="L52" s="8">
        <v>42916</v>
      </c>
      <c r="M52" s="9">
        <v>43585</v>
      </c>
      <c r="N52" s="10">
        <v>2019</v>
      </c>
      <c r="O52" s="6">
        <f>IFERROR((DATEDIF(Données[[#This Row],[Arrêté LBU]],Données[[#This Row],[OS démarrage]],"d"))/30,0)</f>
        <v>22.3</v>
      </c>
      <c r="P52" s="29">
        <v>16</v>
      </c>
      <c r="Q52" s="12">
        <f>DATEDIF(Données[[#This Row],[OS démarrage]],Données[[#This Row],[Date réception entreprise recalée]],"M")</f>
        <v>18</v>
      </c>
      <c r="R52" s="32">
        <v>43739</v>
      </c>
      <c r="S52" s="14">
        <f>EDATE(Données[[#This Row],[OS démarrage]],Données[[#This Row],[Délai chantier initial]])</f>
        <v>44073</v>
      </c>
      <c r="T52" s="9">
        <v>44147</v>
      </c>
      <c r="U52" s="48">
        <f>EDATE(Données[[#This Row],[Date réception entreprise recalée]],12)</f>
        <v>44512</v>
      </c>
      <c r="V52" s="17">
        <f>(Données[[#This Row],[Date réception entreprise recalée]]-Données[[#This Row],[Date réception entreprise prévue initialement]])/30</f>
        <v>2.4666666666666668</v>
      </c>
      <c r="W52" s="18"/>
      <c r="X52" s="18"/>
      <c r="Y52" s="18"/>
      <c r="Z52" s="18"/>
      <c r="AA52" s="20">
        <f>IF(Données[[#This Row],[TYPE]]="Rehab",0,IFERROR((Données[[#This Row],[Date Livraison VEFA estimée avec retards constatés]]-Données[[#This Row],[Date livraison contractuelle y/c avenant]])/30,"-"))</f>
        <v>0</v>
      </c>
      <c r="AB52" s="21">
        <f>IF(Données[[#This Row],[TYPE]]="Rehab",0,Données[[#This Row],[Date Livraison VEFA estimée avec retards constatés]]-Données[[#This Row],[Date livraison contractuelle y/c avenant]])</f>
        <v>0</v>
      </c>
      <c r="AC52" s="22"/>
      <c r="AD52" s="23">
        <f>IF(AND(Données[[#This Row],[TYPE]]&lt;&gt;"Rehab",Données[[#This Row],[Achèvement fondations]]&lt;&gt;""),EDATE(Données[[#This Row],[Achèvement fondations]],24),"")</f>
        <v>44470</v>
      </c>
      <c r="AE52" s="30">
        <f>IF(Données[[#This Row],[VEFA / PROPRE]]="vefa",EDATE(Données[[#This Row],[Date Livraison initiale VEFA]],1),EDATE(Données[[#This Row],[Date réception entreprise prévue initialement]],1))</f>
        <v>44104</v>
      </c>
      <c r="AF52" s="24">
        <v>44174</v>
      </c>
      <c r="AG52" s="25">
        <v>2020</v>
      </c>
      <c r="AH52" s="26">
        <f>IF((Données[[#This Row],[Date inauguration recalée]]-Données[[#This Row],[Date inauguration initiale]])/30&lt;0,0,(Données[[#This Row],[Date inauguration recalée]]-Données[[#This Row],[Date inauguration initiale]])/30)</f>
        <v>2.3333333333333335</v>
      </c>
      <c r="AI52" s="26">
        <v>9708</v>
      </c>
      <c r="AJ52" s="26">
        <f>IF(Données[[#This Row],[TYPE]]="Rehab","",Données[[#This Row],[Loyer mensuel]]*Données[[#This Row],[Retard Inauguration (m)]])</f>
        <v>22652</v>
      </c>
      <c r="AN52"/>
      <c r="AR52"/>
      <c r="AS52"/>
      <c r="AT52"/>
      <c r="AV52"/>
      <c r="AW52"/>
      <c r="AY52"/>
      <c r="AZ52"/>
    </row>
    <row r="53" spans="1:52" x14ac:dyDescent="0.25">
      <c r="A53" s="96" t="s">
        <v>67</v>
      </c>
      <c r="B53" s="3" t="s">
        <v>38</v>
      </c>
      <c r="C53" s="3">
        <v>2016</v>
      </c>
      <c r="D53" s="3" t="s">
        <v>7</v>
      </c>
      <c r="E53" s="4">
        <f>Données[[#This Row],[LLS]]+Données[[#This Row],[LLTS]]+Données[[#This Row],[PLS]]+Données[[#This Row],[REHAB]]</f>
        <v>40</v>
      </c>
      <c r="F53" s="4">
        <f>Données[[#This Row],[LLS]]+Données[[#This Row],[LLTS]]+Données[[#This Row],[PLS]]</f>
        <v>40</v>
      </c>
      <c r="G53" s="5"/>
      <c r="H53" s="5">
        <v>40</v>
      </c>
      <c r="I53" s="5"/>
      <c r="J53" s="5"/>
      <c r="K53" s="7" t="s">
        <v>39</v>
      </c>
      <c r="L53" s="8">
        <v>42629</v>
      </c>
      <c r="M53" s="9">
        <v>43738</v>
      </c>
      <c r="N53" s="10">
        <v>2019</v>
      </c>
      <c r="O53" s="6">
        <f>IFERROR((DATEDIF(Données[[#This Row],[Arrêté LBU]],Données[[#This Row],[OS démarrage]],"d"))/30,0)</f>
        <v>36.966666666666669</v>
      </c>
      <c r="P53" s="29">
        <v>16</v>
      </c>
      <c r="Q53" s="12">
        <f>DATEDIF(Données[[#This Row],[OS démarrage]],Données[[#This Row],[Date réception entreprise recalée]],"M")</f>
        <v>19</v>
      </c>
      <c r="R53" s="32">
        <v>43902</v>
      </c>
      <c r="S53" s="14">
        <f>EDATE(Données[[#This Row],[OS démarrage]],Données[[#This Row],[Délai chantier initial]])</f>
        <v>44226</v>
      </c>
      <c r="T53" s="24">
        <v>44333</v>
      </c>
      <c r="U53" s="16">
        <f>EDATE(Données[[#This Row],[Date réception entreprise recalée]],12)</f>
        <v>44698</v>
      </c>
      <c r="V53" s="17">
        <f>(Données[[#This Row],[Date réception entreprise recalée]]-Données[[#This Row],[Date réception entreprise prévue initialement]])/30</f>
        <v>3.5666666666666669</v>
      </c>
      <c r="W53" s="19"/>
      <c r="X53" s="19"/>
      <c r="Y53" s="19"/>
      <c r="Z53" s="19"/>
      <c r="AA53" s="20">
        <f>IF(Données[[#This Row],[TYPE]]="Rehab",0,IFERROR((Données[[#This Row],[Date Livraison VEFA estimée avec retards constatés]]-Données[[#This Row],[Date livraison contractuelle y/c avenant]])/30,"-"))</f>
        <v>0</v>
      </c>
      <c r="AB53" s="21">
        <f>IF(Données[[#This Row],[TYPE]]="Rehab",0,Données[[#This Row],[Date Livraison VEFA estimée avec retards constatés]]-Données[[#This Row],[Date livraison contractuelle y/c avenant]])</f>
        <v>0</v>
      </c>
      <c r="AC53" s="22"/>
      <c r="AD53" s="23">
        <f>IF(AND(Données[[#This Row],[TYPE]]&lt;&gt;"Rehab",Données[[#This Row],[Achèvement fondations]]&lt;&gt;""),EDATE(Données[[#This Row],[Achèvement fondations]],24),"")</f>
        <v>44632</v>
      </c>
      <c r="AE53" s="30">
        <f>IF(Données[[#This Row],[VEFA / PROPRE]]="vefa",EDATE(Données[[#This Row],[Date Livraison initiale VEFA]],1),EDATE(Données[[#This Row],[Date réception entreprise prévue initialement]],1))</f>
        <v>44255</v>
      </c>
      <c r="AF53" s="24">
        <v>44334</v>
      </c>
      <c r="AG53" s="25">
        <v>2021</v>
      </c>
      <c r="AH53" s="26">
        <f>IF((Données[[#This Row],[Date inauguration recalée]]-Données[[#This Row],[Date inauguration initiale]])/30&lt;0,0,(Données[[#This Row],[Date inauguration recalée]]-Données[[#This Row],[Date inauguration initiale]])/30)</f>
        <v>2.6333333333333333</v>
      </c>
      <c r="AI53" s="26">
        <v>13586</v>
      </c>
      <c r="AJ53" s="26">
        <f>IF(Données[[#This Row],[TYPE]]="Rehab","",Données[[#This Row],[Loyer mensuel]]*Données[[#This Row],[Retard Inauguration (m)]])</f>
        <v>35776.466666666667</v>
      </c>
      <c r="AN53"/>
      <c r="AR53"/>
      <c r="AS53"/>
      <c r="AT53"/>
      <c r="AV53"/>
      <c r="AW53"/>
      <c r="AY53"/>
      <c r="AZ53"/>
    </row>
    <row r="54" spans="1:52" x14ac:dyDescent="0.25">
      <c r="A54" s="96" t="s">
        <v>71</v>
      </c>
      <c r="B54" s="3" t="s">
        <v>36</v>
      </c>
      <c r="C54" s="3">
        <v>2017</v>
      </c>
      <c r="D54" s="3" t="s">
        <v>7</v>
      </c>
      <c r="E54" s="4">
        <f>Données[[#This Row],[LLS]]+Données[[#This Row],[LLTS]]+Données[[#This Row],[PLS]]+Données[[#This Row],[REHAB]]</f>
        <v>21</v>
      </c>
      <c r="F54" s="4">
        <f>Données[[#This Row],[LLS]]+Données[[#This Row],[LLTS]]+Données[[#This Row],[PLS]]</f>
        <v>21</v>
      </c>
      <c r="G54" s="5"/>
      <c r="H54" s="5">
        <v>21</v>
      </c>
      <c r="I54" s="5"/>
      <c r="J54" s="5"/>
      <c r="K54" s="7" t="s">
        <v>39</v>
      </c>
      <c r="L54" s="8">
        <v>43017</v>
      </c>
      <c r="M54" s="9">
        <v>43556</v>
      </c>
      <c r="N54" s="10">
        <v>2019</v>
      </c>
      <c r="O54" s="6">
        <f>IFERROR((DATEDIF(Données[[#This Row],[Arrêté LBU]],Données[[#This Row],[OS démarrage]],"d"))/30,0)</f>
        <v>17.966666666666665</v>
      </c>
      <c r="P54" s="29">
        <v>17</v>
      </c>
      <c r="Q54" s="12">
        <f>DATEDIF(Données[[#This Row],[OS démarrage]],Données[[#This Row],[Date réception entreprise recalée]],"M")</f>
        <v>23</v>
      </c>
      <c r="R54" s="32">
        <v>43683</v>
      </c>
      <c r="S54" s="14">
        <f>EDATE(Données[[#This Row],[OS démarrage]],Données[[#This Row],[Délai chantier initial]])</f>
        <v>44075</v>
      </c>
      <c r="T54" s="24">
        <v>44277</v>
      </c>
      <c r="U54" s="16">
        <f>EDATE(Données[[#This Row],[Date réception entreprise recalée]],12)</f>
        <v>44642</v>
      </c>
      <c r="V54" s="17">
        <f>(Données[[#This Row],[Date réception entreprise recalée]]-Données[[#This Row],[Date réception entreprise prévue initialement]])/30</f>
        <v>6.7333333333333334</v>
      </c>
      <c r="W54" s="19"/>
      <c r="X54" s="19"/>
      <c r="Y54" s="19"/>
      <c r="Z54" s="19"/>
      <c r="AA54" s="20">
        <f>IF(Données[[#This Row],[TYPE]]="Rehab",0,IFERROR((Données[[#This Row],[Date Livraison VEFA estimée avec retards constatés]]-Données[[#This Row],[Date livraison contractuelle y/c avenant]])/30,"-"))</f>
        <v>0</v>
      </c>
      <c r="AB54" s="21">
        <f>IF(Données[[#This Row],[TYPE]]="Rehab",0,Données[[#This Row],[Date Livraison VEFA estimée avec retards constatés]]-Données[[#This Row],[Date livraison contractuelle y/c avenant]])</f>
        <v>0</v>
      </c>
      <c r="AC54" s="22"/>
      <c r="AD54" s="23">
        <f>IF(AND(Données[[#This Row],[TYPE]]&lt;&gt;"Rehab",Données[[#This Row],[Achèvement fondations]]&lt;&gt;""),EDATE(Données[[#This Row],[Achèvement fondations]],24),"")</f>
        <v>44414</v>
      </c>
      <c r="AE54" s="30">
        <f>IF(Données[[#This Row],[VEFA / PROPRE]]="vefa",EDATE(Données[[#This Row],[Date Livraison initiale VEFA]],1),EDATE(Données[[#This Row],[Date réception entreprise prévue initialement]],1))</f>
        <v>44105</v>
      </c>
      <c r="AF54" s="24">
        <v>44336</v>
      </c>
      <c r="AG54" s="41">
        <v>2021</v>
      </c>
      <c r="AH54" s="26">
        <f>IF((Données[[#This Row],[Date inauguration recalée]]-Données[[#This Row],[Date inauguration initiale]])/30&lt;0,0,(Données[[#This Row],[Date inauguration recalée]]-Données[[#This Row],[Date inauguration initiale]])/30)</f>
        <v>7.7</v>
      </c>
      <c r="AI54" s="26">
        <v>8927</v>
      </c>
      <c r="AJ54" s="26">
        <f>IF(Données[[#This Row],[TYPE]]="Rehab","",Données[[#This Row],[Loyer mensuel]]*Données[[#This Row],[Retard Inauguration (m)]])</f>
        <v>68737.900000000009</v>
      </c>
      <c r="AN54"/>
      <c r="AR54"/>
      <c r="AS54"/>
      <c r="AT54"/>
      <c r="AV54"/>
      <c r="AW54"/>
      <c r="AY54"/>
      <c r="AZ54"/>
    </row>
    <row r="55" spans="1:52" x14ac:dyDescent="0.25">
      <c r="A55" s="96" t="s">
        <v>69</v>
      </c>
      <c r="B55" s="3" t="s">
        <v>40</v>
      </c>
      <c r="C55" s="3">
        <v>2017</v>
      </c>
      <c r="D55" s="3" t="s">
        <v>7</v>
      </c>
      <c r="E55" s="4">
        <f>Données[[#This Row],[LLS]]+Données[[#This Row],[LLTS]]+Données[[#This Row],[PLS]]+Données[[#This Row],[REHAB]]</f>
        <v>84</v>
      </c>
      <c r="F55" s="4">
        <f>Données[[#This Row],[LLS]]+Données[[#This Row],[LLTS]]+Données[[#This Row],[PLS]]</f>
        <v>84</v>
      </c>
      <c r="G55" s="5"/>
      <c r="H55" s="5">
        <v>84</v>
      </c>
      <c r="I55" s="5"/>
      <c r="J55" s="5"/>
      <c r="K55" s="7" t="s">
        <v>39</v>
      </c>
      <c r="L55" s="54">
        <v>42929</v>
      </c>
      <c r="M55" s="9">
        <v>44148</v>
      </c>
      <c r="N55" s="10">
        <v>2020</v>
      </c>
      <c r="O55" s="6">
        <f>IFERROR((DATEDIF(Données[[#This Row],[Arrêté LBU]],Données[[#This Row],[OS démarrage]],"d"))/30,0)</f>
        <v>40.633333333333333</v>
      </c>
      <c r="P55" s="29">
        <v>26</v>
      </c>
      <c r="Q55" s="12">
        <f>DATEDIF(Données[[#This Row],[OS démarrage]],Données[[#This Row],[Date réception entreprise recalée]],"M")</f>
        <v>34</v>
      </c>
      <c r="R55" s="13">
        <v>44509</v>
      </c>
      <c r="S55" s="14">
        <f>EDATE(Données[[#This Row],[OS démarrage]],Données[[#This Row],[Délai chantier initial]])</f>
        <v>44939</v>
      </c>
      <c r="T55" s="24">
        <v>45195</v>
      </c>
      <c r="U55" s="16">
        <f>EDATE(Données[[#This Row],[Date réception entreprise recalée]],12)</f>
        <v>45561</v>
      </c>
      <c r="V55" s="17">
        <f>(Données[[#This Row],[Date réception entreprise recalée]]-Données[[#This Row],[Date réception entreprise prévue initialement]])/30</f>
        <v>8.5333333333333332</v>
      </c>
      <c r="W55" s="44"/>
      <c r="X55" s="19"/>
      <c r="Y55" s="19"/>
      <c r="Z55" s="19"/>
      <c r="AA55" s="20">
        <f>IF(Données[[#This Row],[TYPE]]="Rehab",0,IFERROR((Données[[#This Row],[Date Livraison VEFA estimée avec retards constatés]]-Données[[#This Row],[Date livraison contractuelle y/c avenant]])/30,"-"))</f>
        <v>0</v>
      </c>
      <c r="AB55" s="21">
        <f>IF(Données[[#This Row],[TYPE]]="Rehab",0,Données[[#This Row],[Date Livraison VEFA estimée avec retards constatés]]-Données[[#This Row],[Date livraison contractuelle y/c avenant]])</f>
        <v>0</v>
      </c>
      <c r="AC55" s="22"/>
      <c r="AD55" s="23">
        <f>IF(AND(Données[[#This Row],[TYPE]]&lt;&gt;"Rehab",Données[[#This Row],[Achèvement fondations]]&lt;&gt;""),EDATE(Données[[#This Row],[Achèvement fondations]],24),"")</f>
        <v>45239</v>
      </c>
      <c r="AE55" s="30">
        <f>IF(Données[[#This Row],[VEFA / PROPRE]]="vefa",EDATE(Données[[#This Row],[Date Livraison initiale VEFA]],1),EDATE(Données[[#This Row],[Date réception entreprise prévue initialement]],1))</f>
        <v>44970</v>
      </c>
      <c r="AF55" s="24">
        <v>45209</v>
      </c>
      <c r="AG55" s="55"/>
      <c r="AH55" s="26">
        <f>IF((Données[[#This Row],[Date inauguration recalée]]-Données[[#This Row],[Date inauguration initiale]])/30&lt;0,0,(Données[[#This Row],[Date inauguration recalée]]-Données[[#This Row],[Date inauguration initiale]])/30)</f>
        <v>7.9666666666666668</v>
      </c>
      <c r="AI55" s="26">
        <v>34578</v>
      </c>
      <c r="AJ55" s="26">
        <f>IF(Données[[#This Row],[TYPE]]="Rehab","",Données[[#This Row],[Loyer mensuel]]*Données[[#This Row],[Retard Inauguration (m)]])</f>
        <v>275471.40000000002</v>
      </c>
      <c r="AN55"/>
      <c r="AR55"/>
      <c r="AS55"/>
      <c r="AT55"/>
      <c r="AV55"/>
      <c r="AW55"/>
      <c r="AY55"/>
      <c r="AZ55"/>
    </row>
    <row r="56" spans="1:52" x14ac:dyDescent="0.25">
      <c r="A56" s="98" t="s">
        <v>71</v>
      </c>
      <c r="B56" s="3" t="s">
        <v>40</v>
      </c>
      <c r="C56" s="3">
        <v>2018</v>
      </c>
      <c r="D56" s="3" t="s">
        <v>7</v>
      </c>
      <c r="E56" s="4">
        <f>Données[[#This Row],[LLS]]+Données[[#This Row],[LLTS]]+Données[[#This Row],[PLS]]+Données[[#This Row],[REHAB]]</f>
        <v>34</v>
      </c>
      <c r="F56" s="4">
        <f>Données[[#This Row],[LLS]]+Données[[#This Row],[LLTS]]+Données[[#This Row],[PLS]]</f>
        <v>34</v>
      </c>
      <c r="G56" s="5"/>
      <c r="H56" s="5">
        <v>34</v>
      </c>
      <c r="I56" s="5"/>
      <c r="J56" s="5"/>
      <c r="K56" s="7" t="s">
        <v>39</v>
      </c>
      <c r="L56" s="54">
        <v>43334</v>
      </c>
      <c r="M56" s="9">
        <v>44148</v>
      </c>
      <c r="N56" s="10">
        <v>2020</v>
      </c>
      <c r="O56" s="6">
        <f>IFERROR((DATEDIF(Données[[#This Row],[Arrêté LBU]],Données[[#This Row],[OS démarrage]],"d"))/30,0)</f>
        <v>27.133333333333333</v>
      </c>
      <c r="P56" s="29">
        <v>26</v>
      </c>
      <c r="Q56" s="12">
        <f>DATEDIF(Données[[#This Row],[OS démarrage]],Données[[#This Row],[Date réception entreprise recalée]],"M")</f>
        <v>35</v>
      </c>
      <c r="R56" s="13">
        <v>44538</v>
      </c>
      <c r="S56" s="14">
        <f>EDATE(Données[[#This Row],[OS démarrage]],Données[[#This Row],[Délai chantier initial]])</f>
        <v>44939</v>
      </c>
      <c r="T56" s="24">
        <v>45230</v>
      </c>
      <c r="U56" s="16">
        <f>EDATE(Données[[#This Row],[Date réception entreprise recalée]],12)</f>
        <v>45596</v>
      </c>
      <c r="V56" s="17">
        <f>(Données[[#This Row],[Date réception entreprise recalée]]-Données[[#This Row],[Date réception entreprise prévue initialement]])/30</f>
        <v>9.6999999999999993</v>
      </c>
      <c r="W56" s="44"/>
      <c r="X56" s="19"/>
      <c r="Y56" s="19"/>
      <c r="Z56" s="19"/>
      <c r="AA56" s="20">
        <f>IF(Données[[#This Row],[TYPE]]="Rehab",0,IFERROR((Données[[#This Row],[Date Livraison VEFA estimée avec retards constatés]]-Données[[#This Row],[Date livraison contractuelle y/c avenant]])/30,"-"))</f>
        <v>0</v>
      </c>
      <c r="AB56" s="21">
        <f>IF(Données[[#This Row],[TYPE]]="Rehab",0,Données[[#This Row],[Date Livraison VEFA estimée avec retards constatés]]-Données[[#This Row],[Date livraison contractuelle y/c avenant]])</f>
        <v>0</v>
      </c>
      <c r="AC56" s="22"/>
      <c r="AD56" s="23">
        <f>IF(AND(Données[[#This Row],[TYPE]]&lt;&gt;"Rehab",Données[[#This Row],[Achèvement fondations]]&lt;&gt;""),EDATE(Données[[#This Row],[Achèvement fondations]],24),"")</f>
        <v>45268</v>
      </c>
      <c r="AE56" s="30">
        <f>IF(Données[[#This Row],[VEFA / PROPRE]]="vefa",EDATE(Données[[#This Row],[Date Livraison initiale VEFA]],1),EDATE(Données[[#This Row],[Date réception entreprise prévue initialement]],1))</f>
        <v>44970</v>
      </c>
      <c r="AF56" s="56">
        <v>45238</v>
      </c>
      <c r="AG56" s="55"/>
      <c r="AH56" s="26">
        <f>IF((Données[[#This Row],[Date inauguration recalée]]-Données[[#This Row],[Date inauguration initiale]])/30&lt;0,0,(Données[[#This Row],[Date inauguration recalée]]-Données[[#This Row],[Date inauguration initiale]])/30)</f>
        <v>8.9333333333333336</v>
      </c>
      <c r="AI56" s="26">
        <v>14099</v>
      </c>
      <c r="AJ56" s="26">
        <f>IF(Données[[#This Row],[TYPE]]="Rehab","",Données[[#This Row],[Loyer mensuel]]*Données[[#This Row],[Retard Inauguration (m)]])</f>
        <v>125951.06666666667</v>
      </c>
      <c r="AN56"/>
      <c r="AR56"/>
      <c r="AS56"/>
      <c r="AT56"/>
      <c r="AV56"/>
      <c r="AW56"/>
      <c r="AY56"/>
      <c r="AZ56"/>
    </row>
    <row r="57" spans="1:52" x14ac:dyDescent="0.25">
      <c r="A57" s="98" t="s">
        <v>84</v>
      </c>
      <c r="B57" s="3" t="s">
        <v>38</v>
      </c>
      <c r="C57" s="3">
        <v>2019</v>
      </c>
      <c r="D57" s="3" t="s">
        <v>7</v>
      </c>
      <c r="E57" s="4">
        <f>Données[[#This Row],[LLS]]+Données[[#This Row],[LLTS]]+Données[[#This Row],[PLS]]+Données[[#This Row],[REHAB]]</f>
        <v>20</v>
      </c>
      <c r="F57" s="4">
        <f>Données[[#This Row],[LLS]]+Données[[#This Row],[LLTS]]+Données[[#This Row],[PLS]]</f>
        <v>20</v>
      </c>
      <c r="G57" s="5"/>
      <c r="H57" s="5">
        <v>20</v>
      </c>
      <c r="I57" s="5"/>
      <c r="J57" s="5"/>
      <c r="K57" s="7" t="s">
        <v>37</v>
      </c>
      <c r="L57" s="54">
        <v>43745</v>
      </c>
      <c r="M57" s="9">
        <v>43997</v>
      </c>
      <c r="N57" s="10">
        <v>2020</v>
      </c>
      <c r="O57" s="6">
        <f>IFERROR((DATEDIF(Données[[#This Row],[Arrêté LBU]],Données[[#This Row],[OS démarrage]],"d"))/30,0)</f>
        <v>8.4</v>
      </c>
      <c r="P57" s="29">
        <v>21</v>
      </c>
      <c r="Q57" s="12">
        <f>DATEDIF(Données[[#This Row],[OS démarrage]],Données[[#This Row],[Date réception entreprise recalée]],"M")</f>
        <v>28</v>
      </c>
      <c r="R57" s="13">
        <v>44137</v>
      </c>
      <c r="S57" s="14">
        <f>EDATE(Données[[#This Row],[OS démarrage]],Données[[#This Row],[Délai chantier initial]])</f>
        <v>44635</v>
      </c>
      <c r="T57" s="24">
        <v>44849</v>
      </c>
      <c r="U57" s="16">
        <f>EDATE(Données[[#This Row],[Date réception entreprise recalée]],12)</f>
        <v>45214</v>
      </c>
      <c r="V57" s="17">
        <f>(Données[[#This Row],[Date réception entreprise recalée]]-Données[[#This Row],[Date réception entreprise prévue initialement]])/30</f>
        <v>7.1333333333333337</v>
      </c>
      <c r="W57" s="19">
        <v>44658</v>
      </c>
      <c r="X57" s="19">
        <v>44688</v>
      </c>
      <c r="Y57" s="19">
        <v>44827</v>
      </c>
      <c r="Z57" s="19">
        <v>45119</v>
      </c>
      <c r="AA57" s="20">
        <f>IF(Données[[#This Row],[TYPE]]="Rehab",0,IFERROR((Données[[#This Row],[Date Livraison VEFA estimée avec retards constatés]]-Données[[#This Row],[Date livraison contractuelle y/c avenant]])/30,"-"))</f>
        <v>9.7333333333333325</v>
      </c>
      <c r="AB57" s="21">
        <f>IF(Données[[#This Row],[TYPE]]="Rehab",0,Données[[#This Row],[Date Livraison VEFA estimée avec retards constatés]]-Données[[#This Row],[Date livraison contractuelle y/c avenant]])</f>
        <v>292</v>
      </c>
      <c r="AC57" s="22"/>
      <c r="AD57" s="23">
        <f>IF(AND(Données[[#This Row],[TYPE]]&lt;&gt;"Rehab",Données[[#This Row],[Achèvement fondations]]&lt;&gt;""),EDATE(Données[[#This Row],[Achèvement fondations]],24),"")</f>
        <v>44867</v>
      </c>
      <c r="AE57" s="30">
        <f>IF(Données[[#This Row],[VEFA / PROPRE]]="vefa",EDATE(Données[[#This Row],[Date Livraison initiale VEFA]],1),EDATE(Données[[#This Row],[Date réception entreprise prévue initialement]],1))</f>
        <v>44719</v>
      </c>
      <c r="AF57" s="24">
        <v>45138</v>
      </c>
      <c r="AG57" s="25">
        <v>2023</v>
      </c>
      <c r="AH57" s="26">
        <f>IF((Données[[#This Row],[Date inauguration recalée]]-Données[[#This Row],[Date inauguration initiale]])/30&lt;0,0,(Données[[#This Row],[Date inauguration recalée]]-Données[[#This Row],[Date inauguration initiale]])/30)</f>
        <v>13.966666666666667</v>
      </c>
      <c r="AI57" s="26">
        <v>6146.25</v>
      </c>
      <c r="AJ57" s="26">
        <f>IF(Données[[#This Row],[TYPE]]="Rehab","",Données[[#This Row],[Loyer mensuel]]*Données[[#This Row],[Retard Inauguration (m)]])</f>
        <v>85842.625</v>
      </c>
      <c r="AN57"/>
      <c r="AR57"/>
      <c r="AS57"/>
      <c r="AT57"/>
      <c r="AV57"/>
      <c r="AW57"/>
      <c r="AY57"/>
      <c r="AZ57"/>
    </row>
    <row r="58" spans="1:52" x14ac:dyDescent="0.25">
      <c r="A58" s="98" t="s">
        <v>71</v>
      </c>
      <c r="B58" s="3" t="s">
        <v>38</v>
      </c>
      <c r="C58" s="3">
        <v>2020</v>
      </c>
      <c r="D58" s="3" t="s">
        <v>7</v>
      </c>
      <c r="E58" s="4">
        <f>Données[[#This Row],[LLS]]+Données[[#This Row],[LLTS]]+Données[[#This Row],[PLS]]+Données[[#This Row],[REHAB]]</f>
        <v>8</v>
      </c>
      <c r="F58" s="4">
        <f>Données[[#This Row],[LLS]]+Données[[#This Row],[LLTS]]+Données[[#This Row],[PLS]]</f>
        <v>8</v>
      </c>
      <c r="G58" s="5"/>
      <c r="H58" s="5">
        <v>8</v>
      </c>
      <c r="I58" s="5"/>
      <c r="J58" s="5"/>
      <c r="K58" s="7" t="s">
        <v>39</v>
      </c>
      <c r="L58" s="54">
        <v>44175</v>
      </c>
      <c r="M58" s="9">
        <v>44301</v>
      </c>
      <c r="N58" s="10">
        <v>2021</v>
      </c>
      <c r="O58" s="6">
        <f>IFERROR((DATEDIF(Données[[#This Row],[Arrêté LBU]],Données[[#This Row],[OS démarrage]],"d"))/30,0)</f>
        <v>4.2</v>
      </c>
      <c r="P58" s="29">
        <v>18</v>
      </c>
      <c r="Q58" s="12">
        <f>DATEDIF(Données[[#This Row],[OS démarrage]],Données[[#This Row],[Date réception entreprise recalée]],"M")</f>
        <v>28</v>
      </c>
      <c r="R58" s="32">
        <v>44474</v>
      </c>
      <c r="S58" s="14">
        <f>EDATE(Données[[#This Row],[OS démarrage]],Données[[#This Row],[Délai chantier initial]])</f>
        <v>44849</v>
      </c>
      <c r="T58" s="24">
        <v>45162</v>
      </c>
      <c r="U58" s="16">
        <f>EDATE(Données[[#This Row],[Date réception entreprise recalée]],12)</f>
        <v>45528</v>
      </c>
      <c r="V58" s="17">
        <f>(Données[[#This Row],[Date réception entreprise recalée]]-Données[[#This Row],[Date réception entreprise prévue initialement]])/30</f>
        <v>10.433333333333334</v>
      </c>
      <c r="W58" s="44"/>
      <c r="X58" s="19"/>
      <c r="Y58" s="19"/>
      <c r="Z58" s="19"/>
      <c r="AA58" s="20">
        <f>IF(Données[[#This Row],[TYPE]]="Rehab",0,IFERROR((Données[[#This Row],[Date Livraison VEFA estimée avec retards constatés]]-Données[[#This Row],[Date livraison contractuelle y/c avenant]])/30,"-"))</f>
        <v>0</v>
      </c>
      <c r="AB58" s="21">
        <f>IF(Données[[#This Row],[TYPE]]="Rehab",0,Données[[#This Row],[Date Livraison VEFA estimée avec retards constatés]]-Données[[#This Row],[Date livraison contractuelle y/c avenant]])</f>
        <v>0</v>
      </c>
      <c r="AC58" s="22">
        <v>45173</v>
      </c>
      <c r="AD58" s="51">
        <f>IF(AND(Données[[#This Row],[TYPE]]&lt;&gt;"Rehab",Données[[#This Row],[Achèvement fondations]]&lt;&gt;""),EDATE(Données[[#This Row],[Achèvement fondations]],24),"")</f>
        <v>45204</v>
      </c>
      <c r="AE58" s="30">
        <f>IF(Données[[#This Row],[VEFA / PROPRE]]="vefa",EDATE(Données[[#This Row],[Date Livraison initiale VEFA]],1),EDATE(Données[[#This Row],[Date réception entreprise prévue initialement]],1))</f>
        <v>44880</v>
      </c>
      <c r="AF58" s="24">
        <v>45167</v>
      </c>
      <c r="AG58" s="25">
        <v>2023</v>
      </c>
      <c r="AH58" s="26">
        <f>IF((Données[[#This Row],[Date inauguration recalée]]-Données[[#This Row],[Date inauguration initiale]])/30&lt;0,0,(Données[[#This Row],[Date inauguration recalée]]-Données[[#This Row],[Date inauguration initiale]])/30)</f>
        <v>9.5666666666666664</v>
      </c>
      <c r="AI58" s="26">
        <v>2731.2303543095168</v>
      </c>
      <c r="AJ58" s="26">
        <f>IF(Données[[#This Row],[TYPE]]="Rehab","",Données[[#This Row],[Loyer mensuel]]*Données[[#This Row],[Retard Inauguration (m)]])</f>
        <v>26128.770389561043</v>
      </c>
      <c r="AN58"/>
      <c r="AR58"/>
      <c r="AS58"/>
      <c r="AT58"/>
      <c r="AV58"/>
      <c r="AW58"/>
      <c r="AY58"/>
      <c r="AZ58"/>
    </row>
    <row r="59" spans="1:52" x14ac:dyDescent="0.25">
      <c r="A59" s="98" t="s">
        <v>84</v>
      </c>
      <c r="B59" s="3" t="s">
        <v>38</v>
      </c>
      <c r="C59" s="3">
        <v>2020</v>
      </c>
      <c r="D59" s="3" t="s">
        <v>7</v>
      </c>
      <c r="E59" s="4">
        <f>Données[[#This Row],[LLS]]+Données[[#This Row],[LLTS]]+Données[[#This Row],[PLS]]+Données[[#This Row],[REHAB]]</f>
        <v>25</v>
      </c>
      <c r="F59" s="4">
        <f>Données[[#This Row],[LLS]]+Données[[#This Row],[LLTS]]+Données[[#This Row],[PLS]]</f>
        <v>25</v>
      </c>
      <c r="G59" s="5"/>
      <c r="H59" s="5">
        <v>25</v>
      </c>
      <c r="I59" s="5"/>
      <c r="J59" s="47"/>
      <c r="K59" s="7" t="s">
        <v>37</v>
      </c>
      <c r="L59" s="54">
        <v>44027</v>
      </c>
      <c r="M59" s="9">
        <v>44368</v>
      </c>
      <c r="N59" s="10">
        <v>2021</v>
      </c>
      <c r="O59" s="6">
        <f>IFERROR((DATEDIF(Données[[#This Row],[Arrêté LBU]],Données[[#This Row],[OS démarrage]],"d"))/30,0)</f>
        <v>11.366666666666667</v>
      </c>
      <c r="P59" s="29">
        <v>24</v>
      </c>
      <c r="Q59" s="12">
        <f>DATEDIF(Données[[#This Row],[OS démarrage]],Données[[#This Row],[Date réception entreprise recalée]],"M")</f>
        <v>29</v>
      </c>
      <c r="R59" s="32">
        <v>44543</v>
      </c>
      <c r="S59" s="14">
        <f>EDATE(Données[[#This Row],[OS démarrage]],Données[[#This Row],[Délai chantier initial]])</f>
        <v>45098</v>
      </c>
      <c r="T59" s="24">
        <v>45258</v>
      </c>
      <c r="U59" s="16">
        <f>EDATE(Données[[#This Row],[Date réception entreprise recalée]],12)</f>
        <v>45624</v>
      </c>
      <c r="V59" s="17">
        <f>(Données[[#This Row],[Date réception entreprise recalée]]-Données[[#This Row],[Date réception entreprise prévue initialement]])/30</f>
        <v>5.333333333333333</v>
      </c>
      <c r="W59" s="44">
        <v>45078</v>
      </c>
      <c r="X59" s="19">
        <v>45078</v>
      </c>
      <c r="Y59" s="19">
        <v>45078</v>
      </c>
      <c r="Z59" s="19">
        <v>45231</v>
      </c>
      <c r="AA59" s="20">
        <f>IF(Données[[#This Row],[TYPE]]="Rehab",0,IFERROR((Données[[#This Row],[Date Livraison VEFA estimée avec retards constatés]]-Données[[#This Row],[Date livraison contractuelle y/c avenant]])/30,"-"))</f>
        <v>5.0999999999999996</v>
      </c>
      <c r="AB59" s="21">
        <f>IF(Données[[#This Row],[TYPE]]="Rehab",0,Données[[#This Row],[Date Livraison VEFA estimée avec retards constatés]]-Données[[#This Row],[Date livraison contractuelle y/c avenant]])</f>
        <v>153</v>
      </c>
      <c r="AC59" s="22"/>
      <c r="AD59" s="23">
        <f>IF(AND(Données[[#This Row],[TYPE]]&lt;&gt;"Rehab",Données[[#This Row],[Achèvement fondations]]&lt;&gt;""),EDATE(Données[[#This Row],[Achèvement fondations]],24),"")</f>
        <v>45273</v>
      </c>
      <c r="AE59" s="30">
        <f>IF(Données[[#This Row],[VEFA / PROPRE]]="vefa",EDATE(Données[[#This Row],[Date Livraison initiale VEFA]],1),EDATE(Données[[#This Row],[Date réception entreprise prévue initialement]],1))</f>
        <v>45108</v>
      </c>
      <c r="AF59" s="24">
        <v>45245</v>
      </c>
      <c r="AG59" s="55"/>
      <c r="AH59" s="26">
        <f>IF((Données[[#This Row],[Date inauguration recalée]]-Données[[#This Row],[Date inauguration initiale]])/30&lt;0,0,(Données[[#This Row],[Date inauguration recalée]]-Données[[#This Row],[Date inauguration initiale]])/30)</f>
        <v>4.5666666666666664</v>
      </c>
      <c r="AI59" s="26">
        <v>8097.935279205125</v>
      </c>
      <c r="AJ59" s="26">
        <f>IF(Données[[#This Row],[TYPE]]="Rehab","",Données[[#This Row],[Loyer mensuel]]*Données[[#This Row],[Retard Inauguration (m)]])</f>
        <v>36980.571108370066</v>
      </c>
      <c r="AN59"/>
      <c r="AR59"/>
      <c r="AS59"/>
      <c r="AT59"/>
      <c r="AV59"/>
      <c r="AW59"/>
      <c r="AY59"/>
      <c r="AZ59"/>
    </row>
    <row r="60" spans="1:52" x14ac:dyDescent="0.25">
      <c r="A60" s="98" t="s">
        <v>76</v>
      </c>
      <c r="B60" s="3" t="s">
        <v>38</v>
      </c>
      <c r="C60" s="3">
        <v>2020</v>
      </c>
      <c r="D60" s="3" t="s">
        <v>7</v>
      </c>
      <c r="E60" s="4">
        <f>Données[[#This Row],[LLS]]+Données[[#This Row],[LLTS]]+Données[[#This Row],[PLS]]+Données[[#This Row],[REHAB]]</f>
        <v>11</v>
      </c>
      <c r="F60" s="4">
        <f>Données[[#This Row],[LLS]]+Données[[#This Row],[LLTS]]+Données[[#This Row],[PLS]]</f>
        <v>11</v>
      </c>
      <c r="G60" s="5"/>
      <c r="H60" s="5">
        <v>11</v>
      </c>
      <c r="I60" s="5"/>
      <c r="J60" s="5"/>
      <c r="K60" s="7" t="s">
        <v>39</v>
      </c>
      <c r="L60" s="54">
        <v>43993</v>
      </c>
      <c r="M60" s="9">
        <v>44760</v>
      </c>
      <c r="N60" s="10">
        <v>2022</v>
      </c>
      <c r="O60" s="6">
        <f>IFERROR((DATEDIF(Données[[#This Row],[Arrêté LBU]],Données[[#This Row],[OS démarrage]],"d"))/30,0)</f>
        <v>25.566666666666666</v>
      </c>
      <c r="P60" s="29">
        <v>18</v>
      </c>
      <c r="Q60" s="12">
        <f>DATEDIF(Données[[#This Row],[OS démarrage]],Données[[#This Row],[Date réception entreprise recalée]],"M")</f>
        <v>20</v>
      </c>
      <c r="R60" s="32">
        <v>45041</v>
      </c>
      <c r="S60" s="14">
        <f>EDATE(Données[[#This Row],[OS démarrage]],Données[[#This Row],[Délai chantier initial]])</f>
        <v>45309</v>
      </c>
      <c r="T60" s="24">
        <f>DATE(YEAR(Données[[#This Row],[Date réception entreprise prévue initialement]]),MONTH(Données[[#This Row],[Date réception entreprise prévue initialement]])+2,DAY(Données[[#This Row],[Date réception entreprise prévue initialement]]))</f>
        <v>45369</v>
      </c>
      <c r="U60" s="16">
        <f>EDATE(Données[[#This Row],[Date réception entreprise recalée]],12)</f>
        <v>45734</v>
      </c>
      <c r="V60" s="17">
        <f>(Données[[#This Row],[Date réception entreprise recalée]]-Données[[#This Row],[Date réception entreprise prévue initialement]])/30</f>
        <v>2</v>
      </c>
      <c r="W60" s="44"/>
      <c r="X60" s="19"/>
      <c r="Y60" s="19"/>
      <c r="Z60" s="19"/>
      <c r="AA60" s="20">
        <f>IF(Données[[#This Row],[TYPE]]="Rehab",0,IFERROR((Données[[#This Row],[Date Livraison VEFA estimée avec retards constatés]]-Données[[#This Row],[Date livraison contractuelle y/c avenant]])/30,"-"))</f>
        <v>0</v>
      </c>
      <c r="AB60" s="21">
        <f>IF(Données[[#This Row],[TYPE]]="Rehab",0,Données[[#This Row],[Date Livraison VEFA estimée avec retards constatés]]-Données[[#This Row],[Date livraison contractuelle y/c avenant]])</f>
        <v>0</v>
      </c>
      <c r="AC60" s="22"/>
      <c r="AD60" s="23">
        <f>IF(AND(Données[[#This Row],[TYPE]]&lt;&gt;"Rehab",Données[[#This Row],[Achèvement fondations]]&lt;&gt;""),EDATE(Données[[#This Row],[Achèvement fondations]],24),"")</f>
        <v>45772</v>
      </c>
      <c r="AE60" s="30">
        <f>IF(Données[[#This Row],[VEFA / PROPRE]]="vefa",EDATE(Données[[#This Row],[Date Livraison initiale VEFA]],1),EDATE(Données[[#This Row],[Date réception entreprise prévue initialement]],1))</f>
        <v>45340</v>
      </c>
      <c r="AF60" s="24">
        <f>IF(Données[[#This Row],[VEFA / PROPRE]]="VEFA",EDATE(Données[[#This Row],[Date Livraison VEFA estimée avec retards constatés]],1),EDATE(Données[[#This Row],[Date réception entreprise recalée]],1))</f>
        <v>45400</v>
      </c>
      <c r="AG60" s="55"/>
      <c r="AH60" s="26">
        <f>IF((Données[[#This Row],[Date inauguration recalée]]-Données[[#This Row],[Date inauguration initiale]])/30&lt;0,0,(Données[[#This Row],[Date inauguration recalée]]-Données[[#This Row],[Date inauguration initiale]])/30)</f>
        <v>2</v>
      </c>
      <c r="AI60" s="26">
        <v>3442.236007645673</v>
      </c>
      <c r="AJ60" s="26">
        <f>IF(Données[[#This Row],[TYPE]]="Rehab","",Données[[#This Row],[Loyer mensuel]]*Données[[#This Row],[Retard Inauguration (m)]])</f>
        <v>6884.472015291346</v>
      </c>
      <c r="AN60"/>
      <c r="AR60"/>
      <c r="AS60"/>
      <c r="AT60"/>
      <c r="AV60"/>
      <c r="AW60"/>
      <c r="AY60"/>
      <c r="AZ60"/>
    </row>
    <row r="61" spans="1:52" x14ac:dyDescent="0.25">
      <c r="A61" s="97" t="s">
        <v>85</v>
      </c>
      <c r="B61" s="3" t="s">
        <v>38</v>
      </c>
      <c r="C61" s="3">
        <v>2020</v>
      </c>
      <c r="D61" s="3" t="s">
        <v>7</v>
      </c>
      <c r="E61" s="4">
        <f>Données[[#This Row],[LLS]]+Données[[#This Row],[LLTS]]+Données[[#This Row],[PLS]]+Données[[#This Row],[REHAB]]</f>
        <v>36</v>
      </c>
      <c r="F61" s="4">
        <f>Données[[#This Row],[LLS]]+Données[[#This Row],[LLTS]]+Données[[#This Row],[PLS]]</f>
        <v>36</v>
      </c>
      <c r="G61" s="5"/>
      <c r="H61" s="5">
        <v>36</v>
      </c>
      <c r="I61" s="5"/>
      <c r="J61" s="5"/>
      <c r="K61" s="7" t="s">
        <v>39</v>
      </c>
      <c r="L61" s="54">
        <v>44028</v>
      </c>
      <c r="M61" s="9">
        <v>45076</v>
      </c>
      <c r="N61" s="10">
        <v>2023</v>
      </c>
      <c r="O61" s="6">
        <f>IFERROR((DATEDIF(Données[[#This Row],[Arrêté LBU]],Données[[#This Row],[OS démarrage]],"d"))/30,0)</f>
        <v>34.93333333333333</v>
      </c>
      <c r="P61" s="29">
        <v>21</v>
      </c>
      <c r="Q61" s="12">
        <f>DATEDIF(Données[[#This Row],[OS démarrage]],Données[[#This Row],[Date réception entreprise recalée]],"M")</f>
        <v>22</v>
      </c>
      <c r="R61" s="13"/>
      <c r="S61" s="14">
        <v>45720</v>
      </c>
      <c r="T61" s="24">
        <f>DATE(YEAR(Données[[#This Row],[Date réception entreprise prévue initialement]]),MONTH(Données[[#This Row],[Date réception entreprise prévue initialement]])+1,DAY(Données[[#This Row],[Date réception entreprise prévue initialement]]))</f>
        <v>45751</v>
      </c>
      <c r="U61" s="16">
        <f>EDATE(Données[[#This Row],[Date réception entreprise recalée]],12)</f>
        <v>46116</v>
      </c>
      <c r="V61" s="17">
        <f>(Données[[#This Row],[Date réception entreprise recalée]]-Données[[#This Row],[Date réception entreprise prévue initialement]])/30</f>
        <v>1.0333333333333334</v>
      </c>
      <c r="W61" s="44"/>
      <c r="X61" s="19"/>
      <c r="Y61" s="19"/>
      <c r="Z61" s="19"/>
      <c r="AA61" s="20">
        <f>IF(Données[[#This Row],[TYPE]]="Rehab",0,IFERROR((Données[[#This Row],[Date Livraison VEFA estimée avec retards constatés]]-Données[[#This Row],[Date livraison contractuelle y/c avenant]])/30,"-"))</f>
        <v>0</v>
      </c>
      <c r="AB61" s="21">
        <f>IF(Données[[#This Row],[TYPE]]="Rehab",0,Données[[#This Row],[Date Livraison VEFA estimée avec retards constatés]]-Données[[#This Row],[Date livraison contractuelle y/c avenant]])</f>
        <v>0</v>
      </c>
      <c r="AC61" s="22"/>
      <c r="AD61" s="23" t="str">
        <f>IF(AND(Données[[#This Row],[TYPE]]&lt;&gt;"Rehab",Données[[#This Row],[Achèvement fondations]]&lt;&gt;""),EDATE(Données[[#This Row],[Achèvement fondations]],24),"")</f>
        <v/>
      </c>
      <c r="AE61" s="30">
        <f>IF(Données[[#This Row],[VEFA / PROPRE]]="vefa",EDATE(Données[[#This Row],[Date Livraison initiale VEFA]],1),EDATE(Données[[#This Row],[Date réception entreprise prévue initialement]],1))</f>
        <v>45751</v>
      </c>
      <c r="AF61" s="24">
        <f>IF(Données[[#This Row],[VEFA / PROPRE]]="VEFA",EDATE(Données[[#This Row],[Date Livraison VEFA estimée avec retards constatés]],1),EDATE(Données[[#This Row],[Date réception entreprise recalée]],1))</f>
        <v>45781</v>
      </c>
      <c r="AG61" s="55"/>
      <c r="AH61" s="26">
        <f>IF((Données[[#This Row],[Date inauguration recalée]]-Données[[#This Row],[Date inauguration initiale]])/30&lt;0,0,(Données[[#This Row],[Date inauguration recalée]]-Données[[#This Row],[Date inauguration initiale]])/30)</f>
        <v>1</v>
      </c>
      <c r="AI61" s="26">
        <v>11686.792036339733</v>
      </c>
      <c r="AJ61" s="26">
        <f>IF(Données[[#This Row],[TYPE]]="Rehab","",Données[[#This Row],[Loyer mensuel]]*Données[[#This Row],[Retard Inauguration (m)]])</f>
        <v>11686.792036339733</v>
      </c>
      <c r="AN61"/>
      <c r="AR61"/>
      <c r="AS61"/>
      <c r="AT61"/>
      <c r="AV61"/>
      <c r="AW61"/>
      <c r="AY61"/>
      <c r="AZ61"/>
    </row>
    <row r="62" spans="1:52" x14ac:dyDescent="0.25">
      <c r="A62" s="63" t="s">
        <v>76</v>
      </c>
      <c r="B62" s="27" t="s">
        <v>36</v>
      </c>
      <c r="C62" s="3">
        <v>2020</v>
      </c>
      <c r="D62" s="27" t="s">
        <v>7</v>
      </c>
      <c r="E62" s="4">
        <f>Données[[#This Row],[LLS]]+Données[[#This Row],[LLTS]]+Données[[#This Row],[PLS]]+Données[[#This Row],[REHAB]]</f>
        <v>25</v>
      </c>
      <c r="F62" s="4">
        <f>Données[[#This Row],[LLS]]+Données[[#This Row],[LLTS]]+Données[[#This Row],[PLS]]</f>
        <v>25</v>
      </c>
      <c r="G62" s="5"/>
      <c r="H62" s="2">
        <v>25</v>
      </c>
      <c r="I62" s="5"/>
      <c r="J62" s="5"/>
      <c r="K62" s="7" t="s">
        <v>39</v>
      </c>
      <c r="L62" s="54">
        <v>44022</v>
      </c>
      <c r="M62" s="58">
        <v>45366</v>
      </c>
      <c r="N62" s="10"/>
      <c r="O62" s="6">
        <f>IFERROR((DATEDIF(Données[[#This Row],[Arrêté LBU]],Données[[#This Row],[OS démarrage]],"d"))/30,0)</f>
        <v>44.8</v>
      </c>
      <c r="P62" s="29">
        <v>18</v>
      </c>
      <c r="Q62" s="12">
        <f>DATEDIF(Données[[#This Row],[OS démarrage]],Données[[#This Row],[Date réception entreprise recalée]],"M")</f>
        <v>19</v>
      </c>
      <c r="R62" s="13"/>
      <c r="S62" s="14">
        <f>EDATE(Données[[#This Row],[OS démarrage]],Données[[#This Row],[Délai chantier initial]])</f>
        <v>45915</v>
      </c>
      <c r="T62" s="24">
        <f>DATE(YEAR(Données[[#This Row],[Date réception entreprise prévue initialement]]),MONTH(Données[[#This Row],[Date réception entreprise prévue initialement]])+1,DAY(Données[[#This Row],[Date réception entreprise prévue initialement]]))</f>
        <v>45945</v>
      </c>
      <c r="U62" s="16">
        <f>EDATE(Données[[#This Row],[Date réception entreprise recalée]],12)</f>
        <v>46310</v>
      </c>
      <c r="V62" s="17">
        <f>(Données[[#This Row],[Date réception entreprise recalée]]-Données[[#This Row],[Date réception entreprise prévue initialement]])/30</f>
        <v>1</v>
      </c>
      <c r="W62" s="44"/>
      <c r="X62" s="19"/>
      <c r="Y62" s="19"/>
      <c r="Z62" s="19"/>
      <c r="AA62" s="20">
        <f>IF(Données[[#This Row],[TYPE]]="Rehab",0,IFERROR((Données[[#This Row],[Date Livraison VEFA estimée avec retards constatés]]-Données[[#This Row],[Date livraison contractuelle y/c avenant]])/30,"-"))</f>
        <v>0</v>
      </c>
      <c r="AB62" s="21">
        <f>IF(Données[[#This Row],[TYPE]]="Rehab",0,Données[[#This Row],[Date Livraison VEFA estimée avec retards constatés]]-Données[[#This Row],[Date livraison contractuelle y/c avenant]])</f>
        <v>0</v>
      </c>
      <c r="AC62" s="22"/>
      <c r="AD62" s="23" t="str">
        <f>IF(AND(Données[[#This Row],[TYPE]]&lt;&gt;"Rehab",Données[[#This Row],[Achèvement fondations]]&lt;&gt;""),EDATE(Données[[#This Row],[Achèvement fondations]],24),"")</f>
        <v/>
      </c>
      <c r="AE62" s="30">
        <f>IF(Données[[#This Row],[VEFA / PROPRE]]="vefa",EDATE(Données[[#This Row],[Date Livraison initiale VEFA]],1),EDATE(Données[[#This Row],[Date réception entreprise prévue initialement]],1))</f>
        <v>45945</v>
      </c>
      <c r="AF62" s="24">
        <f>IF(Données[[#This Row],[VEFA / PROPRE]]="VEFA",EDATE(Données[[#This Row],[Date Livraison VEFA estimée avec retards constatés]],1),EDATE(Données[[#This Row],[Date réception entreprise recalée]],1))</f>
        <v>45976</v>
      </c>
      <c r="AG62" s="55"/>
      <c r="AH62" s="26">
        <f>IF((Données[[#This Row],[Date inauguration recalée]]-Données[[#This Row],[Date inauguration initiale]])/30&lt;0,0,(Données[[#This Row],[Date inauguration recalée]]-Données[[#This Row],[Date inauguration initiale]])/30)</f>
        <v>1.0333333333333334</v>
      </c>
      <c r="AI62" s="26"/>
      <c r="AJ62" s="26">
        <f>IF(Données[[#This Row],[TYPE]]="Rehab","",Données[[#This Row],[Loyer mensuel]]*Données[[#This Row],[Retard Inauguration (m)]])</f>
        <v>0</v>
      </c>
      <c r="AN62"/>
      <c r="AR62"/>
      <c r="AS62"/>
      <c r="AT62"/>
      <c r="AV62"/>
      <c r="AW62"/>
      <c r="AY62"/>
      <c r="AZ62"/>
    </row>
    <row r="63" spans="1:52" x14ac:dyDescent="0.25">
      <c r="A63" s="63" t="s">
        <v>71</v>
      </c>
      <c r="B63" s="3" t="s">
        <v>38</v>
      </c>
      <c r="C63" s="3">
        <v>2021</v>
      </c>
      <c r="D63" s="3" t="s">
        <v>7</v>
      </c>
      <c r="E63" s="4">
        <f>Données[[#This Row],[LLS]]+Données[[#This Row],[LLTS]]+Données[[#This Row],[PLS]]+Données[[#This Row],[REHAB]]</f>
        <v>5</v>
      </c>
      <c r="F63" s="4">
        <f>Données[[#This Row],[LLS]]+Données[[#This Row],[LLTS]]+Données[[#This Row],[PLS]]</f>
        <v>5</v>
      </c>
      <c r="G63" s="5"/>
      <c r="H63" s="5">
        <v>5</v>
      </c>
      <c r="I63" s="5"/>
      <c r="J63" s="5"/>
      <c r="K63" s="7" t="s">
        <v>37</v>
      </c>
      <c r="L63" s="54">
        <v>44553</v>
      </c>
      <c r="M63" s="9">
        <v>45076</v>
      </c>
      <c r="N63" s="10">
        <v>2023</v>
      </c>
      <c r="O63" s="6">
        <f>IFERROR((DATEDIF(Données[[#This Row],[Arrêté LBU]],Données[[#This Row],[OS démarrage]],"d"))/30,0)</f>
        <v>17.433333333333334</v>
      </c>
      <c r="P63" s="29">
        <v>27</v>
      </c>
      <c r="Q63" s="12">
        <f>DATEDIF(Données[[#This Row],[OS démarrage]],Données[[#This Row],[Date réception entreprise recalée]],"M")</f>
        <v>28</v>
      </c>
      <c r="R63" s="13"/>
      <c r="S63" s="14">
        <f>EDATE(Données[[#This Row],[OS démarrage]],Données[[#This Row],[Délai chantier initial]])</f>
        <v>45899</v>
      </c>
      <c r="T63" s="24">
        <f>DATE(YEAR(Données[[#This Row],[Date réception entreprise prévue initialement]]),MONTH(Données[[#This Row],[Date réception entreprise prévue initialement]])+1,DAY(Données[[#This Row],[Date réception entreprise prévue initialement]]))</f>
        <v>45930</v>
      </c>
      <c r="U63" s="16">
        <f>EDATE(Données[[#This Row],[Date réception entreprise recalée]],12)</f>
        <v>46295</v>
      </c>
      <c r="V63" s="17">
        <f>(Données[[#This Row],[Date réception entreprise recalée]]-Données[[#This Row],[Date réception entreprise prévue initialement]])/30</f>
        <v>1.0333333333333334</v>
      </c>
      <c r="W63" s="44">
        <f>Données[[#This Row],[Date réception entreprise recalée]]</f>
        <v>45930</v>
      </c>
      <c r="X63" s="19">
        <f>Données[[#This Row],[Date achèvement VEFA]]</f>
        <v>45930</v>
      </c>
      <c r="Y63" s="19">
        <f>Données[[#This Row],[Date achèvement VEFA]]</f>
        <v>45930</v>
      </c>
      <c r="Z63" s="19">
        <f>Données[[#This Row],[Date achèvement VEFA]]</f>
        <v>45930</v>
      </c>
      <c r="AA63" s="20">
        <f>IF(Données[[#This Row],[TYPE]]="Rehab",0,IFERROR((Données[[#This Row],[Date Livraison VEFA estimée avec retards constatés]]-Données[[#This Row],[Date livraison contractuelle y/c avenant]])/30,"-"))</f>
        <v>0</v>
      </c>
      <c r="AB63" s="21">
        <f>IF(Données[[#This Row],[TYPE]]="Rehab",0,Données[[#This Row],[Date Livraison VEFA estimée avec retards constatés]]-Données[[#This Row],[Date livraison contractuelle y/c avenant]])</f>
        <v>0</v>
      </c>
      <c r="AC63" s="22"/>
      <c r="AD63" s="23" t="str">
        <f>IF(AND(Données[[#This Row],[TYPE]]&lt;&gt;"Rehab",Données[[#This Row],[Achèvement fondations]]&lt;&gt;""),EDATE(Données[[#This Row],[Achèvement fondations]],24),"")</f>
        <v/>
      </c>
      <c r="AE63" s="30">
        <f>IF(Données[[#This Row],[VEFA / PROPRE]]="vefa",EDATE(Données[[#This Row],[Date Livraison initiale VEFA]],1),EDATE(Données[[#This Row],[Date réception entreprise prévue initialement]],1))</f>
        <v>45960</v>
      </c>
      <c r="AF63" s="24">
        <f>IF(Données[[#This Row],[VEFA / PROPRE]]="VEFA",EDATE(Données[[#This Row],[Date Livraison VEFA estimée avec retards constatés]],1),EDATE(Données[[#This Row],[Date réception entreprise recalée]],1))</f>
        <v>45960</v>
      </c>
      <c r="AG63" s="55"/>
      <c r="AH63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63" s="26">
        <v>1657.9788718809748</v>
      </c>
      <c r="AJ63" s="26">
        <f>IF(Données[[#This Row],[TYPE]]="Rehab","",Données[[#This Row],[Loyer mensuel]]*Données[[#This Row],[Retard Inauguration (m)]])</f>
        <v>0</v>
      </c>
      <c r="AN63"/>
      <c r="AR63"/>
      <c r="AS63"/>
      <c r="AT63"/>
      <c r="AV63"/>
      <c r="AW63"/>
      <c r="AY63"/>
      <c r="AZ63"/>
    </row>
    <row r="64" spans="1:52" x14ac:dyDescent="0.25">
      <c r="A64" s="63" t="s">
        <v>84</v>
      </c>
      <c r="B64" s="3" t="s">
        <v>38</v>
      </c>
      <c r="C64" s="27">
        <v>2021</v>
      </c>
      <c r="D64" s="3" t="s">
        <v>7</v>
      </c>
      <c r="E64" s="4">
        <f>Données[[#This Row],[LLS]]+Données[[#This Row],[LLTS]]+Données[[#This Row],[PLS]]+Données[[#This Row],[REHAB]]</f>
        <v>5</v>
      </c>
      <c r="F64" s="4">
        <f>Données[[#This Row],[LLS]]+Données[[#This Row],[LLTS]]+Données[[#This Row],[PLS]]</f>
        <v>5</v>
      </c>
      <c r="G64" s="5"/>
      <c r="H64" s="5">
        <v>5</v>
      </c>
      <c r="I64" s="5"/>
      <c r="J64" s="5"/>
      <c r="K64" s="7" t="s">
        <v>37</v>
      </c>
      <c r="L64" s="54">
        <v>44553</v>
      </c>
      <c r="M64" s="58">
        <v>45383</v>
      </c>
      <c r="N64" s="10"/>
      <c r="O64" s="6">
        <f>IFERROR((DATEDIF(Données[[#This Row],[Arrêté LBU]],Données[[#This Row],[OS démarrage]],"d"))/30,0)</f>
        <v>27.666666666666668</v>
      </c>
      <c r="P64" s="29">
        <v>24</v>
      </c>
      <c r="Q64" s="12">
        <f>DATEDIF(Données[[#This Row],[OS démarrage]],Données[[#This Row],[Date réception entreprise recalée]],"M")</f>
        <v>25</v>
      </c>
      <c r="R64" s="13"/>
      <c r="S64" s="14">
        <f>EDATE(Données[[#This Row],[OS démarrage]],Données[[#This Row],[Délai chantier initial]])</f>
        <v>46113</v>
      </c>
      <c r="T64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46143</v>
      </c>
      <c r="U64" s="16">
        <f>EDATE(Données[[#This Row],[Date réception entreprise recalée]],12)</f>
        <v>46508</v>
      </c>
      <c r="V64" s="17">
        <f>(Données[[#This Row],[Date réception entreprise recalée]]-Données[[#This Row],[Date réception entreprise prévue initialement]])/30</f>
        <v>1</v>
      </c>
      <c r="W64" s="44">
        <f>Données[[#This Row],[Date réception entreprise recalée]]</f>
        <v>46143</v>
      </c>
      <c r="X64" s="19">
        <f>Données[[#This Row],[Date achèvement VEFA]]</f>
        <v>46143</v>
      </c>
      <c r="Y64" s="19">
        <f>Données[[#This Row],[Date achèvement VEFA]]</f>
        <v>46143</v>
      </c>
      <c r="Z64" s="19">
        <f>Données[[#This Row],[Date achèvement VEFA]]</f>
        <v>46143</v>
      </c>
      <c r="AA64" s="20">
        <f>IF(Données[[#This Row],[TYPE]]="Rehab",0,IFERROR((Données[[#This Row],[Date Livraison VEFA estimée avec retards constatés]]-Données[[#This Row],[Date livraison contractuelle y/c avenant]])/30,"-"))</f>
        <v>0</v>
      </c>
      <c r="AB64" s="21">
        <f>IF(Données[[#This Row],[TYPE]]="Rehab",0,Données[[#This Row],[Date Livraison VEFA estimée avec retards constatés]]-Données[[#This Row],[Date livraison contractuelle y/c avenant]])</f>
        <v>0</v>
      </c>
      <c r="AC64" s="22"/>
      <c r="AD64" s="23" t="str">
        <f>IF(AND(Données[[#This Row],[TYPE]]&lt;&gt;"Rehab",Données[[#This Row],[Achèvement fondations]]&lt;&gt;""),EDATE(Données[[#This Row],[Achèvement fondations]],24),"")</f>
        <v/>
      </c>
      <c r="AE64" s="30">
        <f>IF(Données[[#This Row],[VEFA / PROPRE]]="vefa",EDATE(Données[[#This Row],[Date Livraison initiale VEFA]],1),EDATE(Données[[#This Row],[Date réception entreprise prévue initialement]],1))</f>
        <v>46174</v>
      </c>
      <c r="AF64" s="24">
        <f>IF(Données[[#This Row],[VEFA / PROPRE]]="VEFA",EDATE(Données[[#This Row],[Date Livraison VEFA estimée avec retards constatés]],1),EDATE(Données[[#This Row],[Date réception entreprise recalée]],1))</f>
        <v>46174</v>
      </c>
      <c r="AG64" s="55"/>
      <c r="AH64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64" s="26"/>
      <c r="AJ64" s="26">
        <f>IF(Données[[#This Row],[TYPE]]="Rehab","",Données[[#This Row],[Loyer mensuel]]*Données[[#This Row],[Retard Inauguration (m)]])</f>
        <v>0</v>
      </c>
      <c r="AN64"/>
      <c r="AR64"/>
      <c r="AS64"/>
      <c r="AT64"/>
      <c r="AV64"/>
      <c r="AW64"/>
      <c r="AY64"/>
      <c r="AZ64"/>
    </row>
    <row r="65" spans="1:52" x14ac:dyDescent="0.25">
      <c r="A65" s="99" t="s">
        <v>72</v>
      </c>
      <c r="B65" s="3" t="s">
        <v>38</v>
      </c>
      <c r="C65" s="27">
        <v>2021</v>
      </c>
      <c r="D65" s="3" t="s">
        <v>7</v>
      </c>
      <c r="E65" s="4">
        <f>Données[[#This Row],[LLS]]+Données[[#This Row],[LLTS]]+Données[[#This Row],[PLS]]+Données[[#This Row],[REHAB]]</f>
        <v>48</v>
      </c>
      <c r="F65" s="4">
        <f>Données[[#This Row],[LLS]]+Données[[#This Row],[LLTS]]+Données[[#This Row],[PLS]]</f>
        <v>48</v>
      </c>
      <c r="G65" s="5"/>
      <c r="H65" s="5">
        <v>48</v>
      </c>
      <c r="I65" s="5"/>
      <c r="J65" s="5"/>
      <c r="K65" s="7" t="s">
        <v>37</v>
      </c>
      <c r="L65" s="54">
        <v>44545</v>
      </c>
      <c r="M65" s="58">
        <v>45383</v>
      </c>
      <c r="N65" s="10"/>
      <c r="O65" s="6">
        <f>IFERROR((DATEDIF(Données[[#This Row],[Arrêté LBU]],Données[[#This Row],[OS démarrage]],"d"))/30,0)</f>
        <v>27.933333333333334</v>
      </c>
      <c r="P65" s="29">
        <v>24</v>
      </c>
      <c r="Q65" s="12">
        <f>DATEDIF(Données[[#This Row],[OS démarrage]],Données[[#This Row],[Date réception entreprise recalée]],"M")</f>
        <v>25</v>
      </c>
      <c r="R65" s="13"/>
      <c r="S65" s="14">
        <f>EDATE(Données[[#This Row],[OS démarrage]],Données[[#This Row],[Délai chantier initial]])</f>
        <v>46113</v>
      </c>
      <c r="T65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46143</v>
      </c>
      <c r="U65" s="16">
        <f>EDATE(Données[[#This Row],[Date réception entreprise recalée]],12)</f>
        <v>46508</v>
      </c>
      <c r="V65" s="17">
        <f>(Données[[#This Row],[Date réception entreprise recalée]]-Données[[#This Row],[Date réception entreprise prévue initialement]])/30</f>
        <v>1</v>
      </c>
      <c r="W65" s="44">
        <f>Données[[#This Row],[Date réception entreprise recalée]]</f>
        <v>46143</v>
      </c>
      <c r="X65" s="19">
        <f>Données[[#This Row],[Date achèvement VEFA]]</f>
        <v>46143</v>
      </c>
      <c r="Y65" s="19">
        <f>Données[[#This Row],[Date achèvement VEFA]]</f>
        <v>46143</v>
      </c>
      <c r="Z65" s="19">
        <f>Données[[#This Row],[Date achèvement VEFA]]</f>
        <v>46143</v>
      </c>
      <c r="AA65" s="20">
        <f>IF(Données[[#This Row],[TYPE]]="Rehab",0,IFERROR((Données[[#This Row],[Date Livraison VEFA estimée avec retards constatés]]-Données[[#This Row],[Date livraison contractuelle y/c avenant]])/30,"-"))</f>
        <v>0</v>
      </c>
      <c r="AB65" s="21">
        <f>IF(Données[[#This Row],[TYPE]]="Rehab",0,Données[[#This Row],[Date Livraison VEFA estimée avec retards constatés]]-Données[[#This Row],[Date livraison contractuelle y/c avenant]])</f>
        <v>0</v>
      </c>
      <c r="AC65" s="22"/>
      <c r="AD65" s="23" t="str">
        <f>IF(AND(Données[[#This Row],[TYPE]]&lt;&gt;"Rehab",Données[[#This Row],[Achèvement fondations]]&lt;&gt;""),EDATE(Données[[#This Row],[Achèvement fondations]],24),"")</f>
        <v/>
      </c>
      <c r="AE65" s="30">
        <f>IF(Données[[#This Row],[VEFA / PROPRE]]="vefa",EDATE(Données[[#This Row],[Date Livraison initiale VEFA]],1),EDATE(Données[[#This Row],[Date réception entreprise prévue initialement]],1))</f>
        <v>46174</v>
      </c>
      <c r="AF65" s="24">
        <f>IF(Données[[#This Row],[VEFA / PROPRE]]="VEFA",EDATE(Données[[#This Row],[Date Livraison VEFA estimée avec retards constatés]],1),EDATE(Données[[#This Row],[Date réception entreprise recalée]],1))</f>
        <v>46174</v>
      </c>
      <c r="AG65" s="55"/>
      <c r="AH65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65" s="26"/>
      <c r="AJ65" s="26">
        <f>IF(Données[[#This Row],[TYPE]]="Rehab","",Données[[#This Row],[Loyer mensuel]]*Données[[#This Row],[Retard Inauguration (m)]])</f>
        <v>0</v>
      </c>
      <c r="AN65"/>
      <c r="AR65"/>
      <c r="AS65"/>
      <c r="AT65"/>
      <c r="AV65"/>
      <c r="AW65"/>
      <c r="AY65"/>
      <c r="AZ65"/>
    </row>
    <row r="66" spans="1:52" x14ac:dyDescent="0.25">
      <c r="A66" s="42" t="s">
        <v>75</v>
      </c>
      <c r="B66" s="3" t="s">
        <v>38</v>
      </c>
      <c r="C66" s="3">
        <v>2022</v>
      </c>
      <c r="D66" s="3" t="s">
        <v>7</v>
      </c>
      <c r="E66" s="4">
        <f>Données[[#This Row],[LLS]]+Données[[#This Row],[LLTS]]+Données[[#This Row],[PLS]]+Données[[#This Row],[REHAB]]</f>
        <v>18</v>
      </c>
      <c r="F66" s="4">
        <f>Données[[#This Row],[LLS]]+Données[[#This Row],[LLTS]]+Données[[#This Row],[PLS]]</f>
        <v>18</v>
      </c>
      <c r="G66" s="5"/>
      <c r="H66" s="5">
        <v>18</v>
      </c>
      <c r="I66" s="5"/>
      <c r="J66" s="5"/>
      <c r="K66" s="7" t="s">
        <v>37</v>
      </c>
      <c r="L66" s="54">
        <v>44701</v>
      </c>
      <c r="M66" s="58">
        <v>45536</v>
      </c>
      <c r="N66" s="10"/>
      <c r="O66" s="6">
        <f>IFERROR((DATEDIF(Données[[#This Row],[Arrêté LBU]],Données[[#This Row],[OS démarrage]],"d"))/30,0)</f>
        <v>27.833333333333332</v>
      </c>
      <c r="P66" s="29">
        <v>24</v>
      </c>
      <c r="Q66" s="12">
        <f>DATEDIF(Données[[#This Row],[OS démarrage]],Données[[#This Row],[Date réception entreprise recalée]],"M")</f>
        <v>25</v>
      </c>
      <c r="R66" s="13"/>
      <c r="S66" s="14">
        <f>EDATE(Données[[#This Row],[OS démarrage]],Données[[#This Row],[Délai chantier initial]])</f>
        <v>46266</v>
      </c>
      <c r="T66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46296</v>
      </c>
      <c r="U66" s="16">
        <f>EDATE(Données[[#This Row],[Date réception entreprise recalée]],12)</f>
        <v>46661</v>
      </c>
      <c r="V66" s="17">
        <f>(Données[[#This Row],[Date réception entreprise recalée]]-Données[[#This Row],[Date réception entreprise prévue initialement]])/30</f>
        <v>1</v>
      </c>
      <c r="W66" s="44">
        <f>Données[[#This Row],[Date réception entreprise recalée]]</f>
        <v>46296</v>
      </c>
      <c r="X66" s="19">
        <f>Données[[#This Row],[Date achèvement VEFA]]</f>
        <v>46296</v>
      </c>
      <c r="Y66" s="19">
        <f>Données[[#This Row],[Date achèvement VEFA]]</f>
        <v>46296</v>
      </c>
      <c r="Z66" s="19">
        <f>Données[[#This Row],[Date achèvement VEFA]]</f>
        <v>46296</v>
      </c>
      <c r="AA66" s="20">
        <f>IF(Données[[#This Row],[TYPE]]="Rehab",0,IFERROR((Données[[#This Row],[Date Livraison VEFA estimée avec retards constatés]]-Données[[#This Row],[Date livraison contractuelle y/c avenant]])/30,"-"))</f>
        <v>0</v>
      </c>
      <c r="AB66" s="21">
        <f>IF(Données[[#This Row],[TYPE]]="Rehab",0,Données[[#This Row],[Date Livraison VEFA estimée avec retards constatés]]-Données[[#This Row],[Date livraison contractuelle y/c avenant]])</f>
        <v>0</v>
      </c>
      <c r="AC66" s="22"/>
      <c r="AD66" s="23" t="str">
        <f>IF(AND(Données[[#This Row],[TYPE]]&lt;&gt;"Rehab",Données[[#This Row],[Achèvement fondations]]&lt;&gt;""),EDATE(Données[[#This Row],[Achèvement fondations]],24),"")</f>
        <v/>
      </c>
      <c r="AE66" s="30">
        <f>IF(Données[[#This Row],[VEFA / PROPRE]]="vefa",EDATE(Données[[#This Row],[Date Livraison initiale VEFA]],1),EDATE(Données[[#This Row],[Date réception entreprise prévue initialement]],1))</f>
        <v>46327</v>
      </c>
      <c r="AF66" s="24">
        <f>IF(Données[[#This Row],[VEFA / PROPRE]]="VEFA",EDATE(Données[[#This Row],[Date Livraison VEFA estimée avec retards constatés]],1),EDATE(Données[[#This Row],[Date réception entreprise recalée]],1))</f>
        <v>46327</v>
      </c>
      <c r="AG66" s="55"/>
      <c r="AH66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66" s="26"/>
      <c r="AJ66" s="26">
        <f>IF(Données[[#This Row],[TYPE]]="Rehab","",Données[[#This Row],[Loyer mensuel]]*Données[[#This Row],[Retard Inauguration (m)]])</f>
        <v>0</v>
      </c>
      <c r="AN66"/>
      <c r="AR66"/>
      <c r="AS66"/>
      <c r="AT66"/>
      <c r="AV66"/>
      <c r="AW66"/>
      <c r="AY66"/>
      <c r="AZ66"/>
    </row>
    <row r="67" spans="1:52" x14ac:dyDescent="0.25">
      <c r="A67" s="4" t="s">
        <v>74</v>
      </c>
      <c r="B67" s="3" t="s">
        <v>38</v>
      </c>
      <c r="C67" s="3">
        <v>2022</v>
      </c>
      <c r="D67" s="3" t="s">
        <v>7</v>
      </c>
      <c r="E67" s="4">
        <f>Données[[#This Row],[LLS]]+Données[[#This Row],[LLTS]]+Données[[#This Row],[PLS]]+Données[[#This Row],[REHAB]]</f>
        <v>18</v>
      </c>
      <c r="F67" s="4">
        <f>Données[[#This Row],[LLS]]+Données[[#This Row],[LLTS]]+Données[[#This Row],[PLS]]</f>
        <v>18</v>
      </c>
      <c r="G67" s="5"/>
      <c r="H67" s="5">
        <v>18</v>
      </c>
      <c r="I67" s="5"/>
      <c r="J67" s="5"/>
      <c r="K67" s="7" t="s">
        <v>39</v>
      </c>
      <c r="L67" s="54">
        <v>44804</v>
      </c>
      <c r="M67" s="58">
        <v>45550</v>
      </c>
      <c r="N67" s="10"/>
      <c r="O67" s="6">
        <f>IFERROR((DATEDIF(Données[[#This Row],[Arrêté LBU]],Données[[#This Row],[OS démarrage]],"d"))/30,0)</f>
        <v>24.866666666666667</v>
      </c>
      <c r="P67" s="29">
        <v>20</v>
      </c>
      <c r="Q67" s="12">
        <f>DATEDIF(Données[[#This Row],[OS démarrage]],Données[[#This Row],[Date réception entreprise recalée]],"M")</f>
        <v>21</v>
      </c>
      <c r="R67" s="13"/>
      <c r="S67" s="14">
        <f>EDATE(Données[[#This Row],[OS démarrage]],Données[[#This Row],[Délai chantier initial]])</f>
        <v>46157</v>
      </c>
      <c r="T67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46188</v>
      </c>
      <c r="U67" s="16">
        <f>EDATE(Données[[#This Row],[Date réception entreprise recalée]],12)</f>
        <v>46553</v>
      </c>
      <c r="V67" s="17">
        <f>(Données[[#This Row],[Date réception entreprise recalée]]-Données[[#This Row],[Date réception entreprise prévue initialement]])/30</f>
        <v>1.0333333333333334</v>
      </c>
      <c r="W67" s="44"/>
      <c r="X67" s="19"/>
      <c r="Y67" s="19"/>
      <c r="Z67" s="19"/>
      <c r="AA67" s="20">
        <f>IF(Données[[#This Row],[TYPE]]="Rehab",0,IFERROR((Données[[#This Row],[Date Livraison VEFA estimée avec retards constatés]]-Données[[#This Row],[Date livraison contractuelle y/c avenant]])/30,"-"))</f>
        <v>0</v>
      </c>
      <c r="AB67" s="21">
        <f>IF(Données[[#This Row],[TYPE]]="Rehab",0,Données[[#This Row],[Date Livraison VEFA estimée avec retards constatés]]-Données[[#This Row],[Date livraison contractuelle y/c avenant]])</f>
        <v>0</v>
      </c>
      <c r="AC67" s="22"/>
      <c r="AD67" s="23" t="str">
        <f>IF(AND(Données[[#This Row],[TYPE]]&lt;&gt;"Rehab",Données[[#This Row],[Achèvement fondations]]&lt;&gt;""),EDATE(Données[[#This Row],[Achèvement fondations]],24),"")</f>
        <v/>
      </c>
      <c r="AE67" s="30">
        <f>IF(Données[[#This Row],[VEFA / PROPRE]]="vefa",EDATE(Données[[#This Row],[Date Livraison initiale VEFA]],1),EDATE(Données[[#This Row],[Date réception entreprise prévue initialement]],1))</f>
        <v>46188</v>
      </c>
      <c r="AF67" s="24">
        <f>IF(Données[[#This Row],[VEFA / PROPRE]]="VEFA",EDATE(Données[[#This Row],[Date Livraison VEFA estimée avec retards constatés]],1),EDATE(Données[[#This Row],[Date réception entreprise recalée]],1))</f>
        <v>46218</v>
      </c>
      <c r="AG67" s="55"/>
      <c r="AH67" s="26">
        <f>IF((Données[[#This Row],[Date inauguration recalée]]-Données[[#This Row],[Date inauguration initiale]])/30&lt;0,0,(Données[[#This Row],[Date inauguration recalée]]-Données[[#This Row],[Date inauguration initiale]])/30)</f>
        <v>1</v>
      </c>
      <c r="AI67" s="26"/>
      <c r="AJ67" s="26">
        <f>IF(Données[[#This Row],[TYPE]]="Rehab","",Données[[#This Row],[Loyer mensuel]]*Données[[#This Row],[Retard Inauguration (m)]])</f>
        <v>0</v>
      </c>
      <c r="AN67"/>
      <c r="AR67"/>
      <c r="AS67"/>
      <c r="AT67"/>
      <c r="AV67"/>
      <c r="AW67"/>
      <c r="AY67"/>
      <c r="AZ67"/>
    </row>
    <row r="68" spans="1:52" x14ac:dyDescent="0.25">
      <c r="A68" s="4" t="s">
        <v>41</v>
      </c>
      <c r="B68" s="3" t="s">
        <v>36</v>
      </c>
      <c r="C68" s="3">
        <v>2022</v>
      </c>
      <c r="D68" s="27" t="s">
        <v>7</v>
      </c>
      <c r="E68" s="4">
        <f>Données[[#This Row],[LLS]]+Données[[#This Row],[LLTS]]+Données[[#This Row],[PLS]]+Données[[#This Row],[REHAB]]</f>
        <v>18</v>
      </c>
      <c r="F68" s="4">
        <f>Données[[#This Row],[LLS]]+Données[[#This Row],[LLTS]]+Données[[#This Row],[PLS]]</f>
        <v>18</v>
      </c>
      <c r="G68" s="5"/>
      <c r="H68" s="5">
        <v>18</v>
      </c>
      <c r="I68" s="5"/>
      <c r="J68" s="5"/>
      <c r="K68" s="7" t="s">
        <v>39</v>
      </c>
      <c r="L68" s="54">
        <v>44735</v>
      </c>
      <c r="M68" s="58">
        <v>45458</v>
      </c>
      <c r="N68" s="10"/>
      <c r="O68" s="6">
        <f>IFERROR((DATEDIF(Données[[#This Row],[Arrêté LBU]],Données[[#This Row],[OS démarrage]],"d"))/30,0)</f>
        <v>24.1</v>
      </c>
      <c r="P68" s="29">
        <v>20</v>
      </c>
      <c r="Q68" s="12">
        <f>DATEDIF(Données[[#This Row],[OS démarrage]],Données[[#This Row],[Date réception entreprise recalée]],"M")</f>
        <v>21</v>
      </c>
      <c r="R68" s="13"/>
      <c r="S68" s="14">
        <f>EDATE(Données[[#This Row],[OS démarrage]],Données[[#This Row],[Délai chantier initial]])</f>
        <v>46068</v>
      </c>
      <c r="T68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46096</v>
      </c>
      <c r="U68" s="16">
        <f>EDATE(Données[[#This Row],[Date réception entreprise recalée]],12)</f>
        <v>46461</v>
      </c>
      <c r="V68" s="17">
        <f>(Données[[#This Row],[Date réception entreprise recalée]]-Données[[#This Row],[Date réception entreprise prévue initialement]])/30</f>
        <v>0.93333333333333335</v>
      </c>
      <c r="W68" s="44"/>
      <c r="X68" s="19"/>
      <c r="Y68" s="19"/>
      <c r="Z68" s="19"/>
      <c r="AA68" s="20">
        <f>IF(Données[[#This Row],[TYPE]]="Rehab",0,IFERROR((Données[[#This Row],[Date Livraison VEFA estimée avec retards constatés]]-Données[[#This Row],[Date livraison contractuelle y/c avenant]])/30,"-"))</f>
        <v>0</v>
      </c>
      <c r="AB68" s="21">
        <f>IF(Données[[#This Row],[TYPE]]="Rehab",0,Données[[#This Row],[Date Livraison VEFA estimée avec retards constatés]]-Données[[#This Row],[Date livraison contractuelle y/c avenant]])</f>
        <v>0</v>
      </c>
      <c r="AC68" s="22"/>
      <c r="AD68" s="23" t="str">
        <f>IF(AND(Données[[#This Row],[TYPE]]&lt;&gt;"Rehab",Données[[#This Row],[Achèvement fondations]]&lt;&gt;""),EDATE(Données[[#This Row],[Achèvement fondations]],24),"")</f>
        <v/>
      </c>
      <c r="AE68" s="30">
        <f>IF(Données[[#This Row],[VEFA / PROPRE]]="vefa",EDATE(Données[[#This Row],[Date Livraison initiale VEFA]],1),EDATE(Données[[#This Row],[Date réception entreprise prévue initialement]],1))</f>
        <v>46096</v>
      </c>
      <c r="AF68" s="24">
        <f>IF(Données[[#This Row],[VEFA / PROPRE]]="VEFA",EDATE(Données[[#This Row],[Date Livraison VEFA estimée avec retards constatés]],1),EDATE(Données[[#This Row],[Date réception entreprise recalée]],1))</f>
        <v>46127</v>
      </c>
      <c r="AG68" s="55"/>
      <c r="AH68" s="26">
        <f>IF((Données[[#This Row],[Date inauguration recalée]]-Données[[#This Row],[Date inauguration initiale]])/30&lt;0,0,(Données[[#This Row],[Date inauguration recalée]]-Données[[#This Row],[Date inauguration initiale]])/30)</f>
        <v>1.0333333333333334</v>
      </c>
      <c r="AI68" s="26"/>
      <c r="AJ68" s="26">
        <f>IF(Données[[#This Row],[TYPE]]="Rehab","",Données[[#This Row],[Loyer mensuel]]*Données[[#This Row],[Retard Inauguration (m)]])</f>
        <v>0</v>
      </c>
      <c r="AN68"/>
      <c r="AR68"/>
      <c r="AS68"/>
      <c r="AT68"/>
      <c r="AV68"/>
      <c r="AW68"/>
      <c r="AY68"/>
      <c r="AZ68"/>
    </row>
    <row r="69" spans="1:52" x14ac:dyDescent="0.25">
      <c r="A69" s="95" t="s">
        <v>57</v>
      </c>
      <c r="B69" s="3" t="s">
        <v>36</v>
      </c>
      <c r="C69" s="3">
        <v>2023</v>
      </c>
      <c r="D69" s="3" t="s">
        <v>7</v>
      </c>
      <c r="E69" s="4">
        <f>Données[[#This Row],[LLS]]+Données[[#This Row],[LLTS]]+Données[[#This Row],[PLS]]+Données[[#This Row],[REHAB]]</f>
        <v>21</v>
      </c>
      <c r="F69" s="4">
        <f>Données[[#This Row],[LLS]]+Données[[#This Row],[LLTS]]+Données[[#This Row],[PLS]]</f>
        <v>21</v>
      </c>
      <c r="G69" s="5"/>
      <c r="H69" s="5">
        <v>21</v>
      </c>
      <c r="I69" s="5"/>
      <c r="J69" s="5"/>
      <c r="K69" s="7" t="s">
        <v>37</v>
      </c>
      <c r="L69" s="8"/>
      <c r="M69" s="58">
        <v>45381</v>
      </c>
      <c r="N69" s="10"/>
      <c r="O69" s="6">
        <f>IFERROR((DATEDIF(Données[[#This Row],[Arrêté LBU]],Données[[#This Row],[OS démarrage]],"d"))/30,0)</f>
        <v>1512.7</v>
      </c>
      <c r="P69" s="29">
        <v>24</v>
      </c>
      <c r="Q69" s="12">
        <f>DATEDIF(Données[[#This Row],[OS démarrage]],Données[[#This Row],[Date réception entreprise recalée]],"M")</f>
        <v>25</v>
      </c>
      <c r="R69" s="13"/>
      <c r="S69" s="14">
        <f>EDATE(Données[[#This Row],[OS démarrage]],Données[[#This Row],[Délai chantier initial]])</f>
        <v>46111</v>
      </c>
      <c r="T69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46142</v>
      </c>
      <c r="U69" s="16">
        <f>EDATE(Données[[#This Row],[Date réception entreprise recalée]],12)</f>
        <v>46507</v>
      </c>
      <c r="V69" s="17">
        <f>(Données[[#This Row],[Date réception entreprise recalée]]-Données[[#This Row],[Date réception entreprise prévue initialement]])/30</f>
        <v>1.0333333333333334</v>
      </c>
      <c r="W69" s="44">
        <f>Données[[#This Row],[Date réception entreprise recalée]]</f>
        <v>46142</v>
      </c>
      <c r="X69" s="19">
        <f>Données[[#This Row],[Date achèvement VEFA]]</f>
        <v>46142</v>
      </c>
      <c r="Y69" s="19">
        <f>Données[[#This Row],[Date achèvement VEFA]]</f>
        <v>46142</v>
      </c>
      <c r="Z69" s="19">
        <f>Données[[#This Row],[Date achèvement VEFA]]</f>
        <v>46142</v>
      </c>
      <c r="AA69" s="20">
        <f>IF(Données[[#This Row],[TYPE]]="Rehab",0,IFERROR((Données[[#This Row],[Date Livraison VEFA estimée avec retards constatés]]-Données[[#This Row],[Date livraison contractuelle y/c avenant]])/30,"-"))</f>
        <v>0</v>
      </c>
      <c r="AB69" s="21">
        <f>IF(Données[[#This Row],[TYPE]]="Rehab",0,Données[[#This Row],[Date Livraison VEFA estimée avec retards constatés]]-Données[[#This Row],[Date livraison contractuelle y/c avenant]])</f>
        <v>0</v>
      </c>
      <c r="AC69" s="22"/>
      <c r="AD69" s="23" t="str">
        <f>IF(AND(Données[[#This Row],[TYPE]]&lt;&gt;"Rehab",Données[[#This Row],[Achèvement fondations]]&lt;&gt;""),EDATE(Données[[#This Row],[Achèvement fondations]],24),"")</f>
        <v/>
      </c>
      <c r="AE69" s="30">
        <f>IF(Données[[#This Row],[VEFA / PROPRE]]="vefa",EDATE(Données[[#This Row],[Date Livraison initiale VEFA]],1),EDATE(Données[[#This Row],[Date réception entreprise prévue initialement]],1))</f>
        <v>46172</v>
      </c>
      <c r="AF69" s="24">
        <f>IF(Données[[#This Row],[VEFA / PROPRE]]="VEFA",EDATE(Données[[#This Row],[Date Livraison VEFA estimée avec retards constatés]],1),EDATE(Données[[#This Row],[Date réception entreprise recalée]],1))</f>
        <v>46172</v>
      </c>
      <c r="AG69" s="60"/>
      <c r="AH69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69" s="26"/>
      <c r="AJ69" s="26">
        <f>IF(Données[[#This Row],[TYPE]]="Rehab","",Données[[#This Row],[Loyer mensuel]]*Données[[#This Row],[Retard Inauguration (m)]])</f>
        <v>0</v>
      </c>
      <c r="AN69"/>
      <c r="AR69"/>
      <c r="AS69"/>
      <c r="AT69"/>
      <c r="AV69"/>
      <c r="AW69"/>
      <c r="AY69"/>
      <c r="AZ69"/>
    </row>
    <row r="70" spans="1:52" x14ac:dyDescent="0.25">
      <c r="A70" s="95" t="s">
        <v>58</v>
      </c>
      <c r="B70" s="3" t="s">
        <v>38</v>
      </c>
      <c r="C70" s="3">
        <v>2023</v>
      </c>
      <c r="D70" s="3" t="s">
        <v>7</v>
      </c>
      <c r="E70" s="4">
        <f>Données[[#This Row],[LLS]]+Données[[#This Row],[LLTS]]+Données[[#This Row],[PLS]]+Données[[#This Row],[REHAB]]</f>
        <v>28</v>
      </c>
      <c r="F70" s="4">
        <f>Données[[#This Row],[LLS]]+Données[[#This Row],[LLTS]]+Données[[#This Row],[PLS]]</f>
        <v>28</v>
      </c>
      <c r="G70" s="5"/>
      <c r="H70" s="5">
        <v>28</v>
      </c>
      <c r="I70" s="5"/>
      <c r="J70" s="5"/>
      <c r="K70" s="7" t="s">
        <v>37</v>
      </c>
      <c r="L70" s="54">
        <v>45203</v>
      </c>
      <c r="M70" s="58">
        <v>45383</v>
      </c>
      <c r="N70" s="10"/>
      <c r="O70" s="6">
        <f>IFERROR((DATEDIF(Données[[#This Row],[Arrêté LBU]],Données[[#This Row],[OS démarrage]],"d"))/30,0)</f>
        <v>6</v>
      </c>
      <c r="P70" s="29">
        <v>24</v>
      </c>
      <c r="Q70" s="12">
        <f>DATEDIF(Données[[#This Row],[OS démarrage]],Données[[#This Row],[Date réception entreprise recalée]],"M")</f>
        <v>25</v>
      </c>
      <c r="R70" s="13"/>
      <c r="S70" s="14">
        <f>EDATE(Données[[#This Row],[OS démarrage]],Données[[#This Row],[Délai chantier initial]])</f>
        <v>46113</v>
      </c>
      <c r="T70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46143</v>
      </c>
      <c r="U70" s="16">
        <f>EDATE(Données[[#This Row],[Date réception entreprise recalée]],12)</f>
        <v>46508</v>
      </c>
      <c r="V70" s="17">
        <f>(Données[[#This Row],[Date réception entreprise recalée]]-Données[[#This Row],[Date réception entreprise prévue initialement]])/30</f>
        <v>1</v>
      </c>
      <c r="W70" s="44">
        <f>Données[[#This Row],[Date réception entreprise recalée]]</f>
        <v>46143</v>
      </c>
      <c r="X70" s="19">
        <f>Données[[#This Row],[Date achèvement VEFA]]</f>
        <v>46143</v>
      </c>
      <c r="Y70" s="19">
        <f>Données[[#This Row],[Date achèvement VEFA]]</f>
        <v>46143</v>
      </c>
      <c r="Z70" s="19">
        <f>Données[[#This Row],[Date achèvement VEFA]]</f>
        <v>46143</v>
      </c>
      <c r="AA70" s="20">
        <f>IF(Données[[#This Row],[TYPE]]="Rehab",0,IFERROR((Données[[#This Row],[Date Livraison VEFA estimée avec retards constatés]]-Données[[#This Row],[Date livraison contractuelle y/c avenant]])/30,"-"))</f>
        <v>0</v>
      </c>
      <c r="AB70" s="21">
        <f>IF(Données[[#This Row],[TYPE]]="Rehab",0,Données[[#This Row],[Date Livraison VEFA estimée avec retards constatés]]-Données[[#This Row],[Date livraison contractuelle y/c avenant]])</f>
        <v>0</v>
      </c>
      <c r="AC70" s="22"/>
      <c r="AD70" s="23" t="str">
        <f>IF(AND(Données[[#This Row],[TYPE]]&lt;&gt;"Rehab",Données[[#This Row],[Achèvement fondations]]&lt;&gt;""),EDATE(Données[[#This Row],[Achèvement fondations]],24),"")</f>
        <v/>
      </c>
      <c r="AE70" s="30">
        <f>IF(Données[[#This Row],[VEFA / PROPRE]]="vefa",EDATE(Données[[#This Row],[Date Livraison initiale VEFA]],1),EDATE(Données[[#This Row],[Date réception entreprise prévue initialement]],1))</f>
        <v>46174</v>
      </c>
      <c r="AF70" s="24">
        <f>IF(Données[[#This Row],[VEFA / PROPRE]]="VEFA",EDATE(Données[[#This Row],[Date Livraison VEFA estimée avec retards constatés]],1),EDATE(Données[[#This Row],[Date réception entreprise recalée]],1))</f>
        <v>46174</v>
      </c>
      <c r="AG70" s="55"/>
      <c r="AH70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70" s="26"/>
      <c r="AJ70" s="26">
        <f>IF(Données[[#This Row],[TYPE]]="Rehab","",Données[[#This Row],[Loyer mensuel]]*Données[[#This Row],[Retard Inauguration (m)]])</f>
        <v>0</v>
      </c>
      <c r="AN70"/>
      <c r="AR70"/>
      <c r="AS70"/>
      <c r="AT70"/>
      <c r="AV70"/>
      <c r="AW70"/>
      <c r="AY70"/>
      <c r="AZ70"/>
    </row>
    <row r="71" spans="1:52" x14ac:dyDescent="0.25">
      <c r="A71" s="95" t="s">
        <v>59</v>
      </c>
      <c r="B71" s="3" t="s">
        <v>38</v>
      </c>
      <c r="C71" s="3">
        <v>2023</v>
      </c>
      <c r="D71" s="3" t="s">
        <v>7</v>
      </c>
      <c r="E71" s="4">
        <f>Données[[#This Row],[LLS]]+Données[[#This Row],[LLTS]]+Données[[#This Row],[PLS]]+Données[[#This Row],[REHAB]]</f>
        <v>38</v>
      </c>
      <c r="F71" s="4">
        <f>Données[[#This Row],[LLS]]+Données[[#This Row],[LLTS]]+Données[[#This Row],[PLS]]</f>
        <v>38</v>
      </c>
      <c r="G71" s="5"/>
      <c r="H71" s="5">
        <v>38</v>
      </c>
      <c r="I71" s="5"/>
      <c r="J71" s="5"/>
      <c r="K71" s="7" t="s">
        <v>37</v>
      </c>
      <c r="L71" s="8"/>
      <c r="M71" s="58">
        <v>45444</v>
      </c>
      <c r="N71" s="10"/>
      <c r="O71" s="6">
        <f>IFERROR((DATEDIF(Données[[#This Row],[Arrêté LBU]],Données[[#This Row],[OS démarrage]],"d"))/30,0)</f>
        <v>1514.8</v>
      </c>
      <c r="P71" s="29">
        <v>24</v>
      </c>
      <c r="Q71" s="12">
        <f>DATEDIF(Données[[#This Row],[OS démarrage]],Données[[#This Row],[Date réception entreprise recalée]],"M")</f>
        <v>25</v>
      </c>
      <c r="R71" s="13"/>
      <c r="S71" s="14">
        <f>EDATE(Données[[#This Row],[OS démarrage]],Données[[#This Row],[Délai chantier initial]])</f>
        <v>46174</v>
      </c>
      <c r="T71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46204</v>
      </c>
      <c r="U71" s="16">
        <f>EDATE(Données[[#This Row],[Date réception entreprise recalée]],12)</f>
        <v>46569</v>
      </c>
      <c r="V71" s="17">
        <f>(Données[[#This Row],[Date réception entreprise recalée]]-Données[[#This Row],[Date réception entreprise prévue initialement]])/30</f>
        <v>1</v>
      </c>
      <c r="W71" s="44">
        <f>Données[[#This Row],[Date réception entreprise recalée]]</f>
        <v>46204</v>
      </c>
      <c r="X71" s="19">
        <f>Données[[#This Row],[Date achèvement VEFA]]</f>
        <v>46204</v>
      </c>
      <c r="Y71" s="19">
        <f>Données[[#This Row],[Date achèvement VEFA]]</f>
        <v>46204</v>
      </c>
      <c r="Z71" s="19">
        <f>Données[[#This Row],[Date achèvement VEFA]]</f>
        <v>46204</v>
      </c>
      <c r="AA71" s="20">
        <f>IF(Données[[#This Row],[TYPE]]="Rehab",0,IFERROR((Données[[#This Row],[Date Livraison VEFA estimée avec retards constatés]]-Données[[#This Row],[Date livraison contractuelle y/c avenant]])/30,"-"))</f>
        <v>0</v>
      </c>
      <c r="AB71" s="21">
        <f>IF(Données[[#This Row],[TYPE]]="Rehab",0,Données[[#This Row],[Date Livraison VEFA estimée avec retards constatés]]-Données[[#This Row],[Date livraison contractuelle y/c avenant]])</f>
        <v>0</v>
      </c>
      <c r="AC71" s="22"/>
      <c r="AD71" s="23" t="str">
        <f>IF(AND(Données[[#This Row],[TYPE]]&lt;&gt;"Rehab",Données[[#This Row],[Achèvement fondations]]&lt;&gt;""),EDATE(Données[[#This Row],[Achèvement fondations]],24),"")</f>
        <v/>
      </c>
      <c r="AE71" s="30">
        <f>IF(Données[[#This Row],[VEFA / PROPRE]]="vefa",EDATE(Données[[#This Row],[Date Livraison initiale VEFA]],1),EDATE(Données[[#This Row],[Date réception entreprise prévue initialement]],1))</f>
        <v>46235</v>
      </c>
      <c r="AF71" s="24">
        <f>IF(Données[[#This Row],[VEFA / PROPRE]]="VEFA",EDATE(Données[[#This Row],[Date Livraison VEFA estimée avec retards constatés]],1),EDATE(Données[[#This Row],[Date réception entreprise recalée]],1))</f>
        <v>46235</v>
      </c>
      <c r="AG71" s="55"/>
      <c r="AH71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71" s="26"/>
      <c r="AJ71" s="26">
        <f>IF(Données[[#This Row],[TYPE]]="Rehab","",Données[[#This Row],[Loyer mensuel]]*Données[[#This Row],[Retard Inauguration (m)]])</f>
        <v>0</v>
      </c>
      <c r="AN71"/>
      <c r="AR71"/>
      <c r="AS71"/>
      <c r="AT71"/>
      <c r="AV71"/>
      <c r="AW71"/>
      <c r="AY71"/>
      <c r="AZ71"/>
    </row>
    <row r="72" spans="1:52" x14ac:dyDescent="0.25">
      <c r="A72" s="5" t="s">
        <v>60</v>
      </c>
      <c r="B72" s="3" t="s">
        <v>43</v>
      </c>
      <c r="C72" s="3">
        <v>2023</v>
      </c>
      <c r="D72" s="3" t="s">
        <v>7</v>
      </c>
      <c r="E72" s="4">
        <f>Données[[#This Row],[LLS]]+Données[[#This Row],[LLTS]]+Données[[#This Row],[PLS]]+Données[[#This Row],[REHAB]]</f>
        <v>18</v>
      </c>
      <c r="F72" s="4">
        <f>Données[[#This Row],[LLS]]+Données[[#This Row],[LLTS]]+Données[[#This Row],[PLS]]</f>
        <v>18</v>
      </c>
      <c r="G72" s="5"/>
      <c r="H72" s="5">
        <v>18</v>
      </c>
      <c r="I72" s="5"/>
      <c r="J72" s="5"/>
      <c r="K72" s="7" t="s">
        <v>39</v>
      </c>
      <c r="L72" s="54">
        <v>45140</v>
      </c>
      <c r="M72" s="58">
        <v>45550</v>
      </c>
      <c r="N72" s="10"/>
      <c r="O72" s="6">
        <f>IFERROR((DATEDIF(Données[[#This Row],[Arrêté LBU]],Données[[#This Row],[OS démarrage]],"d"))/30,0)</f>
        <v>13.666666666666666</v>
      </c>
      <c r="P72" s="29">
        <v>20</v>
      </c>
      <c r="Q72" s="12">
        <f>DATEDIF(Données[[#This Row],[OS démarrage]],Données[[#This Row],[Date réception entreprise recalée]],"M")</f>
        <v>21</v>
      </c>
      <c r="R72" s="13"/>
      <c r="S72" s="14">
        <f>EDATE(Données[[#This Row],[OS démarrage]],Données[[#This Row],[Délai chantier initial]])</f>
        <v>46157</v>
      </c>
      <c r="T72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46188</v>
      </c>
      <c r="U72" s="16">
        <f>EDATE(Données[[#This Row],[Date réception entreprise recalée]],12)</f>
        <v>46553</v>
      </c>
      <c r="V72" s="17">
        <f>(Données[[#This Row],[Date réception entreprise recalée]]-Données[[#This Row],[Date réception entreprise prévue initialement]])/30</f>
        <v>1.0333333333333334</v>
      </c>
      <c r="W72" s="44"/>
      <c r="X72" s="19"/>
      <c r="Y72" s="19"/>
      <c r="Z72" s="19"/>
      <c r="AA72" s="20">
        <f>IF(Données[[#This Row],[TYPE]]="Rehab",0,IFERROR((Données[[#This Row],[Date Livraison VEFA estimée avec retards constatés]]-Données[[#This Row],[Date livraison contractuelle y/c avenant]])/30,"-"))</f>
        <v>0</v>
      </c>
      <c r="AB72" s="21">
        <f>IF(Données[[#This Row],[TYPE]]="Rehab",0,Données[[#This Row],[Date Livraison VEFA estimée avec retards constatés]]-Données[[#This Row],[Date livraison contractuelle y/c avenant]])</f>
        <v>0</v>
      </c>
      <c r="AC72" s="22"/>
      <c r="AD72" s="23" t="str">
        <f>IF(AND(Données[[#This Row],[TYPE]]&lt;&gt;"Rehab",Données[[#This Row],[Achèvement fondations]]&lt;&gt;""),EDATE(Données[[#This Row],[Achèvement fondations]],24),"")</f>
        <v/>
      </c>
      <c r="AE72" s="30">
        <f>IF(Données[[#This Row],[VEFA / PROPRE]]="vefa",EDATE(Données[[#This Row],[Date Livraison initiale VEFA]],1),EDATE(Données[[#This Row],[Date réception entreprise prévue initialement]],1))</f>
        <v>46188</v>
      </c>
      <c r="AF72" s="24">
        <f>IF(Données[[#This Row],[VEFA / PROPRE]]="VEFA",EDATE(Données[[#This Row],[Date Livraison VEFA estimée avec retards constatés]],1),EDATE(Données[[#This Row],[Date réception entreprise recalée]],1))</f>
        <v>46218</v>
      </c>
      <c r="AG72" s="55"/>
      <c r="AH72" s="26">
        <f>IF((Données[[#This Row],[Date inauguration recalée]]-Données[[#This Row],[Date inauguration initiale]])/30&lt;0,0,(Données[[#This Row],[Date inauguration recalée]]-Données[[#This Row],[Date inauguration initiale]])/30)</f>
        <v>1</v>
      </c>
      <c r="AI72" s="26"/>
      <c r="AJ72" s="26">
        <f>IF(Données[[#This Row],[TYPE]]="Rehab","",Données[[#This Row],[Loyer mensuel]]*Données[[#This Row],[Retard Inauguration (m)]])</f>
        <v>0</v>
      </c>
      <c r="AN72"/>
      <c r="AR72"/>
      <c r="AS72"/>
      <c r="AT72"/>
      <c r="AV72"/>
      <c r="AW72"/>
      <c r="AY72"/>
      <c r="AZ72"/>
    </row>
    <row r="73" spans="1:52" x14ac:dyDescent="0.25">
      <c r="A73" s="5" t="s">
        <v>61</v>
      </c>
      <c r="B73" s="3" t="s">
        <v>43</v>
      </c>
      <c r="C73" s="3">
        <v>2023</v>
      </c>
      <c r="D73" s="3" t="s">
        <v>7</v>
      </c>
      <c r="E73" s="4">
        <f>Données[[#This Row],[LLS]]+Données[[#This Row],[LLTS]]+Données[[#This Row],[PLS]]+Données[[#This Row],[REHAB]]</f>
        <v>55</v>
      </c>
      <c r="F73" s="4">
        <f>Données[[#This Row],[LLS]]+Données[[#This Row],[LLTS]]+Données[[#This Row],[PLS]]</f>
        <v>55</v>
      </c>
      <c r="G73" s="5"/>
      <c r="H73" s="5">
        <v>55</v>
      </c>
      <c r="I73" s="5"/>
      <c r="J73" s="5"/>
      <c r="K73" s="7" t="s">
        <v>39</v>
      </c>
      <c r="L73" s="8"/>
      <c r="M73" s="58">
        <v>45703</v>
      </c>
      <c r="N73" s="10"/>
      <c r="O73" s="6">
        <f>IFERROR((DATEDIF(Données[[#This Row],[Arrêté LBU]],Données[[#This Row],[OS démarrage]],"d"))/30,0)</f>
        <v>1523.4333333333334</v>
      </c>
      <c r="P73" s="29">
        <v>28</v>
      </c>
      <c r="Q73" s="12">
        <f>DATEDIF(Données[[#This Row],[OS démarrage]],Données[[#This Row],[Date réception entreprise recalée]],"M")</f>
        <v>29</v>
      </c>
      <c r="R73" s="13"/>
      <c r="S73" s="14">
        <f>EDATE(Données[[#This Row],[OS démarrage]],Données[[#This Row],[Délai chantier initial]])</f>
        <v>46553</v>
      </c>
      <c r="T73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46583</v>
      </c>
      <c r="U73" s="16">
        <f>EDATE(Données[[#This Row],[Date réception entreprise recalée]],12)</f>
        <v>46949</v>
      </c>
      <c r="V73" s="17">
        <f>(Données[[#This Row],[Date réception entreprise recalée]]-Données[[#This Row],[Date réception entreprise prévue initialement]])/30</f>
        <v>1</v>
      </c>
      <c r="W73" s="44"/>
      <c r="X73" s="19"/>
      <c r="Y73" s="19"/>
      <c r="Z73" s="19"/>
      <c r="AA73" s="20">
        <f>IF(Données[[#This Row],[TYPE]]="Rehab",0,IFERROR((Données[[#This Row],[Date Livraison VEFA estimée avec retards constatés]]-Données[[#This Row],[Date livraison contractuelle y/c avenant]])/30,"-"))</f>
        <v>0</v>
      </c>
      <c r="AB73" s="21">
        <f>IF(Données[[#This Row],[TYPE]]="Rehab",0,Données[[#This Row],[Date Livraison VEFA estimée avec retards constatés]]-Données[[#This Row],[Date livraison contractuelle y/c avenant]])</f>
        <v>0</v>
      </c>
      <c r="AC73" s="22"/>
      <c r="AD73" s="23" t="str">
        <f>IF(AND(Données[[#This Row],[TYPE]]&lt;&gt;"Rehab",Données[[#This Row],[Achèvement fondations]]&lt;&gt;""),EDATE(Données[[#This Row],[Achèvement fondations]],24),"")</f>
        <v/>
      </c>
      <c r="AE73" s="30">
        <f>IF(Données[[#This Row],[VEFA / PROPRE]]="vefa",EDATE(Données[[#This Row],[Date Livraison initiale VEFA]],1),EDATE(Données[[#This Row],[Date réception entreprise prévue initialement]],1))</f>
        <v>46583</v>
      </c>
      <c r="AF73" s="24">
        <f>IF(Données[[#This Row],[VEFA / PROPRE]]="VEFA",EDATE(Données[[#This Row],[Date Livraison VEFA estimée avec retards constatés]],1),EDATE(Données[[#This Row],[Date réception entreprise recalée]],1))</f>
        <v>46614</v>
      </c>
      <c r="AG73" s="55"/>
      <c r="AH73" s="26">
        <f>IF((Données[[#This Row],[Date inauguration recalée]]-Données[[#This Row],[Date inauguration initiale]])/30&lt;0,0,(Données[[#This Row],[Date inauguration recalée]]-Données[[#This Row],[Date inauguration initiale]])/30)</f>
        <v>1.0333333333333334</v>
      </c>
      <c r="AI73" s="26"/>
      <c r="AJ73" s="26">
        <f>IF(Données[[#This Row],[TYPE]]="Rehab","",Données[[#This Row],[Loyer mensuel]]*Données[[#This Row],[Retard Inauguration (m)]])</f>
        <v>0</v>
      </c>
      <c r="AN73"/>
      <c r="AR73"/>
      <c r="AS73"/>
      <c r="AT73"/>
      <c r="AV73"/>
      <c r="AW73"/>
      <c r="AY73"/>
      <c r="AZ73"/>
    </row>
    <row r="74" spans="1:52" x14ac:dyDescent="0.25">
      <c r="A74" s="5" t="s">
        <v>62</v>
      </c>
      <c r="B74" s="3" t="s">
        <v>36</v>
      </c>
      <c r="C74" s="3">
        <v>2024</v>
      </c>
      <c r="D74" s="3" t="s">
        <v>7</v>
      </c>
      <c r="E74" s="4">
        <f>Données[[#This Row],[LLS]]+Données[[#This Row],[LLTS]]+Données[[#This Row],[PLS]]+Données[[#This Row],[REHAB]]</f>
        <v>2</v>
      </c>
      <c r="F74" s="4">
        <f>Données[[#This Row],[LLS]]+Données[[#This Row],[LLTS]]+Données[[#This Row],[PLS]]</f>
        <v>2</v>
      </c>
      <c r="G74" s="5"/>
      <c r="H74" s="5">
        <v>2</v>
      </c>
      <c r="I74" s="5"/>
      <c r="J74" s="5"/>
      <c r="K74" s="7" t="s">
        <v>39</v>
      </c>
      <c r="L74" s="8"/>
      <c r="M74" s="58">
        <v>45381</v>
      </c>
      <c r="N74" s="10"/>
      <c r="O74" s="6">
        <f>IFERROR((DATEDIF(Données[[#This Row],[Arrêté LBU]],Données[[#This Row],[OS démarrage]],"d"))/30,0)</f>
        <v>1512.7</v>
      </c>
      <c r="P74" s="29">
        <v>3</v>
      </c>
      <c r="Q74" s="12">
        <f>DATEDIF(Données[[#This Row],[OS démarrage]],Données[[#This Row],[Date réception entreprise recalée]],"M")</f>
        <v>4</v>
      </c>
      <c r="R74" s="13"/>
      <c r="S74" s="14">
        <f>EDATE(Données[[#This Row],[OS démarrage]],Données[[#This Row],[Délai chantier initial]])</f>
        <v>45473</v>
      </c>
      <c r="T74" s="24">
        <f>DATE(YEAR(Données[[#This Row],[Date réception entreprise prévue initialement]]),MONTH(Données[[#This Row],[Date réception entreprise prévue initialement]])+1,DAY(Données[[#This Row],[Date réception entreprise prévue initialement]]))</f>
        <v>45503</v>
      </c>
      <c r="U74" s="16">
        <f>EDATE(Données[[#This Row],[Date réception entreprise recalée]],12)</f>
        <v>45868</v>
      </c>
      <c r="V74" s="17">
        <f>(Données[[#This Row],[Date réception entreprise recalée]]-Données[[#This Row],[Date réception entreprise prévue initialement]])/30</f>
        <v>1</v>
      </c>
      <c r="W74" s="44"/>
      <c r="X74" s="19"/>
      <c r="Y74" s="19"/>
      <c r="Z74" s="19"/>
      <c r="AA74" s="20">
        <f>IF(Données[[#This Row],[TYPE]]="Rehab",0,IFERROR((Données[[#This Row],[Date Livraison VEFA estimée avec retards constatés]]-Données[[#This Row],[Date livraison contractuelle y/c avenant]])/30,"-"))</f>
        <v>0</v>
      </c>
      <c r="AB74" s="21">
        <f>IF(Données[[#This Row],[TYPE]]="Rehab",0,Données[[#This Row],[Date Livraison VEFA estimée avec retards constatés]]-Données[[#This Row],[Date livraison contractuelle y/c avenant]])</f>
        <v>0</v>
      </c>
      <c r="AC74" s="22"/>
      <c r="AD74" s="23" t="str">
        <f>IF(AND(Données[[#This Row],[TYPE]]&lt;&gt;"Rehab",Données[[#This Row],[Achèvement fondations]]&lt;&gt;""),EDATE(Données[[#This Row],[Achèvement fondations]],24),"")</f>
        <v/>
      </c>
      <c r="AE74" s="30">
        <f>IF(Données[[#This Row],[VEFA / PROPRE]]="vefa",EDATE(Données[[#This Row],[Date Livraison initiale VEFA]],1),EDATE(Données[[#This Row],[Date réception entreprise prévue initialement]],1))</f>
        <v>45503</v>
      </c>
      <c r="AF74" s="24">
        <f>IF(Données[[#This Row],[VEFA / PROPRE]]="VEFA",EDATE(Données[[#This Row],[Date Livraison VEFA estimée avec retards constatés]],1),EDATE(Données[[#This Row],[Date réception entreprise recalée]],1))</f>
        <v>45534</v>
      </c>
      <c r="AG74" s="60"/>
      <c r="AH74" s="26">
        <f>IF((Données[[#This Row],[Date inauguration recalée]]-Données[[#This Row],[Date inauguration initiale]])/30&lt;0,0,(Données[[#This Row],[Date inauguration recalée]]-Données[[#This Row],[Date inauguration initiale]])/30)</f>
        <v>1.0333333333333334</v>
      </c>
      <c r="AI74" s="26"/>
      <c r="AJ74" s="26">
        <f>IF(Données[[#This Row],[TYPE]]="Rehab","",Données[[#This Row],[Loyer mensuel]]*Données[[#This Row],[Retard Inauguration (m)]])</f>
        <v>0</v>
      </c>
      <c r="AN74"/>
      <c r="AR74"/>
      <c r="AS74"/>
      <c r="AT74"/>
      <c r="AV74"/>
      <c r="AW74"/>
      <c r="AY74"/>
      <c r="AZ74"/>
    </row>
    <row r="75" spans="1:52" x14ac:dyDescent="0.25">
      <c r="A75" s="95" t="s">
        <v>63</v>
      </c>
      <c r="B75" s="3" t="s">
        <v>36</v>
      </c>
      <c r="C75" s="3">
        <v>2024</v>
      </c>
      <c r="D75" s="3" t="s">
        <v>7</v>
      </c>
      <c r="E75" s="4">
        <f>Données[[#This Row],[LLS]]+Données[[#This Row],[LLTS]]+Données[[#This Row],[PLS]]+Données[[#This Row],[REHAB]]</f>
        <v>2</v>
      </c>
      <c r="F75" s="4">
        <f>Données[[#This Row],[LLS]]+Données[[#This Row],[LLTS]]+Données[[#This Row],[PLS]]</f>
        <v>2</v>
      </c>
      <c r="G75" s="5"/>
      <c r="H75" s="5">
        <v>2</v>
      </c>
      <c r="I75" s="5"/>
      <c r="J75" s="5"/>
      <c r="K75" s="7" t="s">
        <v>39</v>
      </c>
      <c r="L75" s="8"/>
      <c r="M75" s="58">
        <v>45381</v>
      </c>
      <c r="N75" s="10"/>
      <c r="O75" s="6">
        <f>IFERROR((DATEDIF(Données[[#This Row],[Arrêté LBU]],Données[[#This Row],[OS démarrage]],"d"))/30,0)</f>
        <v>1512.7</v>
      </c>
      <c r="P75" s="29">
        <v>3</v>
      </c>
      <c r="Q75" s="12">
        <f>DATEDIF(Données[[#This Row],[OS démarrage]],Données[[#This Row],[Date réception entreprise recalée]],"M")</f>
        <v>4</v>
      </c>
      <c r="R75" s="13"/>
      <c r="S75" s="14">
        <f>EDATE(Données[[#This Row],[OS démarrage]],Données[[#This Row],[Délai chantier initial]])</f>
        <v>45473</v>
      </c>
      <c r="T75" s="24">
        <f>DATE(YEAR(Données[[#This Row],[Date réception entreprise prévue initialement]]),MONTH(Données[[#This Row],[Date réception entreprise prévue initialement]])+1,DAY(Données[[#This Row],[Date réception entreprise prévue initialement]]))</f>
        <v>45503</v>
      </c>
      <c r="U75" s="16">
        <f>EDATE(Données[[#This Row],[Date réception entreprise recalée]],12)</f>
        <v>45868</v>
      </c>
      <c r="V75" s="17">
        <f>(Données[[#This Row],[Date réception entreprise recalée]]-Données[[#This Row],[Date réception entreprise prévue initialement]])/30</f>
        <v>1</v>
      </c>
      <c r="W75" s="44"/>
      <c r="X75" s="19"/>
      <c r="Y75" s="19"/>
      <c r="Z75" s="19"/>
      <c r="AA75" s="20">
        <f>IF(Données[[#This Row],[TYPE]]="Rehab",0,IFERROR((Données[[#This Row],[Date Livraison VEFA estimée avec retards constatés]]-Données[[#This Row],[Date livraison contractuelle y/c avenant]])/30,"-"))</f>
        <v>0</v>
      </c>
      <c r="AB75" s="21">
        <f>IF(Données[[#This Row],[TYPE]]="Rehab",0,Données[[#This Row],[Date Livraison VEFA estimée avec retards constatés]]-Données[[#This Row],[Date livraison contractuelle y/c avenant]])</f>
        <v>0</v>
      </c>
      <c r="AC75" s="22"/>
      <c r="AD75" s="23" t="str">
        <f>IF(AND(Données[[#This Row],[TYPE]]&lt;&gt;"Rehab",Données[[#This Row],[Achèvement fondations]]&lt;&gt;""),EDATE(Données[[#This Row],[Achèvement fondations]],24),"")</f>
        <v/>
      </c>
      <c r="AE75" s="30">
        <f>IF(Données[[#This Row],[VEFA / PROPRE]]="vefa",EDATE(Données[[#This Row],[Date Livraison initiale VEFA]],1),EDATE(Données[[#This Row],[Date réception entreprise prévue initialement]],1))</f>
        <v>45503</v>
      </c>
      <c r="AF75" s="24">
        <f>IF(Données[[#This Row],[VEFA / PROPRE]]="VEFA",EDATE(Données[[#This Row],[Date Livraison VEFA estimée avec retards constatés]],1),EDATE(Données[[#This Row],[Date réception entreprise recalée]],1))</f>
        <v>45534</v>
      </c>
      <c r="AG75" s="60"/>
      <c r="AH75" s="26">
        <f>IF((Données[[#This Row],[Date inauguration recalée]]-Données[[#This Row],[Date inauguration initiale]])/30&lt;0,0,(Données[[#This Row],[Date inauguration recalée]]-Données[[#This Row],[Date inauguration initiale]])/30)</f>
        <v>1.0333333333333334</v>
      </c>
      <c r="AI75" s="26"/>
      <c r="AJ75" s="26">
        <f>IF(Données[[#This Row],[TYPE]]="Rehab","",Données[[#This Row],[Loyer mensuel]]*Données[[#This Row],[Retard Inauguration (m)]])</f>
        <v>0</v>
      </c>
      <c r="AN75"/>
      <c r="AR75"/>
      <c r="AS75"/>
      <c r="AT75"/>
      <c r="AV75"/>
      <c r="AW75"/>
      <c r="AY75"/>
      <c r="AZ75"/>
    </row>
    <row r="76" spans="1:52" x14ac:dyDescent="0.25">
      <c r="A76" s="95" t="s">
        <v>64</v>
      </c>
      <c r="B76" s="3" t="s">
        <v>38</v>
      </c>
      <c r="C76" s="3">
        <v>2024</v>
      </c>
      <c r="D76" s="3" t="s">
        <v>7</v>
      </c>
      <c r="E76" s="4">
        <f>Données[[#This Row],[LLS]]+Données[[#This Row],[LLTS]]+Données[[#This Row],[PLS]]+Données[[#This Row],[REHAB]]</f>
        <v>39</v>
      </c>
      <c r="F76" s="4">
        <f>Données[[#This Row],[LLS]]+Données[[#This Row],[LLTS]]+Données[[#This Row],[PLS]]</f>
        <v>39</v>
      </c>
      <c r="G76" s="5"/>
      <c r="H76" s="5">
        <v>39</v>
      </c>
      <c r="I76" s="5"/>
      <c r="J76" s="5"/>
      <c r="K76" s="7" t="s">
        <v>39</v>
      </c>
      <c r="L76" s="8"/>
      <c r="M76" s="58">
        <v>45703</v>
      </c>
      <c r="N76" s="10"/>
      <c r="O76" s="6">
        <f>IFERROR((DATEDIF(Données[[#This Row],[Arrêté LBU]],Données[[#This Row],[OS démarrage]],"d"))/30,0)</f>
        <v>1523.4333333333334</v>
      </c>
      <c r="P76" s="29">
        <v>24</v>
      </c>
      <c r="Q76" s="12">
        <f>DATEDIF(Données[[#This Row],[OS démarrage]],Données[[#This Row],[Date réception entreprise recalée]],"M")</f>
        <v>25</v>
      </c>
      <c r="R76" s="32"/>
      <c r="S76" s="14">
        <f>EDATE(Données[[#This Row],[OS démarrage]],Données[[#This Row],[Délai chantier initial]])</f>
        <v>46433</v>
      </c>
      <c r="T76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46461</v>
      </c>
      <c r="U76" s="16">
        <f>EDATE(Données[[#This Row],[Date réception entreprise recalée]],12)</f>
        <v>46827</v>
      </c>
      <c r="V76" s="17">
        <f>(Données[[#This Row],[Date réception entreprise recalée]]-Données[[#This Row],[Date réception entreprise prévue initialement]])/30</f>
        <v>0.93333333333333335</v>
      </c>
      <c r="W76" s="44"/>
      <c r="X76" s="19"/>
      <c r="Y76" s="19"/>
      <c r="Z76" s="19"/>
      <c r="AA76" s="20">
        <f>IF(Données[[#This Row],[TYPE]]="Rehab",0,IFERROR((Données[[#This Row],[Date Livraison VEFA estimée avec retards constatés]]-Données[[#This Row],[Date livraison contractuelle y/c avenant]])/30,"-"))</f>
        <v>0</v>
      </c>
      <c r="AB76" s="21">
        <f>IF(Données[[#This Row],[TYPE]]="Rehab",0,Données[[#This Row],[Date Livraison VEFA estimée avec retards constatés]]-Données[[#This Row],[Date livraison contractuelle y/c avenant]])</f>
        <v>0</v>
      </c>
      <c r="AC76" s="22"/>
      <c r="AD76" s="23" t="str">
        <f>IF(AND(Données[[#This Row],[TYPE]]&lt;&gt;"Rehab",Données[[#This Row],[Achèvement fondations]]&lt;&gt;""),EDATE(Données[[#This Row],[Achèvement fondations]],24),"")</f>
        <v/>
      </c>
      <c r="AE76" s="30">
        <f>IF(Données[[#This Row],[VEFA / PROPRE]]="vefa",EDATE(Données[[#This Row],[Date Livraison initiale VEFA]],1),EDATE(Données[[#This Row],[Date réception entreprise prévue initialement]],1))</f>
        <v>46461</v>
      </c>
      <c r="AF76" s="24">
        <f>IF(Données[[#This Row],[VEFA / PROPRE]]="VEFA",EDATE(Données[[#This Row],[Date Livraison VEFA estimée avec retards constatés]],1),EDATE(Données[[#This Row],[Date réception entreprise recalée]],1))</f>
        <v>46492</v>
      </c>
      <c r="AG76" s="55"/>
      <c r="AH76" s="26">
        <f>IF((Données[[#This Row],[Date inauguration recalée]]-Données[[#This Row],[Date inauguration initiale]])/30&lt;0,0,(Données[[#This Row],[Date inauguration recalée]]-Données[[#This Row],[Date inauguration initiale]])/30)</f>
        <v>1.0333333333333334</v>
      </c>
      <c r="AI76" s="26"/>
      <c r="AJ76" s="26">
        <f>IF(Données[[#This Row],[TYPE]]="Rehab","",Données[[#This Row],[Loyer mensuel]]*Données[[#This Row],[Retard Inauguration (m)]])</f>
        <v>0</v>
      </c>
      <c r="AN76"/>
      <c r="AR76"/>
      <c r="AS76"/>
      <c r="AT76"/>
      <c r="AV76"/>
      <c r="AW76"/>
      <c r="AY76"/>
      <c r="AZ76"/>
    </row>
    <row r="77" spans="1:52" x14ac:dyDescent="0.25">
      <c r="A77" s="2" t="s">
        <v>65</v>
      </c>
      <c r="B77" s="3" t="s">
        <v>36</v>
      </c>
      <c r="C77" s="3">
        <v>2025</v>
      </c>
      <c r="D77" s="3" t="s">
        <v>7</v>
      </c>
      <c r="E77" s="4">
        <f>Données[[#This Row],[LLS]]+Données[[#This Row],[LLTS]]+Données[[#This Row],[PLS]]+Données[[#This Row],[REHAB]]</f>
        <v>30</v>
      </c>
      <c r="F77" s="4">
        <f>Données[[#This Row],[LLS]]+Données[[#This Row],[LLTS]]+Données[[#This Row],[PLS]]</f>
        <v>30</v>
      </c>
      <c r="G77" s="5"/>
      <c r="H77" s="5">
        <v>30</v>
      </c>
      <c r="I77" s="5"/>
      <c r="J77" s="5"/>
      <c r="K77" s="7" t="s">
        <v>39</v>
      </c>
      <c r="L77" s="8">
        <v>43287</v>
      </c>
      <c r="M77" s="58">
        <v>45703</v>
      </c>
      <c r="N77" s="10"/>
      <c r="O77" s="6">
        <f>IFERROR((DATEDIF(Données[[#This Row],[Arrêté LBU]],Données[[#This Row],[OS démarrage]],"d"))/30,0)</f>
        <v>80.533333333333331</v>
      </c>
      <c r="P77" s="29">
        <v>18</v>
      </c>
      <c r="Q77" s="12">
        <f>DATEDIF(Données[[#This Row],[OS démarrage]],Données[[#This Row],[Date réception entreprise recalée]],"M")</f>
        <v>19</v>
      </c>
      <c r="R77" s="13"/>
      <c r="S77" s="14">
        <f>EDATE(Données[[#This Row],[OS démarrage]],Données[[#This Row],[Délai chantier initial]])</f>
        <v>46249</v>
      </c>
      <c r="T77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46280</v>
      </c>
      <c r="U77" s="16">
        <f>EDATE(Données[[#This Row],[Date réception entreprise recalée]],12)</f>
        <v>46645</v>
      </c>
      <c r="V77" s="17">
        <f>(Données[[#This Row],[Date réception entreprise recalée]]-Données[[#This Row],[Date réception entreprise prévue initialement]])/30</f>
        <v>1.0333333333333334</v>
      </c>
      <c r="W77" s="44"/>
      <c r="X77" s="19"/>
      <c r="Y77" s="19"/>
      <c r="Z77" s="19"/>
      <c r="AA77" s="20">
        <f>IF(Données[[#This Row],[TYPE]]="Rehab",0,IFERROR((Données[[#This Row],[Date Livraison VEFA estimée avec retards constatés]]-Données[[#This Row],[Date livraison contractuelle y/c avenant]])/30,"-"))</f>
        <v>0</v>
      </c>
      <c r="AB77" s="21">
        <f>IF(Données[[#This Row],[TYPE]]="Rehab",0,Données[[#This Row],[Date Livraison VEFA estimée avec retards constatés]]-Données[[#This Row],[Date livraison contractuelle y/c avenant]])</f>
        <v>0</v>
      </c>
      <c r="AC77" s="22"/>
      <c r="AD77" s="23" t="str">
        <f>IF(AND(Données[[#This Row],[TYPE]]&lt;&gt;"Rehab",Données[[#This Row],[Achèvement fondations]]&lt;&gt;""),EDATE(Données[[#This Row],[Achèvement fondations]],24),"")</f>
        <v/>
      </c>
      <c r="AE77" s="30">
        <f>IF(Données[[#This Row],[VEFA / PROPRE]]="vefa",EDATE(Données[[#This Row],[Date Livraison initiale VEFA]],1),EDATE(Données[[#This Row],[Date réception entreprise prévue initialement]],1))</f>
        <v>46280</v>
      </c>
      <c r="AF77" s="24">
        <f>IF(Données[[#This Row],[VEFA / PROPRE]]="VEFA",EDATE(Données[[#This Row],[Date Livraison VEFA estimée avec retards constatés]],1),EDATE(Données[[#This Row],[Date réception entreprise recalée]],1))</f>
        <v>46310</v>
      </c>
      <c r="AG77" s="55"/>
      <c r="AH77" s="26">
        <f>IF((Données[[#This Row],[Date inauguration recalée]]-Données[[#This Row],[Date inauguration initiale]])/30&lt;0,0,(Données[[#This Row],[Date inauguration recalée]]-Données[[#This Row],[Date inauguration initiale]])/30)</f>
        <v>1</v>
      </c>
      <c r="AI77" s="26">
        <v>12283</v>
      </c>
      <c r="AJ77" s="26">
        <f>IF(Données[[#This Row],[TYPE]]="Rehab","",Données[[#This Row],[Loyer mensuel]]*Données[[#This Row],[Retard Inauguration (m)]])</f>
        <v>12283</v>
      </c>
      <c r="AN77"/>
      <c r="AR77"/>
      <c r="AS77"/>
      <c r="AT77"/>
      <c r="AV77"/>
      <c r="AW77"/>
      <c r="AY77"/>
      <c r="AZ77"/>
    </row>
    <row r="78" spans="1:52" x14ac:dyDescent="0.25">
      <c r="A78" s="2" t="s">
        <v>66</v>
      </c>
      <c r="B78" s="3" t="s">
        <v>36</v>
      </c>
      <c r="C78" s="3">
        <v>2025</v>
      </c>
      <c r="D78" s="3" t="s">
        <v>7</v>
      </c>
      <c r="E78" s="4">
        <f>Données[[#This Row],[LLS]]+Données[[#This Row],[LLTS]]+Données[[#This Row],[PLS]]+Données[[#This Row],[REHAB]]</f>
        <v>51</v>
      </c>
      <c r="F78" s="4">
        <f>Données[[#This Row],[LLS]]+Données[[#This Row],[LLTS]]+Données[[#This Row],[PLS]]</f>
        <v>51</v>
      </c>
      <c r="G78" s="5"/>
      <c r="H78" s="5">
        <v>51</v>
      </c>
      <c r="I78" s="5"/>
      <c r="J78" s="5"/>
      <c r="K78" s="7" t="s">
        <v>39</v>
      </c>
      <c r="L78" s="8"/>
      <c r="M78" s="58">
        <v>45703</v>
      </c>
      <c r="N78" s="10"/>
      <c r="O78" s="6">
        <f>IFERROR((DATEDIF(Données[[#This Row],[Arrêté LBU]],Données[[#This Row],[OS démarrage]],"d"))/30,0)</f>
        <v>1523.4333333333334</v>
      </c>
      <c r="P78" s="29">
        <v>18</v>
      </c>
      <c r="Q78" s="12">
        <f>DATEDIF(Données[[#This Row],[OS démarrage]],Données[[#This Row],[Date réception entreprise recalée]],"M")</f>
        <v>19</v>
      </c>
      <c r="R78" s="13"/>
      <c r="S78" s="14">
        <f>EDATE(Données[[#This Row],[OS démarrage]],Données[[#This Row],[Délai chantier initial]])</f>
        <v>46249</v>
      </c>
      <c r="T78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46280</v>
      </c>
      <c r="U78" s="16">
        <f>EDATE(Données[[#This Row],[Date réception entreprise recalée]],12)</f>
        <v>46645</v>
      </c>
      <c r="V78" s="17">
        <f>(Données[[#This Row],[Date réception entreprise recalée]]-Données[[#This Row],[Date réception entreprise prévue initialement]])/30</f>
        <v>1.0333333333333334</v>
      </c>
      <c r="W78" s="44"/>
      <c r="X78" s="19"/>
      <c r="Y78" s="19"/>
      <c r="Z78" s="19"/>
      <c r="AA78" s="20">
        <f>IF(Données[[#This Row],[TYPE]]="Rehab",0,IFERROR((Données[[#This Row],[Date Livraison VEFA estimée avec retards constatés]]-Données[[#This Row],[Date livraison contractuelle y/c avenant]])/30,"-"))</f>
        <v>0</v>
      </c>
      <c r="AB78" s="21">
        <f>IF(Données[[#This Row],[TYPE]]="Rehab",0,Données[[#This Row],[Date Livraison VEFA estimée avec retards constatés]]-Données[[#This Row],[Date livraison contractuelle y/c avenant]])</f>
        <v>0</v>
      </c>
      <c r="AC78" s="22"/>
      <c r="AD78" s="23" t="str">
        <f>IF(AND(Données[[#This Row],[TYPE]]&lt;&gt;"Rehab",Données[[#This Row],[Achèvement fondations]]&lt;&gt;""),EDATE(Données[[#This Row],[Achèvement fondations]],24),"")</f>
        <v/>
      </c>
      <c r="AE78" s="30">
        <f>IF(Données[[#This Row],[VEFA / PROPRE]]="vefa",EDATE(Données[[#This Row],[Date Livraison initiale VEFA]],1),EDATE(Données[[#This Row],[Date réception entreprise prévue initialement]],1))</f>
        <v>46280</v>
      </c>
      <c r="AF78" s="24">
        <f>IF(Données[[#This Row],[VEFA / PROPRE]]="VEFA",EDATE(Données[[#This Row],[Date Livraison VEFA estimée avec retards constatés]],1),EDATE(Données[[#This Row],[Date réception entreprise recalée]],1))</f>
        <v>46310</v>
      </c>
      <c r="AG78" s="55"/>
      <c r="AH78" s="26">
        <f>IF((Données[[#This Row],[Date inauguration recalée]]-Données[[#This Row],[Date inauguration initiale]])/30&lt;0,0,(Données[[#This Row],[Date inauguration recalée]]-Données[[#This Row],[Date inauguration initiale]])/30)</f>
        <v>1</v>
      </c>
      <c r="AI78" s="26"/>
      <c r="AJ78" s="26">
        <f>IF(Données[[#This Row],[TYPE]]="Rehab","",Données[[#This Row],[Loyer mensuel]]*Données[[#This Row],[Retard Inauguration (m)]])</f>
        <v>0</v>
      </c>
      <c r="AN78"/>
      <c r="AR78"/>
      <c r="AS78"/>
      <c r="AT78"/>
      <c r="AV78"/>
      <c r="AW78"/>
      <c r="AY78"/>
      <c r="AZ78"/>
    </row>
    <row r="79" spans="1:52" x14ac:dyDescent="0.25">
      <c r="A79" s="95" t="s">
        <v>67</v>
      </c>
      <c r="B79" s="3" t="s">
        <v>36</v>
      </c>
      <c r="C79" s="3">
        <v>2025</v>
      </c>
      <c r="D79" s="3" t="s">
        <v>7</v>
      </c>
      <c r="E79" s="4">
        <f>Données[[#This Row],[LLS]]+Données[[#This Row],[LLTS]]+Données[[#This Row],[PLS]]+Données[[#This Row],[REHAB]]</f>
        <v>25</v>
      </c>
      <c r="F79" s="4">
        <f>Données[[#This Row],[LLS]]+Données[[#This Row],[LLTS]]+Données[[#This Row],[PLS]]</f>
        <v>25</v>
      </c>
      <c r="G79" s="5"/>
      <c r="H79" s="5">
        <v>25</v>
      </c>
      <c r="I79" s="5"/>
      <c r="J79" s="5"/>
      <c r="K79" s="7" t="s">
        <v>39</v>
      </c>
      <c r="L79" s="8"/>
      <c r="M79" s="58">
        <v>45703</v>
      </c>
      <c r="N79" s="10"/>
      <c r="O79" s="6">
        <f>IFERROR((DATEDIF(Données[[#This Row],[Arrêté LBU]],Données[[#This Row],[OS démarrage]],"d"))/30,0)</f>
        <v>1523.4333333333334</v>
      </c>
      <c r="P79" s="29">
        <v>18</v>
      </c>
      <c r="Q79" s="12">
        <f>DATEDIF(Données[[#This Row],[OS démarrage]],Données[[#This Row],[Date réception entreprise recalée]],"M")</f>
        <v>19</v>
      </c>
      <c r="R79" s="13"/>
      <c r="S79" s="14">
        <f>EDATE(Données[[#This Row],[OS démarrage]],Données[[#This Row],[Délai chantier initial]])</f>
        <v>46249</v>
      </c>
      <c r="T79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46280</v>
      </c>
      <c r="U79" s="16">
        <f>EDATE(Données[[#This Row],[Date réception entreprise recalée]],12)</f>
        <v>46645</v>
      </c>
      <c r="V79" s="17">
        <f>(Données[[#This Row],[Date réception entreprise recalée]]-Données[[#This Row],[Date réception entreprise prévue initialement]])/30</f>
        <v>1.0333333333333334</v>
      </c>
      <c r="W79" s="44"/>
      <c r="X79" s="19"/>
      <c r="Y79" s="19"/>
      <c r="Z79" s="24"/>
      <c r="AA79" s="20">
        <f>IF(Données[[#This Row],[TYPE]]="Rehab",0,IFERROR((Données[[#This Row],[Date Livraison VEFA estimée avec retards constatés]]-Données[[#This Row],[Date livraison contractuelle y/c avenant]])/30,"-"))</f>
        <v>0</v>
      </c>
      <c r="AB79" s="21">
        <f>IF(Données[[#This Row],[TYPE]]="Rehab",0,Données[[#This Row],[Date Livraison VEFA estimée avec retards constatés]]-Données[[#This Row],[Date livraison contractuelle y/c avenant]])</f>
        <v>0</v>
      </c>
      <c r="AC79" s="22"/>
      <c r="AD79" s="23" t="str">
        <f>IF(AND(Données[[#This Row],[TYPE]]&lt;&gt;"Rehab",Données[[#This Row],[Achèvement fondations]]&lt;&gt;""),EDATE(Données[[#This Row],[Achèvement fondations]],24),"")</f>
        <v/>
      </c>
      <c r="AE79" s="30">
        <f>IF(Données[[#This Row],[VEFA / PROPRE]]="vefa",EDATE(Données[[#This Row],[Date Livraison initiale VEFA]],1),EDATE(Données[[#This Row],[Date réception entreprise prévue initialement]],1))</f>
        <v>46280</v>
      </c>
      <c r="AF79" s="24">
        <f>IF(Données[[#This Row],[VEFA / PROPRE]]="VEFA",EDATE(Données[[#This Row],[Date Livraison VEFA estimée avec retards constatés]],1),EDATE(Données[[#This Row],[Date réception entreprise recalée]],1))</f>
        <v>46310</v>
      </c>
      <c r="AG79" s="55"/>
      <c r="AH79" s="26">
        <f>IF((Données[[#This Row],[Date inauguration recalée]]-Données[[#This Row],[Date inauguration initiale]])/30&lt;0,0,(Données[[#This Row],[Date inauguration recalée]]-Données[[#This Row],[Date inauguration initiale]])/30)</f>
        <v>1</v>
      </c>
      <c r="AI79" s="26"/>
      <c r="AJ79" s="26">
        <f>IF(Données[[#This Row],[TYPE]]="Rehab","",Données[[#This Row],[Loyer mensuel]]*Données[[#This Row],[Retard Inauguration (m)]])</f>
        <v>0</v>
      </c>
      <c r="AN79"/>
      <c r="AR79"/>
      <c r="AS79"/>
      <c r="AT79"/>
      <c r="AV79"/>
      <c r="AW79"/>
      <c r="AY79"/>
      <c r="AZ79"/>
    </row>
    <row r="80" spans="1:52" x14ac:dyDescent="0.25">
      <c r="A80" s="95" t="s">
        <v>68</v>
      </c>
      <c r="B80" s="3" t="s">
        <v>38</v>
      </c>
      <c r="C80" s="3">
        <v>2024</v>
      </c>
      <c r="D80" s="3" t="s">
        <v>7</v>
      </c>
      <c r="E80" s="4">
        <f>Données[[#This Row],[LLS]]+Données[[#This Row],[LLTS]]+Données[[#This Row],[PLS]]+Données[[#This Row],[REHAB]]</f>
        <v>32</v>
      </c>
      <c r="F80" s="4">
        <f>Données[[#This Row],[LLS]]+Données[[#This Row],[LLTS]]+Données[[#This Row],[PLS]]</f>
        <v>32</v>
      </c>
      <c r="G80" s="5"/>
      <c r="H80" s="5">
        <v>32</v>
      </c>
      <c r="I80" s="5"/>
      <c r="J80" s="5"/>
      <c r="K80" s="7" t="s">
        <v>37</v>
      </c>
      <c r="L80" s="8"/>
      <c r="M80" s="58">
        <v>45703</v>
      </c>
      <c r="N80" s="10"/>
      <c r="O80" s="6">
        <f>IFERROR((DATEDIF(Données[[#This Row],[Arrêté LBU]],Données[[#This Row],[OS démarrage]],"d"))/30,0)</f>
        <v>1523.4333333333334</v>
      </c>
      <c r="P80" s="29">
        <v>24</v>
      </c>
      <c r="Q80" s="12">
        <f>DATEDIF(Données[[#This Row],[OS démarrage]],Données[[#This Row],[Date réception entreprise recalée]],"M")</f>
        <v>25</v>
      </c>
      <c r="R80" s="13"/>
      <c r="S80" s="14">
        <f>EDATE(Données[[#This Row],[OS démarrage]],Données[[#This Row],[Délai chantier initial]])</f>
        <v>46433</v>
      </c>
      <c r="T80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46461</v>
      </c>
      <c r="U80" s="16">
        <f>EDATE(Données[[#This Row],[Date réception entreprise recalée]],12)</f>
        <v>46827</v>
      </c>
      <c r="V80" s="17">
        <f>(Données[[#This Row],[Date réception entreprise recalée]]-Données[[#This Row],[Date réception entreprise prévue initialement]])/30</f>
        <v>0.93333333333333335</v>
      </c>
      <c r="W80" s="44">
        <f>Données[[#This Row],[Date réception entreprise recalée]]</f>
        <v>46461</v>
      </c>
      <c r="X80" s="19">
        <f>Données[[#This Row],[Date achèvement VEFA]]</f>
        <v>46461</v>
      </c>
      <c r="Y80" s="19">
        <f>Données[[#This Row],[Date Livraison initiale VEFA]]</f>
        <v>46461</v>
      </c>
      <c r="Z80" s="19">
        <f>Données[[#This Row],[Date achèvement VEFA]]</f>
        <v>46461</v>
      </c>
      <c r="AA80" s="20">
        <f>IF(Données[[#This Row],[TYPE]]="Rehab",0,IFERROR((Données[[#This Row],[Date Livraison VEFA estimée avec retards constatés]]-Données[[#This Row],[Date livraison contractuelle y/c avenant]])/30,"-"))</f>
        <v>0</v>
      </c>
      <c r="AB80" s="21">
        <f>IF(Données[[#This Row],[TYPE]]="Rehab",0,Données[[#This Row],[Date Livraison VEFA estimée avec retards constatés]]-Données[[#This Row],[Date livraison contractuelle y/c avenant]])</f>
        <v>0</v>
      </c>
      <c r="AC80" s="22"/>
      <c r="AD80" s="23" t="str">
        <f>IF(AND(Données[[#This Row],[TYPE]]&lt;&gt;"Rehab",Données[[#This Row],[Achèvement fondations]]&lt;&gt;""),EDATE(Données[[#This Row],[Achèvement fondations]],24),"")</f>
        <v/>
      </c>
      <c r="AE80" s="30">
        <f>IF(Données[[#This Row],[VEFA / PROPRE]]="vefa",EDATE(Données[[#This Row],[Date Livraison initiale VEFA]],1),EDATE(Données[[#This Row],[Date réception entreprise prévue initialement]],1))</f>
        <v>46492</v>
      </c>
      <c r="AF80" s="24">
        <f>IF(Données[[#This Row],[VEFA / PROPRE]]="VEFA",EDATE(Données[[#This Row],[Date Livraison VEFA estimée avec retards constatés]],1),EDATE(Données[[#This Row],[Date réception entreprise recalée]],1))</f>
        <v>46492</v>
      </c>
      <c r="AG80" s="55"/>
      <c r="AH80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80" s="26"/>
      <c r="AJ80" s="26">
        <f>IF(Données[[#This Row],[TYPE]]="Rehab","",Données[[#This Row],[Loyer mensuel]]*Données[[#This Row],[Retard Inauguration (m)]])</f>
        <v>0</v>
      </c>
      <c r="AN80"/>
      <c r="AR80"/>
      <c r="AS80"/>
      <c r="AT80"/>
      <c r="AV80"/>
      <c r="AW80"/>
      <c r="AY80"/>
      <c r="AZ80"/>
    </row>
    <row r="81" spans="1:52" x14ac:dyDescent="0.25">
      <c r="A81" s="31" t="s">
        <v>69</v>
      </c>
      <c r="B81" s="3" t="s">
        <v>38</v>
      </c>
      <c r="C81" s="3">
        <v>2024</v>
      </c>
      <c r="D81" s="3" t="s">
        <v>7</v>
      </c>
      <c r="E81" s="4">
        <v>29</v>
      </c>
      <c r="F81" s="4">
        <f>Données[[#This Row],[LLS]]+Données[[#This Row],[LLTS]]+Données[[#This Row],[PLS]]</f>
        <v>20</v>
      </c>
      <c r="G81" s="5"/>
      <c r="H81" s="5">
        <v>20</v>
      </c>
      <c r="I81" s="5"/>
      <c r="J81" s="5"/>
      <c r="K81" s="7" t="s">
        <v>37</v>
      </c>
      <c r="L81" s="8"/>
      <c r="M81" s="58">
        <v>45703</v>
      </c>
      <c r="N81" s="10"/>
      <c r="O81" s="6">
        <f>IFERROR((DATEDIF(Données[[#This Row],[Arrêté LBU]],Données[[#This Row],[OS démarrage]],"d"))/30,0)</f>
        <v>1523.4333333333334</v>
      </c>
      <c r="P81" s="29">
        <v>24</v>
      </c>
      <c r="Q81" s="12">
        <f>DATEDIF(Données[[#This Row],[OS démarrage]],Données[[#This Row],[Date réception entreprise recalée]],"M")</f>
        <v>25</v>
      </c>
      <c r="R81" s="13"/>
      <c r="S81" s="14">
        <f>EDATE(Données[[#This Row],[OS démarrage]],Données[[#This Row],[Délai chantier initial]])</f>
        <v>46433</v>
      </c>
      <c r="T81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46461</v>
      </c>
      <c r="U81" s="16">
        <f>EDATE(Données[[#This Row],[Date réception entreprise recalée]],12)</f>
        <v>46827</v>
      </c>
      <c r="V81" s="17">
        <f>(Données[[#This Row],[Date réception entreprise recalée]]-Données[[#This Row],[Date réception entreprise prévue initialement]])/30</f>
        <v>0.93333333333333335</v>
      </c>
      <c r="W81" s="44">
        <f>Données[[#This Row],[Date réception entreprise recalée]]</f>
        <v>46461</v>
      </c>
      <c r="X81" s="19">
        <f>Données[[#This Row],[Date achèvement VEFA]]</f>
        <v>46461</v>
      </c>
      <c r="Y81" s="19">
        <f>Données[[#This Row],[Date Livraison initiale VEFA]]</f>
        <v>46461</v>
      </c>
      <c r="Z81" s="19">
        <f>Données[[#This Row],[Date achèvement VEFA]]</f>
        <v>46461</v>
      </c>
      <c r="AA81" s="20">
        <f>IF(Données[[#This Row],[TYPE]]="Rehab",0,IFERROR((Données[[#This Row],[Date Livraison VEFA estimée avec retards constatés]]-Données[[#This Row],[Date livraison contractuelle y/c avenant]])/30,"-"))</f>
        <v>0</v>
      </c>
      <c r="AB81" s="21">
        <f>IF(Données[[#This Row],[TYPE]]="Rehab",0,Données[[#This Row],[Date Livraison VEFA estimée avec retards constatés]]-Données[[#This Row],[Date livraison contractuelle y/c avenant]])</f>
        <v>0</v>
      </c>
      <c r="AC81" s="22"/>
      <c r="AD81" s="23" t="str">
        <f>IF(AND(Données[[#This Row],[TYPE]]&lt;&gt;"Rehab",Données[[#This Row],[Achèvement fondations]]&lt;&gt;""),EDATE(Données[[#This Row],[Achèvement fondations]],24),"")</f>
        <v/>
      </c>
      <c r="AE81" s="30">
        <f>IF(Données[[#This Row],[VEFA / PROPRE]]="vefa",EDATE(Données[[#This Row],[Date Livraison initiale VEFA]],1),EDATE(Données[[#This Row],[Date réception entreprise prévue initialement]],1))</f>
        <v>46492</v>
      </c>
      <c r="AF81" s="24">
        <f>IF(Données[[#This Row],[VEFA / PROPRE]]="VEFA",EDATE(Données[[#This Row],[Date Livraison VEFA estimée avec retards constatés]],1),EDATE(Données[[#This Row],[Date réception entreprise recalée]],1))</f>
        <v>46492</v>
      </c>
      <c r="AG81" s="60"/>
      <c r="AH81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81" s="26"/>
      <c r="AJ81" s="26">
        <f>IF(Données[[#This Row],[TYPE]]="Rehab","",Données[[#This Row],[Loyer mensuel]]*Données[[#This Row],[Retard Inauguration (m)]])</f>
        <v>0</v>
      </c>
      <c r="AN81"/>
      <c r="AR81"/>
      <c r="AS81"/>
      <c r="AT81"/>
      <c r="AV81"/>
      <c r="AW81"/>
      <c r="AY81"/>
      <c r="AZ81"/>
    </row>
    <row r="82" spans="1:52" x14ac:dyDescent="0.25">
      <c r="A82" s="31" t="s">
        <v>70</v>
      </c>
      <c r="B82" s="3" t="s">
        <v>36</v>
      </c>
      <c r="C82" s="3">
        <v>2024</v>
      </c>
      <c r="D82" s="3" t="s">
        <v>7</v>
      </c>
      <c r="E82" s="4">
        <f>Données[[#This Row],[LLS]]+Données[[#This Row],[LLTS]]+Données[[#This Row],[PLS]]+Données[[#This Row],[REHAB]]</f>
        <v>12</v>
      </c>
      <c r="F82" s="4">
        <f>Données[[#This Row],[LLS]]+Données[[#This Row],[LLTS]]+Données[[#This Row],[PLS]]</f>
        <v>12</v>
      </c>
      <c r="G82" s="4"/>
      <c r="H82" s="4">
        <v>12</v>
      </c>
      <c r="I82" s="4"/>
      <c r="J82" s="4"/>
      <c r="K82" s="7" t="s">
        <v>37</v>
      </c>
      <c r="L82" s="8"/>
      <c r="M82" s="58">
        <v>45731</v>
      </c>
      <c r="N82" s="10"/>
      <c r="O82" s="6">
        <f>IFERROR((DATEDIF(Données[[#This Row],[Arrêté LBU]],Données[[#This Row],[OS démarrage]],"d"))/30,0)</f>
        <v>1524.3666666666666</v>
      </c>
      <c r="P82" s="29">
        <v>24</v>
      </c>
      <c r="Q82" s="61">
        <f>DATEDIF(Données[[#This Row],[OS démarrage]],Données[[#This Row],[Date réception entreprise recalée]],"M")</f>
        <v>25</v>
      </c>
      <c r="R82" s="36"/>
      <c r="S82" s="14">
        <f>EDATE(Données[[#This Row],[OS démarrage]],Données[[#This Row],[Délai chantier initial]])</f>
        <v>46461</v>
      </c>
      <c r="T82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46492</v>
      </c>
      <c r="U82" s="16">
        <f>EDATE(Données[[#This Row],[Date réception entreprise recalée]],12)</f>
        <v>46858</v>
      </c>
      <c r="V82" s="17">
        <f>(Données[[#This Row],[Date réception entreprise recalée]]-Données[[#This Row],[Date réception entreprise prévue initialement]])/30</f>
        <v>1.0333333333333334</v>
      </c>
      <c r="W82" s="44">
        <f>Données[[#This Row],[Date réception entreprise recalée]]</f>
        <v>46492</v>
      </c>
      <c r="X82" s="19">
        <f>Données[[#This Row],[Date achèvement VEFA]]</f>
        <v>46492</v>
      </c>
      <c r="Y82" s="19">
        <f>Données[[#This Row],[Date Livraison initiale VEFA]]</f>
        <v>46492</v>
      </c>
      <c r="Z82" s="19">
        <f>Données[[#This Row],[Date livraison contractuelle y/c avenant]]</f>
        <v>46492</v>
      </c>
      <c r="AA82" s="20">
        <f>IF(Données[[#This Row],[TYPE]]="Rehab",0,IFERROR((Données[[#This Row],[Date Livraison VEFA estimée avec retards constatés]]-Données[[#This Row],[Date livraison contractuelle y/c avenant]])/30,"-"))</f>
        <v>0</v>
      </c>
      <c r="AB82" s="21">
        <f>IF(Données[[#This Row],[TYPE]]="Rehab",0,Données[[#This Row],[Date Livraison VEFA estimée avec retards constatés]]-Données[[#This Row],[Date livraison contractuelle y/c avenant]])</f>
        <v>0</v>
      </c>
      <c r="AC82" s="22"/>
      <c r="AD82" s="23" t="str">
        <f>IF(AND(Données[[#This Row],[TYPE]]&lt;&gt;"Rehab",Données[[#This Row],[Achèvement fondations]]&lt;&gt;""),EDATE(Données[[#This Row],[Achèvement fondations]],24),"")</f>
        <v/>
      </c>
      <c r="AE82" s="30">
        <f>IF(Données[[#This Row],[VEFA / PROPRE]]="vefa",EDATE(Données[[#This Row],[Date Livraison initiale VEFA]],1),EDATE(Données[[#This Row],[Date réception entreprise prévue initialement]],1))</f>
        <v>46522</v>
      </c>
      <c r="AF82" s="24">
        <f>IF(Données[[#This Row],[VEFA / PROPRE]]="VEFA",EDATE(Données[[#This Row],[Date Livraison VEFA estimée avec retards constatés]],1),EDATE(Données[[#This Row],[Date réception entreprise recalée]],1))</f>
        <v>46522</v>
      </c>
      <c r="AG82" s="55"/>
      <c r="AH82" s="59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82" s="26"/>
      <c r="AJ82" s="26">
        <f>IF(Données[[#This Row],[TYPE]]="Rehab","",Données[[#This Row],[Loyer mensuel]]*Données[[#This Row],[Retard Inauguration (m)]])</f>
        <v>0</v>
      </c>
      <c r="AN82"/>
      <c r="AR82"/>
      <c r="AS82"/>
      <c r="AT82"/>
      <c r="AV82"/>
      <c r="AW82"/>
      <c r="AY82"/>
      <c r="AZ82"/>
    </row>
    <row r="83" spans="1:52" x14ac:dyDescent="0.25">
      <c r="A83" s="95" t="s">
        <v>71</v>
      </c>
      <c r="B83" s="3" t="s">
        <v>38</v>
      </c>
      <c r="C83" s="3">
        <v>2024</v>
      </c>
      <c r="D83" s="3" t="s">
        <v>7</v>
      </c>
      <c r="E83" s="4">
        <f>Données[[#This Row],[LLS]]+Données[[#This Row],[LLTS]]+Données[[#This Row],[PLS]]+Données[[#This Row],[REHAB]]</f>
        <v>10</v>
      </c>
      <c r="F83" s="4">
        <f>Données[[#This Row],[LLS]]+Données[[#This Row],[LLTS]]+Données[[#This Row],[PLS]]</f>
        <v>10</v>
      </c>
      <c r="G83" s="5"/>
      <c r="H83" s="5">
        <v>10</v>
      </c>
      <c r="I83" s="5"/>
      <c r="J83" s="47"/>
      <c r="K83" s="7" t="s">
        <v>37</v>
      </c>
      <c r="L83" s="8"/>
      <c r="M83" s="58">
        <v>45782</v>
      </c>
      <c r="N83" s="10"/>
      <c r="O83" s="6">
        <f>IFERROR((DATEDIF(Données[[#This Row],[Arrêté LBU]],Données[[#This Row],[OS démarrage]],"d"))/30,0)</f>
        <v>1526.0666666666666</v>
      </c>
      <c r="P83" s="29">
        <v>24</v>
      </c>
      <c r="Q83" s="12">
        <f>DATEDIF(Données[[#This Row],[OS démarrage]],Données[[#This Row],[Date réception entreprise recalée]],"M")</f>
        <v>25</v>
      </c>
      <c r="R83" s="13"/>
      <c r="S83" s="14">
        <f>EDATE(Données[[#This Row],[OS démarrage]],Données[[#This Row],[Délai chantier initial]])</f>
        <v>46512</v>
      </c>
      <c r="T83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46543</v>
      </c>
      <c r="U83" s="16">
        <f>EDATE(Données[[#This Row],[Date réception entreprise recalée]],12)</f>
        <v>46909</v>
      </c>
      <c r="V83" s="17">
        <f>(Données[[#This Row],[Date réception entreprise recalée]]-Données[[#This Row],[Date réception entreprise prévue initialement]])/30</f>
        <v>1.0333333333333334</v>
      </c>
      <c r="W83" s="44">
        <f>Données[[#This Row],[Date réception entreprise recalée]]</f>
        <v>46543</v>
      </c>
      <c r="X83" s="19">
        <f>Données[[#This Row],[Date achèvement VEFA]]</f>
        <v>46543</v>
      </c>
      <c r="Y83" s="19">
        <f>Données[[#This Row],[Date achèvement VEFA]]</f>
        <v>46543</v>
      </c>
      <c r="Z83" s="19">
        <f>Données[[#This Row],[Date achèvement VEFA]]</f>
        <v>46543</v>
      </c>
      <c r="AA83" s="20">
        <f>IF(Données[[#This Row],[TYPE]]="Rehab",0,IFERROR((Données[[#This Row],[Date Livraison VEFA estimée avec retards constatés]]-Données[[#This Row],[Date livraison contractuelle y/c avenant]])/30,"-"))</f>
        <v>0</v>
      </c>
      <c r="AB83" s="21">
        <f>IF(Données[[#This Row],[TYPE]]="Rehab",0,Données[[#This Row],[Date Livraison VEFA estimée avec retards constatés]]-Données[[#This Row],[Date livraison contractuelle y/c avenant]])</f>
        <v>0</v>
      </c>
      <c r="AC83" s="22"/>
      <c r="AD83" s="23" t="str">
        <f>IF(AND(Données[[#This Row],[TYPE]]&lt;&gt;"Rehab",Données[[#This Row],[Achèvement fondations]]&lt;&gt;""),EDATE(Données[[#This Row],[Achèvement fondations]],24),"")</f>
        <v/>
      </c>
      <c r="AE83" s="30">
        <f>IF(Données[[#This Row],[VEFA / PROPRE]]="vefa",EDATE(Données[[#This Row],[Date Livraison initiale VEFA]],1),EDATE(Données[[#This Row],[Date réception entreprise prévue initialement]],1))</f>
        <v>46573</v>
      </c>
      <c r="AF83" s="24">
        <f>IF(Données[[#This Row],[VEFA / PROPRE]]="VEFA",EDATE(Données[[#This Row],[Date Livraison VEFA estimée avec retards constatés]],1),EDATE(Données[[#This Row],[Date réception entreprise recalée]],1))</f>
        <v>46573</v>
      </c>
      <c r="AG83" s="55"/>
      <c r="AH83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83" s="26"/>
      <c r="AJ83" s="26">
        <f>IF(Données[[#This Row],[TYPE]]="Rehab","",Données[[#This Row],[Loyer mensuel]]*Données[[#This Row],[Retard Inauguration (m)]])</f>
        <v>0</v>
      </c>
      <c r="AN83"/>
      <c r="AR83"/>
      <c r="AS83"/>
      <c r="AT83"/>
      <c r="AV83"/>
      <c r="AW83"/>
      <c r="AY83"/>
      <c r="AZ83"/>
    </row>
    <row r="84" spans="1:52" x14ac:dyDescent="0.25">
      <c r="A84" s="2" t="s">
        <v>72</v>
      </c>
      <c r="B84" s="3" t="s">
        <v>38</v>
      </c>
      <c r="C84" s="27">
        <v>2024</v>
      </c>
      <c r="D84" s="3" t="s">
        <v>7</v>
      </c>
      <c r="E84" s="4">
        <f>Données[[#This Row],[LLS]]+Données[[#This Row],[LLTS]]+Données[[#This Row],[PLS]]+Données[[#This Row],[REHAB]]</f>
        <v>70</v>
      </c>
      <c r="F84" s="4">
        <f>Données[[#This Row],[LLS]]+Données[[#This Row],[LLTS]]+Données[[#This Row],[PLS]]</f>
        <v>70</v>
      </c>
      <c r="G84" s="5"/>
      <c r="H84" s="5">
        <v>70</v>
      </c>
      <c r="I84" s="5"/>
      <c r="J84" s="47"/>
      <c r="K84" s="7" t="s">
        <v>37</v>
      </c>
      <c r="L84" s="8"/>
      <c r="M84" s="58">
        <v>45782</v>
      </c>
      <c r="N84" s="10"/>
      <c r="O84" s="6">
        <f>IFERROR((DATEDIF(Données[[#This Row],[Arrêté LBU]],Données[[#This Row],[OS démarrage]],"d"))/30,0)</f>
        <v>1526.0666666666666</v>
      </c>
      <c r="P84" s="29">
        <v>24</v>
      </c>
      <c r="Q84" s="12">
        <f>DATEDIF(Données[[#This Row],[OS démarrage]],Données[[#This Row],[Date réception entreprise recalée]],"M")</f>
        <v>25</v>
      </c>
      <c r="R84" s="13"/>
      <c r="S84" s="14">
        <f>EDATE(Données[[#This Row],[OS démarrage]],Données[[#This Row],[Délai chantier initial]])</f>
        <v>46512</v>
      </c>
      <c r="T84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46543</v>
      </c>
      <c r="U84" s="16">
        <f>EDATE(Données[[#This Row],[Date réception entreprise recalée]],12)</f>
        <v>46909</v>
      </c>
      <c r="V84" s="17">
        <f>(Données[[#This Row],[Date réception entreprise recalée]]-Données[[#This Row],[Date réception entreprise prévue initialement]])/30</f>
        <v>1.0333333333333334</v>
      </c>
      <c r="W84" s="44">
        <f>Données[[#This Row],[Date réception entreprise recalée]]</f>
        <v>46543</v>
      </c>
      <c r="X84" s="19">
        <f>Données[[#This Row],[Date achèvement VEFA]]</f>
        <v>46543</v>
      </c>
      <c r="Y84" s="19">
        <f>Données[[#This Row],[Date achèvement VEFA]]</f>
        <v>46543</v>
      </c>
      <c r="Z84" s="19">
        <f>Données[[#This Row],[Date achèvement VEFA]]</f>
        <v>46543</v>
      </c>
      <c r="AA84" s="20">
        <f>IF(Données[[#This Row],[TYPE]]="Rehab",0,IFERROR((Données[[#This Row],[Date Livraison VEFA estimée avec retards constatés]]-Données[[#This Row],[Date livraison contractuelle y/c avenant]])/30,"-"))</f>
        <v>0</v>
      </c>
      <c r="AB84" s="21">
        <f>IF(Données[[#This Row],[TYPE]]="Rehab",0,Données[[#This Row],[Date Livraison VEFA estimée avec retards constatés]]-Données[[#This Row],[Date livraison contractuelle y/c avenant]])</f>
        <v>0</v>
      </c>
      <c r="AC84" s="22"/>
      <c r="AD84" s="23" t="str">
        <f>IF(AND(Données[[#This Row],[TYPE]]&lt;&gt;"Rehab",Données[[#This Row],[Achèvement fondations]]&lt;&gt;""),EDATE(Données[[#This Row],[Achèvement fondations]],24),"")</f>
        <v/>
      </c>
      <c r="AE84" s="30">
        <f>IF(Données[[#This Row],[VEFA / PROPRE]]="vefa",EDATE(Données[[#This Row],[Date Livraison initiale VEFA]],1),EDATE(Données[[#This Row],[Date réception entreprise prévue initialement]],1))</f>
        <v>46573</v>
      </c>
      <c r="AF84" s="24">
        <f>IF(Données[[#This Row],[VEFA / PROPRE]]="VEFA",EDATE(Données[[#This Row],[Date Livraison VEFA estimée avec retards constatés]],1),EDATE(Données[[#This Row],[Date réception entreprise recalée]],1))</f>
        <v>46573</v>
      </c>
      <c r="AG84" s="55"/>
      <c r="AH84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84" s="26"/>
      <c r="AJ84" s="26">
        <f>IF(Données[[#This Row],[TYPE]]="Rehab","",Données[[#This Row],[Loyer mensuel]]*Données[[#This Row],[Retard Inauguration (m)]])</f>
        <v>0</v>
      </c>
      <c r="AN84"/>
      <c r="AR84"/>
      <c r="AS84"/>
      <c r="AT84"/>
      <c r="AV84"/>
      <c r="AW84"/>
      <c r="AY84"/>
      <c r="AZ84"/>
    </row>
    <row r="85" spans="1:52" x14ac:dyDescent="0.25">
      <c r="A85" s="2" t="s">
        <v>73</v>
      </c>
      <c r="B85" s="3" t="s">
        <v>38</v>
      </c>
      <c r="C85" s="27">
        <v>2024</v>
      </c>
      <c r="D85" s="3" t="s">
        <v>7</v>
      </c>
      <c r="E85" s="4">
        <f>Données[[#This Row],[LLS]]+Données[[#This Row],[LLTS]]+Données[[#This Row],[PLS]]+Données[[#This Row],[REHAB]]</f>
        <v>15</v>
      </c>
      <c r="F85" s="4">
        <f>Données[[#This Row],[LLS]]+Données[[#This Row],[LLTS]]+Données[[#This Row],[PLS]]</f>
        <v>15</v>
      </c>
      <c r="G85" s="5"/>
      <c r="H85" s="5">
        <v>15</v>
      </c>
      <c r="I85" s="5"/>
      <c r="J85" s="47"/>
      <c r="K85" s="7" t="s">
        <v>37</v>
      </c>
      <c r="L85" s="8"/>
      <c r="M85" s="58">
        <v>45782</v>
      </c>
      <c r="N85" s="10"/>
      <c r="O85" s="6">
        <f>IFERROR((DATEDIF(Données[[#This Row],[Arrêté LBU]],Données[[#This Row],[OS démarrage]],"d"))/30,0)</f>
        <v>1526.0666666666666</v>
      </c>
      <c r="P85" s="29">
        <v>24</v>
      </c>
      <c r="Q85" s="12">
        <f>DATEDIF(Données[[#This Row],[OS démarrage]],Données[[#This Row],[Date réception entreprise recalée]],"M")</f>
        <v>25</v>
      </c>
      <c r="R85" s="13"/>
      <c r="S85" s="14">
        <f>EDATE(Données[[#This Row],[OS démarrage]],Données[[#This Row],[Délai chantier initial]])</f>
        <v>46512</v>
      </c>
      <c r="T85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46543</v>
      </c>
      <c r="U85" s="16">
        <f>EDATE(Données[[#This Row],[Date réception entreprise recalée]],12)</f>
        <v>46909</v>
      </c>
      <c r="V85" s="17">
        <f>(Données[[#This Row],[Date réception entreprise recalée]]-Données[[#This Row],[Date réception entreprise prévue initialement]])/30</f>
        <v>1.0333333333333334</v>
      </c>
      <c r="W85" s="44">
        <f>Données[[#This Row],[Date réception entreprise recalée]]</f>
        <v>46543</v>
      </c>
      <c r="X85" s="19">
        <f>Données[[#This Row],[Date achèvement VEFA]]</f>
        <v>46543</v>
      </c>
      <c r="Y85" s="19">
        <f>Données[[#This Row],[Date achèvement VEFA]]</f>
        <v>46543</v>
      </c>
      <c r="Z85" s="24">
        <f>Données[[#This Row],[Date achèvement VEFA]]</f>
        <v>46543</v>
      </c>
      <c r="AA85" s="20">
        <f>IF(Données[[#This Row],[TYPE]]="Rehab",0,IFERROR((Données[[#This Row],[Date Livraison VEFA estimée avec retards constatés]]-Données[[#This Row],[Date livraison contractuelle y/c avenant]])/30,"-"))</f>
        <v>0</v>
      </c>
      <c r="AB85" s="21">
        <f>IF(Données[[#This Row],[TYPE]]="Rehab",0,Données[[#This Row],[Date Livraison VEFA estimée avec retards constatés]]-Données[[#This Row],[Date livraison contractuelle y/c avenant]])</f>
        <v>0</v>
      </c>
      <c r="AC85" s="22"/>
      <c r="AD85" s="23" t="str">
        <f>IF(AND(Données[[#This Row],[TYPE]]&lt;&gt;"Rehab",Données[[#This Row],[Achèvement fondations]]&lt;&gt;""),EDATE(Données[[#This Row],[Achèvement fondations]],24),"")</f>
        <v/>
      </c>
      <c r="AE85" s="30">
        <f>IF(Données[[#This Row],[VEFA / PROPRE]]="vefa",EDATE(Données[[#This Row],[Date Livraison initiale VEFA]],1),EDATE(Données[[#This Row],[Date réception entreprise prévue initialement]],1))</f>
        <v>46573</v>
      </c>
      <c r="AF85" s="24">
        <f>IF(Données[[#This Row],[VEFA / PROPRE]]="VEFA",EDATE(Données[[#This Row],[Date Livraison VEFA estimée avec retards constatés]],1),EDATE(Données[[#This Row],[Date réception entreprise recalée]],1))</f>
        <v>46573</v>
      </c>
      <c r="AG85" s="55"/>
      <c r="AH85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85" s="26"/>
      <c r="AJ85" s="26">
        <f>IF(Données[[#This Row],[TYPE]]="Rehab","",Données[[#This Row],[Loyer mensuel]]*Données[[#This Row],[Retard Inauguration (m)]])</f>
        <v>0</v>
      </c>
      <c r="AN85"/>
      <c r="AR85"/>
      <c r="AS85"/>
      <c r="AT85"/>
      <c r="AV85"/>
      <c r="AW85"/>
      <c r="AY85"/>
      <c r="AZ85"/>
    </row>
    <row r="86" spans="1:52" x14ac:dyDescent="0.25">
      <c r="A86" s="5" t="s">
        <v>67</v>
      </c>
      <c r="B86" s="3" t="s">
        <v>38</v>
      </c>
      <c r="C86" s="3">
        <v>2025</v>
      </c>
      <c r="D86" s="3" t="s">
        <v>7</v>
      </c>
      <c r="E86" s="4">
        <f>Données[[#This Row],[LLS]]+Données[[#This Row],[LLTS]]+Données[[#This Row],[PLS]]+Données[[#This Row],[REHAB]]</f>
        <v>40</v>
      </c>
      <c r="F86" s="4">
        <f>Données[[#This Row],[LLS]]+Données[[#This Row],[LLTS]]+Données[[#This Row],[PLS]]</f>
        <v>40</v>
      </c>
      <c r="G86" s="5"/>
      <c r="H86" s="5">
        <v>40</v>
      </c>
      <c r="I86" s="5"/>
      <c r="J86" s="5"/>
      <c r="K86" s="7" t="s">
        <v>39</v>
      </c>
      <c r="L86" s="8"/>
      <c r="M86" s="58">
        <v>46433</v>
      </c>
      <c r="N86" s="10"/>
      <c r="O86" s="6">
        <f>IFERROR((DATEDIF(Données[[#This Row],[Arrêté LBU]],Données[[#This Row],[OS démarrage]],"d"))/30,0)</f>
        <v>1547.7666666666667</v>
      </c>
      <c r="P86" s="29">
        <v>34</v>
      </c>
      <c r="Q86" s="12">
        <f>DATEDIF(Données[[#This Row],[OS démarrage]],Données[[#This Row],[Date réception entreprise recalée]],"M")</f>
        <v>35</v>
      </c>
      <c r="R86" s="32"/>
      <c r="S86" s="14">
        <f>EDATE(Données[[#This Row],[OS démarrage]],Données[[#This Row],[Délai chantier initial]])</f>
        <v>47467</v>
      </c>
      <c r="T86" s="24">
        <f>DATE(YEAR(Données[[#This Row],[Date réception entreprise prévue initialement]]),MONTH(Données[[#This Row],[Date réception entreprise prévue initialement]])+1,DAY(Données[[#This Row],[Date réception entreprise prévue initialement]]))</f>
        <v>47498</v>
      </c>
      <c r="U86" s="16">
        <f>EDATE(Données[[#This Row],[Date réception entreprise recalée]],12)</f>
        <v>47863</v>
      </c>
      <c r="V86" s="17">
        <f>(Données[[#This Row],[Date réception entreprise recalée]]-Données[[#This Row],[Date réception entreprise prévue initialement]])/30</f>
        <v>1.0333333333333334</v>
      </c>
      <c r="W86" s="44"/>
      <c r="X86" s="19"/>
      <c r="Y86" s="19"/>
      <c r="Z86" s="19"/>
      <c r="AA86" s="20">
        <f>IF(Données[[#This Row],[TYPE]]="Rehab",0,IFERROR((Données[[#This Row],[Date Livraison VEFA estimée avec retards constatés]]-Données[[#This Row],[Date livraison contractuelle y/c avenant]])/30,"-"))</f>
        <v>0</v>
      </c>
      <c r="AB86" s="21">
        <f>IF(Données[[#This Row],[TYPE]]="Rehab",0,Données[[#This Row],[Date Livraison VEFA estimée avec retards constatés]]-Données[[#This Row],[Date livraison contractuelle y/c avenant]])</f>
        <v>0</v>
      </c>
      <c r="AC86" s="22"/>
      <c r="AD86" s="23" t="str">
        <f>IF(AND(Données[[#This Row],[TYPE]]&lt;&gt;"Rehab",Données[[#This Row],[Achèvement fondations]]&lt;&gt;""),EDATE(Données[[#This Row],[Achèvement fondations]],24),"")</f>
        <v/>
      </c>
      <c r="AE86" s="30">
        <f>IF(Données[[#This Row],[VEFA / PROPRE]]="vefa",EDATE(Données[[#This Row],[Date Livraison initiale VEFA]],1),EDATE(Données[[#This Row],[Date réception entreprise prévue initialement]],1))</f>
        <v>47498</v>
      </c>
      <c r="AF86" s="24">
        <f>IF(Données[[#This Row],[VEFA / PROPRE]]="VEFA",EDATE(Données[[#This Row],[Date Livraison VEFA estimée avec retards constatés]],1),EDATE(Données[[#This Row],[Date réception entreprise recalée]],1))</f>
        <v>47529</v>
      </c>
      <c r="AG86" s="55"/>
      <c r="AH86" s="26">
        <f>IF((Données[[#This Row],[Date inauguration recalée]]-Données[[#This Row],[Date inauguration initiale]])/30&lt;0,0,(Données[[#This Row],[Date inauguration recalée]]-Données[[#This Row],[Date inauguration initiale]])/30)</f>
        <v>1.0333333333333334</v>
      </c>
      <c r="AI86" s="26"/>
      <c r="AJ86" s="26">
        <f>IF(Données[[#This Row],[TYPE]]="Rehab","",Données[[#This Row],[Loyer mensuel]]*Données[[#This Row],[Retard Inauguration (m)]])</f>
        <v>0</v>
      </c>
      <c r="AN86"/>
      <c r="AR86"/>
      <c r="AS86"/>
      <c r="AT86"/>
      <c r="AV86"/>
      <c r="AW86"/>
      <c r="AY86"/>
      <c r="AZ86"/>
    </row>
    <row r="87" spans="1:52" x14ac:dyDescent="0.25">
      <c r="A87" s="5" t="s">
        <v>74</v>
      </c>
      <c r="B87" s="3" t="s">
        <v>36</v>
      </c>
      <c r="C87" s="3">
        <v>2025</v>
      </c>
      <c r="D87" s="3" t="s">
        <v>7</v>
      </c>
      <c r="E87" s="4">
        <f>Données[[#This Row],[LLS]]+Données[[#This Row],[LLTS]]+Données[[#This Row],[PLS]]+Données[[#This Row],[REHAB]]</f>
        <v>22</v>
      </c>
      <c r="F87" s="4">
        <f>Données[[#This Row],[LLS]]+Données[[#This Row],[LLTS]]+Données[[#This Row],[PLS]]</f>
        <v>22</v>
      </c>
      <c r="G87" s="4"/>
      <c r="H87" s="4">
        <v>22</v>
      </c>
      <c r="I87" s="4"/>
      <c r="J87" s="4"/>
      <c r="K87" s="7" t="s">
        <v>39</v>
      </c>
      <c r="L87" s="8"/>
      <c r="M87" s="58">
        <v>45853</v>
      </c>
      <c r="N87" s="10"/>
      <c r="O87" s="6">
        <f>IFERROR((DATEDIF(Données[[#This Row],[Arrêté LBU]],Données[[#This Row],[OS démarrage]],"d"))/30,0)</f>
        <v>1528.4333333333334</v>
      </c>
      <c r="P87" s="29">
        <v>20</v>
      </c>
      <c r="Q87" s="61">
        <f>DATEDIF(Données[[#This Row],[OS démarrage]],Données[[#This Row],[Date réception entreprise recalée]],"M")</f>
        <v>21</v>
      </c>
      <c r="R87" s="36"/>
      <c r="S87" s="14">
        <f>EDATE(Données[[#This Row],[OS démarrage]],Données[[#This Row],[Délai chantier initial]])</f>
        <v>46461</v>
      </c>
      <c r="T87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46492</v>
      </c>
      <c r="U87" s="16">
        <f>EDATE(Données[[#This Row],[Date réception entreprise recalée]],12)</f>
        <v>46858</v>
      </c>
      <c r="V87" s="17">
        <f>(Données[[#This Row],[Date réception entreprise recalée]]-Données[[#This Row],[Date réception entreprise prévue initialement]])/30</f>
        <v>1.0333333333333334</v>
      </c>
      <c r="W87" s="44"/>
      <c r="X87" s="19"/>
      <c r="Y87" s="19"/>
      <c r="Z87" s="19"/>
      <c r="AA87" s="20">
        <f>IF(Données[[#This Row],[TYPE]]="Rehab",0,IFERROR((Données[[#This Row],[Date Livraison VEFA estimée avec retards constatés]]-Données[[#This Row],[Date livraison contractuelle y/c avenant]])/30,"-"))</f>
        <v>0</v>
      </c>
      <c r="AB87" s="21">
        <f>IF(Données[[#This Row],[TYPE]]="Rehab",0,Données[[#This Row],[Date Livraison VEFA estimée avec retards constatés]]-Données[[#This Row],[Date livraison contractuelle y/c avenant]])</f>
        <v>0</v>
      </c>
      <c r="AC87" s="22"/>
      <c r="AD87" s="23" t="str">
        <f>IF(AND(Données[[#This Row],[TYPE]]&lt;&gt;"Rehab",Données[[#This Row],[Achèvement fondations]]&lt;&gt;""),EDATE(Données[[#This Row],[Achèvement fondations]],24),"")</f>
        <v/>
      </c>
      <c r="AE87" s="30">
        <f>IF(Données[[#This Row],[VEFA / PROPRE]]="vefa",EDATE(Données[[#This Row],[Date Livraison initiale VEFA]],1),EDATE(Données[[#This Row],[Date réception entreprise prévue initialement]],1))</f>
        <v>46492</v>
      </c>
      <c r="AF87" s="24">
        <f>IF(Données[[#This Row],[VEFA / PROPRE]]="VEFA",EDATE(Données[[#This Row],[Date Livraison VEFA estimée avec retards constatés]],1),EDATE(Données[[#This Row],[Date réception entreprise recalée]],1))</f>
        <v>46522</v>
      </c>
      <c r="AG87" s="55"/>
      <c r="AH87" s="59">
        <f>IF((Données[[#This Row],[Date inauguration recalée]]-Données[[#This Row],[Date inauguration initiale]])/30&lt;0,0,(Données[[#This Row],[Date inauguration recalée]]-Données[[#This Row],[Date inauguration initiale]])/30)</f>
        <v>1</v>
      </c>
      <c r="AI87" s="26"/>
      <c r="AJ87" s="26">
        <f>IF(Données[[#This Row],[TYPE]]="Rehab","",Données[[#This Row],[Loyer mensuel]]*Données[[#This Row],[Retard Inauguration (m)]])</f>
        <v>0</v>
      </c>
      <c r="AN87"/>
      <c r="AR87"/>
      <c r="AS87"/>
      <c r="AT87"/>
      <c r="AV87"/>
      <c r="AW87"/>
      <c r="AY87"/>
      <c r="AZ87"/>
    </row>
    <row r="88" spans="1:52" x14ac:dyDescent="0.25">
      <c r="A88" s="5" t="s">
        <v>71</v>
      </c>
      <c r="B88" s="3" t="s">
        <v>36</v>
      </c>
      <c r="C88" s="3">
        <v>2025</v>
      </c>
      <c r="D88" s="3" t="s">
        <v>7</v>
      </c>
      <c r="E88" s="4">
        <f>Données[[#This Row],[LLS]]+Données[[#This Row],[LLTS]]+Données[[#This Row],[PLS]]+Données[[#This Row],[REHAB]]</f>
        <v>6</v>
      </c>
      <c r="F88" s="4">
        <f>Données[[#This Row],[LLS]]+Données[[#This Row],[LLTS]]+Données[[#This Row],[PLS]]</f>
        <v>6</v>
      </c>
      <c r="G88" s="4"/>
      <c r="H88" s="4">
        <v>6</v>
      </c>
      <c r="I88" s="4"/>
      <c r="J88" s="4"/>
      <c r="K88" s="7" t="s">
        <v>39</v>
      </c>
      <c r="L88" s="8"/>
      <c r="M88" s="58">
        <v>45853</v>
      </c>
      <c r="N88" s="10"/>
      <c r="O88" s="6">
        <f>IFERROR((DATEDIF(Données[[#This Row],[Arrêté LBU]],Données[[#This Row],[OS démarrage]],"d"))/30,0)</f>
        <v>1528.4333333333334</v>
      </c>
      <c r="P88" s="29">
        <v>20</v>
      </c>
      <c r="Q88" s="61">
        <f>DATEDIF(Données[[#This Row],[OS démarrage]],Données[[#This Row],[Date réception entreprise recalée]],"M")</f>
        <v>21</v>
      </c>
      <c r="R88" s="36"/>
      <c r="S88" s="14">
        <f>EDATE(Données[[#This Row],[OS démarrage]],Données[[#This Row],[Délai chantier initial]])</f>
        <v>46461</v>
      </c>
      <c r="T88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46492</v>
      </c>
      <c r="U88" s="16">
        <f>EDATE(Données[[#This Row],[Date réception entreprise recalée]],12)</f>
        <v>46858</v>
      </c>
      <c r="V88" s="17">
        <f>(Données[[#This Row],[Date réception entreprise recalée]]-Données[[#This Row],[Date réception entreprise prévue initialement]])/30</f>
        <v>1.0333333333333334</v>
      </c>
      <c r="W88" s="44"/>
      <c r="X88" s="19"/>
      <c r="Y88" s="19"/>
      <c r="Z88" s="19"/>
      <c r="AA88" s="20">
        <f>IF(Données[[#This Row],[TYPE]]="Rehab",0,IFERROR((Données[[#This Row],[Date Livraison VEFA estimée avec retards constatés]]-Données[[#This Row],[Date livraison contractuelle y/c avenant]])/30,"-"))</f>
        <v>0</v>
      </c>
      <c r="AB88" s="21">
        <f>IF(Données[[#This Row],[TYPE]]="Rehab",0,Données[[#This Row],[Date Livraison VEFA estimée avec retards constatés]]-Données[[#This Row],[Date livraison contractuelle y/c avenant]])</f>
        <v>0</v>
      </c>
      <c r="AC88" s="22"/>
      <c r="AD88" s="23" t="str">
        <f>IF(AND(Données[[#This Row],[TYPE]]&lt;&gt;"Rehab",Données[[#This Row],[Achèvement fondations]]&lt;&gt;""),EDATE(Données[[#This Row],[Achèvement fondations]],24),"")</f>
        <v/>
      </c>
      <c r="AE88" s="30">
        <f>IF(Données[[#This Row],[VEFA / PROPRE]]="vefa",EDATE(Données[[#This Row],[Date Livraison initiale VEFA]],1),EDATE(Données[[#This Row],[Date réception entreprise prévue initialement]],1))</f>
        <v>46492</v>
      </c>
      <c r="AF88" s="24">
        <f>IF(Données[[#This Row],[VEFA / PROPRE]]="VEFA",EDATE(Données[[#This Row],[Date Livraison VEFA estimée avec retards constatés]],1),EDATE(Données[[#This Row],[Date réception entreprise recalée]],1))</f>
        <v>46522</v>
      </c>
      <c r="AG88" s="55"/>
      <c r="AH88" s="59">
        <f>IF((Données[[#This Row],[Date inauguration recalée]]-Données[[#This Row],[Date inauguration initiale]])/30&lt;0,0,(Données[[#This Row],[Date inauguration recalée]]-Données[[#This Row],[Date inauguration initiale]])/30)</f>
        <v>1</v>
      </c>
      <c r="AI88" s="26"/>
      <c r="AJ88" s="26">
        <f>IF(Données[[#This Row],[TYPE]]="Rehab","",Données[[#This Row],[Loyer mensuel]]*Données[[#This Row],[Retard Inauguration (m)]])</f>
        <v>0</v>
      </c>
      <c r="AN88"/>
      <c r="AR88"/>
      <c r="AS88"/>
      <c r="AT88"/>
      <c r="AV88"/>
      <c r="AW88"/>
      <c r="AY88"/>
      <c r="AZ88"/>
    </row>
    <row r="89" spans="1:52" x14ac:dyDescent="0.25">
      <c r="A89" s="95" t="s">
        <v>75</v>
      </c>
      <c r="B89" s="3" t="s">
        <v>38</v>
      </c>
      <c r="C89" s="3">
        <v>2025</v>
      </c>
      <c r="D89" s="3" t="s">
        <v>7</v>
      </c>
      <c r="E89" s="4">
        <f>Données[[#This Row],[LLS]]+Données[[#This Row],[LLTS]]+Données[[#This Row],[PLS]]+Données[[#This Row],[REHAB]]</f>
        <v>90</v>
      </c>
      <c r="F89" s="4">
        <f>Données[[#This Row],[LLS]]+Données[[#This Row],[LLTS]]+Données[[#This Row],[PLS]]</f>
        <v>90</v>
      </c>
      <c r="G89" s="4"/>
      <c r="H89" s="4">
        <v>90</v>
      </c>
      <c r="I89" s="4"/>
      <c r="J89" s="4"/>
      <c r="K89" s="7" t="s">
        <v>39</v>
      </c>
      <c r="L89" s="8"/>
      <c r="M89" s="58">
        <v>46553</v>
      </c>
      <c r="N89" s="10"/>
      <c r="O89" s="6">
        <f>IFERROR((DATEDIF(Données[[#This Row],[Arrêté LBU]],Données[[#This Row],[OS démarrage]],"d"))/30,0)</f>
        <v>1551.7666666666667</v>
      </c>
      <c r="P89" s="29">
        <v>20</v>
      </c>
      <c r="Q89" s="61">
        <f>DATEDIF(Données[[#This Row],[OS démarrage]],Données[[#This Row],[Date réception entreprise recalée]],"M")</f>
        <v>21</v>
      </c>
      <c r="R89" s="36"/>
      <c r="S89" s="14">
        <f>EDATE(Données[[#This Row],[OS démarrage]],Données[[#This Row],[Délai chantier initial]])</f>
        <v>47164</v>
      </c>
      <c r="T89" s="24">
        <f>DATE(YEAR(Données[[#This Row],[Date réception entreprise prévue initialement]]),MONTH(Données[[#This Row],[Date réception entreprise prévue initialement]])+1,DAY(Données[[#This Row],[Date réception entreprise prévue initialement]]))</f>
        <v>47192</v>
      </c>
      <c r="U89" s="16">
        <f>EDATE(Données[[#This Row],[Date réception entreprise recalée]],12)</f>
        <v>47557</v>
      </c>
      <c r="V89" s="17">
        <f>(Données[[#This Row],[Date réception entreprise recalée]]-Données[[#This Row],[Date réception entreprise prévue initialement]])/30</f>
        <v>0.93333333333333335</v>
      </c>
      <c r="W89" s="44"/>
      <c r="X89" s="19"/>
      <c r="Y89" s="19"/>
      <c r="Z89" s="19"/>
      <c r="AA89" s="20">
        <f>IF(Données[[#This Row],[TYPE]]="Rehab",0,IFERROR((Données[[#This Row],[Date Livraison VEFA estimée avec retards constatés]]-Données[[#This Row],[Date livraison contractuelle y/c avenant]])/30,"-"))</f>
        <v>0</v>
      </c>
      <c r="AB89" s="21">
        <f>IF(Données[[#This Row],[TYPE]]="Rehab",0,Données[[#This Row],[Date Livraison VEFA estimée avec retards constatés]]-Données[[#This Row],[Date livraison contractuelle y/c avenant]])</f>
        <v>0</v>
      </c>
      <c r="AC89" s="22"/>
      <c r="AD89" s="23" t="str">
        <f>IF(AND(Données[[#This Row],[TYPE]]&lt;&gt;"Rehab",Données[[#This Row],[Achèvement fondations]]&lt;&gt;""),EDATE(Données[[#This Row],[Achèvement fondations]],24),"")</f>
        <v/>
      </c>
      <c r="AE89" s="30">
        <f>IF(Données[[#This Row],[VEFA / PROPRE]]="vefa",EDATE(Données[[#This Row],[Date Livraison initiale VEFA]],1),EDATE(Données[[#This Row],[Date réception entreprise prévue initialement]],1))</f>
        <v>47192</v>
      </c>
      <c r="AF89" s="24">
        <f>IF(Données[[#This Row],[VEFA / PROPRE]]="VEFA",EDATE(Données[[#This Row],[Date Livraison VEFA estimée avec retards constatés]],1),EDATE(Données[[#This Row],[Date réception entreprise recalée]],1))</f>
        <v>47223</v>
      </c>
      <c r="AG89" s="55"/>
      <c r="AH89" s="26">
        <f>IF((Données[[#This Row],[Date inauguration recalée]]-Données[[#This Row],[Date inauguration initiale]])/30&lt;0,0,(Données[[#This Row],[Date inauguration recalée]]-Données[[#This Row],[Date inauguration initiale]])/30)</f>
        <v>1.0333333333333334</v>
      </c>
      <c r="AI89" s="26"/>
      <c r="AJ89" s="26">
        <f>IF(Données[[#This Row],[TYPE]]="Rehab","",Données[[#This Row],[Loyer mensuel]]*Données[[#This Row],[Retard Inauguration (m)]])</f>
        <v>0</v>
      </c>
      <c r="AN89"/>
      <c r="AR89"/>
      <c r="AS89"/>
      <c r="AT89"/>
      <c r="AV89"/>
      <c r="AW89"/>
      <c r="AY89"/>
      <c r="AZ89"/>
    </row>
    <row r="90" spans="1:52" x14ac:dyDescent="0.25">
      <c r="A90" s="96" t="s">
        <v>66</v>
      </c>
      <c r="B90" s="3" t="s">
        <v>36</v>
      </c>
      <c r="C90" s="3">
        <v>2024</v>
      </c>
      <c r="D90" s="3" t="s">
        <v>7</v>
      </c>
      <c r="E90" s="4">
        <f>Données[[#This Row],[LLS]]+Données[[#This Row],[LLTS]]+Données[[#This Row],[PLS]]+Données[[#This Row],[REHAB]]</f>
        <v>9</v>
      </c>
      <c r="F90" s="4">
        <f>Données[[#This Row],[LLS]]+Données[[#This Row],[LLTS]]+Données[[#This Row],[PLS]]</f>
        <v>9</v>
      </c>
      <c r="G90" s="4"/>
      <c r="H90" s="4">
        <v>9</v>
      </c>
      <c r="I90" s="4"/>
      <c r="J90" s="4"/>
      <c r="K90" s="7" t="s">
        <v>39</v>
      </c>
      <c r="L90" s="8"/>
      <c r="M90" s="58">
        <v>46096</v>
      </c>
      <c r="N90" s="10"/>
      <c r="O90" s="6">
        <f>IFERROR((DATEDIF(Données[[#This Row],[Arrêté LBU]],Données[[#This Row],[OS démarrage]],"d"))/30,0)</f>
        <v>1536.5333333333333</v>
      </c>
      <c r="P90" s="29">
        <v>20</v>
      </c>
      <c r="Q90" s="61">
        <f>DATEDIF(Données[[#This Row],[OS démarrage]],Données[[#This Row],[Date réception entreprise recalée]],"M")</f>
        <v>21</v>
      </c>
      <c r="R90" s="36"/>
      <c r="S90" s="14">
        <f>EDATE(Données[[#This Row],[OS démarrage]],Données[[#This Row],[Délai chantier initial]])</f>
        <v>46706</v>
      </c>
      <c r="T90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46736</v>
      </c>
      <c r="U90" s="16">
        <f>EDATE(Données[[#This Row],[Date réception entreprise recalée]],12)</f>
        <v>47102</v>
      </c>
      <c r="V90" s="17">
        <f>(Données[[#This Row],[Date réception entreprise recalée]]-Données[[#This Row],[Date réception entreprise prévue initialement]])/30</f>
        <v>1</v>
      </c>
      <c r="W90" s="44"/>
      <c r="X90" s="19"/>
      <c r="Y90" s="19"/>
      <c r="Z90" s="19"/>
      <c r="AA90" s="20">
        <f>IF(Données[[#This Row],[TYPE]]="Rehab",0,IFERROR((Données[[#This Row],[Date Livraison VEFA estimée avec retards constatés]]-Données[[#This Row],[Date livraison contractuelle y/c avenant]])/30,"-"))</f>
        <v>0</v>
      </c>
      <c r="AB90" s="21">
        <f>IF(Données[[#This Row],[TYPE]]="Rehab",0,Données[[#This Row],[Date Livraison VEFA estimée avec retards constatés]]-Données[[#This Row],[Date livraison contractuelle y/c avenant]])</f>
        <v>0</v>
      </c>
      <c r="AC90" s="22"/>
      <c r="AD90" s="23" t="str">
        <f>IF(AND(Données[[#This Row],[TYPE]]&lt;&gt;"Rehab",Données[[#This Row],[Achèvement fondations]]&lt;&gt;""),EDATE(Données[[#This Row],[Achèvement fondations]],24),"")</f>
        <v/>
      </c>
      <c r="AE90" s="30">
        <f>IF(Données[[#This Row],[VEFA / PROPRE]]="vefa",EDATE(Données[[#This Row],[Date Livraison initiale VEFA]],1),EDATE(Données[[#This Row],[Date réception entreprise prévue initialement]],1))</f>
        <v>46736</v>
      </c>
      <c r="AF90" s="24">
        <f>IF(Données[[#This Row],[VEFA / PROPRE]]="VEFA",EDATE(Données[[#This Row],[Date Livraison VEFA estimée avec retards constatés]],1),EDATE(Données[[#This Row],[Date réception entreprise recalée]],1))</f>
        <v>46767</v>
      </c>
      <c r="AG90" s="55"/>
      <c r="AH90" s="59">
        <f>IF((Données[[#This Row],[Date inauguration recalée]]-Données[[#This Row],[Date inauguration initiale]])/30&lt;0,0,(Données[[#This Row],[Date inauguration recalée]]-Données[[#This Row],[Date inauguration initiale]])/30)</f>
        <v>1.0333333333333334</v>
      </c>
      <c r="AI90" s="26"/>
      <c r="AJ90" s="26">
        <f>IF(Données[[#This Row],[TYPE]]="Rehab","",Données[[#This Row],[Loyer mensuel]]*Données[[#This Row],[Retard Inauguration (m)]])</f>
        <v>0</v>
      </c>
      <c r="AN90"/>
      <c r="AR90"/>
      <c r="AS90"/>
      <c r="AT90"/>
      <c r="AV90"/>
      <c r="AW90"/>
      <c r="AY90"/>
      <c r="AZ90"/>
    </row>
    <row r="91" spans="1:52" x14ac:dyDescent="0.25">
      <c r="A91" s="95" t="s">
        <v>76</v>
      </c>
      <c r="B91" s="3" t="s">
        <v>38</v>
      </c>
      <c r="C91" s="63" t="s">
        <v>44</v>
      </c>
      <c r="D91" s="3" t="s">
        <v>7</v>
      </c>
      <c r="E91" s="4">
        <f>Données[[#This Row],[LLS]]+Données[[#This Row],[LLTS]]+Données[[#This Row],[PLS]]+Données[[#This Row],[REHAB]]</f>
        <v>35</v>
      </c>
      <c r="F91" s="4">
        <f>Données[[#This Row],[LLS]]+Données[[#This Row],[LLTS]]+Données[[#This Row],[PLS]]</f>
        <v>35</v>
      </c>
      <c r="G91" s="5"/>
      <c r="H91" s="5">
        <v>35</v>
      </c>
      <c r="I91" s="5"/>
      <c r="J91" s="64"/>
      <c r="K91" s="7" t="s">
        <v>39</v>
      </c>
      <c r="L91" s="8"/>
      <c r="M91" s="58">
        <v>46266</v>
      </c>
      <c r="N91" s="65"/>
      <c r="O91" s="6">
        <f>IFERROR((DATEDIF(Données[[#This Row],[Arrêté LBU]],Données[[#This Row],[OS démarrage]],"d"))/30,0)</f>
        <v>1542.2</v>
      </c>
      <c r="P91" s="29">
        <v>16</v>
      </c>
      <c r="Q91" s="12">
        <f>DATEDIF(Données[[#This Row],[OS démarrage]],Données[[#This Row],[Date réception entreprise recalée]],"M")</f>
        <v>17</v>
      </c>
      <c r="R91" s="13"/>
      <c r="S91" s="14">
        <f>EDATE(Données[[#This Row],[OS démarrage]],Données[[#This Row],[Délai chantier initial]])</f>
        <v>46753</v>
      </c>
      <c r="T91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46784</v>
      </c>
      <c r="U91" s="16">
        <f>EDATE(Données[[#This Row],[Date réception entreprise recalée]],12)</f>
        <v>47150</v>
      </c>
      <c r="V91" s="17">
        <f>(Données[[#This Row],[Date réception entreprise recalée]]-Données[[#This Row],[Date réception entreprise prévue initialement]])/30</f>
        <v>1.0333333333333334</v>
      </c>
      <c r="W91" s="44"/>
      <c r="X91" s="19"/>
      <c r="Y91" s="19"/>
      <c r="Z91" s="19"/>
      <c r="AA91" s="20">
        <f>IF(Données[[#This Row],[TYPE]]="Rehab",0,IFERROR((Données[[#This Row],[Date Livraison VEFA estimée avec retards constatés]]-Données[[#This Row],[Date livraison contractuelle y/c avenant]])/30,"-"))</f>
        <v>0</v>
      </c>
      <c r="AB91" s="21">
        <f>IF(Données[[#This Row],[TYPE]]="Rehab",0,Données[[#This Row],[Date Livraison VEFA estimée avec retards constatés]]-Données[[#This Row],[Date livraison contractuelle y/c avenant]])</f>
        <v>0</v>
      </c>
      <c r="AC91" s="22"/>
      <c r="AD91" s="23" t="str">
        <f>IF(AND(Données[[#This Row],[TYPE]]&lt;&gt;"Rehab",Données[[#This Row],[Achèvement fondations]]&lt;&gt;""),EDATE(Données[[#This Row],[Achèvement fondations]],24),"")</f>
        <v/>
      </c>
      <c r="AE91" s="30">
        <f>IF(Données[[#This Row],[VEFA / PROPRE]]="vefa",EDATE(Données[[#This Row],[Date Livraison initiale VEFA]],1),EDATE(Données[[#This Row],[Date réception entreprise prévue initialement]],1))</f>
        <v>46784</v>
      </c>
      <c r="AF91" s="24">
        <f>IF(Données[[#This Row],[VEFA / PROPRE]]="VEFA",EDATE(Données[[#This Row],[Date Livraison VEFA estimée avec retards constatés]],1),EDATE(Données[[#This Row],[Date réception entreprise recalée]],1))</f>
        <v>46813</v>
      </c>
      <c r="AG91" s="55"/>
      <c r="AH91" s="26">
        <f>IF((Données[[#This Row],[Date inauguration recalée]]-Données[[#This Row],[Date inauguration initiale]])/30&lt;0,0,(Données[[#This Row],[Date inauguration recalée]]-Données[[#This Row],[Date inauguration initiale]])/30)</f>
        <v>0.96666666666666667</v>
      </c>
      <c r="AI91" s="26"/>
      <c r="AJ91" s="26">
        <f>IF(Données[[#This Row],[TYPE]]="Rehab","",Données[[#This Row],[Loyer mensuel]]*Données[[#This Row],[Retard Inauguration (m)]])</f>
        <v>0</v>
      </c>
      <c r="AN91"/>
      <c r="AR91"/>
      <c r="AS91"/>
      <c r="AT91"/>
      <c r="AV91"/>
      <c r="AW91"/>
      <c r="AY91"/>
      <c r="AZ91"/>
    </row>
    <row r="92" spans="1:52" x14ac:dyDescent="0.25">
      <c r="A92" s="95" t="s">
        <v>77</v>
      </c>
      <c r="B92" s="3" t="s">
        <v>36</v>
      </c>
      <c r="C92" s="3" t="s">
        <v>44</v>
      </c>
      <c r="D92" s="3" t="s">
        <v>7</v>
      </c>
      <c r="E92" s="4">
        <f>Données[[#This Row],[LLS]]+Données[[#This Row],[LLTS]]+Données[[#This Row],[PLS]]+Données[[#This Row],[REHAB]]</f>
        <v>88</v>
      </c>
      <c r="F92" s="4">
        <f>Données[[#This Row],[LLS]]+Données[[#This Row],[LLTS]]+Données[[#This Row],[PLS]]</f>
        <v>88</v>
      </c>
      <c r="G92" s="5"/>
      <c r="H92" s="5">
        <v>88</v>
      </c>
      <c r="I92" s="5"/>
      <c r="J92" s="5"/>
      <c r="K92" s="7" t="s">
        <v>39</v>
      </c>
      <c r="L92" s="8"/>
      <c r="M92" s="58">
        <v>46266</v>
      </c>
      <c r="N92" s="10"/>
      <c r="O92" s="6">
        <f>IFERROR((DATEDIF(Données[[#This Row],[Arrêté LBU]],Données[[#This Row],[OS démarrage]],"d"))/30,0)</f>
        <v>1542.2</v>
      </c>
      <c r="P92" s="29">
        <v>18</v>
      </c>
      <c r="Q92" s="12">
        <f>DATEDIF(Données[[#This Row],[OS démarrage]],Données[[#This Row],[Date réception entreprise recalée]],"M")</f>
        <v>19</v>
      </c>
      <c r="R92" s="32"/>
      <c r="S92" s="14">
        <f>EDATE(Données[[#This Row],[OS démarrage]],Données[[#This Row],[Délai chantier initial]])</f>
        <v>46813</v>
      </c>
      <c r="T92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46844</v>
      </c>
      <c r="U92" s="16">
        <f>EDATE(Données[[#This Row],[Date réception entreprise recalée]],12)</f>
        <v>47209</v>
      </c>
      <c r="V92" s="17">
        <f>(Données[[#This Row],[Date réception entreprise recalée]]-Données[[#This Row],[Date réception entreprise prévue initialement]])/30</f>
        <v>1.0333333333333334</v>
      </c>
      <c r="W92" s="44"/>
      <c r="X92" s="19"/>
      <c r="Y92" s="19"/>
      <c r="Z92" s="19"/>
      <c r="AA92" s="20">
        <f>IF(Données[[#This Row],[TYPE]]="Rehab",0,IFERROR((Données[[#This Row],[Date Livraison VEFA estimée avec retards constatés]]-Données[[#This Row],[Date livraison contractuelle y/c avenant]])/30,"-"))</f>
        <v>0</v>
      </c>
      <c r="AB92" s="21">
        <f>IF(Données[[#This Row],[TYPE]]="Rehab",0,Données[[#This Row],[Date Livraison VEFA estimée avec retards constatés]]-Données[[#This Row],[Date livraison contractuelle y/c avenant]])</f>
        <v>0</v>
      </c>
      <c r="AC92" s="22"/>
      <c r="AD92" s="23" t="str">
        <f>IF(AND(Données[[#This Row],[TYPE]]&lt;&gt;"Rehab",Données[[#This Row],[Achèvement fondations]]&lt;&gt;""),EDATE(Données[[#This Row],[Achèvement fondations]],24),"")</f>
        <v/>
      </c>
      <c r="AE92" s="30">
        <f>IF(Données[[#This Row],[VEFA / PROPRE]]="vefa",EDATE(Données[[#This Row],[Date Livraison initiale VEFA]],1),EDATE(Données[[#This Row],[Date réception entreprise prévue initialement]],1))</f>
        <v>46844</v>
      </c>
      <c r="AF92" s="24">
        <f>IF(Données[[#This Row],[VEFA / PROPRE]]="VEFA",EDATE(Données[[#This Row],[Date Livraison VEFA estimée avec retards constatés]],1),EDATE(Données[[#This Row],[Date réception entreprise recalée]],1))</f>
        <v>46874</v>
      </c>
      <c r="AG92" s="55"/>
      <c r="AH92" s="26">
        <f>IF((Données[[#This Row],[Date inauguration recalée]]-Données[[#This Row],[Date inauguration initiale]])/30&lt;0,0,(Données[[#This Row],[Date inauguration recalée]]-Données[[#This Row],[Date inauguration initiale]])/30)</f>
        <v>1</v>
      </c>
      <c r="AI92" s="26"/>
      <c r="AJ92" s="26">
        <f>IF(Données[[#This Row],[TYPE]]="Rehab","",Données[[#This Row],[Loyer mensuel]]*Données[[#This Row],[Retard Inauguration (m)]])</f>
        <v>0</v>
      </c>
      <c r="AN92"/>
      <c r="AR92"/>
      <c r="AS92"/>
      <c r="AT92"/>
      <c r="AV92"/>
      <c r="AW92"/>
      <c r="AY92"/>
      <c r="AZ92"/>
    </row>
    <row r="93" spans="1:52" x14ac:dyDescent="0.25">
      <c r="A93" s="5" t="s">
        <v>72</v>
      </c>
      <c r="B93" s="3" t="s">
        <v>38</v>
      </c>
      <c r="C93" s="3">
        <v>2025</v>
      </c>
      <c r="D93" s="3" t="s">
        <v>7</v>
      </c>
      <c r="E93" s="4">
        <f>Données[[#This Row],[LLS]]+Données[[#This Row],[LLTS]]+Données[[#This Row],[PLS]]+Données[[#This Row],[REHAB]]</f>
        <v>70</v>
      </c>
      <c r="F93" s="4">
        <f>Données[[#This Row],[LLS]]+Données[[#This Row],[LLTS]]+Données[[#This Row],[PLS]]</f>
        <v>70</v>
      </c>
      <c r="G93" s="4">
        <v>35</v>
      </c>
      <c r="H93" s="4">
        <v>35</v>
      </c>
      <c r="I93" s="4"/>
      <c r="J93" s="4"/>
      <c r="K93" s="7" t="s">
        <v>37</v>
      </c>
      <c r="L93" s="8"/>
      <c r="M93" s="58">
        <v>46553</v>
      </c>
      <c r="N93" s="10"/>
      <c r="O93" s="6">
        <f>IFERROR((DATEDIF(Données[[#This Row],[Arrêté LBU]],Données[[#This Row],[OS démarrage]],"d"))/30,0)</f>
        <v>1551.7666666666667</v>
      </c>
      <c r="P93" s="29">
        <v>20</v>
      </c>
      <c r="Q93" s="61">
        <f>DATEDIF(Données[[#This Row],[OS démarrage]],Données[[#This Row],[Date réception entreprise recalée]],"M")</f>
        <v>21</v>
      </c>
      <c r="R93" s="36"/>
      <c r="S93" s="14">
        <f>EDATE(Données[[#This Row],[OS démarrage]],Données[[#This Row],[Délai chantier initial]])</f>
        <v>47164</v>
      </c>
      <c r="T93" s="24">
        <f>DATE(YEAR(Données[[#This Row],[Date réception entreprise prévue initialement]]),MONTH(Données[[#This Row],[Date réception entreprise prévue initialement]])+1,DAY(Données[[#This Row],[Date réception entreprise prévue initialement]]))</f>
        <v>47192</v>
      </c>
      <c r="U93" s="16">
        <f>EDATE(Données[[#This Row],[Date réception entreprise recalée]],12)</f>
        <v>47557</v>
      </c>
      <c r="V93" s="17">
        <f>(Données[[#This Row],[Date réception entreprise recalée]]-Données[[#This Row],[Date réception entreprise prévue initialement]])/30</f>
        <v>0.93333333333333335</v>
      </c>
      <c r="W93" s="44">
        <f>Données[[#This Row],[Date réception entreprise recalée]]</f>
        <v>47192</v>
      </c>
      <c r="X93" s="19">
        <f>Données[[#This Row],[Date achèvement VEFA]]</f>
        <v>47192</v>
      </c>
      <c r="Y93" s="19">
        <f>Données[[#This Row],[Date achèvement VEFA]]</f>
        <v>47192</v>
      </c>
      <c r="Z93" s="19">
        <f>Données[[#This Row],[Date achèvement VEFA]]</f>
        <v>47192</v>
      </c>
      <c r="AA93" s="20">
        <f>IF(Données[[#This Row],[TYPE]]="Rehab",0,IFERROR((Données[[#This Row],[Date Livraison VEFA estimée avec retards constatés]]-Données[[#This Row],[Date livraison contractuelle y/c avenant]])/30,"-"))</f>
        <v>0</v>
      </c>
      <c r="AB93" s="21">
        <f>IF(Données[[#This Row],[TYPE]]="Rehab",0,Données[[#This Row],[Date Livraison VEFA estimée avec retards constatés]]-Données[[#This Row],[Date livraison contractuelle y/c avenant]])</f>
        <v>0</v>
      </c>
      <c r="AC93" s="22"/>
      <c r="AD93" s="23" t="str">
        <f>IF(AND(Données[[#This Row],[TYPE]]&lt;&gt;"Rehab",Données[[#This Row],[Achèvement fondations]]&lt;&gt;""),EDATE(Données[[#This Row],[Achèvement fondations]],24),"")</f>
        <v/>
      </c>
      <c r="AE93" s="30">
        <f>IF(Données[[#This Row],[VEFA / PROPRE]]="vefa",EDATE(Données[[#This Row],[Date Livraison initiale VEFA]],1),EDATE(Données[[#This Row],[Date réception entreprise prévue initialement]],1))</f>
        <v>47223</v>
      </c>
      <c r="AF93" s="24">
        <f>IF(Données[[#This Row],[VEFA / PROPRE]]="VEFA",EDATE(Données[[#This Row],[Date Livraison VEFA estimée avec retards constatés]],1),EDATE(Données[[#This Row],[Date réception entreprise recalée]],1))</f>
        <v>47223</v>
      </c>
      <c r="AG93" s="55"/>
      <c r="AH93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93" s="26"/>
      <c r="AJ93" s="26">
        <f>IF(Données[[#This Row],[TYPE]]="Rehab","",Données[[#This Row],[Loyer mensuel]]*Données[[#This Row],[Retard Inauguration (m)]])</f>
        <v>0</v>
      </c>
      <c r="AN93"/>
      <c r="AR93"/>
      <c r="AS93"/>
      <c r="AT93"/>
      <c r="AV93"/>
      <c r="AW93"/>
      <c r="AY93"/>
      <c r="AZ93"/>
    </row>
    <row r="94" spans="1:52" x14ac:dyDescent="0.25">
      <c r="A94" s="5" t="s">
        <v>73</v>
      </c>
      <c r="B94" s="3" t="s">
        <v>38</v>
      </c>
      <c r="C94" s="3" t="s">
        <v>44</v>
      </c>
      <c r="D94" s="3" t="s">
        <v>7</v>
      </c>
      <c r="E94" s="4">
        <f>Données[[#This Row],[LLS]]+Données[[#This Row],[LLTS]]+Données[[#This Row],[PLS]]+Données[[#This Row],[REHAB]]</f>
        <v>40</v>
      </c>
      <c r="F94" s="4">
        <f>Données[[#This Row],[LLS]]+Données[[#This Row],[LLTS]]+Données[[#This Row],[PLS]]</f>
        <v>40</v>
      </c>
      <c r="G94" s="4">
        <v>20</v>
      </c>
      <c r="H94" s="4">
        <v>20</v>
      </c>
      <c r="I94" s="4"/>
      <c r="J94" s="4"/>
      <c r="K94" s="7" t="s">
        <v>39</v>
      </c>
      <c r="L94" s="8"/>
      <c r="M94" s="58"/>
      <c r="N94" s="10"/>
      <c r="O94" s="6">
        <f>IFERROR((DATEDIF(Données[[#This Row],[Arrêté LBU]],Données[[#This Row],[OS démarrage]],"d"))/30,0)</f>
        <v>0</v>
      </c>
      <c r="P94" s="29">
        <v>20</v>
      </c>
      <c r="Q94" s="61">
        <f>DATEDIF(Données[[#This Row],[OS démarrage]],Données[[#This Row],[Date réception entreprise recalée]],"M")</f>
        <v>21</v>
      </c>
      <c r="R94" s="36"/>
      <c r="S94" s="14">
        <f>EDATE(Données[[#This Row],[OS démarrage]],Données[[#This Row],[Délai chantier initial]])</f>
        <v>609</v>
      </c>
      <c r="T94" s="24">
        <f>DATE(YEAR(Données[[#This Row],[Date réception entreprise prévue initialement]]),MONTH(Données[[#This Row],[Date réception entreprise prévue initialement]])+1,DAY(Données[[#This Row],[Date réception entreprise prévue initialement]]))</f>
        <v>640</v>
      </c>
      <c r="U94" s="16">
        <f>EDATE(Données[[#This Row],[Date réception entreprise recalée]],12)</f>
        <v>1005</v>
      </c>
      <c r="V94" s="17">
        <f>(Données[[#This Row],[Date réception entreprise recalée]]-Données[[#This Row],[Date réception entreprise prévue initialement]])/30</f>
        <v>1.0333333333333334</v>
      </c>
      <c r="W94" s="44"/>
      <c r="X94" s="19"/>
      <c r="Y94" s="19"/>
      <c r="Z94" s="19"/>
      <c r="AA94" s="20">
        <f>IF(Données[[#This Row],[TYPE]]="Rehab",0,IFERROR((Données[[#This Row],[Date Livraison VEFA estimée avec retards constatés]]-Données[[#This Row],[Date livraison contractuelle y/c avenant]])/30,"-"))</f>
        <v>0</v>
      </c>
      <c r="AB94" s="21">
        <f>IF(Données[[#This Row],[TYPE]]="Rehab",0,Données[[#This Row],[Date Livraison VEFA estimée avec retards constatés]]-Données[[#This Row],[Date livraison contractuelle y/c avenant]])</f>
        <v>0</v>
      </c>
      <c r="AC94" s="22"/>
      <c r="AD94" s="23" t="str">
        <f>IF(AND(Données[[#This Row],[TYPE]]&lt;&gt;"Rehab",Données[[#This Row],[Achèvement fondations]]&lt;&gt;""),EDATE(Données[[#This Row],[Achèvement fondations]],24),"")</f>
        <v/>
      </c>
      <c r="AE94" s="30">
        <f>IF(Données[[#This Row],[VEFA / PROPRE]]="vefa",EDATE(Données[[#This Row],[Date Livraison initiale VEFA]],1),EDATE(Données[[#This Row],[Date réception entreprise prévue initialement]],1))</f>
        <v>639</v>
      </c>
      <c r="AF94" s="24"/>
      <c r="AG94" s="55"/>
      <c r="AH94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94" s="26"/>
      <c r="AJ94" s="26">
        <f>IF(Données[[#This Row],[TYPE]]="Rehab","",Données[[#This Row],[Loyer mensuel]]*Données[[#This Row],[Retard Inauguration (m)]])</f>
        <v>0</v>
      </c>
      <c r="AN94"/>
      <c r="AR94"/>
      <c r="AS94"/>
      <c r="AT94"/>
      <c r="AV94"/>
      <c r="AW94"/>
      <c r="AY94"/>
      <c r="AZ94"/>
    </row>
    <row r="95" spans="1:52" x14ac:dyDescent="0.25">
      <c r="A95" s="5" t="s">
        <v>78</v>
      </c>
      <c r="B95" s="3" t="s">
        <v>38</v>
      </c>
      <c r="C95" s="3" t="s">
        <v>44</v>
      </c>
      <c r="D95" s="3" t="s">
        <v>7</v>
      </c>
      <c r="E95" s="4">
        <f>Données[[#This Row],[LLS]]+Données[[#This Row],[LLTS]]+Données[[#This Row],[PLS]]+Données[[#This Row],[REHAB]]</f>
        <v>25</v>
      </c>
      <c r="F95" s="4">
        <f>Données[[#This Row],[LLS]]+Données[[#This Row],[LLTS]]+Données[[#This Row],[PLS]]</f>
        <v>25</v>
      </c>
      <c r="G95" s="4"/>
      <c r="H95" s="4">
        <v>25</v>
      </c>
      <c r="I95" s="4"/>
      <c r="J95" s="4"/>
      <c r="K95" s="7" t="s">
        <v>39</v>
      </c>
      <c r="L95" s="8"/>
      <c r="M95" s="58"/>
      <c r="N95" s="10"/>
      <c r="O95" s="6">
        <f>IFERROR((DATEDIF(Données[[#This Row],[Arrêté LBU]],Données[[#This Row],[OS démarrage]],"d"))/30,0)</f>
        <v>0</v>
      </c>
      <c r="P95" s="29">
        <v>20</v>
      </c>
      <c r="Q95" s="61">
        <f>DATEDIF(Données[[#This Row],[OS démarrage]],Données[[#This Row],[Date réception entreprise recalée]],"M")</f>
        <v>21</v>
      </c>
      <c r="R95" s="36"/>
      <c r="S95" s="14">
        <f>EDATE(Données[[#This Row],[OS démarrage]],Données[[#This Row],[Délai chantier initial]])</f>
        <v>609</v>
      </c>
      <c r="T95" s="24">
        <f>DATE(YEAR(Données[[#This Row],[Date réception entreprise prévue initialement]]),MONTH(Données[[#This Row],[Date réception entreprise prévue initialement]])+1,DAY(Données[[#This Row],[Date réception entreprise prévue initialement]]))</f>
        <v>640</v>
      </c>
      <c r="U95" s="16">
        <f>EDATE(Données[[#This Row],[Date réception entreprise recalée]],12)</f>
        <v>1005</v>
      </c>
      <c r="V95" s="17">
        <f>(Données[[#This Row],[Date réception entreprise recalée]]-Données[[#This Row],[Date réception entreprise prévue initialement]])/30</f>
        <v>1.0333333333333334</v>
      </c>
      <c r="W95" s="44"/>
      <c r="X95" s="19"/>
      <c r="Y95" s="19"/>
      <c r="Z95" s="19"/>
      <c r="AA95" s="20">
        <f>IF(Données[[#This Row],[TYPE]]="Rehab",0,IFERROR((Données[[#This Row],[Date Livraison VEFA estimée avec retards constatés]]-Données[[#This Row],[Date livraison contractuelle y/c avenant]])/30,"-"))</f>
        <v>0</v>
      </c>
      <c r="AB95" s="21">
        <f>IF(Données[[#This Row],[TYPE]]="Rehab",0,Données[[#This Row],[Date Livraison VEFA estimée avec retards constatés]]-Données[[#This Row],[Date livraison contractuelle y/c avenant]])</f>
        <v>0</v>
      </c>
      <c r="AC95" s="22"/>
      <c r="AD95" s="23" t="str">
        <f>IF(AND(Données[[#This Row],[TYPE]]&lt;&gt;"Rehab",Données[[#This Row],[Achèvement fondations]]&lt;&gt;""),EDATE(Données[[#This Row],[Achèvement fondations]],24),"")</f>
        <v/>
      </c>
      <c r="AE95" s="30">
        <f>IF(Données[[#This Row],[VEFA / PROPRE]]="vefa",EDATE(Données[[#This Row],[Date Livraison initiale VEFA]],1),EDATE(Données[[#This Row],[Date réception entreprise prévue initialement]],1))</f>
        <v>639</v>
      </c>
      <c r="AF95" s="24"/>
      <c r="AG95" s="55"/>
      <c r="AH95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95" s="26"/>
      <c r="AJ95" s="26">
        <f>IF(Données[[#This Row],[TYPE]]="Rehab","",Données[[#This Row],[Loyer mensuel]]*Données[[#This Row],[Retard Inauguration (m)]])</f>
        <v>0</v>
      </c>
      <c r="AN95"/>
      <c r="AR95"/>
      <c r="AS95"/>
      <c r="AT95"/>
      <c r="AV95"/>
      <c r="AW95"/>
      <c r="AY95"/>
      <c r="AZ95"/>
    </row>
    <row r="96" spans="1:52" x14ac:dyDescent="0.25">
      <c r="A96" s="97" t="s">
        <v>79</v>
      </c>
      <c r="B96" s="3" t="s">
        <v>38</v>
      </c>
      <c r="C96" s="3" t="s">
        <v>44</v>
      </c>
      <c r="D96" s="3" t="s">
        <v>7</v>
      </c>
      <c r="E96" s="4">
        <f>Données[[#This Row],[LLS]]+Données[[#This Row],[LLTS]]+Données[[#This Row],[PLS]]+Données[[#This Row],[REHAB]]</f>
        <v>102</v>
      </c>
      <c r="F96" s="4">
        <f>Données[[#This Row],[LLS]]+Données[[#This Row],[LLTS]]+Données[[#This Row],[PLS]]</f>
        <v>102</v>
      </c>
      <c r="G96" s="5">
        <v>25</v>
      </c>
      <c r="H96" s="5">
        <v>25</v>
      </c>
      <c r="I96" s="5">
        <v>52</v>
      </c>
      <c r="J96" s="5"/>
      <c r="K96" s="7" t="s">
        <v>39</v>
      </c>
      <c r="L96" s="8"/>
      <c r="M96" s="58"/>
      <c r="N96" s="10"/>
      <c r="O96" s="6">
        <f>IFERROR((DATEDIF(Données[[#This Row],[Arrêté LBU]],Données[[#This Row],[OS démarrage]],"d"))/30,0)</f>
        <v>0</v>
      </c>
      <c r="P96" s="29">
        <v>20</v>
      </c>
      <c r="Q96" s="12">
        <f>DATEDIF(Données[[#This Row],[OS démarrage]],Données[[#This Row],[Date réception entreprise recalée]],"M")</f>
        <v>21</v>
      </c>
      <c r="R96" s="13"/>
      <c r="S96" s="14">
        <f>EDATE(Données[[#This Row],[OS démarrage]],Données[[#This Row],[Délai chantier initial]])</f>
        <v>609</v>
      </c>
      <c r="T96" s="24">
        <f>DATE(YEAR(Données[[#This Row],[Date réception entreprise prévue initialement]]),MONTH(Données[[#This Row],[Date réception entreprise prévue initialement]])+1,DAY(Données[[#This Row],[Date réception entreprise prévue initialement]]))</f>
        <v>640</v>
      </c>
      <c r="U96" s="16">
        <f>EDATE(Données[[#This Row],[Date réception entreprise recalée]],12)</f>
        <v>1005</v>
      </c>
      <c r="V96" s="17">
        <f>(Données[[#This Row],[Date réception entreprise recalée]]-Données[[#This Row],[Date réception entreprise prévue initialement]])/30</f>
        <v>1.0333333333333334</v>
      </c>
      <c r="W96" s="44"/>
      <c r="X96" s="19"/>
      <c r="Y96" s="19"/>
      <c r="Z96" s="19"/>
      <c r="AA96" s="20">
        <f>IF(Données[[#This Row],[TYPE]]="Rehab",0,IFERROR((Données[[#This Row],[Date Livraison VEFA estimée avec retards constatés]]-Données[[#This Row],[Date livraison contractuelle y/c avenant]])/30,"-"))</f>
        <v>0</v>
      </c>
      <c r="AB96" s="21">
        <f>IF(Données[[#This Row],[TYPE]]="Rehab",0,Données[[#This Row],[Date Livraison VEFA estimée avec retards constatés]]-Données[[#This Row],[Date livraison contractuelle y/c avenant]])</f>
        <v>0</v>
      </c>
      <c r="AC96" s="22"/>
      <c r="AD96" s="23" t="str">
        <f>IF(AND(Données[[#This Row],[TYPE]]&lt;&gt;"Rehab",Données[[#This Row],[Achèvement fondations]]&lt;&gt;""),EDATE(Données[[#This Row],[Achèvement fondations]],24),"")</f>
        <v/>
      </c>
      <c r="AE96" s="30">
        <f>IF(Données[[#This Row],[VEFA / PROPRE]]="vefa",EDATE(Données[[#This Row],[Date Livraison initiale VEFA]],1),EDATE(Données[[#This Row],[Date réception entreprise prévue initialement]],1))</f>
        <v>639</v>
      </c>
      <c r="AF96" s="24"/>
      <c r="AG96" s="55"/>
      <c r="AH96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96" s="26"/>
      <c r="AJ96" s="26">
        <f>IF(Données[[#This Row],[TYPE]]="Rehab","",Données[[#This Row],[Loyer mensuel]]*Données[[#This Row],[Retard Inauguration (m)]])</f>
        <v>0</v>
      </c>
      <c r="AN96"/>
      <c r="AR96"/>
      <c r="AS96"/>
      <c r="AT96"/>
      <c r="AV96"/>
      <c r="AW96"/>
      <c r="AY96"/>
      <c r="AZ96"/>
    </row>
    <row r="97" spans="1:52" x14ac:dyDescent="0.25">
      <c r="A97" s="97" t="s">
        <v>80</v>
      </c>
      <c r="B97" s="3" t="s">
        <v>38</v>
      </c>
      <c r="C97" s="3" t="s">
        <v>44</v>
      </c>
      <c r="D97" s="3" t="s">
        <v>7</v>
      </c>
      <c r="E97" s="4">
        <f>Données[[#This Row],[LLS]]+Données[[#This Row],[LLTS]]+Données[[#This Row],[PLS]]+Données[[#This Row],[REHAB]]</f>
        <v>150</v>
      </c>
      <c r="F97" s="4">
        <f>Données[[#This Row],[LLS]]+Données[[#This Row],[LLTS]]+Données[[#This Row],[PLS]]</f>
        <v>150</v>
      </c>
      <c r="G97" s="5"/>
      <c r="H97" s="5">
        <v>150</v>
      </c>
      <c r="I97" s="5"/>
      <c r="J97" s="5"/>
      <c r="K97" s="7" t="s">
        <v>39</v>
      </c>
      <c r="L97" s="8"/>
      <c r="M97" s="58"/>
      <c r="N97" s="10"/>
      <c r="O97" s="6">
        <f>IFERROR((DATEDIF(Données[[#This Row],[Arrêté LBU]],Données[[#This Row],[OS démarrage]],"d"))/30,0)</f>
        <v>0</v>
      </c>
      <c r="P97" s="29">
        <v>41</v>
      </c>
      <c r="Q97" s="12">
        <f>DATEDIF(Données[[#This Row],[OS démarrage]],Données[[#This Row],[Date réception entreprise recalée]],"M")</f>
        <v>42</v>
      </c>
      <c r="R97" s="13"/>
      <c r="S97" s="14">
        <f>EDATE(Données[[#This Row],[OS démarrage]],Données[[#This Row],[Délai chantier initial]])</f>
        <v>1247</v>
      </c>
      <c r="T97" s="24">
        <f>DATE(YEAR(Données[[#This Row],[Date réception entreprise prévue initialement]]),MONTH(Données[[#This Row],[Date réception entreprise prévue initialement]])+1,DAY(Données[[#This Row],[Date réception entreprise prévue initialement]]))</f>
        <v>1278</v>
      </c>
      <c r="U97" s="16">
        <f>EDATE(Données[[#This Row],[Date réception entreprise recalée]],12)</f>
        <v>1644</v>
      </c>
      <c r="V97" s="17">
        <f>(Données[[#This Row],[Date réception entreprise recalée]]-Données[[#This Row],[Date réception entreprise prévue initialement]])/30</f>
        <v>1.0333333333333334</v>
      </c>
      <c r="W97" s="44"/>
      <c r="X97" s="19"/>
      <c r="Y97" s="19"/>
      <c r="Z97" s="19"/>
      <c r="AA97" s="20">
        <f>IF(Données[[#This Row],[TYPE]]="Rehab",0,IFERROR((Données[[#This Row],[Date Livraison VEFA estimée avec retards constatés]]-Données[[#This Row],[Date livraison contractuelle y/c avenant]])/30,"-"))</f>
        <v>0</v>
      </c>
      <c r="AB97" s="21">
        <f>IF(Données[[#This Row],[TYPE]]="Rehab",0,Données[[#This Row],[Date Livraison VEFA estimée avec retards constatés]]-Données[[#This Row],[Date livraison contractuelle y/c avenant]])</f>
        <v>0</v>
      </c>
      <c r="AC97" s="22"/>
      <c r="AD97" s="23" t="str">
        <f>IF(AND(Données[[#This Row],[TYPE]]&lt;&gt;"Rehab",Données[[#This Row],[Achèvement fondations]]&lt;&gt;""),EDATE(Données[[#This Row],[Achèvement fondations]],24),"")</f>
        <v/>
      </c>
      <c r="AE97" s="30">
        <f>IF(Données[[#This Row],[VEFA / PROPRE]]="vefa",EDATE(Données[[#This Row],[Date Livraison initiale VEFA]],1),EDATE(Données[[#This Row],[Date réception entreprise prévue initialement]],1))</f>
        <v>1277</v>
      </c>
      <c r="AF97" s="24"/>
      <c r="AG97" s="55"/>
      <c r="AH97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97" s="26"/>
      <c r="AJ97" s="26">
        <f>IF(Données[[#This Row],[TYPE]]="Rehab","",Données[[#This Row],[Loyer mensuel]]*Données[[#This Row],[Retard Inauguration (m)]])</f>
        <v>0</v>
      </c>
      <c r="AN97"/>
      <c r="AR97"/>
      <c r="AS97"/>
      <c r="AT97"/>
      <c r="AV97"/>
      <c r="AW97"/>
      <c r="AY97"/>
      <c r="AZ97"/>
    </row>
    <row r="98" spans="1:52" x14ac:dyDescent="0.25">
      <c r="A98" s="95" t="s">
        <v>81</v>
      </c>
      <c r="B98" s="3" t="s">
        <v>38</v>
      </c>
      <c r="C98" s="3" t="s">
        <v>44</v>
      </c>
      <c r="D98" s="3" t="s">
        <v>7</v>
      </c>
      <c r="E98" s="4">
        <f>Données[[#This Row],[LLS]]+Données[[#This Row],[LLTS]]+Données[[#This Row],[PLS]]+Données[[#This Row],[REHAB]]</f>
        <v>18</v>
      </c>
      <c r="F98" s="4">
        <f>Données[[#This Row],[LLS]]+Données[[#This Row],[LLTS]]+Données[[#This Row],[PLS]]</f>
        <v>18</v>
      </c>
      <c r="G98" s="5"/>
      <c r="H98" s="5">
        <v>18</v>
      </c>
      <c r="I98" s="5"/>
      <c r="J98" s="5"/>
      <c r="K98" s="7" t="s">
        <v>39</v>
      </c>
      <c r="L98" s="8"/>
      <c r="M98" s="58"/>
      <c r="N98" s="10"/>
      <c r="O98" s="6">
        <f>IFERROR((DATEDIF(Données[[#This Row],[Arrêté LBU]],Données[[#This Row],[OS démarrage]],"d"))/30,0)</f>
        <v>0</v>
      </c>
      <c r="P98" s="29">
        <v>20</v>
      </c>
      <c r="Q98" s="12">
        <f>DATEDIF(Données[[#This Row],[OS démarrage]],Données[[#This Row],[Date réception entreprise recalée]],"M")</f>
        <v>21</v>
      </c>
      <c r="R98" s="13"/>
      <c r="S98" s="14">
        <f>EDATE(Données[[#This Row],[OS démarrage]],Données[[#This Row],[Délai chantier initial]])</f>
        <v>609</v>
      </c>
      <c r="T98" s="24">
        <f>DATE(YEAR(Données[[#This Row],[Date réception entreprise prévue initialement]]),MONTH(Données[[#This Row],[Date réception entreprise prévue initialement]])+1,DAY(Données[[#This Row],[Date réception entreprise prévue initialement]]))</f>
        <v>640</v>
      </c>
      <c r="U98" s="16">
        <f>EDATE(Données[[#This Row],[Date réception entreprise recalée]],12)</f>
        <v>1005</v>
      </c>
      <c r="V98" s="17">
        <f>(Données[[#This Row],[Date réception entreprise recalée]]-Données[[#This Row],[Date réception entreprise prévue initialement]])/30</f>
        <v>1.0333333333333334</v>
      </c>
      <c r="W98" s="44"/>
      <c r="X98" s="19"/>
      <c r="Y98" s="19"/>
      <c r="Z98" s="19"/>
      <c r="AA98" s="20">
        <f>IF(Données[[#This Row],[TYPE]]="Rehab",0,IFERROR((Données[[#This Row],[Date Livraison VEFA estimée avec retards constatés]]-Données[[#This Row],[Date livraison contractuelle y/c avenant]])/30,"-"))</f>
        <v>0</v>
      </c>
      <c r="AB98" s="21">
        <f>IF(Données[[#This Row],[TYPE]]="Rehab",0,Données[[#This Row],[Date Livraison VEFA estimée avec retards constatés]]-Données[[#This Row],[Date livraison contractuelle y/c avenant]])</f>
        <v>0</v>
      </c>
      <c r="AC98" s="22"/>
      <c r="AD98" s="23" t="str">
        <f>IF(AND(Données[[#This Row],[TYPE]]&lt;&gt;"Rehab",Données[[#This Row],[Achèvement fondations]]&lt;&gt;""),EDATE(Données[[#This Row],[Achèvement fondations]],24),"")</f>
        <v/>
      </c>
      <c r="AE98" s="30">
        <f>IF(Données[[#This Row],[VEFA / PROPRE]]="vefa",EDATE(Données[[#This Row],[Date Livraison initiale VEFA]],1),EDATE(Données[[#This Row],[Date réception entreprise prévue initialement]],1))</f>
        <v>639</v>
      </c>
      <c r="AF98" s="24"/>
      <c r="AG98" s="55"/>
      <c r="AH98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98" s="26"/>
      <c r="AJ98" s="26">
        <f>IF(Données[[#This Row],[TYPE]]="Rehab","",Données[[#This Row],[Loyer mensuel]]*Données[[#This Row],[Retard Inauguration (m)]])</f>
        <v>0</v>
      </c>
      <c r="AN98"/>
      <c r="AR98"/>
      <c r="AS98"/>
      <c r="AT98"/>
      <c r="AV98"/>
      <c r="AW98"/>
      <c r="AY98"/>
      <c r="AZ98"/>
    </row>
    <row r="99" spans="1:52" x14ac:dyDescent="0.25">
      <c r="A99" s="96" t="s">
        <v>82</v>
      </c>
      <c r="B99" s="3" t="s">
        <v>36</v>
      </c>
      <c r="C99" s="3"/>
      <c r="D99" s="3" t="s">
        <v>8</v>
      </c>
      <c r="E99" s="4">
        <f>Données[[#This Row],[LLS]]+Données[[#This Row],[LLTS]]+Données[[#This Row],[PLS]]+Données[[#This Row],[REHAB]]</f>
        <v>200</v>
      </c>
      <c r="F99" s="4">
        <f>Données[[#This Row],[LLS]]+Données[[#This Row],[LLTS]]+Données[[#This Row],[PLS]]</f>
        <v>200</v>
      </c>
      <c r="G99" s="5"/>
      <c r="H99" s="2"/>
      <c r="I99" s="5">
        <v>200</v>
      </c>
      <c r="J99" s="5"/>
      <c r="K99" s="7" t="s">
        <v>37</v>
      </c>
      <c r="L99" s="8">
        <v>43024</v>
      </c>
      <c r="M99" s="9">
        <v>43091</v>
      </c>
      <c r="N99" s="10">
        <v>2017</v>
      </c>
      <c r="O99" s="6">
        <f>IFERROR((DATEDIF(Données[[#This Row],[Arrêté LBU]],Données[[#This Row],[OS démarrage]],"d"))/30,0)</f>
        <v>2.2333333333333334</v>
      </c>
      <c r="P99" s="29">
        <v>18</v>
      </c>
      <c r="Q99" s="12">
        <f>DATEDIF(Données[[#This Row],[OS démarrage]],Données[[#This Row],[Date réception entreprise recalée]],"M")</f>
        <v>19</v>
      </c>
      <c r="R99" s="32">
        <v>43251</v>
      </c>
      <c r="S99" s="14">
        <f>EDATE(Données[[#This Row],[OS démarrage]],Données[[#This Row],[Délai chantier initial]])</f>
        <v>43638</v>
      </c>
      <c r="T99" s="24">
        <v>43693</v>
      </c>
      <c r="U99" s="16">
        <f>EDATE(Données[[#This Row],[Date réception entreprise recalée]],12)</f>
        <v>44059</v>
      </c>
      <c r="V99" s="17">
        <f>(Données[[#This Row],[Date réception entreprise recalée]]-Données[[#This Row],[Date réception entreprise prévue initialement]])/30</f>
        <v>1.8333333333333333</v>
      </c>
      <c r="W99" s="18">
        <v>43693</v>
      </c>
      <c r="X99" s="19">
        <v>43693</v>
      </c>
      <c r="Y99" s="19">
        <v>43693</v>
      </c>
      <c r="Z99" s="19">
        <v>43693</v>
      </c>
      <c r="AA99" s="20">
        <f>IF(Données[[#This Row],[TYPE]]="Rehab",0,IFERROR((Données[[#This Row],[Date Livraison VEFA estimée avec retards constatés]]-Données[[#This Row],[Date livraison contractuelle y/c avenant]])/30,"-"))</f>
        <v>0</v>
      </c>
      <c r="AB99" s="21">
        <f>IF(Données[[#This Row],[TYPE]]="Rehab",0,Données[[#This Row],[Date Livraison VEFA estimée avec retards constatés]]-Données[[#This Row],[Date livraison contractuelle y/c avenant]])</f>
        <v>0</v>
      </c>
      <c r="AC99" s="22"/>
      <c r="AD99" s="23">
        <f>IF(AND(Données[[#This Row],[TYPE]]&lt;&gt;"Rehab",Données[[#This Row],[Achèvement fondations]]&lt;&gt;""),EDATE(Données[[#This Row],[Achèvement fondations]],24),"")</f>
        <v>43982</v>
      </c>
      <c r="AE99" s="30">
        <f>IF(Données[[#This Row],[VEFA / PROPRE]]="vefa",EDATE(Données[[#This Row],[Date Livraison initiale VEFA]],1),EDATE(Données[[#This Row],[Date réception entreprise prévue initialement]],1))</f>
        <v>43724</v>
      </c>
      <c r="AF99" s="24">
        <v>43697</v>
      </c>
      <c r="AG99" s="25">
        <v>2019</v>
      </c>
      <c r="AH99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99" s="26"/>
      <c r="AJ99" s="26">
        <f>IF(Données[[#This Row],[TYPE]]="Rehab","",Données[[#This Row],[Loyer mensuel]]*Données[[#This Row],[Retard Inauguration (m)]])</f>
        <v>0</v>
      </c>
      <c r="AN99"/>
      <c r="AR99"/>
      <c r="AS99"/>
      <c r="AT99"/>
      <c r="AV99"/>
      <c r="AW99"/>
      <c r="AY99"/>
      <c r="AZ99"/>
    </row>
    <row r="100" spans="1:52" x14ac:dyDescent="0.25">
      <c r="A100" s="96" t="s">
        <v>69</v>
      </c>
      <c r="B100" s="3" t="s">
        <v>38</v>
      </c>
      <c r="C100" s="3">
        <v>2019</v>
      </c>
      <c r="D100" s="27" t="s">
        <v>8</v>
      </c>
      <c r="E100" s="4">
        <f>Données[[#This Row],[LLS]]+Données[[#This Row],[LLTS]]+Données[[#This Row],[PLS]]+Données[[#This Row],[REHAB]]</f>
        <v>24</v>
      </c>
      <c r="F100" s="4">
        <f>Données[[#This Row],[LLS]]+Données[[#This Row],[LLTS]]+Données[[#This Row],[PLS]]</f>
        <v>24</v>
      </c>
      <c r="G100" s="5"/>
      <c r="H100" s="5"/>
      <c r="I100" s="5">
        <v>24</v>
      </c>
      <c r="J100" s="5"/>
      <c r="K100" s="7" t="s">
        <v>37</v>
      </c>
      <c r="L100" s="8">
        <v>43650</v>
      </c>
      <c r="M100" s="9">
        <v>43850</v>
      </c>
      <c r="N100" s="10">
        <v>2020</v>
      </c>
      <c r="O100" s="6">
        <f>IFERROR((DATEDIF(Données[[#This Row],[Arrêté LBU]],Données[[#This Row],[OS démarrage]],"d"))/30,0)</f>
        <v>6.666666666666667</v>
      </c>
      <c r="P100" s="29">
        <v>21</v>
      </c>
      <c r="Q100" s="12">
        <f>DATEDIF(Données[[#This Row],[OS démarrage]],Données[[#This Row],[Date réception entreprise recalée]],"M")</f>
        <v>29</v>
      </c>
      <c r="R100" s="32">
        <v>44131</v>
      </c>
      <c r="S100" s="14">
        <f>EDATE(Données[[#This Row],[OS démarrage]],Données[[#This Row],[Délai chantier initial]])</f>
        <v>44489</v>
      </c>
      <c r="T100" s="24">
        <v>44760</v>
      </c>
      <c r="U100" s="16">
        <f>EDATE(Données[[#This Row],[Date réception entreprise recalée]],12)</f>
        <v>45125</v>
      </c>
      <c r="V100" s="17">
        <f>(Données[[#This Row],[Date réception entreprise recalée]]-Données[[#This Row],[Date réception entreprise prévue initialement]])/30</f>
        <v>9.0333333333333332</v>
      </c>
      <c r="W100" s="19">
        <v>44616</v>
      </c>
      <c r="X100" s="19">
        <v>44530</v>
      </c>
      <c r="Y100" s="19">
        <v>44644</v>
      </c>
      <c r="Z100" s="19">
        <v>44760</v>
      </c>
      <c r="AA100" s="20">
        <f>IF(Données[[#This Row],[TYPE]]="Rehab",0,IFERROR((Données[[#This Row],[Date Livraison VEFA estimée avec retards constatés]]-Données[[#This Row],[Date livraison contractuelle y/c avenant]])/30,"-"))</f>
        <v>3.8666666666666667</v>
      </c>
      <c r="AB100" s="21">
        <f>IF(Données[[#This Row],[TYPE]]="Rehab",0,Données[[#This Row],[Date Livraison VEFA estimée avec retards constatés]]-Données[[#This Row],[Date livraison contractuelle y/c avenant]])</f>
        <v>116</v>
      </c>
      <c r="AC100" s="22">
        <v>44811</v>
      </c>
      <c r="AD100" s="23">
        <f>IF(AND(Données[[#This Row],[TYPE]]&lt;&gt;"Rehab",Données[[#This Row],[Achèvement fondations]]&lt;&gt;""),EDATE(Données[[#This Row],[Achèvement fondations]],24),"")</f>
        <v>44861</v>
      </c>
      <c r="AE100" s="30">
        <f>IF(Données[[#This Row],[VEFA / PROPRE]]="vefa",EDATE(Données[[#This Row],[Date Livraison initiale VEFA]],1),EDATE(Données[[#This Row],[Date réception entreprise prévue initialement]],1))</f>
        <v>44560</v>
      </c>
      <c r="AF100" s="24">
        <v>44768</v>
      </c>
      <c r="AG100" s="41">
        <v>2022</v>
      </c>
      <c r="AH100" s="26">
        <f>IF((Données[[#This Row],[Date inauguration recalée]]-Données[[#This Row],[Date inauguration initiale]])/30&lt;0,0,(Données[[#This Row],[Date inauguration recalée]]-Données[[#This Row],[Date inauguration initiale]])/30)</f>
        <v>6.9333333333333336</v>
      </c>
      <c r="AI100" s="26">
        <v>16974.25</v>
      </c>
      <c r="AJ100" s="26">
        <f>IF(Données[[#This Row],[TYPE]]="Rehab","",Données[[#This Row],[Loyer mensuel]]*Données[[#This Row],[Retard Inauguration (m)]])</f>
        <v>117688.13333333333</v>
      </c>
      <c r="AN100"/>
      <c r="AR100"/>
      <c r="AS100"/>
      <c r="AT100"/>
      <c r="AV100"/>
      <c r="AW100"/>
      <c r="AY100"/>
      <c r="AZ100"/>
    </row>
    <row r="101" spans="1:52" x14ac:dyDescent="0.25">
      <c r="A101" s="96" t="s">
        <v>83</v>
      </c>
      <c r="B101" s="3" t="s">
        <v>40</v>
      </c>
      <c r="C101" s="3">
        <v>2019</v>
      </c>
      <c r="D101" s="3" t="s">
        <v>8</v>
      </c>
      <c r="E101" s="4">
        <f>Données[[#This Row],[LLS]]+Données[[#This Row],[LLTS]]+Données[[#This Row],[PLS]]+Données[[#This Row],[REHAB]]</f>
        <v>60</v>
      </c>
      <c r="F101" s="4">
        <f>Données[[#This Row],[LLS]]+Données[[#This Row],[LLTS]]+Données[[#This Row],[PLS]]</f>
        <v>60</v>
      </c>
      <c r="G101" s="5"/>
      <c r="H101" s="5"/>
      <c r="I101" s="5">
        <v>60</v>
      </c>
      <c r="J101" s="5"/>
      <c r="K101" s="7" t="s">
        <v>37</v>
      </c>
      <c r="L101" s="8">
        <v>43627</v>
      </c>
      <c r="M101" s="9">
        <v>43977</v>
      </c>
      <c r="N101" s="10">
        <v>2020</v>
      </c>
      <c r="O101" s="6">
        <f>IFERROR((DATEDIF(Données[[#This Row],[Arrêté LBU]],Données[[#This Row],[OS démarrage]],"d"))/30,0)</f>
        <v>11.666666666666666</v>
      </c>
      <c r="P101" s="29">
        <v>21</v>
      </c>
      <c r="Q101" s="12">
        <f>DATEDIF(Données[[#This Row],[OS démarrage]],Données[[#This Row],[Date réception entreprise recalée]],"M")</f>
        <v>22</v>
      </c>
      <c r="R101" s="32">
        <v>44111</v>
      </c>
      <c r="S101" s="14">
        <f>EDATE(Données[[#This Row],[OS démarrage]],Données[[#This Row],[Délai chantier initial]])</f>
        <v>44618</v>
      </c>
      <c r="T101" s="24">
        <v>44676</v>
      </c>
      <c r="U101" s="16">
        <f>EDATE(Données[[#This Row],[Date réception entreprise recalée]],12)</f>
        <v>45041</v>
      </c>
      <c r="V101" s="17">
        <f>(Données[[#This Row],[Date réception entreprise recalée]]-Données[[#This Row],[Date réception entreprise prévue initialement]])/30</f>
        <v>1.9333333333333333</v>
      </c>
      <c r="W101" s="19">
        <v>44645</v>
      </c>
      <c r="X101" s="19">
        <v>44676</v>
      </c>
      <c r="Y101" s="19">
        <v>44676</v>
      </c>
      <c r="Z101" s="19">
        <v>44775</v>
      </c>
      <c r="AA101" s="20">
        <f>IF(Données[[#This Row],[TYPE]]="Rehab",0,IFERROR((Données[[#This Row],[Date Livraison VEFA estimée avec retards constatés]]-Données[[#This Row],[Date livraison contractuelle y/c avenant]])/30,"-"))</f>
        <v>3.3</v>
      </c>
      <c r="AB101" s="21">
        <f>IF(Données[[#This Row],[TYPE]]="Rehab",0,Données[[#This Row],[Date Livraison VEFA estimée avec retards constatés]]-Données[[#This Row],[Date livraison contractuelle y/c avenant]])</f>
        <v>99</v>
      </c>
      <c r="AC101" s="22"/>
      <c r="AD101" s="23">
        <f>IF(AND(Données[[#This Row],[TYPE]]&lt;&gt;"Rehab",Données[[#This Row],[Achèvement fondations]]&lt;&gt;""),EDATE(Données[[#This Row],[Achèvement fondations]],24),"")</f>
        <v>44841</v>
      </c>
      <c r="AE101" s="30">
        <f>IF(Données[[#This Row],[VEFA / PROPRE]]="vefa",EDATE(Données[[#This Row],[Date Livraison initiale VEFA]],1),EDATE(Données[[#This Row],[Date réception entreprise prévue initialement]],1))</f>
        <v>44706</v>
      </c>
      <c r="AF101" s="24">
        <v>44775</v>
      </c>
      <c r="AG101" s="25">
        <v>2022</v>
      </c>
      <c r="AH101" s="26">
        <f>IF((Données[[#This Row],[Date inauguration recalée]]-Données[[#This Row],[Date inauguration initiale]])/30&lt;0,0,(Données[[#This Row],[Date inauguration recalée]]-Données[[#This Row],[Date inauguration initiale]])/30)</f>
        <v>2.2999999999999998</v>
      </c>
      <c r="AI101" s="26">
        <v>41612.833333333336</v>
      </c>
      <c r="AJ101" s="26">
        <f>IF(Données[[#This Row],[TYPE]]="Rehab","",Données[[#This Row],[Loyer mensuel]]*Données[[#This Row],[Retard Inauguration (m)]])</f>
        <v>95709.516666666663</v>
      </c>
      <c r="AN101"/>
      <c r="AR101"/>
      <c r="AS101"/>
      <c r="AT101"/>
      <c r="AV101"/>
      <c r="AW101"/>
      <c r="AY101"/>
      <c r="AZ101"/>
    </row>
    <row r="102" spans="1:52" x14ac:dyDescent="0.25">
      <c r="A102" s="96" t="s">
        <v>67</v>
      </c>
      <c r="B102" s="3" t="s">
        <v>38</v>
      </c>
      <c r="C102" s="3">
        <v>2020</v>
      </c>
      <c r="D102" s="3" t="s">
        <v>8</v>
      </c>
      <c r="E102" s="4">
        <f>Données[[#This Row],[LLS]]+Données[[#This Row],[LLTS]]+Données[[#This Row],[PLS]]+Données[[#This Row],[REHAB]]</f>
        <v>44</v>
      </c>
      <c r="F102" s="4">
        <f>Données[[#This Row],[LLS]]+Données[[#This Row],[LLTS]]+Données[[#This Row],[PLS]]</f>
        <v>44</v>
      </c>
      <c r="G102" s="5"/>
      <c r="H102" s="5"/>
      <c r="I102" s="5">
        <v>44</v>
      </c>
      <c r="J102" s="5"/>
      <c r="K102" s="7" t="s">
        <v>37</v>
      </c>
      <c r="L102" s="8">
        <v>43993</v>
      </c>
      <c r="M102" s="9">
        <v>44179</v>
      </c>
      <c r="N102" s="10">
        <v>2020</v>
      </c>
      <c r="O102" s="6">
        <f>IFERROR((DATEDIF(Données[[#This Row],[Arrêté LBU]],Données[[#This Row],[OS démarrage]],"d"))/30,0)</f>
        <v>6.2</v>
      </c>
      <c r="P102" s="29">
        <v>19</v>
      </c>
      <c r="Q102" s="12">
        <f>DATEDIF(Données[[#This Row],[OS démarrage]],Données[[#This Row],[Date réception entreprise recalée]],"M")</f>
        <v>22</v>
      </c>
      <c r="R102" s="32">
        <v>44313</v>
      </c>
      <c r="S102" s="14">
        <f>EDATE(Données[[#This Row],[OS démarrage]],Données[[#This Row],[Délai chantier initial]])</f>
        <v>44756</v>
      </c>
      <c r="T102" s="24">
        <v>44850</v>
      </c>
      <c r="U102" s="16">
        <f>EDATE(Données[[#This Row],[Date réception entreprise recalée]],12)</f>
        <v>45215</v>
      </c>
      <c r="V102" s="17">
        <f>(Données[[#This Row],[Date réception entreprise recalée]]-Données[[#This Row],[Date réception entreprise prévue initialement]])/30</f>
        <v>3.1333333333333333</v>
      </c>
      <c r="W102" s="19">
        <v>44881</v>
      </c>
      <c r="X102" s="19">
        <v>44911</v>
      </c>
      <c r="Y102" s="19">
        <v>44911</v>
      </c>
      <c r="Z102" s="19">
        <v>44880</v>
      </c>
      <c r="AA102" s="20">
        <f>IF(Données[[#This Row],[TYPE]]="Rehab",0,IFERROR((Données[[#This Row],[Date Livraison VEFA estimée avec retards constatés]]-Données[[#This Row],[Date livraison contractuelle y/c avenant]])/30,"-"))</f>
        <v>-1.0333333333333334</v>
      </c>
      <c r="AB102" s="21">
        <f>IF(Données[[#This Row],[TYPE]]="Rehab",0,Données[[#This Row],[Date Livraison VEFA estimée avec retards constatés]]-Données[[#This Row],[Date livraison contractuelle y/c avenant]])</f>
        <v>-31</v>
      </c>
      <c r="AC102" s="22"/>
      <c r="AD102" s="23">
        <f>IF(AND(Données[[#This Row],[TYPE]]&lt;&gt;"Rehab",Données[[#This Row],[Achèvement fondations]]&lt;&gt;""),EDATE(Données[[#This Row],[Achèvement fondations]],24),"")</f>
        <v>45043</v>
      </c>
      <c r="AE102" s="30">
        <f>IF(Données[[#This Row],[VEFA / PROPRE]]="vefa",EDATE(Données[[#This Row],[Date Livraison initiale VEFA]],1),EDATE(Données[[#This Row],[Date réception entreprise prévue initialement]],1))</f>
        <v>44942</v>
      </c>
      <c r="AF102" s="24">
        <v>44901</v>
      </c>
      <c r="AG102" s="46">
        <v>2022</v>
      </c>
      <c r="AH102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02" s="26">
        <v>32752.113049998166</v>
      </c>
      <c r="AJ102" s="26">
        <f>IF(Données[[#This Row],[TYPE]]="Rehab","",Données[[#This Row],[Loyer mensuel]]*Données[[#This Row],[Retard Inauguration (m)]])</f>
        <v>0</v>
      </c>
      <c r="AN102"/>
      <c r="AR102"/>
      <c r="AS102"/>
      <c r="AT102"/>
      <c r="AV102"/>
      <c r="AW102"/>
      <c r="AY102"/>
      <c r="AZ102"/>
    </row>
    <row r="103" spans="1:52" x14ac:dyDescent="0.25">
      <c r="A103" s="96" t="s">
        <v>71</v>
      </c>
      <c r="B103" s="3" t="s">
        <v>38</v>
      </c>
      <c r="C103" s="3">
        <v>2020</v>
      </c>
      <c r="D103" s="3" t="s">
        <v>8</v>
      </c>
      <c r="E103" s="4">
        <f>Données[[#This Row],[LLS]]+Données[[#This Row],[LLTS]]+Données[[#This Row],[PLS]]+Données[[#This Row],[REHAB]]</f>
        <v>93</v>
      </c>
      <c r="F103" s="4">
        <f>Données[[#This Row],[LLS]]+Données[[#This Row],[LLTS]]+Données[[#This Row],[PLS]]</f>
        <v>93</v>
      </c>
      <c r="G103" s="5"/>
      <c r="H103" s="5"/>
      <c r="I103" s="47">
        <v>93</v>
      </c>
      <c r="J103" s="5"/>
      <c r="K103" s="7" t="s">
        <v>37</v>
      </c>
      <c r="L103" s="54">
        <v>43977</v>
      </c>
      <c r="M103" s="9">
        <v>44186</v>
      </c>
      <c r="N103" s="10">
        <v>2020</v>
      </c>
      <c r="O103" s="6">
        <f>IFERROR((DATEDIF(Données[[#This Row],[Arrêté LBU]],Données[[#This Row],[OS démarrage]],"d"))/30,0)</f>
        <v>6.9666666666666668</v>
      </c>
      <c r="P103" s="29">
        <v>29</v>
      </c>
      <c r="Q103" s="12">
        <f>DATEDIF(Données[[#This Row],[OS démarrage]],Données[[#This Row],[Date réception entreprise recalée]],"M")</f>
        <v>33</v>
      </c>
      <c r="R103" s="32">
        <v>44540</v>
      </c>
      <c r="S103" s="14">
        <f>EDATE(Données[[#This Row],[OS démarrage]],Données[[#This Row],[Délai chantier initial]])</f>
        <v>45067</v>
      </c>
      <c r="T103" s="24">
        <v>45200</v>
      </c>
      <c r="U103" s="16">
        <f>EDATE(Données[[#This Row],[Date réception entreprise recalée]],12)</f>
        <v>45566</v>
      </c>
      <c r="V103" s="17">
        <f>(Données[[#This Row],[Date réception entreprise recalée]]-Données[[#This Row],[Date réception entreprise prévue initialement]])/30</f>
        <v>4.4333333333333336</v>
      </c>
      <c r="W103" s="44">
        <v>45077</v>
      </c>
      <c r="X103" s="19">
        <v>45077</v>
      </c>
      <c r="Y103" s="19">
        <v>45211</v>
      </c>
      <c r="Z103" s="19">
        <v>45199</v>
      </c>
      <c r="AA103" s="20">
        <f>IF(Données[[#This Row],[TYPE]]="Rehab",0,IFERROR((Données[[#This Row],[Date Livraison VEFA estimée avec retards constatés]]-Données[[#This Row],[Date livraison contractuelle y/c avenant]])/30,"-"))</f>
        <v>-0.4</v>
      </c>
      <c r="AB103" s="21">
        <f>IF(Données[[#This Row],[TYPE]]="Rehab",0,Données[[#This Row],[Date Livraison VEFA estimée avec retards constatés]]-Données[[#This Row],[Date livraison contractuelle y/c avenant]])</f>
        <v>-12</v>
      </c>
      <c r="AC103" s="22"/>
      <c r="AD103" s="23">
        <f>IF(AND(Données[[#This Row],[TYPE]]&lt;&gt;"Rehab",Données[[#This Row],[Achèvement fondations]]&lt;&gt;""),EDATE(Données[[#This Row],[Achèvement fondations]],24),"")</f>
        <v>45270</v>
      </c>
      <c r="AE103" s="30">
        <f>IF(Données[[#This Row],[VEFA / PROPRE]]="vefa",EDATE(Données[[#This Row],[Date Livraison initiale VEFA]],1),EDATE(Données[[#This Row],[Date réception entreprise prévue initialement]],1))</f>
        <v>45107</v>
      </c>
      <c r="AF103" s="24">
        <v>45225</v>
      </c>
      <c r="AG103" s="55"/>
      <c r="AH103" s="26">
        <f>IF((Données[[#This Row],[Date inauguration recalée]]-Données[[#This Row],[Date inauguration initiale]])/30&lt;0,0,(Données[[#This Row],[Date inauguration recalée]]-Données[[#This Row],[Date inauguration initiale]])/30)</f>
        <v>3.9333333333333331</v>
      </c>
      <c r="AI103" s="26">
        <v>60163.228175152086</v>
      </c>
      <c r="AJ103" s="26">
        <f>IF(Données[[#This Row],[TYPE]]="Rehab","",Données[[#This Row],[Loyer mensuel]]*Données[[#This Row],[Retard Inauguration (m)]])</f>
        <v>236642.03082226485</v>
      </c>
      <c r="AN103"/>
      <c r="AR103"/>
      <c r="AS103"/>
      <c r="AT103"/>
      <c r="AV103"/>
      <c r="AW103"/>
      <c r="AY103"/>
      <c r="AZ103"/>
    </row>
    <row r="104" spans="1:52" x14ac:dyDescent="0.25">
      <c r="A104" s="96" t="s">
        <v>67</v>
      </c>
      <c r="B104" s="3" t="s">
        <v>38</v>
      </c>
      <c r="C104" s="3">
        <v>2021</v>
      </c>
      <c r="D104" s="3" t="s">
        <v>8</v>
      </c>
      <c r="E104" s="4">
        <f>Données[[#This Row],[LLS]]+Données[[#This Row],[LLTS]]+Données[[#This Row],[PLS]]+Données[[#This Row],[REHAB]]</f>
        <v>78</v>
      </c>
      <c r="F104" s="4">
        <f>Données[[#This Row],[LLS]]+Données[[#This Row],[LLTS]]+Données[[#This Row],[PLS]]</f>
        <v>78</v>
      </c>
      <c r="G104" s="5"/>
      <c r="H104" s="5"/>
      <c r="I104" s="5">
        <v>78</v>
      </c>
      <c r="J104" s="5"/>
      <c r="K104" s="7" t="s">
        <v>37</v>
      </c>
      <c r="L104" s="54">
        <v>44398</v>
      </c>
      <c r="M104" s="9">
        <v>44558</v>
      </c>
      <c r="N104" s="10">
        <v>2021</v>
      </c>
      <c r="O104" s="6">
        <f>IFERROR((DATEDIF(Données[[#This Row],[Arrêté LBU]],Données[[#This Row],[OS démarrage]],"d"))/30,0)</f>
        <v>5.333333333333333</v>
      </c>
      <c r="P104" s="29">
        <v>26</v>
      </c>
      <c r="Q104" s="12">
        <f>DATEDIF(Données[[#This Row],[OS démarrage]],Données[[#This Row],[Date réception entreprise recalée]],"M")</f>
        <v>27</v>
      </c>
      <c r="R104" s="32">
        <v>44792</v>
      </c>
      <c r="S104" s="14">
        <f>EDATE(Données[[#This Row],[OS démarrage]],Données[[#This Row],[Délai chantier initial]])</f>
        <v>45350</v>
      </c>
      <c r="T104" s="24">
        <f>DATE(YEAR(Données[[#This Row],[Date réception entreprise prévue initialement]]),MONTH(Données[[#This Row],[Date réception entreprise prévue initialement]])+1,DAY(Données[[#This Row],[Date réception entreprise prévue initialement]]))</f>
        <v>45379</v>
      </c>
      <c r="U104" s="16">
        <f>EDATE(Données[[#This Row],[Date réception entreprise recalée]],12)</f>
        <v>45744</v>
      </c>
      <c r="V104" s="17">
        <f>(Données[[#This Row],[Date réception entreprise recalée]]-Données[[#This Row],[Date réception entreprise prévue initialement]])/30</f>
        <v>0.96666666666666667</v>
      </c>
      <c r="W104" s="44">
        <v>45351</v>
      </c>
      <c r="X104" s="19">
        <v>45351</v>
      </c>
      <c r="Y104" s="19">
        <v>45384</v>
      </c>
      <c r="Z104" s="19">
        <f>EDATE(Données[[#This Row],[Date livraison contractuelle y/c avenant]],1)</f>
        <v>45414</v>
      </c>
      <c r="AA104" s="20">
        <f>IF(Données[[#This Row],[TYPE]]="Rehab",0,IFERROR((Données[[#This Row],[Date Livraison VEFA estimée avec retards constatés]]-Données[[#This Row],[Date livraison contractuelle y/c avenant]])/30,"-"))</f>
        <v>1</v>
      </c>
      <c r="AB104" s="21">
        <f>IF(Données[[#This Row],[TYPE]]="Rehab",0,Données[[#This Row],[Date Livraison VEFA estimée avec retards constatés]]-Données[[#This Row],[Date livraison contractuelle y/c avenant]])</f>
        <v>30</v>
      </c>
      <c r="AC104" s="22"/>
      <c r="AD104" s="23">
        <f>IF(AND(Données[[#This Row],[TYPE]]&lt;&gt;"Rehab",Données[[#This Row],[Achèvement fondations]]&lt;&gt;""),EDATE(Données[[#This Row],[Achèvement fondations]],24),"")</f>
        <v>45523</v>
      </c>
      <c r="AE104" s="30">
        <f>IF(Données[[#This Row],[VEFA / PROPRE]]="vefa",EDATE(Données[[#This Row],[Date Livraison initiale VEFA]],1),EDATE(Données[[#This Row],[Date réception entreprise prévue initialement]],1))</f>
        <v>45380</v>
      </c>
      <c r="AF104" s="24">
        <f>IF(Données[[#This Row],[VEFA / PROPRE]]="VEFA",EDATE(Données[[#This Row],[Date Livraison VEFA estimée avec retards constatés]],1),EDATE(Données[[#This Row],[Date réception entreprise recalée]],1))</f>
        <v>45445</v>
      </c>
      <c r="AG104" s="55"/>
      <c r="AH104" s="59">
        <f>IF((Données[[#This Row],[Date inauguration recalée]]-Données[[#This Row],[Date inauguration initiale]])/30&lt;0,0,(Données[[#This Row],[Date inauguration recalée]]-Données[[#This Row],[Date inauguration initiale]])/30)</f>
        <v>2.1666666666666665</v>
      </c>
      <c r="AI104" s="26">
        <v>53919.455319729495</v>
      </c>
      <c r="AJ104" s="26">
        <f>IF(Données[[#This Row],[TYPE]]="Rehab","",Données[[#This Row],[Loyer mensuel]]*Données[[#This Row],[Retard Inauguration (m)]])</f>
        <v>116825.48652608057</v>
      </c>
      <c r="AN104"/>
      <c r="AR104"/>
      <c r="AS104"/>
      <c r="AT104"/>
      <c r="AV104"/>
      <c r="AW104"/>
      <c r="AY104"/>
      <c r="AZ104"/>
    </row>
    <row r="105" spans="1:52" x14ac:dyDescent="0.25">
      <c r="A105" s="31" t="s">
        <v>66</v>
      </c>
      <c r="B105" s="3" t="s">
        <v>38</v>
      </c>
      <c r="C105" s="3">
        <v>2021</v>
      </c>
      <c r="D105" s="27" t="s">
        <v>8</v>
      </c>
      <c r="E105" s="4">
        <f>Données[[#This Row],[LLS]]+Données[[#This Row],[LLTS]]+Données[[#This Row],[PLS]]+Données[[#This Row],[REHAB]]</f>
        <v>31</v>
      </c>
      <c r="F105" s="4">
        <f>Données[[#This Row],[LLS]]+Données[[#This Row],[LLTS]]+Données[[#This Row],[PLS]]</f>
        <v>31</v>
      </c>
      <c r="G105" s="5"/>
      <c r="H105" s="5"/>
      <c r="I105" s="5">
        <v>31</v>
      </c>
      <c r="J105" s="5"/>
      <c r="K105" s="7" t="s">
        <v>39</v>
      </c>
      <c r="L105" s="54">
        <v>44371</v>
      </c>
      <c r="M105" s="9">
        <v>45196</v>
      </c>
      <c r="N105" s="10">
        <v>2023</v>
      </c>
      <c r="O105" s="6">
        <f>IFERROR((DATEDIF(Données[[#This Row],[Arrêté LBU]],Données[[#This Row],[OS démarrage]],"d"))/30,0)</f>
        <v>27.5</v>
      </c>
      <c r="P105" s="29">
        <v>20</v>
      </c>
      <c r="Q105" s="12">
        <f>DATEDIF(Données[[#This Row],[OS démarrage]],Données[[#This Row],[Date réception entreprise recalée]],"M")</f>
        <v>21</v>
      </c>
      <c r="R105" s="13"/>
      <c r="S105" s="14">
        <f>EDATE(Données[[#This Row],[OS démarrage]],Données[[#This Row],[Délai chantier initial]])</f>
        <v>45804</v>
      </c>
      <c r="T105" s="24">
        <f>DATE(YEAR(Données[[#This Row],[Date réception entreprise prévue initialement]]),MONTH(Données[[#This Row],[Date réception entreprise prévue initialement]])+1,DAY(Données[[#This Row],[Date réception entreprise prévue initialement]]))</f>
        <v>45835</v>
      </c>
      <c r="U105" s="16">
        <f>EDATE(Données[[#This Row],[Date réception entreprise recalée]],12)</f>
        <v>46200</v>
      </c>
      <c r="V105" s="17">
        <f>(Données[[#This Row],[Date réception entreprise recalée]]-Données[[#This Row],[Date réception entreprise prévue initialement]])/30</f>
        <v>1.0333333333333334</v>
      </c>
      <c r="W105" s="44"/>
      <c r="X105" s="19"/>
      <c r="Y105" s="19"/>
      <c r="Z105" s="19"/>
      <c r="AA105" s="20">
        <f>IF(Données[[#This Row],[TYPE]]="Rehab",0,IFERROR((Données[[#This Row],[Date Livraison VEFA estimée avec retards constatés]]-Données[[#This Row],[Date livraison contractuelle y/c avenant]])/30,"-"))</f>
        <v>0</v>
      </c>
      <c r="AB105" s="21">
        <f>IF(Données[[#This Row],[TYPE]]="Rehab",0,Données[[#This Row],[Date Livraison VEFA estimée avec retards constatés]]-Données[[#This Row],[Date livraison contractuelle y/c avenant]])</f>
        <v>0</v>
      </c>
      <c r="AC105" s="22"/>
      <c r="AD105" s="23" t="str">
        <f>IF(AND(Données[[#This Row],[TYPE]]&lt;&gt;"Rehab",Données[[#This Row],[Achèvement fondations]]&lt;&gt;""),EDATE(Données[[#This Row],[Achèvement fondations]],24),"")</f>
        <v/>
      </c>
      <c r="AE105" s="30">
        <f>IF(Données[[#This Row],[VEFA / PROPRE]]="vefa",EDATE(Données[[#This Row],[Date Livraison initiale VEFA]],1),EDATE(Données[[#This Row],[Date réception entreprise prévue initialement]],1))</f>
        <v>45835</v>
      </c>
      <c r="AF105" s="24">
        <f>IF(Données[[#This Row],[VEFA / PROPRE]]="VEFA",EDATE(Données[[#This Row],[Date Livraison VEFA estimée avec retards constatés]],1),EDATE(Données[[#This Row],[Date réception entreprise recalée]],1))</f>
        <v>45865</v>
      </c>
      <c r="AG105" s="55"/>
      <c r="AH105" s="26">
        <f>IF((Données[[#This Row],[Date inauguration recalée]]-Données[[#This Row],[Date inauguration initiale]])/30&lt;0,0,(Données[[#This Row],[Date inauguration recalée]]-Données[[#This Row],[Date inauguration initiale]])/30)</f>
        <v>1</v>
      </c>
      <c r="AI105" s="26">
        <v>21685.574541376056</v>
      </c>
      <c r="AJ105" s="26">
        <f>IF(Données[[#This Row],[TYPE]]="Rehab","",Données[[#This Row],[Loyer mensuel]]*Données[[#This Row],[Retard Inauguration (m)]])</f>
        <v>21685.574541376056</v>
      </c>
      <c r="AN105"/>
      <c r="AR105"/>
      <c r="AS105"/>
      <c r="AT105"/>
      <c r="AV105"/>
      <c r="AW105"/>
      <c r="AY105"/>
      <c r="AZ105"/>
    </row>
    <row r="106" spans="1:52" x14ac:dyDescent="0.25">
      <c r="A106" s="31" t="s">
        <v>67</v>
      </c>
      <c r="B106" s="3" t="s">
        <v>38</v>
      </c>
      <c r="C106" s="27">
        <v>2022</v>
      </c>
      <c r="D106" s="3" t="s">
        <v>8</v>
      </c>
      <c r="E106" s="4">
        <f>Données[[#This Row],[LLS]]+Données[[#This Row],[LLTS]]+Données[[#This Row],[PLS]]+Données[[#This Row],[REHAB]]</f>
        <v>40</v>
      </c>
      <c r="F106" s="4">
        <f>Données[[#This Row],[LLS]]+Données[[#This Row],[LLTS]]+Données[[#This Row],[PLS]]</f>
        <v>40</v>
      </c>
      <c r="G106" s="5"/>
      <c r="H106" s="5"/>
      <c r="I106" s="5">
        <v>40</v>
      </c>
      <c r="J106" s="5"/>
      <c r="K106" s="7" t="s">
        <v>37</v>
      </c>
      <c r="L106" s="54">
        <v>44705</v>
      </c>
      <c r="M106" s="9">
        <v>45076</v>
      </c>
      <c r="N106" s="10">
        <v>2023</v>
      </c>
      <c r="O106" s="6">
        <f>IFERROR((DATEDIF(Données[[#This Row],[Arrêté LBU]],Données[[#This Row],[OS démarrage]],"d"))/30,0)</f>
        <v>12.366666666666667</v>
      </c>
      <c r="P106" s="29">
        <v>27</v>
      </c>
      <c r="Q106" s="12">
        <f>DATEDIF(Données[[#This Row],[OS démarrage]],Données[[#This Row],[Date réception entreprise recalée]],"M")</f>
        <v>28</v>
      </c>
      <c r="R106" s="13"/>
      <c r="S106" s="14">
        <f>EDATE(Données[[#This Row],[OS démarrage]],Données[[#This Row],[Délai chantier initial]])</f>
        <v>45899</v>
      </c>
      <c r="T106" s="24">
        <f>DATE(YEAR(Données[[#This Row],[Date réception entreprise prévue initialement]]),MONTH(Données[[#This Row],[Date réception entreprise prévue initialement]])+1,DAY(Données[[#This Row],[Date réception entreprise prévue initialement]]))</f>
        <v>45930</v>
      </c>
      <c r="U106" s="16">
        <f>EDATE(Données[[#This Row],[Date réception entreprise recalée]],12)</f>
        <v>46295</v>
      </c>
      <c r="V106" s="17">
        <f>(Données[[#This Row],[Date réception entreprise recalée]]-Données[[#This Row],[Date réception entreprise prévue initialement]])/30</f>
        <v>1.0333333333333334</v>
      </c>
      <c r="W106" s="44">
        <f>Données[[#This Row],[Date réception entreprise recalée]]</f>
        <v>45930</v>
      </c>
      <c r="X106" s="19">
        <f>Données[[#This Row],[Date achèvement VEFA]]</f>
        <v>45930</v>
      </c>
      <c r="Y106" s="19">
        <f>Données[[#This Row],[Date achèvement VEFA]]</f>
        <v>45930</v>
      </c>
      <c r="Z106" s="19">
        <f>Données[[#This Row],[Date achèvement VEFA]]</f>
        <v>45930</v>
      </c>
      <c r="AA106" s="20">
        <f>IF(Données[[#This Row],[TYPE]]="Rehab",0,IFERROR((Données[[#This Row],[Date Livraison VEFA estimée avec retards constatés]]-Données[[#This Row],[Date livraison contractuelle y/c avenant]])/30,"-"))</f>
        <v>0</v>
      </c>
      <c r="AB106" s="21">
        <f>IF(Données[[#This Row],[TYPE]]="Rehab",0,Données[[#This Row],[Date Livraison VEFA estimée avec retards constatés]]-Données[[#This Row],[Date livraison contractuelle y/c avenant]])</f>
        <v>0</v>
      </c>
      <c r="AC106" s="22"/>
      <c r="AD106" s="23" t="str">
        <f>IF(AND(Données[[#This Row],[TYPE]]&lt;&gt;"Rehab",Données[[#This Row],[Achèvement fondations]]&lt;&gt;""),EDATE(Données[[#This Row],[Achèvement fondations]],24),"")</f>
        <v/>
      </c>
      <c r="AE106" s="30">
        <f>IF(Données[[#This Row],[VEFA / PROPRE]]="vefa",EDATE(Données[[#This Row],[Date Livraison initiale VEFA]],1),EDATE(Données[[#This Row],[Date réception entreprise prévue initialement]],1))</f>
        <v>45960</v>
      </c>
      <c r="AF106" s="24">
        <f>IF(Données[[#This Row],[VEFA / PROPRE]]="VEFA",EDATE(Données[[#This Row],[Date Livraison VEFA estimée avec retards constatés]],1),EDATE(Données[[#This Row],[Date réception entreprise recalée]],1))</f>
        <v>45960</v>
      </c>
      <c r="AG106" s="55"/>
      <c r="AH106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06" s="26">
        <v>27853.567088310596</v>
      </c>
      <c r="AJ106" s="26">
        <f>IF(Données[[#This Row],[TYPE]]="Rehab","",Données[[#This Row],[Loyer mensuel]]*Données[[#This Row],[Retard Inauguration (m)]])</f>
        <v>0</v>
      </c>
      <c r="AN106"/>
      <c r="AR106"/>
      <c r="AS106"/>
      <c r="AT106"/>
      <c r="AV106"/>
      <c r="AW106"/>
      <c r="AY106"/>
      <c r="AZ106"/>
    </row>
    <row r="107" spans="1:52" x14ac:dyDescent="0.25">
      <c r="A107" s="42" t="s">
        <v>67</v>
      </c>
      <c r="B107" s="3" t="s">
        <v>38</v>
      </c>
      <c r="C107" s="3">
        <v>2022</v>
      </c>
      <c r="D107" s="3" t="s">
        <v>8</v>
      </c>
      <c r="E107" s="4">
        <f>Données[[#This Row],[LLS]]+Données[[#This Row],[LLTS]]+Données[[#This Row],[PLS]]+Données[[#This Row],[REHAB]]</f>
        <v>34</v>
      </c>
      <c r="F107" s="4">
        <f>Données[[#This Row],[LLS]]+Données[[#This Row],[LLTS]]+Données[[#This Row],[PLS]]</f>
        <v>34</v>
      </c>
      <c r="G107" s="5"/>
      <c r="H107" s="5"/>
      <c r="I107" s="5">
        <v>34</v>
      </c>
      <c r="J107" s="5"/>
      <c r="K107" s="7" t="s">
        <v>37</v>
      </c>
      <c r="L107" s="54">
        <v>44705</v>
      </c>
      <c r="M107" s="58">
        <v>45383</v>
      </c>
      <c r="N107" s="10"/>
      <c r="O107" s="6">
        <f>IFERROR((DATEDIF(Données[[#This Row],[Arrêté LBU]],Données[[#This Row],[OS démarrage]],"d"))/30,0)</f>
        <v>22.6</v>
      </c>
      <c r="P107" s="29">
        <v>24</v>
      </c>
      <c r="Q107" s="12">
        <f>DATEDIF(Données[[#This Row],[OS démarrage]],Données[[#This Row],[Date réception entreprise recalée]],"M")</f>
        <v>25</v>
      </c>
      <c r="R107" s="13"/>
      <c r="S107" s="14">
        <f>EDATE(Données[[#This Row],[OS démarrage]],Données[[#This Row],[Délai chantier initial]])</f>
        <v>46113</v>
      </c>
      <c r="T107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46143</v>
      </c>
      <c r="U107" s="16">
        <f>EDATE(Données[[#This Row],[Date réception entreprise recalée]],12)</f>
        <v>46508</v>
      </c>
      <c r="V107" s="17">
        <f>(Données[[#This Row],[Date réception entreprise recalée]]-Données[[#This Row],[Date réception entreprise prévue initialement]])/30</f>
        <v>1</v>
      </c>
      <c r="W107" s="44">
        <f>Données[[#This Row],[Date réception entreprise recalée]]</f>
        <v>46143</v>
      </c>
      <c r="X107" s="19">
        <f>Données[[#This Row],[Date achèvement VEFA]]</f>
        <v>46143</v>
      </c>
      <c r="Y107" s="19">
        <f>Données[[#This Row],[Date achèvement VEFA]]</f>
        <v>46143</v>
      </c>
      <c r="Z107" s="19">
        <f>Données[[#This Row],[Date achèvement VEFA]]</f>
        <v>46143</v>
      </c>
      <c r="AA107" s="20">
        <f>IF(Données[[#This Row],[TYPE]]="Rehab",0,IFERROR((Données[[#This Row],[Date Livraison VEFA estimée avec retards constatés]]-Données[[#This Row],[Date livraison contractuelle y/c avenant]])/30,"-"))</f>
        <v>0</v>
      </c>
      <c r="AB107" s="21">
        <f>IF(Données[[#This Row],[TYPE]]="Rehab",0,Données[[#This Row],[Date Livraison VEFA estimée avec retards constatés]]-Données[[#This Row],[Date livraison contractuelle y/c avenant]])</f>
        <v>0</v>
      </c>
      <c r="AC107" s="22"/>
      <c r="AD107" s="23" t="str">
        <f>IF(AND(Données[[#This Row],[TYPE]]&lt;&gt;"Rehab",Données[[#This Row],[Achèvement fondations]]&lt;&gt;""),EDATE(Données[[#This Row],[Achèvement fondations]],24),"")</f>
        <v/>
      </c>
      <c r="AE107" s="30">
        <f>IF(Données[[#This Row],[VEFA / PROPRE]]="vefa",EDATE(Données[[#This Row],[Date Livraison initiale VEFA]],1),EDATE(Données[[#This Row],[Date réception entreprise prévue initialement]],1))</f>
        <v>46174</v>
      </c>
      <c r="AF107" s="24">
        <f>IF(Données[[#This Row],[VEFA / PROPRE]]="VEFA",EDATE(Données[[#This Row],[Date Livraison VEFA estimée avec retards constatés]],1),EDATE(Données[[#This Row],[Date réception entreprise recalée]],1))</f>
        <v>46174</v>
      </c>
      <c r="AG107" s="55"/>
      <c r="AH107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07" s="26"/>
      <c r="AJ107" s="26">
        <f>IF(Données[[#This Row],[TYPE]]="Rehab","",Données[[#This Row],[Loyer mensuel]]*Données[[#This Row],[Retard Inauguration (m)]])</f>
        <v>0</v>
      </c>
      <c r="AN107"/>
      <c r="AR107"/>
      <c r="AS107"/>
      <c r="AT107"/>
      <c r="AV107"/>
      <c r="AW107"/>
      <c r="AY107"/>
      <c r="AZ107"/>
    </row>
    <row r="108" spans="1:52" x14ac:dyDescent="0.25">
      <c r="A108" s="96" t="s">
        <v>67</v>
      </c>
      <c r="B108" s="3" t="s">
        <v>38</v>
      </c>
      <c r="C108" s="3">
        <v>2022</v>
      </c>
      <c r="D108" s="3" t="s">
        <v>8</v>
      </c>
      <c r="E108" s="4">
        <f>Données[[#This Row],[LLS]]+Données[[#This Row],[LLTS]]+Données[[#This Row],[PLS]]+Données[[#This Row],[REHAB]]</f>
        <v>36</v>
      </c>
      <c r="F108" s="4">
        <f>Données[[#This Row],[LLS]]+Données[[#This Row],[LLTS]]+Données[[#This Row],[PLS]]</f>
        <v>36</v>
      </c>
      <c r="G108" s="5"/>
      <c r="H108" s="5"/>
      <c r="I108" s="5">
        <v>36</v>
      </c>
      <c r="J108" s="5"/>
      <c r="K108" s="7" t="s">
        <v>37</v>
      </c>
      <c r="L108" s="54">
        <v>44705</v>
      </c>
      <c r="M108" s="58">
        <v>45536</v>
      </c>
      <c r="N108" s="10"/>
      <c r="O108" s="6">
        <f>IFERROR((DATEDIF(Données[[#This Row],[Arrêté LBU]],Données[[#This Row],[OS démarrage]],"d"))/30,0)</f>
        <v>27.7</v>
      </c>
      <c r="P108" s="29">
        <v>24</v>
      </c>
      <c r="Q108" s="12">
        <f>DATEDIF(Données[[#This Row],[OS démarrage]],Données[[#This Row],[Date réception entreprise recalée]],"M")</f>
        <v>25</v>
      </c>
      <c r="R108" s="13"/>
      <c r="S108" s="14">
        <f>EDATE(Données[[#This Row],[OS démarrage]],Données[[#This Row],[Délai chantier initial]])</f>
        <v>46266</v>
      </c>
      <c r="T108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46296</v>
      </c>
      <c r="U108" s="16">
        <f>EDATE(Données[[#This Row],[Date réception entreprise recalée]],12)</f>
        <v>46661</v>
      </c>
      <c r="V108" s="17">
        <f>(Données[[#This Row],[Date réception entreprise recalée]]-Données[[#This Row],[Date réception entreprise prévue initialement]])/30</f>
        <v>1</v>
      </c>
      <c r="W108" s="44">
        <f>Données[[#This Row],[Date réception entreprise recalée]]</f>
        <v>46296</v>
      </c>
      <c r="X108" s="19">
        <f>Données[[#This Row],[Date achèvement VEFA]]</f>
        <v>46296</v>
      </c>
      <c r="Y108" s="19">
        <f>Données[[#This Row],[Date achèvement VEFA]]</f>
        <v>46296</v>
      </c>
      <c r="Z108" s="19">
        <f>Données[[#This Row],[Date achèvement VEFA]]</f>
        <v>46296</v>
      </c>
      <c r="AA108" s="20">
        <f>IF(Données[[#This Row],[TYPE]]="Rehab",0,IFERROR((Données[[#This Row],[Date Livraison VEFA estimée avec retards constatés]]-Données[[#This Row],[Date livraison contractuelle y/c avenant]])/30,"-"))</f>
        <v>0</v>
      </c>
      <c r="AB108" s="21">
        <f>IF(Données[[#This Row],[TYPE]]="Rehab",0,Données[[#This Row],[Date Livraison VEFA estimée avec retards constatés]]-Données[[#This Row],[Date livraison contractuelle y/c avenant]])</f>
        <v>0</v>
      </c>
      <c r="AC108" s="22"/>
      <c r="AD108" s="23" t="str">
        <f>IF(AND(Données[[#This Row],[TYPE]]&lt;&gt;"Rehab",Données[[#This Row],[Achèvement fondations]]&lt;&gt;""),EDATE(Données[[#This Row],[Achèvement fondations]],24),"")</f>
        <v/>
      </c>
      <c r="AE108" s="30">
        <f>IF(Données[[#This Row],[VEFA / PROPRE]]="vefa",EDATE(Données[[#This Row],[Date Livraison initiale VEFA]],1),EDATE(Données[[#This Row],[Date réception entreprise prévue initialement]],1))</f>
        <v>46327</v>
      </c>
      <c r="AF108" s="24">
        <f>IF(Données[[#This Row],[VEFA / PROPRE]]="VEFA",EDATE(Données[[#This Row],[Date Livraison VEFA estimée avec retards constatés]],1),EDATE(Données[[#This Row],[Date réception entreprise recalée]],1))</f>
        <v>46327</v>
      </c>
      <c r="AG108" s="55"/>
      <c r="AH108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08" s="26"/>
      <c r="AJ108" s="26">
        <f>IF(Données[[#This Row],[TYPE]]="Rehab","",Données[[#This Row],[Loyer mensuel]]*Données[[#This Row],[Retard Inauguration (m)]])</f>
        <v>0</v>
      </c>
      <c r="AN108"/>
      <c r="AR108"/>
      <c r="AS108"/>
      <c r="AT108"/>
      <c r="AV108"/>
      <c r="AW108"/>
      <c r="AY108"/>
      <c r="AZ108"/>
    </row>
    <row r="109" spans="1:52" x14ac:dyDescent="0.25">
      <c r="A109" s="96" t="s">
        <v>67</v>
      </c>
      <c r="B109" s="3" t="s">
        <v>38</v>
      </c>
      <c r="C109" s="3">
        <v>2023</v>
      </c>
      <c r="D109" s="3" t="s">
        <v>8</v>
      </c>
      <c r="E109" s="4">
        <f>Données[[#This Row],[LLS]]+Données[[#This Row],[LLTS]]+Données[[#This Row],[PLS]]+Données[[#This Row],[REHAB]]</f>
        <v>25</v>
      </c>
      <c r="F109" s="4">
        <f>Données[[#This Row],[LLS]]+Données[[#This Row],[LLTS]]+Données[[#This Row],[PLS]]</f>
        <v>25</v>
      </c>
      <c r="G109" s="5"/>
      <c r="H109" s="5"/>
      <c r="I109" s="5">
        <v>25</v>
      </c>
      <c r="J109" s="5"/>
      <c r="K109" s="7" t="s">
        <v>37</v>
      </c>
      <c r="L109" s="54">
        <v>45189</v>
      </c>
      <c r="M109" s="58">
        <v>45383</v>
      </c>
      <c r="N109" s="10"/>
      <c r="O109" s="6">
        <f>IFERROR((DATEDIF(Données[[#This Row],[Arrêté LBU]],Données[[#This Row],[OS démarrage]],"d"))/30,0)</f>
        <v>6.4666666666666668</v>
      </c>
      <c r="P109" s="29">
        <v>24</v>
      </c>
      <c r="Q109" s="12">
        <f>DATEDIF(Données[[#This Row],[OS démarrage]],Données[[#This Row],[Date réception entreprise recalée]],"M")</f>
        <v>25</v>
      </c>
      <c r="R109" s="13"/>
      <c r="S109" s="14">
        <f>EDATE(Données[[#This Row],[OS démarrage]],Données[[#This Row],[Délai chantier initial]])</f>
        <v>46113</v>
      </c>
      <c r="T109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46143</v>
      </c>
      <c r="U109" s="16">
        <f>EDATE(Données[[#This Row],[Date réception entreprise recalée]],12)</f>
        <v>46508</v>
      </c>
      <c r="V109" s="17">
        <f>(Données[[#This Row],[Date réception entreprise recalée]]-Données[[#This Row],[Date réception entreprise prévue initialement]])/30</f>
        <v>1</v>
      </c>
      <c r="W109" s="44">
        <f>Données[[#This Row],[Date réception entreprise recalée]]</f>
        <v>46143</v>
      </c>
      <c r="X109" s="19">
        <f>Données[[#This Row],[Date achèvement VEFA]]</f>
        <v>46143</v>
      </c>
      <c r="Y109" s="19">
        <f>Données[[#This Row],[Date achèvement VEFA]]</f>
        <v>46143</v>
      </c>
      <c r="Z109" s="19">
        <f>Données[[#This Row],[Date achèvement VEFA]]</f>
        <v>46143</v>
      </c>
      <c r="AA109" s="20">
        <f>IF(Données[[#This Row],[TYPE]]="Rehab",0,IFERROR((Données[[#This Row],[Date Livraison VEFA estimée avec retards constatés]]-Données[[#This Row],[Date livraison contractuelle y/c avenant]])/30,"-"))</f>
        <v>0</v>
      </c>
      <c r="AB109" s="21">
        <f>IF(Données[[#This Row],[TYPE]]="Rehab",0,Données[[#This Row],[Date Livraison VEFA estimée avec retards constatés]]-Données[[#This Row],[Date livraison contractuelle y/c avenant]])</f>
        <v>0</v>
      </c>
      <c r="AC109" s="22"/>
      <c r="AD109" s="23" t="str">
        <f>IF(AND(Données[[#This Row],[TYPE]]&lt;&gt;"Rehab",Données[[#This Row],[Achèvement fondations]]&lt;&gt;""),EDATE(Données[[#This Row],[Achèvement fondations]],24),"")</f>
        <v/>
      </c>
      <c r="AE109" s="30">
        <f>IF(Données[[#This Row],[VEFA / PROPRE]]="vefa",EDATE(Données[[#This Row],[Date Livraison initiale VEFA]],1),EDATE(Données[[#This Row],[Date réception entreprise prévue initialement]],1))</f>
        <v>46174</v>
      </c>
      <c r="AF109" s="24">
        <f>IF(Données[[#This Row],[VEFA / PROPRE]]="VEFA",EDATE(Données[[#This Row],[Date Livraison VEFA estimée avec retards constatés]],1),EDATE(Données[[#This Row],[Date réception entreprise recalée]],1))</f>
        <v>46174</v>
      </c>
      <c r="AG109" s="55"/>
      <c r="AH109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09" s="26"/>
      <c r="AJ109" s="26">
        <f>IF(Données[[#This Row],[TYPE]]="Rehab","",Données[[#This Row],[Loyer mensuel]]*Données[[#This Row],[Retard Inauguration (m)]])</f>
        <v>0</v>
      </c>
      <c r="AN109"/>
      <c r="AR109"/>
      <c r="AS109"/>
      <c r="AT109"/>
      <c r="AV109"/>
      <c r="AW109"/>
      <c r="AY109"/>
      <c r="AZ109"/>
    </row>
    <row r="110" spans="1:52" x14ac:dyDescent="0.25">
      <c r="A110" s="96" t="s">
        <v>71</v>
      </c>
      <c r="B110" s="3" t="s">
        <v>38</v>
      </c>
      <c r="C110" s="3">
        <v>2023</v>
      </c>
      <c r="D110" s="3" t="s">
        <v>8</v>
      </c>
      <c r="E110" s="4">
        <f>Données[[#This Row],[LLS]]+Données[[#This Row],[LLTS]]+Données[[#This Row],[PLS]]+Données[[#This Row],[REHAB]]</f>
        <v>26</v>
      </c>
      <c r="F110" s="4">
        <f>Données[[#This Row],[LLS]]+Données[[#This Row],[LLTS]]+Données[[#This Row],[PLS]]</f>
        <v>26</v>
      </c>
      <c r="G110" s="5"/>
      <c r="H110" s="5"/>
      <c r="I110" s="5">
        <v>26</v>
      </c>
      <c r="J110" s="5"/>
      <c r="K110" s="7" t="s">
        <v>37</v>
      </c>
      <c r="L110" s="8"/>
      <c r="M110" s="58">
        <v>45444</v>
      </c>
      <c r="N110" s="10"/>
      <c r="O110" s="6">
        <f>IFERROR((DATEDIF(Données[[#This Row],[Arrêté LBU]],Données[[#This Row],[OS démarrage]],"d"))/30,0)</f>
        <v>1514.8</v>
      </c>
      <c r="P110" s="29">
        <v>24</v>
      </c>
      <c r="Q110" s="12">
        <f>DATEDIF(Données[[#This Row],[OS démarrage]],Données[[#This Row],[Date réception entreprise recalée]],"M")</f>
        <v>25</v>
      </c>
      <c r="R110" s="13"/>
      <c r="S110" s="14">
        <f>EDATE(Données[[#This Row],[OS démarrage]],Données[[#This Row],[Délai chantier initial]])</f>
        <v>46174</v>
      </c>
      <c r="T110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46204</v>
      </c>
      <c r="U110" s="16">
        <f>EDATE(Données[[#This Row],[Date réception entreprise recalée]],12)</f>
        <v>46569</v>
      </c>
      <c r="V110" s="17">
        <f>(Données[[#This Row],[Date réception entreprise recalée]]-Données[[#This Row],[Date réception entreprise prévue initialement]])/30</f>
        <v>1</v>
      </c>
      <c r="W110" s="44">
        <f>Données[[#This Row],[Date réception entreprise recalée]]</f>
        <v>46204</v>
      </c>
      <c r="X110" s="19">
        <f>Données[[#This Row],[Date achèvement VEFA]]</f>
        <v>46204</v>
      </c>
      <c r="Y110" s="19">
        <f>Données[[#This Row],[Date achèvement VEFA]]</f>
        <v>46204</v>
      </c>
      <c r="Z110" s="19">
        <f>Données[[#This Row],[Date achèvement VEFA]]</f>
        <v>46204</v>
      </c>
      <c r="AA110" s="20">
        <f>IF(Données[[#This Row],[TYPE]]="Rehab",0,IFERROR((Données[[#This Row],[Date Livraison VEFA estimée avec retards constatés]]-Données[[#This Row],[Date livraison contractuelle y/c avenant]])/30,"-"))</f>
        <v>0</v>
      </c>
      <c r="AB110" s="21">
        <f>IF(Données[[#This Row],[TYPE]]="Rehab",0,Données[[#This Row],[Date Livraison VEFA estimée avec retards constatés]]-Données[[#This Row],[Date livraison contractuelle y/c avenant]])</f>
        <v>0</v>
      </c>
      <c r="AC110" s="22"/>
      <c r="AD110" s="23" t="str">
        <f>IF(AND(Données[[#This Row],[TYPE]]&lt;&gt;"Rehab",Données[[#This Row],[Achèvement fondations]]&lt;&gt;""),EDATE(Données[[#This Row],[Achèvement fondations]],24),"")</f>
        <v/>
      </c>
      <c r="AE110" s="30">
        <f>IF(Données[[#This Row],[VEFA / PROPRE]]="vefa",EDATE(Données[[#This Row],[Date Livraison initiale VEFA]],1),EDATE(Données[[#This Row],[Date réception entreprise prévue initialement]],1))</f>
        <v>46235</v>
      </c>
      <c r="AF110" s="24">
        <f>IF(Données[[#This Row],[VEFA / PROPRE]]="VEFA",EDATE(Données[[#This Row],[Date Livraison VEFA estimée avec retards constatés]],1),EDATE(Données[[#This Row],[Date réception entreprise recalée]],1))</f>
        <v>46235</v>
      </c>
      <c r="AG110" s="55"/>
      <c r="AH110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10" s="26"/>
      <c r="AJ110" s="26">
        <f>IF(Données[[#This Row],[TYPE]]="Rehab","",Données[[#This Row],[Loyer mensuel]]*Données[[#This Row],[Retard Inauguration (m)]])</f>
        <v>0</v>
      </c>
      <c r="AN110"/>
      <c r="AR110"/>
      <c r="AS110"/>
      <c r="AT110"/>
      <c r="AV110"/>
      <c r="AW110"/>
      <c r="AY110"/>
      <c r="AZ110"/>
    </row>
    <row r="111" spans="1:52" x14ac:dyDescent="0.25">
      <c r="A111" s="98" t="s">
        <v>72</v>
      </c>
      <c r="B111" s="3" t="s">
        <v>38</v>
      </c>
      <c r="C111" s="3">
        <v>2024</v>
      </c>
      <c r="D111" s="3" t="s">
        <v>8</v>
      </c>
      <c r="E111" s="4">
        <f>Données[[#This Row],[LLS]]+Données[[#This Row],[LLTS]]+Données[[#This Row],[PLS]]+Données[[#This Row],[REHAB]]</f>
        <v>32</v>
      </c>
      <c r="F111" s="4">
        <f>Données[[#This Row],[LLS]]+Données[[#This Row],[LLTS]]+Données[[#This Row],[PLS]]</f>
        <v>32</v>
      </c>
      <c r="G111" s="4"/>
      <c r="H111" s="4"/>
      <c r="I111" s="4">
        <v>32</v>
      </c>
      <c r="J111" s="4"/>
      <c r="K111" s="7" t="s">
        <v>37</v>
      </c>
      <c r="L111" s="8"/>
      <c r="M111" s="58">
        <v>45458</v>
      </c>
      <c r="N111" s="10"/>
      <c r="O111" s="6">
        <f>IFERROR((DATEDIF(Données[[#This Row],[Arrêté LBU]],Données[[#This Row],[OS démarrage]],"d"))/30,0)</f>
        <v>1515.2666666666667</v>
      </c>
      <c r="P111" s="29">
        <v>24</v>
      </c>
      <c r="Q111" s="61">
        <f>DATEDIF(Données[[#This Row],[OS démarrage]],Données[[#This Row],[Date réception entreprise recalée]],"M")</f>
        <v>25</v>
      </c>
      <c r="R111" s="36"/>
      <c r="S111" s="14">
        <f>EDATE(Données[[#This Row],[OS démarrage]],Données[[#This Row],[Délai chantier initial]])</f>
        <v>46188</v>
      </c>
      <c r="T111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46218</v>
      </c>
      <c r="U111" s="16">
        <f>EDATE(Données[[#This Row],[Date réception entreprise recalée]],12)</f>
        <v>46583</v>
      </c>
      <c r="V111" s="17">
        <f>(Données[[#This Row],[Date réception entreprise recalée]]-Données[[#This Row],[Date réception entreprise prévue initialement]])/30</f>
        <v>1</v>
      </c>
      <c r="W111" s="44">
        <f>Données[[#This Row],[Date réception entreprise recalée]]</f>
        <v>46218</v>
      </c>
      <c r="X111" s="19">
        <f>Données[[#This Row],[Date réception entreprise recalée]]</f>
        <v>46218</v>
      </c>
      <c r="Y111" s="19">
        <f>Données[[#This Row],[Date réception entreprise recalée]]</f>
        <v>46218</v>
      </c>
      <c r="Z111" s="19">
        <f>Données[[#This Row],[Date livraison contractuelle y/c avenant]]</f>
        <v>46218</v>
      </c>
      <c r="AA111" s="20">
        <f>IF(Données[[#This Row],[TYPE]]="Rehab",0,IFERROR((Données[[#This Row],[Date Livraison VEFA estimée avec retards constatés]]-Données[[#This Row],[Date livraison contractuelle y/c avenant]])/30,"-"))</f>
        <v>0</v>
      </c>
      <c r="AB111" s="21">
        <f>IF(Données[[#This Row],[TYPE]]="Rehab",0,Données[[#This Row],[Date Livraison VEFA estimée avec retards constatés]]-Données[[#This Row],[Date livraison contractuelle y/c avenant]])</f>
        <v>0</v>
      </c>
      <c r="AC111" s="22"/>
      <c r="AD111" s="23" t="str">
        <f>IF(AND(Données[[#This Row],[TYPE]]&lt;&gt;"Rehab",Données[[#This Row],[Achèvement fondations]]&lt;&gt;""),EDATE(Données[[#This Row],[Achèvement fondations]],24),"")</f>
        <v/>
      </c>
      <c r="AE111" s="30">
        <f>IF(Données[[#This Row],[VEFA / PROPRE]]="vefa",EDATE(Données[[#This Row],[Date Livraison initiale VEFA]],1),EDATE(Données[[#This Row],[Date réception entreprise prévue initialement]],1))</f>
        <v>46249</v>
      </c>
      <c r="AF111" s="24">
        <f>IF(Données[[#This Row],[VEFA / PROPRE]]="VEFA",EDATE(Données[[#This Row],[Date Livraison VEFA estimée avec retards constatés]],1),EDATE(Données[[#This Row],[Date réception entreprise recalée]],1))</f>
        <v>46249</v>
      </c>
      <c r="AG111" s="55"/>
      <c r="AH111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11" s="26"/>
      <c r="AJ111" s="26">
        <f>IF(Données[[#This Row],[TYPE]]="Rehab","",Données[[#This Row],[Loyer mensuel]]*Données[[#This Row],[Retard Inauguration (m)]])</f>
        <v>0</v>
      </c>
      <c r="AN111"/>
      <c r="AR111"/>
      <c r="AS111"/>
      <c r="AT111"/>
      <c r="AV111"/>
      <c r="AW111"/>
      <c r="AY111"/>
      <c r="AZ111"/>
    </row>
    <row r="112" spans="1:52" x14ac:dyDescent="0.25">
      <c r="A112" s="63" t="s">
        <v>72</v>
      </c>
      <c r="B112" s="3" t="s">
        <v>36</v>
      </c>
      <c r="C112" s="3">
        <v>2025</v>
      </c>
      <c r="D112" s="3" t="s">
        <v>8</v>
      </c>
      <c r="E112" s="4">
        <f>Données[[#This Row],[LLS]]+Données[[#This Row],[LLTS]]+Données[[#This Row],[PLS]]+Données[[#This Row],[REHAB]]</f>
        <v>15</v>
      </c>
      <c r="F112" s="4">
        <f>Données[[#This Row],[LLS]]+Données[[#This Row],[LLTS]]+Données[[#This Row],[PLS]]</f>
        <v>15</v>
      </c>
      <c r="G112" s="5"/>
      <c r="H112" s="5"/>
      <c r="I112" s="5">
        <v>15</v>
      </c>
      <c r="J112" s="5"/>
      <c r="K112" s="7" t="s">
        <v>39</v>
      </c>
      <c r="L112" s="8"/>
      <c r="M112" s="58">
        <v>45703</v>
      </c>
      <c r="N112" s="10"/>
      <c r="O112" s="6">
        <f>IFERROR((DATEDIF(Données[[#This Row],[Arrêté LBU]],Données[[#This Row],[OS démarrage]],"d"))/30,0)</f>
        <v>1523.4333333333334</v>
      </c>
      <c r="P112" s="29">
        <v>18</v>
      </c>
      <c r="Q112" s="12">
        <f>DATEDIF(Données[[#This Row],[OS démarrage]],Données[[#This Row],[Date réception entreprise recalée]],"M")</f>
        <v>19</v>
      </c>
      <c r="R112" s="13"/>
      <c r="S112" s="14">
        <f>EDATE(Données[[#This Row],[OS démarrage]],Données[[#This Row],[Délai chantier initial]])</f>
        <v>46249</v>
      </c>
      <c r="T112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46280</v>
      </c>
      <c r="U112" s="16">
        <f>EDATE(Données[[#This Row],[Date réception entreprise recalée]],12)</f>
        <v>46645</v>
      </c>
      <c r="V112" s="17">
        <f>(Données[[#This Row],[Date réception entreprise recalée]]-Données[[#This Row],[Date réception entreprise prévue initialement]])/30</f>
        <v>1.0333333333333334</v>
      </c>
      <c r="W112" s="44"/>
      <c r="X112" s="19"/>
      <c r="Y112" s="19"/>
      <c r="Z112" s="19"/>
      <c r="AA112" s="20">
        <f>IF(Données[[#This Row],[TYPE]]="Rehab",0,IFERROR((Données[[#This Row],[Date Livraison VEFA estimée avec retards constatés]]-Données[[#This Row],[Date livraison contractuelle y/c avenant]])/30,"-"))</f>
        <v>0</v>
      </c>
      <c r="AB112" s="21">
        <f>IF(Données[[#This Row],[TYPE]]="Rehab",0,Données[[#This Row],[Date Livraison VEFA estimée avec retards constatés]]-Données[[#This Row],[Date livraison contractuelle y/c avenant]])</f>
        <v>0</v>
      </c>
      <c r="AC112" s="22"/>
      <c r="AD112" s="23" t="str">
        <f>IF(AND(Données[[#This Row],[TYPE]]&lt;&gt;"Rehab",Données[[#This Row],[Achèvement fondations]]&lt;&gt;""),EDATE(Données[[#This Row],[Achèvement fondations]],24),"")</f>
        <v/>
      </c>
      <c r="AE112" s="30">
        <f>IF(Données[[#This Row],[VEFA / PROPRE]]="vefa",EDATE(Données[[#This Row],[Date Livraison initiale VEFA]],1),EDATE(Données[[#This Row],[Date réception entreprise prévue initialement]],1))</f>
        <v>46280</v>
      </c>
      <c r="AF112" s="24">
        <f>IF(Données[[#This Row],[VEFA / PROPRE]]="VEFA",EDATE(Données[[#This Row],[Date Livraison VEFA estimée avec retards constatés]],1),EDATE(Données[[#This Row],[Date réception entreprise recalée]],1))</f>
        <v>46310</v>
      </c>
      <c r="AG112" s="55"/>
      <c r="AH112" s="26">
        <f>IF((Données[[#This Row],[Date inauguration recalée]]-Données[[#This Row],[Date inauguration initiale]])/30&lt;0,0,(Données[[#This Row],[Date inauguration recalée]]-Données[[#This Row],[Date inauguration initiale]])/30)</f>
        <v>1</v>
      </c>
      <c r="AI112" s="26"/>
      <c r="AJ112" s="26">
        <f>IF(Données[[#This Row],[TYPE]]="Rehab","",Données[[#This Row],[Loyer mensuel]]*Données[[#This Row],[Retard Inauguration (m)]])</f>
        <v>0</v>
      </c>
      <c r="AN112"/>
      <c r="AR112"/>
      <c r="AS112"/>
      <c r="AT112"/>
      <c r="AV112"/>
      <c r="AW112"/>
      <c r="AY112"/>
      <c r="AZ112"/>
    </row>
    <row r="113" spans="1:52" x14ac:dyDescent="0.25">
      <c r="A113" s="3" t="s">
        <v>68</v>
      </c>
      <c r="B113" s="3" t="s">
        <v>36</v>
      </c>
      <c r="C113" s="3">
        <v>2024</v>
      </c>
      <c r="D113" s="3" t="s">
        <v>8</v>
      </c>
      <c r="E113" s="4">
        <f>Données[[#This Row],[LLS]]+Données[[#This Row],[LLTS]]+Données[[#This Row],[PLS]]+Données[[#This Row],[REHAB]]</f>
        <v>18</v>
      </c>
      <c r="F113" s="4">
        <f>Données[[#This Row],[LLS]]+Données[[#This Row],[LLTS]]+Données[[#This Row],[PLS]]</f>
        <v>18</v>
      </c>
      <c r="G113" s="5"/>
      <c r="H113" s="5"/>
      <c r="I113" s="5">
        <v>18</v>
      </c>
      <c r="J113" s="5"/>
      <c r="K113" s="7" t="s">
        <v>39</v>
      </c>
      <c r="L113" s="8"/>
      <c r="M113" s="58">
        <v>45703</v>
      </c>
      <c r="N113" s="10"/>
      <c r="O113" s="6">
        <f>IFERROR((DATEDIF(Données[[#This Row],[Arrêté LBU]],Données[[#This Row],[OS démarrage]],"d"))/30,0)</f>
        <v>1523.4333333333334</v>
      </c>
      <c r="P113" s="29">
        <v>18</v>
      </c>
      <c r="Q113" s="12">
        <f>DATEDIF(Données[[#This Row],[OS démarrage]],Données[[#This Row],[Date réception entreprise recalée]],"M")</f>
        <v>19</v>
      </c>
      <c r="R113" s="32"/>
      <c r="S113" s="14">
        <f>EDATE(Données[[#This Row],[OS démarrage]],Données[[#This Row],[Délai chantier initial]])</f>
        <v>46249</v>
      </c>
      <c r="T113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46280</v>
      </c>
      <c r="U113" s="16">
        <f>EDATE(Données[[#This Row],[Date réception entreprise recalée]],12)</f>
        <v>46645</v>
      </c>
      <c r="V113" s="17">
        <f>(Données[[#This Row],[Date réception entreprise recalée]]-Données[[#This Row],[Date réception entreprise prévue initialement]])/30</f>
        <v>1.0333333333333334</v>
      </c>
      <c r="W113" s="44"/>
      <c r="X113" s="19"/>
      <c r="Y113" s="19"/>
      <c r="Z113" s="19"/>
      <c r="AA113" s="20">
        <f>IF(Données[[#This Row],[TYPE]]="Rehab",0,IFERROR((Données[[#This Row],[Date Livraison VEFA estimée avec retards constatés]]-Données[[#This Row],[Date livraison contractuelle y/c avenant]])/30,"-"))</f>
        <v>0</v>
      </c>
      <c r="AB113" s="21">
        <f>IF(Données[[#This Row],[TYPE]]="Rehab",0,Données[[#This Row],[Date Livraison VEFA estimée avec retards constatés]]-Données[[#This Row],[Date livraison contractuelle y/c avenant]])</f>
        <v>0</v>
      </c>
      <c r="AC113" s="22"/>
      <c r="AD113" s="23" t="str">
        <f>IF(AND(Données[[#This Row],[TYPE]]&lt;&gt;"Rehab",Données[[#This Row],[Achèvement fondations]]&lt;&gt;""),EDATE(Données[[#This Row],[Achèvement fondations]],24),"")</f>
        <v/>
      </c>
      <c r="AE113" s="30">
        <f>IF(Données[[#This Row],[VEFA / PROPRE]]="vefa",EDATE(Données[[#This Row],[Date Livraison initiale VEFA]],1),EDATE(Données[[#This Row],[Date réception entreprise prévue initialement]],1))</f>
        <v>46280</v>
      </c>
      <c r="AF113" s="24">
        <f>IF(Données[[#This Row],[VEFA / PROPRE]]="VEFA",EDATE(Données[[#This Row],[Date Livraison VEFA estimée avec retards constatés]],1),EDATE(Données[[#This Row],[Date réception entreprise recalée]],1))</f>
        <v>46310</v>
      </c>
      <c r="AG113" s="55"/>
      <c r="AH113" s="26">
        <f>IF((Données[[#This Row],[Date inauguration recalée]]-Données[[#This Row],[Date inauguration initiale]])/30&lt;0,0,(Données[[#This Row],[Date inauguration recalée]]-Données[[#This Row],[Date inauguration initiale]])/30)</f>
        <v>1</v>
      </c>
      <c r="AI113" s="26"/>
      <c r="AJ113" s="26">
        <f>IF(Données[[#This Row],[TYPE]]="Rehab","",Données[[#This Row],[Loyer mensuel]]*Données[[#This Row],[Retard Inauguration (m)]])</f>
        <v>0</v>
      </c>
      <c r="AN113"/>
      <c r="AR113"/>
      <c r="AS113"/>
      <c r="AT113"/>
      <c r="AV113"/>
      <c r="AW113"/>
      <c r="AY113"/>
      <c r="AZ113"/>
    </row>
    <row r="114" spans="1:52" x14ac:dyDescent="0.25">
      <c r="A114" s="3" t="s">
        <v>72</v>
      </c>
      <c r="B114" s="3" t="s">
        <v>38</v>
      </c>
      <c r="C114" s="3">
        <v>2024</v>
      </c>
      <c r="D114" s="3" t="s">
        <v>8</v>
      </c>
      <c r="E114" s="4">
        <f>Données[[#This Row],[LLS]]+Données[[#This Row],[LLTS]]+Données[[#This Row],[PLS]]+Données[[#This Row],[REHAB]]</f>
        <v>32</v>
      </c>
      <c r="F114" s="4">
        <f>Données[[#This Row],[LLS]]+Données[[#This Row],[LLTS]]+Données[[#This Row],[PLS]]</f>
        <v>32</v>
      </c>
      <c r="G114" s="5"/>
      <c r="H114" s="5"/>
      <c r="I114" s="5">
        <v>32</v>
      </c>
      <c r="J114" s="5"/>
      <c r="K114" s="7" t="s">
        <v>37</v>
      </c>
      <c r="L114" s="8"/>
      <c r="M114" s="58">
        <v>45703</v>
      </c>
      <c r="N114" s="10"/>
      <c r="O114" s="6">
        <f>IFERROR((DATEDIF(Données[[#This Row],[Arrêté LBU]],Données[[#This Row],[OS démarrage]],"d"))/30,0)</f>
        <v>1523.4333333333334</v>
      </c>
      <c r="P114" s="29">
        <v>24</v>
      </c>
      <c r="Q114" s="12">
        <f>DATEDIF(Données[[#This Row],[OS démarrage]],Données[[#This Row],[Date réception entreprise recalée]],"M")</f>
        <v>25</v>
      </c>
      <c r="R114" s="13"/>
      <c r="S114" s="14">
        <f>EDATE(Données[[#This Row],[OS démarrage]],Données[[#This Row],[Délai chantier initial]])</f>
        <v>46433</v>
      </c>
      <c r="T114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46461</v>
      </c>
      <c r="U114" s="16">
        <f>EDATE(Données[[#This Row],[Date réception entreprise recalée]],12)</f>
        <v>46827</v>
      </c>
      <c r="V114" s="17">
        <f>(Données[[#This Row],[Date réception entreprise recalée]]-Données[[#This Row],[Date réception entreprise prévue initialement]])/30</f>
        <v>0.93333333333333335</v>
      </c>
      <c r="W114" s="44">
        <f>Données[[#This Row],[Date réception entreprise recalée]]</f>
        <v>46461</v>
      </c>
      <c r="X114" s="19">
        <f>Données[[#This Row],[Date achèvement VEFA]]</f>
        <v>46461</v>
      </c>
      <c r="Y114" s="19">
        <f>Données[[#This Row],[Date Livraison initiale VEFA]]</f>
        <v>46461</v>
      </c>
      <c r="Z114" s="19">
        <f>Données[[#This Row],[Date achèvement VEFA]]</f>
        <v>46461</v>
      </c>
      <c r="AA114" s="20">
        <f>IF(Données[[#This Row],[TYPE]]="Rehab",0,IFERROR((Données[[#This Row],[Date Livraison VEFA estimée avec retards constatés]]-Données[[#This Row],[Date livraison contractuelle y/c avenant]])/30,"-"))</f>
        <v>0</v>
      </c>
      <c r="AB114" s="21">
        <f>IF(Données[[#This Row],[TYPE]]="Rehab",0,Données[[#This Row],[Date Livraison VEFA estimée avec retards constatés]]-Données[[#This Row],[Date livraison contractuelle y/c avenant]])</f>
        <v>0</v>
      </c>
      <c r="AC114" s="22"/>
      <c r="AD114" s="23" t="str">
        <f>IF(AND(Données[[#This Row],[TYPE]]&lt;&gt;"Rehab",Données[[#This Row],[Achèvement fondations]]&lt;&gt;""),EDATE(Données[[#This Row],[Achèvement fondations]],24),"")</f>
        <v/>
      </c>
      <c r="AE114" s="30">
        <f>IF(Données[[#This Row],[VEFA / PROPRE]]="vefa",EDATE(Données[[#This Row],[Date Livraison initiale VEFA]],1),EDATE(Données[[#This Row],[Date réception entreprise prévue initialement]],1))</f>
        <v>46492</v>
      </c>
      <c r="AF114" s="24">
        <f>IF(Données[[#This Row],[VEFA / PROPRE]]="VEFA",EDATE(Données[[#This Row],[Date Livraison VEFA estimée avec retards constatés]],1),EDATE(Données[[#This Row],[Date réception entreprise recalée]],1))</f>
        <v>46492</v>
      </c>
      <c r="AG114" s="55"/>
      <c r="AH114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14" s="26"/>
      <c r="AJ114" s="26">
        <f>IF(Données[[#This Row],[TYPE]]="Rehab","",Données[[#This Row],[Loyer mensuel]]*Données[[#This Row],[Retard Inauguration (m)]])</f>
        <v>0</v>
      </c>
      <c r="AN114"/>
      <c r="AR114"/>
      <c r="AS114"/>
      <c r="AT114"/>
      <c r="AV114"/>
      <c r="AW114"/>
      <c r="AY114"/>
      <c r="AZ114"/>
    </row>
    <row r="115" spans="1:52" x14ac:dyDescent="0.25">
      <c r="A115" s="63" t="s">
        <v>67</v>
      </c>
      <c r="B115" s="3" t="s">
        <v>36</v>
      </c>
      <c r="C115" s="3">
        <v>2024</v>
      </c>
      <c r="D115" s="3" t="s">
        <v>8</v>
      </c>
      <c r="E115" s="4">
        <f>Données[[#This Row],[LLS]]+Données[[#This Row],[LLTS]]+Données[[#This Row],[PLS]]+Données[[#This Row],[REHAB]]</f>
        <v>6</v>
      </c>
      <c r="F115" s="4">
        <f>Données[[#This Row],[LLS]]+Données[[#This Row],[LLTS]]+Données[[#This Row],[PLS]]</f>
        <v>6</v>
      </c>
      <c r="G115" s="4"/>
      <c r="H115" s="4"/>
      <c r="I115" s="4">
        <v>6</v>
      </c>
      <c r="J115" s="4"/>
      <c r="K115" s="7" t="s">
        <v>37</v>
      </c>
      <c r="L115" s="8"/>
      <c r="M115" s="58">
        <v>45731</v>
      </c>
      <c r="N115" s="10"/>
      <c r="O115" s="6">
        <f>IFERROR((DATEDIF(Données[[#This Row],[Arrêté LBU]],Données[[#This Row],[OS démarrage]],"d"))/30,0)</f>
        <v>1524.3666666666666</v>
      </c>
      <c r="P115" s="29">
        <v>24</v>
      </c>
      <c r="Q115" s="61">
        <f>DATEDIF(Données[[#This Row],[OS démarrage]],Données[[#This Row],[Date réception entreprise recalée]],"M")</f>
        <v>25</v>
      </c>
      <c r="R115" s="36"/>
      <c r="S115" s="14">
        <f>EDATE(Données[[#This Row],[OS démarrage]],Données[[#This Row],[Délai chantier initial]])</f>
        <v>46461</v>
      </c>
      <c r="T115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46492</v>
      </c>
      <c r="U115" s="16">
        <f>EDATE(Données[[#This Row],[Date réception entreprise recalée]],12)</f>
        <v>46858</v>
      </c>
      <c r="V115" s="17">
        <f>(Données[[#This Row],[Date réception entreprise recalée]]-Données[[#This Row],[Date réception entreprise prévue initialement]])/30</f>
        <v>1.0333333333333334</v>
      </c>
      <c r="W115" s="44">
        <f>Données[[#This Row],[Date réception entreprise recalée]]</f>
        <v>46492</v>
      </c>
      <c r="X115" s="19">
        <f>Données[[#This Row],[Date achèvement VEFA]]</f>
        <v>46492</v>
      </c>
      <c r="Y115" s="19">
        <f>Données[[#This Row],[Date Livraison initiale VEFA]]</f>
        <v>46492</v>
      </c>
      <c r="Z115" s="19">
        <f>Données[[#This Row],[Date livraison contractuelle y/c avenant]]</f>
        <v>46492</v>
      </c>
      <c r="AA115" s="20">
        <f>IF(Données[[#This Row],[TYPE]]="Rehab",0,IFERROR((Données[[#This Row],[Date Livraison VEFA estimée avec retards constatés]]-Données[[#This Row],[Date livraison contractuelle y/c avenant]])/30,"-"))</f>
        <v>0</v>
      </c>
      <c r="AB115" s="21">
        <f>IF(Données[[#This Row],[TYPE]]="Rehab",0,Données[[#This Row],[Date Livraison VEFA estimée avec retards constatés]]-Données[[#This Row],[Date livraison contractuelle y/c avenant]])</f>
        <v>0</v>
      </c>
      <c r="AC115" s="22"/>
      <c r="AD115" s="23" t="str">
        <f>IF(AND(Données[[#This Row],[TYPE]]&lt;&gt;"Rehab",Données[[#This Row],[Achèvement fondations]]&lt;&gt;""),EDATE(Données[[#This Row],[Achèvement fondations]],24),"")</f>
        <v/>
      </c>
      <c r="AE115" s="30">
        <f>IF(Données[[#This Row],[VEFA / PROPRE]]="vefa",EDATE(Données[[#This Row],[Date Livraison initiale VEFA]],1),EDATE(Données[[#This Row],[Date réception entreprise prévue initialement]],1))</f>
        <v>46522</v>
      </c>
      <c r="AF115" s="24">
        <f>IF(Données[[#This Row],[VEFA / PROPRE]]="VEFA",EDATE(Données[[#This Row],[Date Livraison VEFA estimée avec retards constatés]],1),EDATE(Données[[#This Row],[Date réception entreprise recalée]],1))</f>
        <v>46522</v>
      </c>
      <c r="AG115" s="55"/>
      <c r="AH115" s="59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15" s="26"/>
      <c r="AJ115" s="26">
        <f>IF(Données[[#This Row],[TYPE]]="Rehab","",Données[[#This Row],[Loyer mensuel]]*Données[[#This Row],[Retard Inauguration (m)]])</f>
        <v>0</v>
      </c>
      <c r="AN115"/>
      <c r="AR115"/>
      <c r="AS115"/>
      <c r="AT115"/>
      <c r="AV115"/>
      <c r="AW115"/>
      <c r="AY115"/>
      <c r="AZ115"/>
    </row>
    <row r="116" spans="1:52" x14ac:dyDescent="0.25">
      <c r="A116" s="96" t="s">
        <v>84</v>
      </c>
      <c r="B116" s="3" t="s">
        <v>38</v>
      </c>
      <c r="C116" s="3">
        <v>2024</v>
      </c>
      <c r="D116" s="3" t="s">
        <v>8</v>
      </c>
      <c r="E116" s="62">
        <f>Données[[#This Row],[LLS]]+Données[[#This Row],[LLTS]]+Données[[#This Row],[PLS]]+Données[[#This Row],[REHAB]]</f>
        <v>98</v>
      </c>
      <c r="F116" s="4">
        <f>Données[[#This Row],[LLS]]+Données[[#This Row],[LLTS]]+Données[[#This Row],[PLS]]</f>
        <v>98</v>
      </c>
      <c r="G116" s="4"/>
      <c r="H116" s="4"/>
      <c r="I116" s="4">
        <f>38+60</f>
        <v>98</v>
      </c>
      <c r="J116" s="4"/>
      <c r="K116" s="7" t="s">
        <v>37</v>
      </c>
      <c r="L116" s="8"/>
      <c r="M116" s="58">
        <v>45731</v>
      </c>
      <c r="N116" s="10"/>
      <c r="O116" s="6">
        <f>IFERROR((DATEDIF(Données[[#This Row],[Arrêté LBU]],Données[[#This Row],[OS démarrage]],"d"))/30,0)</f>
        <v>1524.3666666666666</v>
      </c>
      <c r="P116" s="29">
        <v>24</v>
      </c>
      <c r="Q116" s="61">
        <f>DATEDIF(Données[[#This Row],[OS démarrage]],Données[[#This Row],[Date réception entreprise recalée]],"M")</f>
        <v>25</v>
      </c>
      <c r="R116" s="36"/>
      <c r="S116" s="14">
        <f>EDATE(Données[[#This Row],[OS démarrage]],Données[[#This Row],[Délai chantier initial]])</f>
        <v>46461</v>
      </c>
      <c r="T116" s="24">
        <f>DATE(YEAR(Données[[#This Row],[Date réception entreprise prévue initialement]]),MONTH(Données[[#This Row],[Date réception entreprise prévue initialement]])+1,DAY(Données[[#This Row],[Date réception entreprise prévue initialement]]))</f>
        <v>46492</v>
      </c>
      <c r="U116" s="16">
        <f>EDATE(Données[[#This Row],[Date réception entreprise recalée]],12)</f>
        <v>46858</v>
      </c>
      <c r="V116" s="17">
        <f>(Données[[#This Row],[Date réception entreprise recalée]]-Données[[#This Row],[Date réception entreprise prévue initialement]])/30</f>
        <v>1.0333333333333334</v>
      </c>
      <c r="W116" s="44">
        <f>Données[[#This Row],[Date réception entreprise recalée]]</f>
        <v>46492</v>
      </c>
      <c r="X116" s="19">
        <f>Données[[#This Row],[Date achèvement VEFA]]</f>
        <v>46492</v>
      </c>
      <c r="Y116" s="19">
        <f>Données[[#This Row],[Date Livraison initiale VEFA]]</f>
        <v>46492</v>
      </c>
      <c r="Z116" s="19">
        <f>Données[[#This Row],[Date livraison contractuelle y/c avenant]]</f>
        <v>46492</v>
      </c>
      <c r="AA116" s="20">
        <f>IF(Données[[#This Row],[TYPE]]="Rehab",0,IFERROR((Données[[#This Row],[Date Livraison VEFA estimée avec retards constatés]]-Données[[#This Row],[Date livraison contractuelle y/c avenant]])/30,"-"))</f>
        <v>0</v>
      </c>
      <c r="AB116" s="21">
        <f>IF(Données[[#This Row],[TYPE]]="Rehab",0,Données[[#This Row],[Date Livraison VEFA estimée avec retards constatés]]-Données[[#This Row],[Date livraison contractuelle y/c avenant]])</f>
        <v>0</v>
      </c>
      <c r="AC116" s="22"/>
      <c r="AD116" s="23" t="str">
        <f>IF(AND(Données[[#This Row],[TYPE]]&lt;&gt;"Rehab",Données[[#This Row],[Achèvement fondations]]&lt;&gt;""),EDATE(Données[[#This Row],[Achèvement fondations]],24),"")</f>
        <v/>
      </c>
      <c r="AE116" s="30">
        <f>IF(Données[[#This Row],[VEFA / PROPRE]]="vefa",EDATE(Données[[#This Row],[Date Livraison initiale VEFA]],1),EDATE(Données[[#This Row],[Date réception entreprise prévue initialement]],1))</f>
        <v>46522</v>
      </c>
      <c r="AF116" s="24">
        <f>IF(Données[[#This Row],[VEFA / PROPRE]]="VEFA",EDATE(Données[[#This Row],[Date Livraison VEFA estimée avec retards constatés]],1),EDATE(Données[[#This Row],[Date réception entreprise recalée]],1))</f>
        <v>46522</v>
      </c>
      <c r="AG116" s="55"/>
      <c r="AH116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16" s="26"/>
      <c r="AJ116" s="26">
        <f>IF(Données[[#This Row],[TYPE]]="Rehab","",Données[[#This Row],[Loyer mensuel]]*Données[[#This Row],[Retard Inauguration (m)]])</f>
        <v>0</v>
      </c>
      <c r="AN116"/>
      <c r="AR116"/>
      <c r="AS116"/>
      <c r="AT116"/>
      <c r="AV116"/>
      <c r="AW116"/>
      <c r="AY116"/>
      <c r="AZ116"/>
    </row>
    <row r="117" spans="1:52" x14ac:dyDescent="0.25">
      <c r="A117" s="96" t="s">
        <v>72</v>
      </c>
      <c r="B117" s="3" t="s">
        <v>38</v>
      </c>
      <c r="C117" s="3"/>
      <c r="D117" s="3" t="s">
        <v>8</v>
      </c>
      <c r="E117" s="4">
        <f>Données[[#This Row],[LLS]]+Données[[#This Row],[LLTS]]+Données[[#This Row],[PLS]]+Données[[#This Row],[REHAB]]</f>
        <v>100</v>
      </c>
      <c r="F117" s="4">
        <f>Données[[#This Row],[LLS]]+Données[[#This Row],[LLTS]]+Données[[#This Row],[PLS]]</f>
        <v>100</v>
      </c>
      <c r="G117" s="5"/>
      <c r="H117" s="5"/>
      <c r="I117" s="5">
        <v>100</v>
      </c>
      <c r="J117" s="5"/>
      <c r="K117" s="7" t="s">
        <v>37</v>
      </c>
      <c r="L117" s="8">
        <v>43102</v>
      </c>
      <c r="M117" s="9">
        <v>43168</v>
      </c>
      <c r="N117" s="10">
        <v>2018</v>
      </c>
      <c r="O117" s="6">
        <f>IFERROR((DATEDIF(Données[[#This Row],[Arrêté LBU]],Données[[#This Row],[OS démarrage]],"d"))/30,0)</f>
        <v>2.2000000000000002</v>
      </c>
      <c r="P117" s="29">
        <v>17</v>
      </c>
      <c r="Q117" s="12">
        <f>DATEDIF(Données[[#This Row],[OS démarrage]],Données[[#This Row],[Date réception entreprise recalée]],"M")</f>
        <v>17</v>
      </c>
      <c r="R117" s="32">
        <v>43348</v>
      </c>
      <c r="S117" s="14">
        <f>EDATE(Données[[#This Row],[OS démarrage]],Données[[#This Row],[Délai chantier initial]])</f>
        <v>43686</v>
      </c>
      <c r="T117" s="24">
        <v>43693</v>
      </c>
      <c r="U117" s="16">
        <f>EDATE(Données[[#This Row],[Date réception entreprise recalée]],12)</f>
        <v>44059</v>
      </c>
      <c r="V117" s="17">
        <f>(Données[[#This Row],[Date réception entreprise recalée]]-Données[[#This Row],[Date réception entreprise prévue initialement]])/30</f>
        <v>0.23333333333333334</v>
      </c>
      <c r="W117" s="18">
        <v>43693</v>
      </c>
      <c r="X117" s="19">
        <v>43693</v>
      </c>
      <c r="Y117" s="19">
        <v>43693</v>
      </c>
      <c r="Z117" s="19">
        <v>43693</v>
      </c>
      <c r="AA117" s="20">
        <f>IF(Données[[#This Row],[TYPE]]="Rehab",0,IFERROR((Données[[#This Row],[Date Livraison VEFA estimée avec retards constatés]]-Données[[#This Row],[Date livraison contractuelle y/c avenant]])/30,"-"))</f>
        <v>0</v>
      </c>
      <c r="AB117" s="21">
        <f>IF(Données[[#This Row],[TYPE]]="Rehab",0,Données[[#This Row],[Date Livraison VEFA estimée avec retards constatés]]-Données[[#This Row],[Date livraison contractuelle y/c avenant]])</f>
        <v>0</v>
      </c>
      <c r="AC117" s="22"/>
      <c r="AD117" s="23">
        <f>IF(AND(Données[[#This Row],[TYPE]]&lt;&gt;"Rehab",Données[[#This Row],[Achèvement fondations]]&lt;&gt;""),EDATE(Données[[#This Row],[Achèvement fondations]],24),"")</f>
        <v>44079</v>
      </c>
      <c r="AE117" s="30">
        <f>IF(Données[[#This Row],[VEFA / PROPRE]]="vefa",EDATE(Données[[#This Row],[Date Livraison initiale VEFA]],1),EDATE(Données[[#This Row],[Date réception entreprise prévue initialement]],1))</f>
        <v>43724</v>
      </c>
      <c r="AF117" s="24">
        <v>43697</v>
      </c>
      <c r="AG117" s="25">
        <v>2019</v>
      </c>
      <c r="AH117" s="26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17" s="26"/>
      <c r="AJ117" s="26">
        <f>IF(Données[[#This Row],[TYPE]]="Rehab","",Données[[#This Row],[Loyer mensuel]]*Données[[#This Row],[Retard Inauguration (m)]])</f>
        <v>0</v>
      </c>
      <c r="AN117"/>
      <c r="AR117"/>
      <c r="AS117"/>
      <c r="AT117"/>
      <c r="AV117"/>
      <c r="AW117"/>
      <c r="AY117"/>
      <c r="AZ117"/>
    </row>
    <row r="118" spans="1:52" x14ac:dyDescent="0.25">
      <c r="A118" s="31" t="s">
        <v>69</v>
      </c>
      <c r="B118" s="3"/>
      <c r="C118" s="3"/>
      <c r="D118" s="3"/>
      <c r="E118" s="4">
        <f>Données[[#This Row],[LLS]]+Données[[#This Row],[LLTS]]+Données[[#This Row],[PLS]]+Données[[#This Row],[REHAB]]</f>
        <v>0</v>
      </c>
      <c r="F118" s="4">
        <f>Données[[#This Row],[LLS]]+Données[[#This Row],[LLTS]]+Données[[#This Row],[PLS]]</f>
        <v>0</v>
      </c>
      <c r="G118" s="12"/>
      <c r="H118" s="4"/>
      <c r="I118" s="100"/>
      <c r="J118" s="4"/>
      <c r="K118" s="7"/>
      <c r="L118" s="8"/>
      <c r="M118" s="58"/>
      <c r="N118" s="101"/>
      <c r="O118" s="6">
        <f>IFERROR((DATEDIF(Données[[#This Row],[Arrêté LBU]],Données[[#This Row],[OS démarrage]],"d"))/30,0)</f>
        <v>0</v>
      </c>
      <c r="P118" s="29"/>
      <c r="Q118" s="4">
        <f>DATEDIF(Données[[#This Row],[OS démarrage]],Données[[#This Row],[Date réception entreprise recalée]],"M")</f>
        <v>0</v>
      </c>
      <c r="R118" s="102"/>
      <c r="S118" s="103">
        <f>EDATE(Données[[#This Row],[OS démarrage]],Données[[#This Row],[Délai chantier initial]])</f>
        <v>0</v>
      </c>
      <c r="T118" s="24"/>
      <c r="U118" s="16">
        <f>EDATE(Données[[#This Row],[Date réception entreprise recalée]],12)</f>
        <v>366</v>
      </c>
      <c r="V118" s="104">
        <f>(Données[[#This Row],[Date réception entreprise recalée]]-Données[[#This Row],[Date réception entreprise prévue initialement]])/30</f>
        <v>0</v>
      </c>
      <c r="W118" s="44"/>
      <c r="X118" s="19"/>
      <c r="Y118" s="19"/>
      <c r="Z118" s="19"/>
      <c r="AA118" s="20">
        <f>IF(Données[[#This Row],[TYPE]]="Rehab",0,IFERROR((Données[[#This Row],[Date Livraison VEFA estimée avec retards constatés]]-Données[[#This Row],[Date livraison contractuelle y/c avenant]])/30,"-"))</f>
        <v>0</v>
      </c>
      <c r="AB118" s="21">
        <f>IF(Données[[#This Row],[TYPE]]="Rehab",0,Données[[#This Row],[Date Livraison VEFA estimée avec retards constatés]]-Données[[#This Row],[Date livraison contractuelle y/c avenant]])</f>
        <v>0</v>
      </c>
      <c r="AC118" s="105"/>
      <c r="AD118" s="106" t="str">
        <f>IF(AND(Données[[#This Row],[TYPE]]&lt;&gt;"Rehab",Données[[#This Row],[Achèvement fondations]]&lt;&gt;""),EDATE(Données[[#This Row],[Achèvement fondations]],24),"")</f>
        <v/>
      </c>
      <c r="AE118" s="107">
        <f>IF(Données[[#This Row],[VEFA / PROPRE]]="vefa",EDATE(Données[[#This Row],[Date Livraison initiale VEFA]],1),EDATE(Données[[#This Row],[Date réception entreprise prévue initialement]],1))</f>
        <v>31</v>
      </c>
      <c r="AF118" s="24"/>
      <c r="AG118" s="108"/>
      <c r="AH118" s="59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18" s="26"/>
      <c r="AJ118" s="26">
        <f>IF(Données[[#This Row],[TYPE]]="Rehab","",Données[[#This Row],[Loyer mensuel]]*Données[[#This Row],[Retard Inauguration (m)]])</f>
        <v>0</v>
      </c>
      <c r="AN118"/>
      <c r="AR118"/>
      <c r="AS118"/>
      <c r="AT118"/>
      <c r="AV118"/>
      <c r="AW118"/>
      <c r="AY118"/>
      <c r="AZ118"/>
    </row>
    <row r="119" spans="1:52" x14ac:dyDescent="0.25">
      <c r="A119" s="96" t="s">
        <v>74</v>
      </c>
      <c r="B119" s="3"/>
      <c r="C119" s="3"/>
      <c r="D119" s="3"/>
      <c r="E119" s="4">
        <f>Données[[#This Row],[LLS]]+Données[[#This Row],[LLTS]]+Données[[#This Row],[PLS]]+Données[[#This Row],[REHAB]]</f>
        <v>0</v>
      </c>
      <c r="F119" s="4">
        <f>Données[[#This Row],[LLS]]+Données[[#This Row],[LLTS]]+Données[[#This Row],[PLS]]</f>
        <v>0</v>
      </c>
      <c r="G119" s="12"/>
      <c r="H119" s="4"/>
      <c r="I119" s="100"/>
      <c r="J119" s="4"/>
      <c r="K119" s="7"/>
      <c r="L119" s="8"/>
      <c r="M119" s="58"/>
      <c r="N119" s="101"/>
      <c r="O119" s="6">
        <f>IFERROR((DATEDIF(Données[[#This Row],[Arrêté LBU]],Données[[#This Row],[OS démarrage]],"d"))/30,0)</f>
        <v>0</v>
      </c>
      <c r="P119" s="29"/>
      <c r="Q119" s="4">
        <f>DATEDIF(Données[[#This Row],[OS démarrage]],Données[[#This Row],[Date réception entreprise recalée]],"M")</f>
        <v>0</v>
      </c>
      <c r="R119" s="102"/>
      <c r="S119" s="103">
        <f>EDATE(Données[[#This Row],[OS démarrage]],Données[[#This Row],[Délai chantier initial]])</f>
        <v>0</v>
      </c>
      <c r="T119" s="24"/>
      <c r="U119" s="16">
        <f>EDATE(Données[[#This Row],[Date réception entreprise recalée]],12)</f>
        <v>366</v>
      </c>
      <c r="V119" s="104">
        <f>(Données[[#This Row],[Date réception entreprise recalée]]-Données[[#This Row],[Date réception entreprise prévue initialement]])/30</f>
        <v>0</v>
      </c>
      <c r="W119" s="44"/>
      <c r="X119" s="19"/>
      <c r="Y119" s="19"/>
      <c r="Z119" s="19"/>
      <c r="AA119" s="20">
        <f>IF(Données[[#This Row],[TYPE]]="Rehab",0,IFERROR((Données[[#This Row],[Date Livraison VEFA estimée avec retards constatés]]-Données[[#This Row],[Date livraison contractuelle y/c avenant]])/30,"-"))</f>
        <v>0</v>
      </c>
      <c r="AB119" s="21">
        <f>IF(Données[[#This Row],[TYPE]]="Rehab",0,Données[[#This Row],[Date Livraison VEFA estimée avec retards constatés]]-Données[[#This Row],[Date livraison contractuelle y/c avenant]])</f>
        <v>0</v>
      </c>
      <c r="AC119" s="105"/>
      <c r="AD119" s="106" t="str">
        <f>IF(AND(Données[[#This Row],[TYPE]]&lt;&gt;"Rehab",Données[[#This Row],[Achèvement fondations]]&lt;&gt;""),EDATE(Données[[#This Row],[Achèvement fondations]],24),"")</f>
        <v/>
      </c>
      <c r="AE119" s="107">
        <f>IF(Données[[#This Row],[VEFA / PROPRE]]="vefa",EDATE(Données[[#This Row],[Date Livraison initiale VEFA]],1),EDATE(Données[[#This Row],[Date réception entreprise prévue initialement]],1))</f>
        <v>31</v>
      </c>
      <c r="AF119" s="24"/>
      <c r="AG119" s="108"/>
      <c r="AH119" s="59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19" s="26"/>
      <c r="AJ119" s="26">
        <f>IF(Données[[#This Row],[TYPE]]="Rehab","",Données[[#This Row],[Loyer mensuel]]*Données[[#This Row],[Retard Inauguration (m)]])</f>
        <v>0</v>
      </c>
      <c r="AR119"/>
      <c r="AS119"/>
      <c r="AT119"/>
      <c r="AV119"/>
      <c r="AW119"/>
      <c r="AY119"/>
      <c r="AZ119"/>
    </row>
    <row r="120" spans="1:52" x14ac:dyDescent="0.25">
      <c r="A120" s="96" t="s">
        <v>67</v>
      </c>
      <c r="B120" s="3"/>
      <c r="C120" s="3"/>
      <c r="D120" s="3"/>
      <c r="E120" s="4">
        <f>Données[[#This Row],[LLS]]+Données[[#This Row],[LLTS]]+Données[[#This Row],[PLS]]+Données[[#This Row],[REHAB]]</f>
        <v>0</v>
      </c>
      <c r="F120" s="4">
        <f>Données[[#This Row],[LLS]]+Données[[#This Row],[LLTS]]+Données[[#This Row],[PLS]]</f>
        <v>0</v>
      </c>
      <c r="G120" s="12"/>
      <c r="H120" s="4"/>
      <c r="I120" s="100"/>
      <c r="J120" s="4"/>
      <c r="K120" s="7"/>
      <c r="L120" s="8"/>
      <c r="M120" s="58"/>
      <c r="N120" s="101"/>
      <c r="O120" s="6">
        <f>IFERROR((DATEDIF(Données[[#This Row],[Arrêté LBU]],Données[[#This Row],[OS démarrage]],"d"))/30,0)</f>
        <v>0</v>
      </c>
      <c r="P120" s="29"/>
      <c r="Q120" s="4">
        <f>DATEDIF(Données[[#This Row],[OS démarrage]],Données[[#This Row],[Date réception entreprise recalée]],"M")</f>
        <v>0</v>
      </c>
      <c r="R120" s="102"/>
      <c r="S120" s="103">
        <f>EDATE(Données[[#This Row],[OS démarrage]],Données[[#This Row],[Délai chantier initial]])</f>
        <v>0</v>
      </c>
      <c r="T120" s="24"/>
      <c r="U120" s="16">
        <f>EDATE(Données[[#This Row],[Date réception entreprise recalée]],12)</f>
        <v>366</v>
      </c>
      <c r="V120" s="104">
        <f>(Données[[#This Row],[Date réception entreprise recalée]]-Données[[#This Row],[Date réception entreprise prévue initialement]])/30</f>
        <v>0</v>
      </c>
      <c r="W120" s="44"/>
      <c r="X120" s="19"/>
      <c r="Y120" s="19"/>
      <c r="Z120" s="19"/>
      <c r="AA120" s="20">
        <f>IF(Données[[#This Row],[TYPE]]="Rehab",0,IFERROR((Données[[#This Row],[Date Livraison VEFA estimée avec retards constatés]]-Données[[#This Row],[Date livraison contractuelle y/c avenant]])/30,"-"))</f>
        <v>0</v>
      </c>
      <c r="AB120" s="21">
        <f>IF(Données[[#This Row],[TYPE]]="Rehab",0,Données[[#This Row],[Date Livraison VEFA estimée avec retards constatés]]-Données[[#This Row],[Date livraison contractuelle y/c avenant]])</f>
        <v>0</v>
      </c>
      <c r="AC120" s="105"/>
      <c r="AD120" s="106" t="str">
        <f>IF(AND(Données[[#This Row],[TYPE]]&lt;&gt;"Rehab",Données[[#This Row],[Achèvement fondations]]&lt;&gt;""),EDATE(Données[[#This Row],[Achèvement fondations]],24),"")</f>
        <v/>
      </c>
      <c r="AE120" s="107">
        <f>IF(Données[[#This Row],[VEFA / PROPRE]]="vefa",EDATE(Données[[#This Row],[Date Livraison initiale VEFA]],1),EDATE(Données[[#This Row],[Date réception entreprise prévue initialement]],1))</f>
        <v>31</v>
      </c>
      <c r="AF120" s="24"/>
      <c r="AG120" s="108"/>
      <c r="AH120" s="59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20" s="26"/>
      <c r="AJ120" s="26">
        <f>IF(Données[[#This Row],[TYPE]]="Rehab","",Données[[#This Row],[Loyer mensuel]]*Données[[#This Row],[Retard Inauguration (m)]])</f>
        <v>0</v>
      </c>
      <c r="AK120" s="89" t="e">
        <f>IF(ISBLANK(#REF!),"",EOMONTH(#REF!,1))</f>
        <v>#REF!</v>
      </c>
      <c r="AR120"/>
      <c r="AS120"/>
      <c r="AT120"/>
      <c r="AV120"/>
      <c r="AW120"/>
      <c r="AY120"/>
      <c r="AZ120"/>
    </row>
    <row r="121" spans="1:52" x14ac:dyDescent="0.25">
      <c r="A121" s="96" t="s">
        <v>71</v>
      </c>
      <c r="B121" s="3"/>
      <c r="C121" s="3"/>
      <c r="D121" s="3"/>
      <c r="E121" s="4">
        <f>Données[[#This Row],[LLS]]+Données[[#This Row],[LLTS]]+Données[[#This Row],[PLS]]+Données[[#This Row],[REHAB]]</f>
        <v>0</v>
      </c>
      <c r="F121" s="4">
        <f>Données[[#This Row],[LLS]]+Données[[#This Row],[LLTS]]+Données[[#This Row],[PLS]]</f>
        <v>0</v>
      </c>
      <c r="G121" s="12"/>
      <c r="H121" s="4"/>
      <c r="I121" s="100"/>
      <c r="J121" s="4"/>
      <c r="K121" s="7"/>
      <c r="L121" s="8"/>
      <c r="M121" s="58"/>
      <c r="N121" s="101"/>
      <c r="O121" s="6">
        <f>IFERROR((DATEDIF(Données[[#This Row],[Arrêté LBU]],Données[[#This Row],[OS démarrage]],"d"))/30,0)</f>
        <v>0</v>
      </c>
      <c r="P121" s="29"/>
      <c r="Q121" s="4">
        <f>DATEDIF(Données[[#This Row],[OS démarrage]],Données[[#This Row],[Date réception entreprise recalée]],"M")</f>
        <v>0</v>
      </c>
      <c r="R121" s="102"/>
      <c r="S121" s="103">
        <f>EDATE(Données[[#This Row],[OS démarrage]],Données[[#This Row],[Délai chantier initial]])</f>
        <v>0</v>
      </c>
      <c r="T121" s="24"/>
      <c r="U121" s="16">
        <f>EDATE(Données[[#This Row],[Date réception entreprise recalée]],12)</f>
        <v>366</v>
      </c>
      <c r="V121" s="104">
        <f>(Données[[#This Row],[Date réception entreprise recalée]]-Données[[#This Row],[Date réception entreprise prévue initialement]])/30</f>
        <v>0</v>
      </c>
      <c r="W121" s="44"/>
      <c r="X121" s="19"/>
      <c r="Y121" s="19"/>
      <c r="Z121" s="19"/>
      <c r="AA121" s="20">
        <f>IF(Données[[#This Row],[TYPE]]="Rehab",0,IFERROR((Données[[#This Row],[Date Livraison VEFA estimée avec retards constatés]]-Données[[#This Row],[Date livraison contractuelle y/c avenant]])/30,"-"))</f>
        <v>0</v>
      </c>
      <c r="AB121" s="21">
        <f>IF(Données[[#This Row],[TYPE]]="Rehab",0,Données[[#This Row],[Date Livraison VEFA estimée avec retards constatés]]-Données[[#This Row],[Date livraison contractuelle y/c avenant]])</f>
        <v>0</v>
      </c>
      <c r="AC121" s="105"/>
      <c r="AD121" s="106" t="str">
        <f>IF(AND(Données[[#This Row],[TYPE]]&lt;&gt;"Rehab",Données[[#This Row],[Achèvement fondations]]&lt;&gt;""),EDATE(Données[[#This Row],[Achèvement fondations]],24),"")</f>
        <v/>
      </c>
      <c r="AE121" s="107">
        <f>IF(Données[[#This Row],[VEFA / PROPRE]]="vefa",EDATE(Données[[#This Row],[Date Livraison initiale VEFA]],1),EDATE(Données[[#This Row],[Date réception entreprise prévue initialement]],1))</f>
        <v>31</v>
      </c>
      <c r="AF121" s="24"/>
      <c r="AG121" s="108"/>
      <c r="AH121" s="59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21" s="26"/>
      <c r="AJ121" s="26">
        <f>IF(Données[[#This Row],[TYPE]]="Rehab","",Données[[#This Row],[Loyer mensuel]]*Données[[#This Row],[Retard Inauguration (m)]])</f>
        <v>0</v>
      </c>
      <c r="AK121" s="89" t="e">
        <f>EOMONTH(#REF!,1)</f>
        <v>#REF!</v>
      </c>
      <c r="AR121"/>
      <c r="AS121"/>
      <c r="AT121"/>
      <c r="AV121"/>
      <c r="AW121"/>
      <c r="AY121"/>
      <c r="AZ121"/>
    </row>
    <row r="122" spans="1:52" x14ac:dyDescent="0.25">
      <c r="A122" s="96" t="s">
        <v>69</v>
      </c>
      <c r="B122" s="3"/>
      <c r="C122" s="3"/>
      <c r="D122" s="3"/>
      <c r="E122" s="4">
        <f>Données[[#This Row],[LLS]]+Données[[#This Row],[LLTS]]+Données[[#This Row],[PLS]]+Données[[#This Row],[REHAB]]</f>
        <v>0</v>
      </c>
      <c r="F122" s="4">
        <f>Données[[#This Row],[LLS]]+Données[[#This Row],[LLTS]]+Données[[#This Row],[PLS]]</f>
        <v>0</v>
      </c>
      <c r="G122" s="12"/>
      <c r="H122" s="4"/>
      <c r="I122" s="100"/>
      <c r="J122" s="4"/>
      <c r="K122" s="7"/>
      <c r="L122" s="8"/>
      <c r="M122" s="58"/>
      <c r="N122" s="101"/>
      <c r="O122" s="6">
        <f>IFERROR((DATEDIF(Données[[#This Row],[Arrêté LBU]],Données[[#This Row],[OS démarrage]],"d"))/30,0)</f>
        <v>0</v>
      </c>
      <c r="P122" s="29"/>
      <c r="Q122" s="4">
        <f>DATEDIF(Données[[#This Row],[OS démarrage]],Données[[#This Row],[Date réception entreprise recalée]],"M")</f>
        <v>0</v>
      </c>
      <c r="R122" s="102"/>
      <c r="S122" s="103">
        <f>EDATE(Données[[#This Row],[OS démarrage]],Données[[#This Row],[Délai chantier initial]])</f>
        <v>0</v>
      </c>
      <c r="T122" s="24"/>
      <c r="U122" s="16">
        <f>EDATE(Données[[#This Row],[Date réception entreprise recalée]],12)</f>
        <v>366</v>
      </c>
      <c r="V122" s="104">
        <f>(Données[[#This Row],[Date réception entreprise recalée]]-Données[[#This Row],[Date réception entreprise prévue initialement]])/30</f>
        <v>0</v>
      </c>
      <c r="W122" s="44"/>
      <c r="X122" s="19"/>
      <c r="Y122" s="19"/>
      <c r="Z122" s="19"/>
      <c r="AA122" s="20">
        <f>IF(Données[[#This Row],[TYPE]]="Rehab",0,IFERROR((Données[[#This Row],[Date Livraison VEFA estimée avec retards constatés]]-Données[[#This Row],[Date livraison contractuelle y/c avenant]])/30,"-"))</f>
        <v>0</v>
      </c>
      <c r="AB122" s="21">
        <f>IF(Données[[#This Row],[TYPE]]="Rehab",0,Données[[#This Row],[Date Livraison VEFA estimée avec retards constatés]]-Données[[#This Row],[Date livraison contractuelle y/c avenant]])</f>
        <v>0</v>
      </c>
      <c r="AC122" s="105"/>
      <c r="AD122" s="106" t="str">
        <f>IF(AND(Données[[#This Row],[TYPE]]&lt;&gt;"Rehab",Données[[#This Row],[Achèvement fondations]]&lt;&gt;""),EDATE(Données[[#This Row],[Achèvement fondations]],24),"")</f>
        <v/>
      </c>
      <c r="AE122" s="107">
        <f>IF(Données[[#This Row],[VEFA / PROPRE]]="vefa",EDATE(Données[[#This Row],[Date Livraison initiale VEFA]],1),EDATE(Données[[#This Row],[Date réception entreprise prévue initialement]],1))</f>
        <v>31</v>
      </c>
      <c r="AF122" s="24"/>
      <c r="AG122" s="108"/>
      <c r="AH122" s="59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22" s="26"/>
      <c r="AJ122" s="26">
        <f>IF(Données[[#This Row],[TYPE]]="Rehab","",Données[[#This Row],[Loyer mensuel]]*Données[[#This Row],[Retard Inauguration (m)]])</f>
        <v>0</v>
      </c>
      <c r="AR122"/>
      <c r="AS122"/>
      <c r="AT122"/>
      <c r="AV122"/>
      <c r="AW122"/>
      <c r="AY122"/>
      <c r="AZ122"/>
    </row>
    <row r="123" spans="1:52" x14ac:dyDescent="0.25">
      <c r="A123" s="98" t="s">
        <v>71</v>
      </c>
      <c r="B123" s="3"/>
      <c r="C123" s="3"/>
      <c r="D123" s="3"/>
      <c r="E123" s="4">
        <f>Données[[#This Row],[LLS]]+Données[[#This Row],[LLTS]]+Données[[#This Row],[PLS]]+Données[[#This Row],[REHAB]]</f>
        <v>0</v>
      </c>
      <c r="F123" s="4">
        <f>Données[[#This Row],[LLS]]+Données[[#This Row],[LLTS]]+Données[[#This Row],[PLS]]</f>
        <v>0</v>
      </c>
      <c r="G123" s="12"/>
      <c r="H123" s="4"/>
      <c r="I123" s="100"/>
      <c r="J123" s="4"/>
      <c r="K123" s="7"/>
      <c r="L123" s="8"/>
      <c r="M123" s="58"/>
      <c r="N123" s="101"/>
      <c r="O123" s="6">
        <f>IFERROR((DATEDIF(Données[[#This Row],[Arrêté LBU]],Données[[#This Row],[OS démarrage]],"d"))/30,0)</f>
        <v>0</v>
      </c>
      <c r="P123" s="29"/>
      <c r="Q123" s="4">
        <f>DATEDIF(Données[[#This Row],[OS démarrage]],Données[[#This Row],[Date réception entreprise recalée]],"M")</f>
        <v>0</v>
      </c>
      <c r="R123" s="102"/>
      <c r="S123" s="103">
        <f>EDATE(Données[[#This Row],[OS démarrage]],Données[[#This Row],[Délai chantier initial]])</f>
        <v>0</v>
      </c>
      <c r="T123" s="24"/>
      <c r="U123" s="16">
        <f>EDATE(Données[[#This Row],[Date réception entreprise recalée]],12)</f>
        <v>366</v>
      </c>
      <c r="V123" s="104">
        <f>(Données[[#This Row],[Date réception entreprise recalée]]-Données[[#This Row],[Date réception entreprise prévue initialement]])/30</f>
        <v>0</v>
      </c>
      <c r="W123" s="44"/>
      <c r="X123" s="19"/>
      <c r="Y123" s="19"/>
      <c r="Z123" s="19"/>
      <c r="AA123" s="20">
        <f>IF(Données[[#This Row],[TYPE]]="Rehab",0,IFERROR((Données[[#This Row],[Date Livraison VEFA estimée avec retards constatés]]-Données[[#This Row],[Date livraison contractuelle y/c avenant]])/30,"-"))</f>
        <v>0</v>
      </c>
      <c r="AB123" s="21">
        <f>IF(Données[[#This Row],[TYPE]]="Rehab",0,Données[[#This Row],[Date Livraison VEFA estimée avec retards constatés]]-Données[[#This Row],[Date livraison contractuelle y/c avenant]])</f>
        <v>0</v>
      </c>
      <c r="AC123" s="105"/>
      <c r="AD123" s="106" t="str">
        <f>IF(AND(Données[[#This Row],[TYPE]]&lt;&gt;"Rehab",Données[[#This Row],[Achèvement fondations]]&lt;&gt;""),EDATE(Données[[#This Row],[Achèvement fondations]],24),"")</f>
        <v/>
      </c>
      <c r="AE123" s="107">
        <f>IF(Données[[#This Row],[VEFA / PROPRE]]="vefa",EDATE(Données[[#This Row],[Date Livraison initiale VEFA]],1),EDATE(Données[[#This Row],[Date réception entreprise prévue initialement]],1))</f>
        <v>31</v>
      </c>
      <c r="AF123" s="24"/>
      <c r="AG123" s="108"/>
      <c r="AH123" s="59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23" s="26"/>
      <c r="AJ123" s="26">
        <f>IF(Données[[#This Row],[TYPE]]="Rehab","",Données[[#This Row],[Loyer mensuel]]*Données[[#This Row],[Retard Inauguration (m)]])</f>
        <v>0</v>
      </c>
      <c r="AR123"/>
      <c r="AS123"/>
      <c r="AT123"/>
      <c r="AV123"/>
      <c r="AW123"/>
      <c r="AY123"/>
      <c r="AZ123"/>
    </row>
    <row r="124" spans="1:52" x14ac:dyDescent="0.25">
      <c r="A124" s="98" t="s">
        <v>84</v>
      </c>
      <c r="B124" s="3"/>
      <c r="C124" s="3"/>
      <c r="D124" s="3"/>
      <c r="E124" s="4">
        <f>Données[[#This Row],[LLS]]+Données[[#This Row],[LLTS]]+Données[[#This Row],[PLS]]+Données[[#This Row],[REHAB]]</f>
        <v>0</v>
      </c>
      <c r="F124" s="4">
        <f>Données[[#This Row],[LLS]]+Données[[#This Row],[LLTS]]+Données[[#This Row],[PLS]]</f>
        <v>0</v>
      </c>
      <c r="G124" s="12"/>
      <c r="H124" s="4"/>
      <c r="I124" s="100"/>
      <c r="J124" s="4"/>
      <c r="K124" s="7"/>
      <c r="L124" s="8"/>
      <c r="M124" s="58"/>
      <c r="N124" s="101"/>
      <c r="O124" s="6">
        <f>IFERROR((DATEDIF(Données[[#This Row],[Arrêté LBU]],Données[[#This Row],[OS démarrage]],"d"))/30,0)</f>
        <v>0</v>
      </c>
      <c r="P124" s="29"/>
      <c r="Q124" s="4">
        <f>DATEDIF(Données[[#This Row],[OS démarrage]],Données[[#This Row],[Date réception entreprise recalée]],"M")</f>
        <v>0</v>
      </c>
      <c r="R124" s="102"/>
      <c r="S124" s="103">
        <f>EDATE(Données[[#This Row],[OS démarrage]],Données[[#This Row],[Délai chantier initial]])</f>
        <v>0</v>
      </c>
      <c r="T124" s="24"/>
      <c r="U124" s="16">
        <f>EDATE(Données[[#This Row],[Date réception entreprise recalée]],12)</f>
        <v>366</v>
      </c>
      <c r="V124" s="104">
        <f>(Données[[#This Row],[Date réception entreprise recalée]]-Données[[#This Row],[Date réception entreprise prévue initialement]])/30</f>
        <v>0</v>
      </c>
      <c r="W124" s="44"/>
      <c r="X124" s="19"/>
      <c r="Y124" s="19"/>
      <c r="Z124" s="19"/>
      <c r="AA124" s="20">
        <f>IF(Données[[#This Row],[TYPE]]="Rehab",0,IFERROR((Données[[#This Row],[Date Livraison VEFA estimée avec retards constatés]]-Données[[#This Row],[Date livraison contractuelle y/c avenant]])/30,"-"))</f>
        <v>0</v>
      </c>
      <c r="AB124" s="21">
        <f>IF(Données[[#This Row],[TYPE]]="Rehab",0,Données[[#This Row],[Date Livraison VEFA estimée avec retards constatés]]-Données[[#This Row],[Date livraison contractuelle y/c avenant]])</f>
        <v>0</v>
      </c>
      <c r="AC124" s="105"/>
      <c r="AD124" s="106" t="str">
        <f>IF(AND(Données[[#This Row],[TYPE]]&lt;&gt;"Rehab",Données[[#This Row],[Achèvement fondations]]&lt;&gt;""),EDATE(Données[[#This Row],[Achèvement fondations]],24),"")</f>
        <v/>
      </c>
      <c r="AE124" s="107">
        <f>IF(Données[[#This Row],[VEFA / PROPRE]]="vefa",EDATE(Données[[#This Row],[Date Livraison initiale VEFA]],1),EDATE(Données[[#This Row],[Date réception entreprise prévue initialement]],1))</f>
        <v>31</v>
      </c>
      <c r="AF124" s="24"/>
      <c r="AG124" s="108"/>
      <c r="AH124" s="59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24" s="26"/>
      <c r="AJ124" s="26">
        <f>IF(Données[[#This Row],[TYPE]]="Rehab","",Données[[#This Row],[Loyer mensuel]]*Données[[#This Row],[Retard Inauguration (m)]])</f>
        <v>0</v>
      </c>
      <c r="AK124" t="s">
        <v>46</v>
      </c>
      <c r="AR124"/>
      <c r="AS124"/>
      <c r="AT124"/>
      <c r="AV124"/>
      <c r="AW124"/>
      <c r="AY124"/>
      <c r="AZ124"/>
    </row>
    <row r="125" spans="1:52" x14ac:dyDescent="0.25">
      <c r="A125" s="98" t="s">
        <v>71</v>
      </c>
      <c r="B125" s="3"/>
      <c r="C125" s="3"/>
      <c r="D125" s="3"/>
      <c r="E125" s="4">
        <f>Données[[#This Row],[LLS]]+Données[[#This Row],[LLTS]]+Données[[#This Row],[PLS]]+Données[[#This Row],[REHAB]]</f>
        <v>0</v>
      </c>
      <c r="F125" s="4">
        <f>Données[[#This Row],[LLS]]+Données[[#This Row],[LLTS]]+Données[[#This Row],[PLS]]</f>
        <v>0</v>
      </c>
      <c r="G125" s="12"/>
      <c r="H125" s="4"/>
      <c r="I125" s="100"/>
      <c r="J125" s="4"/>
      <c r="K125" s="7"/>
      <c r="L125" s="8"/>
      <c r="M125" s="58"/>
      <c r="N125" s="101"/>
      <c r="O125" s="6">
        <f>IFERROR((DATEDIF(Données[[#This Row],[Arrêté LBU]],Données[[#This Row],[OS démarrage]],"d"))/30,0)</f>
        <v>0</v>
      </c>
      <c r="P125" s="29"/>
      <c r="Q125" s="4">
        <f>DATEDIF(Données[[#This Row],[OS démarrage]],Données[[#This Row],[Date réception entreprise recalée]],"M")</f>
        <v>0</v>
      </c>
      <c r="R125" s="102"/>
      <c r="S125" s="103">
        <f>EDATE(Données[[#This Row],[OS démarrage]],Données[[#This Row],[Délai chantier initial]])</f>
        <v>0</v>
      </c>
      <c r="T125" s="24"/>
      <c r="U125" s="16">
        <f>EDATE(Données[[#This Row],[Date réception entreprise recalée]],12)</f>
        <v>366</v>
      </c>
      <c r="V125" s="104">
        <f>(Données[[#This Row],[Date réception entreprise recalée]]-Données[[#This Row],[Date réception entreprise prévue initialement]])/30</f>
        <v>0</v>
      </c>
      <c r="W125" s="44"/>
      <c r="X125" s="19"/>
      <c r="Y125" s="19"/>
      <c r="Z125" s="19"/>
      <c r="AA125" s="20">
        <f>IF(Données[[#This Row],[TYPE]]="Rehab",0,IFERROR((Données[[#This Row],[Date Livraison VEFA estimée avec retards constatés]]-Données[[#This Row],[Date livraison contractuelle y/c avenant]])/30,"-"))</f>
        <v>0</v>
      </c>
      <c r="AB125" s="21">
        <f>IF(Données[[#This Row],[TYPE]]="Rehab",0,Données[[#This Row],[Date Livraison VEFA estimée avec retards constatés]]-Données[[#This Row],[Date livraison contractuelle y/c avenant]])</f>
        <v>0</v>
      </c>
      <c r="AC125" s="105"/>
      <c r="AD125" s="106" t="str">
        <f>IF(AND(Données[[#This Row],[TYPE]]&lt;&gt;"Rehab",Données[[#This Row],[Achèvement fondations]]&lt;&gt;""),EDATE(Données[[#This Row],[Achèvement fondations]],24),"")</f>
        <v/>
      </c>
      <c r="AE125" s="107">
        <f>IF(Données[[#This Row],[VEFA / PROPRE]]="vefa",EDATE(Données[[#This Row],[Date Livraison initiale VEFA]],1),EDATE(Données[[#This Row],[Date réception entreprise prévue initialement]],1))</f>
        <v>31</v>
      </c>
      <c r="AF125" s="24"/>
      <c r="AG125" s="108"/>
      <c r="AH125" s="59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25" s="26"/>
      <c r="AJ125" s="26">
        <f>IF(Données[[#This Row],[TYPE]]="Rehab","",Données[[#This Row],[Loyer mensuel]]*Données[[#This Row],[Retard Inauguration (m)]])</f>
        <v>0</v>
      </c>
      <c r="AR125"/>
      <c r="AS125"/>
      <c r="AT125"/>
      <c r="AV125"/>
      <c r="AW125"/>
      <c r="AY125"/>
      <c r="AZ125"/>
    </row>
    <row r="126" spans="1:52" x14ac:dyDescent="0.25">
      <c r="A126" s="98" t="s">
        <v>84</v>
      </c>
      <c r="B126" s="3"/>
      <c r="C126" s="3"/>
      <c r="D126" s="3"/>
      <c r="E126" s="4">
        <f>Données[[#This Row],[LLS]]+Données[[#This Row],[LLTS]]+Données[[#This Row],[PLS]]+Données[[#This Row],[REHAB]]</f>
        <v>0</v>
      </c>
      <c r="F126" s="4">
        <f>Données[[#This Row],[LLS]]+Données[[#This Row],[LLTS]]+Données[[#This Row],[PLS]]</f>
        <v>0</v>
      </c>
      <c r="G126" s="12"/>
      <c r="H126" s="4"/>
      <c r="I126" s="100"/>
      <c r="J126" s="4"/>
      <c r="K126" s="7"/>
      <c r="L126" s="8"/>
      <c r="M126" s="58"/>
      <c r="N126" s="101"/>
      <c r="O126" s="6">
        <f>IFERROR((DATEDIF(Données[[#This Row],[Arrêté LBU]],Données[[#This Row],[OS démarrage]],"d"))/30,0)</f>
        <v>0</v>
      </c>
      <c r="P126" s="29"/>
      <c r="Q126" s="4">
        <f>DATEDIF(Données[[#This Row],[OS démarrage]],Données[[#This Row],[Date réception entreprise recalée]],"M")</f>
        <v>0</v>
      </c>
      <c r="R126" s="102"/>
      <c r="S126" s="103">
        <f>EDATE(Données[[#This Row],[OS démarrage]],Données[[#This Row],[Délai chantier initial]])</f>
        <v>0</v>
      </c>
      <c r="T126" s="24"/>
      <c r="U126" s="16">
        <f>EDATE(Données[[#This Row],[Date réception entreprise recalée]],12)</f>
        <v>366</v>
      </c>
      <c r="V126" s="104">
        <f>(Données[[#This Row],[Date réception entreprise recalée]]-Données[[#This Row],[Date réception entreprise prévue initialement]])/30</f>
        <v>0</v>
      </c>
      <c r="W126" s="44"/>
      <c r="X126" s="19"/>
      <c r="Y126" s="19"/>
      <c r="Z126" s="19"/>
      <c r="AA126" s="20">
        <f>IF(Données[[#This Row],[TYPE]]="Rehab",0,IFERROR((Données[[#This Row],[Date Livraison VEFA estimée avec retards constatés]]-Données[[#This Row],[Date livraison contractuelle y/c avenant]])/30,"-"))</f>
        <v>0</v>
      </c>
      <c r="AB126" s="21">
        <f>IF(Données[[#This Row],[TYPE]]="Rehab",0,Données[[#This Row],[Date Livraison VEFA estimée avec retards constatés]]-Données[[#This Row],[Date livraison contractuelle y/c avenant]])</f>
        <v>0</v>
      </c>
      <c r="AC126" s="105"/>
      <c r="AD126" s="106" t="str">
        <f>IF(AND(Données[[#This Row],[TYPE]]&lt;&gt;"Rehab",Données[[#This Row],[Achèvement fondations]]&lt;&gt;""),EDATE(Données[[#This Row],[Achèvement fondations]],24),"")</f>
        <v/>
      </c>
      <c r="AE126" s="107">
        <f>IF(Données[[#This Row],[VEFA / PROPRE]]="vefa",EDATE(Données[[#This Row],[Date Livraison initiale VEFA]],1),EDATE(Données[[#This Row],[Date réception entreprise prévue initialement]],1))</f>
        <v>31</v>
      </c>
      <c r="AF126" s="24"/>
      <c r="AG126" s="108"/>
      <c r="AH126" s="59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26" s="26"/>
      <c r="AJ126" s="26">
        <f>IF(Données[[#This Row],[TYPE]]="Rehab","",Données[[#This Row],[Loyer mensuel]]*Données[[#This Row],[Retard Inauguration (m)]])</f>
        <v>0</v>
      </c>
      <c r="AR126"/>
      <c r="AS126"/>
      <c r="AT126"/>
      <c r="AV126"/>
      <c r="AW126"/>
      <c r="AY126"/>
      <c r="AZ126"/>
    </row>
    <row r="127" spans="1:52" x14ac:dyDescent="0.25">
      <c r="A127" s="98" t="s">
        <v>76</v>
      </c>
      <c r="B127" s="3"/>
      <c r="C127" s="3"/>
      <c r="D127" s="3"/>
      <c r="E127" s="4">
        <f>Données[[#This Row],[LLS]]+Données[[#This Row],[LLTS]]+Données[[#This Row],[PLS]]+Données[[#This Row],[REHAB]]</f>
        <v>0</v>
      </c>
      <c r="F127" s="4">
        <f>Données[[#This Row],[LLS]]+Données[[#This Row],[LLTS]]+Données[[#This Row],[PLS]]</f>
        <v>0</v>
      </c>
      <c r="G127" s="12"/>
      <c r="H127" s="4"/>
      <c r="I127" s="100"/>
      <c r="J127" s="4"/>
      <c r="K127" s="7"/>
      <c r="L127" s="8"/>
      <c r="M127" s="58"/>
      <c r="N127" s="101"/>
      <c r="O127" s="6">
        <f>IFERROR((DATEDIF(Données[[#This Row],[Arrêté LBU]],Données[[#This Row],[OS démarrage]],"d"))/30,0)</f>
        <v>0</v>
      </c>
      <c r="P127" s="29"/>
      <c r="Q127" s="4">
        <f>DATEDIF(Données[[#This Row],[OS démarrage]],Données[[#This Row],[Date réception entreprise recalée]],"M")</f>
        <v>0</v>
      </c>
      <c r="R127" s="102"/>
      <c r="S127" s="103">
        <f>EDATE(Données[[#This Row],[OS démarrage]],Données[[#This Row],[Délai chantier initial]])</f>
        <v>0</v>
      </c>
      <c r="T127" s="24"/>
      <c r="U127" s="16">
        <f>EDATE(Données[[#This Row],[Date réception entreprise recalée]],12)</f>
        <v>366</v>
      </c>
      <c r="V127" s="104">
        <f>(Données[[#This Row],[Date réception entreprise recalée]]-Données[[#This Row],[Date réception entreprise prévue initialement]])/30</f>
        <v>0</v>
      </c>
      <c r="W127" s="44"/>
      <c r="X127" s="19"/>
      <c r="Y127" s="19"/>
      <c r="Z127" s="19"/>
      <c r="AA127" s="20">
        <f>IF(Données[[#This Row],[TYPE]]="Rehab",0,IFERROR((Données[[#This Row],[Date Livraison VEFA estimée avec retards constatés]]-Données[[#This Row],[Date livraison contractuelle y/c avenant]])/30,"-"))</f>
        <v>0</v>
      </c>
      <c r="AB127" s="21">
        <f>IF(Données[[#This Row],[TYPE]]="Rehab",0,Données[[#This Row],[Date Livraison VEFA estimée avec retards constatés]]-Données[[#This Row],[Date livraison contractuelle y/c avenant]])</f>
        <v>0</v>
      </c>
      <c r="AC127" s="105"/>
      <c r="AD127" s="106" t="str">
        <f>IF(AND(Données[[#This Row],[TYPE]]&lt;&gt;"Rehab",Données[[#This Row],[Achèvement fondations]]&lt;&gt;""),EDATE(Données[[#This Row],[Achèvement fondations]],24),"")</f>
        <v/>
      </c>
      <c r="AE127" s="107">
        <f>IF(Données[[#This Row],[VEFA / PROPRE]]="vefa",EDATE(Données[[#This Row],[Date Livraison initiale VEFA]],1),EDATE(Données[[#This Row],[Date réception entreprise prévue initialement]],1))</f>
        <v>31</v>
      </c>
      <c r="AF127" s="24"/>
      <c r="AG127" s="108"/>
      <c r="AH127" s="59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27" s="26"/>
      <c r="AJ127" s="26">
        <f>IF(Données[[#This Row],[TYPE]]="Rehab","",Données[[#This Row],[Loyer mensuel]]*Données[[#This Row],[Retard Inauguration (m)]])</f>
        <v>0</v>
      </c>
      <c r="AR127"/>
      <c r="AS127"/>
      <c r="AT127"/>
      <c r="AV127"/>
      <c r="AW127"/>
      <c r="AY127"/>
      <c r="AZ127"/>
    </row>
    <row r="128" spans="1:52" x14ac:dyDescent="0.25">
      <c r="A128" s="97" t="s">
        <v>85</v>
      </c>
      <c r="B128" s="3"/>
      <c r="C128" s="3"/>
      <c r="D128" s="3"/>
      <c r="E128" s="4">
        <f>Données[[#This Row],[LLS]]+Données[[#This Row],[LLTS]]+Données[[#This Row],[PLS]]+Données[[#This Row],[REHAB]]</f>
        <v>0</v>
      </c>
      <c r="F128" s="4">
        <f>Données[[#This Row],[LLS]]+Données[[#This Row],[LLTS]]+Données[[#This Row],[PLS]]</f>
        <v>0</v>
      </c>
      <c r="G128" s="12"/>
      <c r="H128" s="4"/>
      <c r="I128" s="100"/>
      <c r="J128" s="4"/>
      <c r="K128" s="7"/>
      <c r="L128" s="8"/>
      <c r="M128" s="58"/>
      <c r="N128" s="101"/>
      <c r="O128" s="6">
        <f>IFERROR((DATEDIF(Données[[#This Row],[Arrêté LBU]],Données[[#This Row],[OS démarrage]],"d"))/30,0)</f>
        <v>0</v>
      </c>
      <c r="P128" s="29"/>
      <c r="Q128" s="4">
        <f>DATEDIF(Données[[#This Row],[OS démarrage]],Données[[#This Row],[Date réception entreprise recalée]],"M")</f>
        <v>0</v>
      </c>
      <c r="R128" s="102"/>
      <c r="S128" s="103">
        <f>EDATE(Données[[#This Row],[OS démarrage]],Données[[#This Row],[Délai chantier initial]])</f>
        <v>0</v>
      </c>
      <c r="T128" s="24"/>
      <c r="U128" s="16">
        <f>EDATE(Données[[#This Row],[Date réception entreprise recalée]],12)</f>
        <v>366</v>
      </c>
      <c r="V128" s="104">
        <f>(Données[[#This Row],[Date réception entreprise recalée]]-Données[[#This Row],[Date réception entreprise prévue initialement]])/30</f>
        <v>0</v>
      </c>
      <c r="W128" s="44"/>
      <c r="X128" s="19"/>
      <c r="Y128" s="19"/>
      <c r="Z128" s="19"/>
      <c r="AA128" s="20">
        <f>IF(Données[[#This Row],[TYPE]]="Rehab",0,IFERROR((Données[[#This Row],[Date Livraison VEFA estimée avec retards constatés]]-Données[[#This Row],[Date livraison contractuelle y/c avenant]])/30,"-"))</f>
        <v>0</v>
      </c>
      <c r="AB128" s="21">
        <f>IF(Données[[#This Row],[TYPE]]="Rehab",0,Données[[#This Row],[Date Livraison VEFA estimée avec retards constatés]]-Données[[#This Row],[Date livraison contractuelle y/c avenant]])</f>
        <v>0</v>
      </c>
      <c r="AC128" s="105"/>
      <c r="AD128" s="106" t="str">
        <f>IF(AND(Données[[#This Row],[TYPE]]&lt;&gt;"Rehab",Données[[#This Row],[Achèvement fondations]]&lt;&gt;""),EDATE(Données[[#This Row],[Achèvement fondations]],24),"")</f>
        <v/>
      </c>
      <c r="AE128" s="107">
        <f>IF(Données[[#This Row],[VEFA / PROPRE]]="vefa",EDATE(Données[[#This Row],[Date Livraison initiale VEFA]],1),EDATE(Données[[#This Row],[Date réception entreprise prévue initialement]],1))</f>
        <v>31</v>
      </c>
      <c r="AF128" s="24"/>
      <c r="AG128" s="108"/>
      <c r="AH128" s="59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28" s="26"/>
      <c r="AJ128" s="26">
        <f>IF(Données[[#This Row],[TYPE]]="Rehab","",Données[[#This Row],[Loyer mensuel]]*Données[[#This Row],[Retard Inauguration (m)]])</f>
        <v>0</v>
      </c>
      <c r="AR128"/>
      <c r="AS128"/>
      <c r="AT128"/>
      <c r="AV128"/>
      <c r="AW128"/>
      <c r="AY128"/>
      <c r="AZ128"/>
    </row>
    <row r="129" spans="1:52" x14ac:dyDescent="0.25">
      <c r="A129" s="63" t="s">
        <v>76</v>
      </c>
      <c r="B129" s="3"/>
      <c r="C129" s="3"/>
      <c r="D129" s="3"/>
      <c r="E129" s="4">
        <f>Données[[#This Row],[LLS]]+Données[[#This Row],[LLTS]]+Données[[#This Row],[PLS]]+Données[[#This Row],[REHAB]]</f>
        <v>0</v>
      </c>
      <c r="F129" s="4">
        <f>Données[[#This Row],[LLS]]+Données[[#This Row],[LLTS]]+Données[[#This Row],[PLS]]</f>
        <v>0</v>
      </c>
      <c r="G129" s="12"/>
      <c r="H129" s="4"/>
      <c r="I129" s="100"/>
      <c r="J129" s="4"/>
      <c r="K129" s="7"/>
      <c r="L129" s="8"/>
      <c r="M129" s="58"/>
      <c r="N129" s="101"/>
      <c r="O129" s="6">
        <f>IFERROR((DATEDIF(Données[[#This Row],[Arrêté LBU]],Données[[#This Row],[OS démarrage]],"d"))/30,0)</f>
        <v>0</v>
      </c>
      <c r="P129" s="29"/>
      <c r="Q129" s="4">
        <f>DATEDIF(Données[[#This Row],[OS démarrage]],Données[[#This Row],[Date réception entreprise recalée]],"M")</f>
        <v>0</v>
      </c>
      <c r="R129" s="102"/>
      <c r="S129" s="103">
        <f>EDATE(Données[[#This Row],[OS démarrage]],Données[[#This Row],[Délai chantier initial]])</f>
        <v>0</v>
      </c>
      <c r="T129" s="24"/>
      <c r="U129" s="16">
        <f>EDATE(Données[[#This Row],[Date réception entreprise recalée]],12)</f>
        <v>366</v>
      </c>
      <c r="V129" s="104">
        <f>(Données[[#This Row],[Date réception entreprise recalée]]-Données[[#This Row],[Date réception entreprise prévue initialement]])/30</f>
        <v>0</v>
      </c>
      <c r="W129" s="44"/>
      <c r="X129" s="19"/>
      <c r="Y129" s="19"/>
      <c r="Z129" s="19"/>
      <c r="AA129" s="20">
        <f>IF(Données[[#This Row],[TYPE]]="Rehab",0,IFERROR((Données[[#This Row],[Date Livraison VEFA estimée avec retards constatés]]-Données[[#This Row],[Date livraison contractuelle y/c avenant]])/30,"-"))</f>
        <v>0</v>
      </c>
      <c r="AB129" s="21">
        <f>IF(Données[[#This Row],[TYPE]]="Rehab",0,Données[[#This Row],[Date Livraison VEFA estimée avec retards constatés]]-Données[[#This Row],[Date livraison contractuelle y/c avenant]])</f>
        <v>0</v>
      </c>
      <c r="AC129" s="105"/>
      <c r="AD129" s="106" t="str">
        <f>IF(AND(Données[[#This Row],[TYPE]]&lt;&gt;"Rehab",Données[[#This Row],[Achèvement fondations]]&lt;&gt;""),EDATE(Données[[#This Row],[Achèvement fondations]],24),"")</f>
        <v/>
      </c>
      <c r="AE129" s="107">
        <f>IF(Données[[#This Row],[VEFA / PROPRE]]="vefa",EDATE(Données[[#This Row],[Date Livraison initiale VEFA]],1),EDATE(Données[[#This Row],[Date réception entreprise prévue initialement]],1))</f>
        <v>31</v>
      </c>
      <c r="AF129" s="24"/>
      <c r="AG129" s="108"/>
      <c r="AH129" s="59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29" s="26"/>
      <c r="AJ129" s="26">
        <f>IF(Données[[#This Row],[TYPE]]="Rehab","",Données[[#This Row],[Loyer mensuel]]*Données[[#This Row],[Retard Inauguration (m)]])</f>
        <v>0</v>
      </c>
      <c r="AR129"/>
      <c r="AS129"/>
      <c r="AT129"/>
      <c r="AV129"/>
      <c r="AW129"/>
      <c r="AY129"/>
      <c r="AZ129"/>
    </row>
    <row r="130" spans="1:52" x14ac:dyDescent="0.25">
      <c r="A130" s="63" t="s">
        <v>71</v>
      </c>
      <c r="B130" s="3"/>
      <c r="C130" s="3"/>
      <c r="D130" s="3"/>
      <c r="E130" s="4">
        <f>Données[[#This Row],[LLS]]+Données[[#This Row],[LLTS]]+Données[[#This Row],[PLS]]+Données[[#This Row],[REHAB]]</f>
        <v>0</v>
      </c>
      <c r="F130" s="4">
        <f>Données[[#This Row],[LLS]]+Données[[#This Row],[LLTS]]+Données[[#This Row],[PLS]]</f>
        <v>0</v>
      </c>
      <c r="G130" s="12"/>
      <c r="H130" s="4"/>
      <c r="I130" s="100"/>
      <c r="J130" s="4"/>
      <c r="K130" s="7"/>
      <c r="L130" s="8"/>
      <c r="M130" s="58"/>
      <c r="N130" s="101"/>
      <c r="O130" s="6">
        <f>IFERROR((DATEDIF(Données[[#This Row],[Arrêté LBU]],Données[[#This Row],[OS démarrage]],"d"))/30,0)</f>
        <v>0</v>
      </c>
      <c r="P130" s="29"/>
      <c r="Q130" s="4">
        <f>DATEDIF(Données[[#This Row],[OS démarrage]],Données[[#This Row],[Date réception entreprise recalée]],"M")</f>
        <v>0</v>
      </c>
      <c r="R130" s="102"/>
      <c r="S130" s="103">
        <f>EDATE(Données[[#This Row],[OS démarrage]],Données[[#This Row],[Délai chantier initial]])</f>
        <v>0</v>
      </c>
      <c r="T130" s="24"/>
      <c r="U130" s="16">
        <f>EDATE(Données[[#This Row],[Date réception entreprise recalée]],12)</f>
        <v>366</v>
      </c>
      <c r="V130" s="104">
        <f>(Données[[#This Row],[Date réception entreprise recalée]]-Données[[#This Row],[Date réception entreprise prévue initialement]])/30</f>
        <v>0</v>
      </c>
      <c r="W130" s="44"/>
      <c r="X130" s="19"/>
      <c r="Y130" s="19"/>
      <c r="Z130" s="19"/>
      <c r="AA130" s="20">
        <f>IF(Données[[#This Row],[TYPE]]="Rehab",0,IFERROR((Données[[#This Row],[Date Livraison VEFA estimée avec retards constatés]]-Données[[#This Row],[Date livraison contractuelle y/c avenant]])/30,"-"))</f>
        <v>0</v>
      </c>
      <c r="AB130" s="21">
        <f>IF(Données[[#This Row],[TYPE]]="Rehab",0,Données[[#This Row],[Date Livraison VEFA estimée avec retards constatés]]-Données[[#This Row],[Date livraison contractuelle y/c avenant]])</f>
        <v>0</v>
      </c>
      <c r="AC130" s="105"/>
      <c r="AD130" s="106" t="str">
        <f>IF(AND(Données[[#This Row],[TYPE]]&lt;&gt;"Rehab",Données[[#This Row],[Achèvement fondations]]&lt;&gt;""),EDATE(Données[[#This Row],[Achèvement fondations]],24),"")</f>
        <v/>
      </c>
      <c r="AE130" s="107">
        <f>IF(Données[[#This Row],[VEFA / PROPRE]]="vefa",EDATE(Données[[#This Row],[Date Livraison initiale VEFA]],1),EDATE(Données[[#This Row],[Date réception entreprise prévue initialement]],1))</f>
        <v>31</v>
      </c>
      <c r="AF130" s="24"/>
      <c r="AG130" s="108"/>
      <c r="AH130" s="59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30" s="26"/>
      <c r="AJ130" s="26">
        <f>IF(Données[[#This Row],[TYPE]]="Rehab","",Données[[#This Row],[Loyer mensuel]]*Données[[#This Row],[Retard Inauguration (m)]])</f>
        <v>0</v>
      </c>
      <c r="AR130"/>
      <c r="AS130"/>
      <c r="AT130"/>
      <c r="AV130"/>
      <c r="AW130"/>
      <c r="AY130"/>
      <c r="AZ130"/>
    </row>
    <row r="131" spans="1:52" x14ac:dyDescent="0.25">
      <c r="A131" s="63" t="s">
        <v>84</v>
      </c>
      <c r="B131" s="3"/>
      <c r="C131" s="3"/>
      <c r="D131" s="3"/>
      <c r="E131" s="4">
        <f>Données[[#This Row],[LLS]]+Données[[#This Row],[LLTS]]+Données[[#This Row],[PLS]]+Données[[#This Row],[REHAB]]</f>
        <v>0</v>
      </c>
      <c r="F131" s="4">
        <f>Données[[#This Row],[LLS]]+Données[[#This Row],[LLTS]]+Données[[#This Row],[PLS]]</f>
        <v>0</v>
      </c>
      <c r="G131" s="12"/>
      <c r="H131" s="4"/>
      <c r="I131" s="100"/>
      <c r="J131" s="4"/>
      <c r="K131" s="7"/>
      <c r="L131" s="8"/>
      <c r="M131" s="58"/>
      <c r="N131" s="101"/>
      <c r="O131" s="6">
        <f>IFERROR((DATEDIF(Données[[#This Row],[Arrêté LBU]],Données[[#This Row],[OS démarrage]],"d"))/30,0)</f>
        <v>0</v>
      </c>
      <c r="P131" s="29"/>
      <c r="Q131" s="4">
        <f>DATEDIF(Données[[#This Row],[OS démarrage]],Données[[#This Row],[Date réception entreprise recalée]],"M")</f>
        <v>0</v>
      </c>
      <c r="R131" s="102"/>
      <c r="S131" s="103">
        <f>EDATE(Données[[#This Row],[OS démarrage]],Données[[#This Row],[Délai chantier initial]])</f>
        <v>0</v>
      </c>
      <c r="T131" s="24"/>
      <c r="U131" s="16">
        <f>EDATE(Données[[#This Row],[Date réception entreprise recalée]],12)</f>
        <v>366</v>
      </c>
      <c r="V131" s="104">
        <f>(Données[[#This Row],[Date réception entreprise recalée]]-Données[[#This Row],[Date réception entreprise prévue initialement]])/30</f>
        <v>0</v>
      </c>
      <c r="W131" s="44"/>
      <c r="X131" s="19"/>
      <c r="Y131" s="19"/>
      <c r="Z131" s="19"/>
      <c r="AA131" s="20">
        <f>IF(Données[[#This Row],[TYPE]]="Rehab",0,IFERROR((Données[[#This Row],[Date Livraison VEFA estimée avec retards constatés]]-Données[[#This Row],[Date livraison contractuelle y/c avenant]])/30,"-"))</f>
        <v>0</v>
      </c>
      <c r="AB131" s="21">
        <f>IF(Données[[#This Row],[TYPE]]="Rehab",0,Données[[#This Row],[Date Livraison VEFA estimée avec retards constatés]]-Données[[#This Row],[Date livraison contractuelle y/c avenant]])</f>
        <v>0</v>
      </c>
      <c r="AC131" s="105"/>
      <c r="AD131" s="106" t="str">
        <f>IF(AND(Données[[#This Row],[TYPE]]&lt;&gt;"Rehab",Données[[#This Row],[Achèvement fondations]]&lt;&gt;""),EDATE(Données[[#This Row],[Achèvement fondations]],24),"")</f>
        <v/>
      </c>
      <c r="AE131" s="107">
        <f>IF(Données[[#This Row],[VEFA / PROPRE]]="vefa",EDATE(Données[[#This Row],[Date Livraison initiale VEFA]],1),EDATE(Données[[#This Row],[Date réception entreprise prévue initialement]],1))</f>
        <v>31</v>
      </c>
      <c r="AF131" s="24"/>
      <c r="AG131" s="108"/>
      <c r="AH131" s="59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31" s="26"/>
      <c r="AJ131" s="26">
        <f>IF(Données[[#This Row],[TYPE]]="Rehab","",Données[[#This Row],[Loyer mensuel]]*Données[[#This Row],[Retard Inauguration (m)]])</f>
        <v>0</v>
      </c>
      <c r="AR131"/>
      <c r="AS131"/>
      <c r="AT131"/>
      <c r="AV131"/>
      <c r="AW131"/>
      <c r="AY131"/>
      <c r="AZ131"/>
    </row>
    <row r="132" spans="1:52" x14ac:dyDescent="0.25">
      <c r="A132" s="99" t="s">
        <v>72</v>
      </c>
      <c r="B132" s="3"/>
      <c r="C132" s="3"/>
      <c r="D132" s="3"/>
      <c r="E132" s="4">
        <f>Données[[#This Row],[LLS]]+Données[[#This Row],[LLTS]]+Données[[#This Row],[PLS]]+Données[[#This Row],[REHAB]]</f>
        <v>0</v>
      </c>
      <c r="F132" s="4">
        <f>Données[[#This Row],[LLS]]+Données[[#This Row],[LLTS]]+Données[[#This Row],[PLS]]</f>
        <v>0</v>
      </c>
      <c r="G132" s="12"/>
      <c r="H132" s="4"/>
      <c r="I132" s="100"/>
      <c r="J132" s="4"/>
      <c r="K132" s="7"/>
      <c r="L132" s="8"/>
      <c r="M132" s="58"/>
      <c r="N132" s="101"/>
      <c r="O132" s="6">
        <f>IFERROR((DATEDIF(Données[[#This Row],[Arrêté LBU]],Données[[#This Row],[OS démarrage]],"d"))/30,0)</f>
        <v>0</v>
      </c>
      <c r="P132" s="29"/>
      <c r="Q132" s="4">
        <f>DATEDIF(Données[[#This Row],[OS démarrage]],Données[[#This Row],[Date réception entreprise recalée]],"M")</f>
        <v>0</v>
      </c>
      <c r="R132" s="102"/>
      <c r="S132" s="103">
        <f>EDATE(Données[[#This Row],[OS démarrage]],Données[[#This Row],[Délai chantier initial]])</f>
        <v>0</v>
      </c>
      <c r="T132" s="24"/>
      <c r="U132" s="16">
        <f>EDATE(Données[[#This Row],[Date réception entreprise recalée]],12)</f>
        <v>366</v>
      </c>
      <c r="V132" s="104">
        <f>(Données[[#This Row],[Date réception entreprise recalée]]-Données[[#This Row],[Date réception entreprise prévue initialement]])/30</f>
        <v>0</v>
      </c>
      <c r="W132" s="44"/>
      <c r="X132" s="19"/>
      <c r="Y132" s="19"/>
      <c r="Z132" s="19"/>
      <c r="AA132" s="20">
        <f>IF(Données[[#This Row],[TYPE]]="Rehab",0,IFERROR((Données[[#This Row],[Date Livraison VEFA estimée avec retards constatés]]-Données[[#This Row],[Date livraison contractuelle y/c avenant]])/30,"-"))</f>
        <v>0</v>
      </c>
      <c r="AB132" s="21">
        <f>IF(Données[[#This Row],[TYPE]]="Rehab",0,Données[[#This Row],[Date Livraison VEFA estimée avec retards constatés]]-Données[[#This Row],[Date livraison contractuelle y/c avenant]])</f>
        <v>0</v>
      </c>
      <c r="AC132" s="105"/>
      <c r="AD132" s="106" t="str">
        <f>IF(AND(Données[[#This Row],[TYPE]]&lt;&gt;"Rehab",Données[[#This Row],[Achèvement fondations]]&lt;&gt;""),EDATE(Données[[#This Row],[Achèvement fondations]],24),"")</f>
        <v/>
      </c>
      <c r="AE132" s="107">
        <f>IF(Données[[#This Row],[VEFA / PROPRE]]="vefa",EDATE(Données[[#This Row],[Date Livraison initiale VEFA]],1),EDATE(Données[[#This Row],[Date réception entreprise prévue initialement]],1))</f>
        <v>31</v>
      </c>
      <c r="AF132" s="24"/>
      <c r="AG132" s="108"/>
      <c r="AH132" s="59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32" s="26"/>
      <c r="AJ132" s="26">
        <f>IF(Données[[#This Row],[TYPE]]="Rehab","",Données[[#This Row],[Loyer mensuel]]*Données[[#This Row],[Retard Inauguration (m)]])</f>
        <v>0</v>
      </c>
      <c r="AR132"/>
      <c r="AS132"/>
      <c r="AT132"/>
      <c r="AV132"/>
      <c r="AW132"/>
      <c r="AY132"/>
      <c r="AZ132"/>
    </row>
    <row r="133" spans="1:52" x14ac:dyDescent="0.25">
      <c r="A133" s="42" t="s">
        <v>75</v>
      </c>
      <c r="B133" s="3"/>
      <c r="C133" s="3"/>
      <c r="D133" s="3"/>
      <c r="E133" s="4">
        <f>Données[[#This Row],[LLS]]+Données[[#This Row],[LLTS]]+Données[[#This Row],[PLS]]+Données[[#This Row],[REHAB]]</f>
        <v>0</v>
      </c>
      <c r="F133" s="4">
        <f>Données[[#This Row],[LLS]]+Données[[#This Row],[LLTS]]+Données[[#This Row],[PLS]]</f>
        <v>0</v>
      </c>
      <c r="G133" s="12"/>
      <c r="H133" s="4"/>
      <c r="I133" s="100"/>
      <c r="J133" s="4"/>
      <c r="K133" s="7"/>
      <c r="L133" s="8"/>
      <c r="M133" s="58"/>
      <c r="N133" s="101"/>
      <c r="O133" s="6">
        <f>IFERROR((DATEDIF(Données[[#This Row],[Arrêté LBU]],Données[[#This Row],[OS démarrage]],"d"))/30,0)</f>
        <v>0</v>
      </c>
      <c r="P133" s="29"/>
      <c r="Q133" s="4">
        <f>DATEDIF(Données[[#This Row],[OS démarrage]],Données[[#This Row],[Date réception entreprise recalée]],"M")</f>
        <v>0</v>
      </c>
      <c r="R133" s="102"/>
      <c r="S133" s="103">
        <f>EDATE(Données[[#This Row],[OS démarrage]],Données[[#This Row],[Délai chantier initial]])</f>
        <v>0</v>
      </c>
      <c r="T133" s="24"/>
      <c r="U133" s="16">
        <f>EDATE(Données[[#This Row],[Date réception entreprise recalée]],12)</f>
        <v>366</v>
      </c>
      <c r="V133" s="104">
        <f>(Données[[#This Row],[Date réception entreprise recalée]]-Données[[#This Row],[Date réception entreprise prévue initialement]])/30</f>
        <v>0</v>
      </c>
      <c r="W133" s="44"/>
      <c r="X133" s="19"/>
      <c r="Y133" s="19"/>
      <c r="Z133" s="19"/>
      <c r="AA133" s="20">
        <f>IF(Données[[#This Row],[TYPE]]="Rehab",0,IFERROR((Données[[#This Row],[Date Livraison VEFA estimée avec retards constatés]]-Données[[#This Row],[Date livraison contractuelle y/c avenant]])/30,"-"))</f>
        <v>0</v>
      </c>
      <c r="AB133" s="21">
        <f>IF(Données[[#This Row],[TYPE]]="Rehab",0,Données[[#This Row],[Date Livraison VEFA estimée avec retards constatés]]-Données[[#This Row],[Date livraison contractuelle y/c avenant]])</f>
        <v>0</v>
      </c>
      <c r="AC133" s="105"/>
      <c r="AD133" s="106" t="str">
        <f>IF(AND(Données[[#This Row],[TYPE]]&lt;&gt;"Rehab",Données[[#This Row],[Achèvement fondations]]&lt;&gt;""),EDATE(Données[[#This Row],[Achèvement fondations]],24),"")</f>
        <v/>
      </c>
      <c r="AE133" s="107">
        <f>IF(Données[[#This Row],[VEFA / PROPRE]]="vefa",EDATE(Données[[#This Row],[Date Livraison initiale VEFA]],1),EDATE(Données[[#This Row],[Date réception entreprise prévue initialement]],1))</f>
        <v>31</v>
      </c>
      <c r="AF133" s="24"/>
      <c r="AG133" s="108"/>
      <c r="AH133" s="59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33" s="26"/>
      <c r="AJ133" s="26">
        <f>IF(Données[[#This Row],[TYPE]]="Rehab","",Données[[#This Row],[Loyer mensuel]]*Données[[#This Row],[Retard Inauguration (m)]])</f>
        <v>0</v>
      </c>
      <c r="AR133"/>
      <c r="AS133"/>
      <c r="AT133"/>
      <c r="AV133"/>
      <c r="AW133"/>
      <c r="AY133"/>
      <c r="AZ133"/>
    </row>
    <row r="134" spans="1:52" x14ac:dyDescent="0.25">
      <c r="A134" s="4" t="s">
        <v>74</v>
      </c>
      <c r="B134" s="3"/>
      <c r="C134" s="3"/>
      <c r="D134" s="3"/>
      <c r="E134" s="4">
        <f>Données[[#This Row],[LLS]]+Données[[#This Row],[LLTS]]+Données[[#This Row],[PLS]]+Données[[#This Row],[REHAB]]</f>
        <v>0</v>
      </c>
      <c r="F134" s="4">
        <f>Données[[#This Row],[LLS]]+Données[[#This Row],[LLTS]]+Données[[#This Row],[PLS]]</f>
        <v>0</v>
      </c>
      <c r="G134" s="12"/>
      <c r="H134" s="4"/>
      <c r="I134" s="100"/>
      <c r="J134" s="4"/>
      <c r="K134" s="7"/>
      <c r="L134" s="8"/>
      <c r="M134" s="58"/>
      <c r="N134" s="101"/>
      <c r="O134" s="6">
        <f>IFERROR((DATEDIF(Données[[#This Row],[Arrêté LBU]],Données[[#This Row],[OS démarrage]],"d"))/30,0)</f>
        <v>0</v>
      </c>
      <c r="P134" s="29"/>
      <c r="Q134" s="4">
        <f>DATEDIF(Données[[#This Row],[OS démarrage]],Données[[#This Row],[Date réception entreprise recalée]],"M")</f>
        <v>0</v>
      </c>
      <c r="R134" s="102"/>
      <c r="S134" s="103">
        <f>EDATE(Données[[#This Row],[OS démarrage]],Données[[#This Row],[Délai chantier initial]])</f>
        <v>0</v>
      </c>
      <c r="T134" s="24"/>
      <c r="U134" s="16">
        <f>EDATE(Données[[#This Row],[Date réception entreprise recalée]],12)</f>
        <v>366</v>
      </c>
      <c r="V134" s="104">
        <f>(Données[[#This Row],[Date réception entreprise recalée]]-Données[[#This Row],[Date réception entreprise prévue initialement]])/30</f>
        <v>0</v>
      </c>
      <c r="W134" s="44"/>
      <c r="X134" s="19"/>
      <c r="Y134" s="19"/>
      <c r="Z134" s="19"/>
      <c r="AA134" s="20">
        <f>IF(Données[[#This Row],[TYPE]]="Rehab",0,IFERROR((Données[[#This Row],[Date Livraison VEFA estimée avec retards constatés]]-Données[[#This Row],[Date livraison contractuelle y/c avenant]])/30,"-"))</f>
        <v>0</v>
      </c>
      <c r="AB134" s="21">
        <f>IF(Données[[#This Row],[TYPE]]="Rehab",0,Données[[#This Row],[Date Livraison VEFA estimée avec retards constatés]]-Données[[#This Row],[Date livraison contractuelle y/c avenant]])</f>
        <v>0</v>
      </c>
      <c r="AC134" s="105"/>
      <c r="AD134" s="106" t="str">
        <f>IF(AND(Données[[#This Row],[TYPE]]&lt;&gt;"Rehab",Données[[#This Row],[Achèvement fondations]]&lt;&gt;""),EDATE(Données[[#This Row],[Achèvement fondations]],24),"")</f>
        <v/>
      </c>
      <c r="AE134" s="107">
        <f>IF(Données[[#This Row],[VEFA / PROPRE]]="vefa",EDATE(Données[[#This Row],[Date Livraison initiale VEFA]],1),EDATE(Données[[#This Row],[Date réception entreprise prévue initialement]],1))</f>
        <v>31</v>
      </c>
      <c r="AF134" s="24"/>
      <c r="AG134" s="108"/>
      <c r="AH134" s="59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34" s="26"/>
      <c r="AJ134" s="26">
        <f>IF(Données[[#This Row],[TYPE]]="Rehab","",Données[[#This Row],[Loyer mensuel]]*Données[[#This Row],[Retard Inauguration (m)]])</f>
        <v>0</v>
      </c>
      <c r="AR134"/>
      <c r="AS134"/>
      <c r="AT134"/>
      <c r="AV134"/>
      <c r="AW134"/>
      <c r="AY134"/>
      <c r="AZ134"/>
    </row>
    <row r="135" spans="1:52" x14ac:dyDescent="0.25">
      <c r="A135" s="4" t="s">
        <v>41</v>
      </c>
      <c r="B135" s="3"/>
      <c r="C135" s="3"/>
      <c r="D135" s="3"/>
      <c r="E135" s="4">
        <f>Données[[#This Row],[LLS]]+Données[[#This Row],[LLTS]]+Données[[#This Row],[PLS]]+Données[[#This Row],[REHAB]]</f>
        <v>0</v>
      </c>
      <c r="F135" s="4">
        <f>Données[[#This Row],[LLS]]+Données[[#This Row],[LLTS]]+Données[[#This Row],[PLS]]</f>
        <v>0</v>
      </c>
      <c r="G135" s="12"/>
      <c r="H135" s="4"/>
      <c r="I135" s="100"/>
      <c r="J135" s="4"/>
      <c r="K135" s="7"/>
      <c r="L135" s="8"/>
      <c r="M135" s="58"/>
      <c r="N135" s="101"/>
      <c r="O135" s="6">
        <f>IFERROR((DATEDIF(Données[[#This Row],[Arrêté LBU]],Données[[#This Row],[OS démarrage]],"d"))/30,0)</f>
        <v>0</v>
      </c>
      <c r="P135" s="29"/>
      <c r="Q135" s="4">
        <f>DATEDIF(Données[[#This Row],[OS démarrage]],Données[[#This Row],[Date réception entreprise recalée]],"M")</f>
        <v>0</v>
      </c>
      <c r="R135" s="102"/>
      <c r="S135" s="103">
        <f>EDATE(Données[[#This Row],[OS démarrage]],Données[[#This Row],[Délai chantier initial]])</f>
        <v>0</v>
      </c>
      <c r="T135" s="24"/>
      <c r="U135" s="16">
        <f>EDATE(Données[[#This Row],[Date réception entreprise recalée]],12)</f>
        <v>366</v>
      </c>
      <c r="V135" s="104">
        <f>(Données[[#This Row],[Date réception entreprise recalée]]-Données[[#This Row],[Date réception entreprise prévue initialement]])/30</f>
        <v>0</v>
      </c>
      <c r="W135" s="44"/>
      <c r="X135" s="19"/>
      <c r="Y135" s="19"/>
      <c r="Z135" s="19"/>
      <c r="AA135" s="20">
        <f>IF(Données[[#This Row],[TYPE]]="Rehab",0,IFERROR((Données[[#This Row],[Date Livraison VEFA estimée avec retards constatés]]-Données[[#This Row],[Date livraison contractuelle y/c avenant]])/30,"-"))</f>
        <v>0</v>
      </c>
      <c r="AB135" s="21">
        <f>IF(Données[[#This Row],[TYPE]]="Rehab",0,Données[[#This Row],[Date Livraison VEFA estimée avec retards constatés]]-Données[[#This Row],[Date livraison contractuelle y/c avenant]])</f>
        <v>0</v>
      </c>
      <c r="AC135" s="105"/>
      <c r="AD135" s="106" t="str">
        <f>IF(AND(Données[[#This Row],[TYPE]]&lt;&gt;"Rehab",Données[[#This Row],[Achèvement fondations]]&lt;&gt;""),EDATE(Données[[#This Row],[Achèvement fondations]],24),"")</f>
        <v/>
      </c>
      <c r="AE135" s="107">
        <f>IF(Données[[#This Row],[VEFA / PROPRE]]="vefa",EDATE(Données[[#This Row],[Date Livraison initiale VEFA]],1),EDATE(Données[[#This Row],[Date réception entreprise prévue initialement]],1))</f>
        <v>31</v>
      </c>
      <c r="AF135" s="24"/>
      <c r="AG135" s="108"/>
      <c r="AH135" s="59">
        <f>IF((Données[[#This Row],[Date inauguration recalée]]-Données[[#This Row],[Date inauguration initiale]])/30&lt;0,0,(Données[[#This Row],[Date inauguration recalée]]-Données[[#This Row],[Date inauguration initiale]])/30)</f>
        <v>0</v>
      </c>
      <c r="AI135" s="26"/>
      <c r="AJ135" s="26">
        <f>IF(Données[[#This Row],[TYPE]]="Rehab","",Données[[#This Row],[Loyer mensuel]]*Données[[#This Row],[Retard Inauguration (m)]])</f>
        <v>0</v>
      </c>
      <c r="AR135"/>
      <c r="AS135"/>
      <c r="AT135"/>
      <c r="AV135"/>
      <c r="AW135"/>
      <c r="AY135"/>
      <c r="AZ135"/>
    </row>
    <row r="136" spans="1:52" x14ac:dyDescent="0.25">
      <c r="A136" s="66" t="s">
        <v>45</v>
      </c>
      <c r="B136" s="67"/>
      <c r="C136" s="67"/>
      <c r="D136" s="67"/>
      <c r="E136" s="67">
        <f>SUBTOTAL(109,Données[N])</f>
        <v>4073</v>
      </c>
      <c r="F136" s="66"/>
      <c r="G136" s="68"/>
      <c r="H136" s="66"/>
      <c r="I136" s="69"/>
      <c r="J136" s="66"/>
      <c r="K136" s="66"/>
      <c r="L136" s="71"/>
      <c r="M136" s="72"/>
      <c r="N136" s="73"/>
      <c r="O136" s="66"/>
      <c r="P136" s="74"/>
      <c r="Q136" s="66"/>
      <c r="R136" s="70"/>
      <c r="S136" s="75"/>
      <c r="T136" s="76"/>
      <c r="U136" s="77"/>
      <c r="V136" s="78"/>
      <c r="W136" s="79"/>
      <c r="X136" s="80"/>
      <c r="Y136" s="80"/>
      <c r="Z136" s="80"/>
      <c r="AA136" s="81"/>
      <c r="AB136" s="81"/>
      <c r="AC136" s="81"/>
      <c r="AD136" s="82"/>
      <c r="AE136" s="83"/>
      <c r="AF136" s="72"/>
      <c r="AG136" s="84"/>
      <c r="AH136" s="66"/>
      <c r="AI136" s="66"/>
      <c r="AJ136" s="66">
        <f>SUBTOTAL(103,Données[Perte loyer])</f>
        <v>134</v>
      </c>
      <c r="AR136"/>
      <c r="AS136"/>
      <c r="AT136"/>
      <c r="AV136"/>
      <c r="AW136"/>
      <c r="AY136"/>
      <c r="AZ136"/>
    </row>
    <row r="137" spans="1:52" x14ac:dyDescent="0.25">
      <c r="L137" s="85"/>
      <c r="AA137" s="88" t="e">
        <f>#REF!/#REF!</f>
        <v>#REF!</v>
      </c>
      <c r="AR137"/>
      <c r="AS137"/>
      <c r="AT137"/>
      <c r="AV137"/>
      <c r="AW137"/>
      <c r="AY137"/>
      <c r="AZ137"/>
    </row>
    <row r="138" spans="1:52" x14ac:dyDescent="0.25">
      <c r="AR138"/>
      <c r="AS138"/>
      <c r="AT138"/>
      <c r="AV138"/>
      <c r="AW138"/>
      <c r="AY138"/>
      <c r="AZ138"/>
    </row>
    <row r="139" spans="1:52" x14ac:dyDescent="0.25">
      <c r="AR139"/>
      <c r="AS139"/>
      <c r="AT139"/>
      <c r="AV139"/>
      <c r="AW139"/>
      <c r="AY139"/>
      <c r="AZ139"/>
    </row>
    <row r="140" spans="1:52" x14ac:dyDescent="0.25">
      <c r="AR140"/>
      <c r="AS140"/>
      <c r="AT140"/>
      <c r="AV140"/>
      <c r="AW140"/>
      <c r="AY140"/>
      <c r="AZ140"/>
    </row>
    <row r="141" spans="1:52" x14ac:dyDescent="0.25">
      <c r="AR141"/>
      <c r="AS141"/>
      <c r="AT141"/>
      <c r="AV141"/>
      <c r="AW141"/>
      <c r="AY141"/>
      <c r="AZ141"/>
    </row>
    <row r="142" spans="1:52" x14ac:dyDescent="0.25">
      <c r="AR142"/>
      <c r="AS142"/>
      <c r="AT142"/>
      <c r="AV142"/>
      <c r="AW142"/>
      <c r="AY142"/>
      <c r="AZ142"/>
    </row>
    <row r="143" spans="1:52" x14ac:dyDescent="0.25">
      <c r="AR143"/>
      <c r="AS143"/>
      <c r="AT143"/>
      <c r="AV143"/>
      <c r="AW143"/>
      <c r="AY143"/>
      <c r="AZ143"/>
    </row>
    <row r="144" spans="1:52" x14ac:dyDescent="0.25">
      <c r="AR144"/>
      <c r="AS144"/>
      <c r="AT144"/>
      <c r="AV144"/>
      <c r="AW144"/>
      <c r="AY144"/>
      <c r="AZ144"/>
    </row>
    <row r="145" spans="22:52" x14ac:dyDescent="0.25">
      <c r="AR145"/>
      <c r="AS145"/>
      <c r="AT145"/>
      <c r="AV145"/>
      <c r="AW145"/>
      <c r="AY145"/>
      <c r="AZ145"/>
    </row>
    <row r="146" spans="22:52" x14ac:dyDescent="0.25">
      <c r="AR146"/>
      <c r="AS146"/>
      <c r="AT146"/>
      <c r="AV146"/>
      <c r="AW146"/>
      <c r="AY146"/>
      <c r="AZ146"/>
    </row>
    <row r="147" spans="22:52" x14ac:dyDescent="0.25">
      <c r="AR147"/>
      <c r="AS147"/>
      <c r="AT147"/>
      <c r="AV147"/>
      <c r="AW147"/>
      <c r="AY147"/>
      <c r="AZ147"/>
    </row>
    <row r="148" spans="22:52" x14ac:dyDescent="0.25">
      <c r="AR148"/>
      <c r="AS148"/>
      <c r="AT148"/>
      <c r="AV148"/>
      <c r="AW148"/>
      <c r="AY148"/>
      <c r="AZ148"/>
    </row>
    <row r="149" spans="22:52" x14ac:dyDescent="0.25">
      <c r="AR149"/>
      <c r="AS149"/>
      <c r="AT149"/>
      <c r="AV149"/>
      <c r="AW149"/>
      <c r="AY149"/>
      <c r="AZ149"/>
    </row>
    <row r="150" spans="22:52" x14ac:dyDescent="0.25">
      <c r="AR150"/>
      <c r="AS150"/>
      <c r="AT150"/>
      <c r="AV150"/>
      <c r="AW150"/>
      <c r="AY150"/>
      <c r="AZ150"/>
    </row>
    <row r="151" spans="22:52" x14ac:dyDescent="0.25">
      <c r="V151">
        <f>3555116.28+5017920.55</f>
        <v>8573036.8300000001</v>
      </c>
      <c r="AR151"/>
      <c r="AS151"/>
      <c r="AT151"/>
      <c r="AV151"/>
      <c r="AW151"/>
      <c r="AY151"/>
      <c r="AZ151"/>
    </row>
    <row r="152" spans="22:52" x14ac:dyDescent="0.25">
      <c r="AR152"/>
      <c r="AS152"/>
      <c r="AT152"/>
      <c r="AV152"/>
      <c r="AW152"/>
      <c r="AY152"/>
      <c r="AZ152"/>
    </row>
    <row r="153" spans="22:52" x14ac:dyDescent="0.25">
      <c r="AR153"/>
      <c r="AS153"/>
      <c r="AT153"/>
      <c r="AV153"/>
      <c r="AW153"/>
      <c r="AY153"/>
      <c r="AZ153"/>
    </row>
    <row r="154" spans="22:52" x14ac:dyDescent="0.25">
      <c r="AR154"/>
      <c r="AS154"/>
      <c r="AT154"/>
      <c r="AV154"/>
      <c r="AW154"/>
      <c r="AY154"/>
      <c r="AZ154"/>
    </row>
    <row r="155" spans="22:52" x14ac:dyDescent="0.25">
      <c r="AR155"/>
      <c r="AS155"/>
      <c r="AT155"/>
      <c r="AV155"/>
      <c r="AW155"/>
      <c r="AY155"/>
      <c r="AZ155"/>
    </row>
    <row r="156" spans="22:52" x14ac:dyDescent="0.25">
      <c r="AR156"/>
      <c r="AS156"/>
      <c r="AT156"/>
      <c r="AV156"/>
      <c r="AW156"/>
      <c r="AY156"/>
      <c r="AZ156"/>
    </row>
    <row r="157" spans="22:52" x14ac:dyDescent="0.25">
      <c r="AR157"/>
      <c r="AS157"/>
      <c r="AT157"/>
      <c r="AV157"/>
      <c r="AW157"/>
      <c r="AY157"/>
      <c r="AZ157"/>
    </row>
    <row r="158" spans="22:52" x14ac:dyDescent="0.25">
      <c r="AR158"/>
      <c r="AS158"/>
      <c r="AT158"/>
      <c r="AV158"/>
      <c r="AW158"/>
      <c r="AY158"/>
      <c r="AZ158"/>
    </row>
    <row r="159" spans="22:52" x14ac:dyDescent="0.25">
      <c r="AR159"/>
      <c r="AS159"/>
      <c r="AT159"/>
      <c r="AV159"/>
      <c r="AW159"/>
      <c r="AY159"/>
      <c r="AZ159"/>
    </row>
    <row r="160" spans="22:52" x14ac:dyDescent="0.25">
      <c r="AR160"/>
      <c r="AS160"/>
      <c r="AT160"/>
      <c r="AV160"/>
      <c r="AW160"/>
      <c r="AY160"/>
      <c r="AZ160"/>
    </row>
    <row r="161" spans="44:52" x14ac:dyDescent="0.25">
      <c r="AR161"/>
      <c r="AS161"/>
      <c r="AT161"/>
      <c r="AV161"/>
      <c r="AW161"/>
      <c r="AY161"/>
      <c r="AZ161"/>
    </row>
    <row r="162" spans="44:52" x14ac:dyDescent="0.25">
      <c r="AR162"/>
      <c r="AS162"/>
      <c r="AT162"/>
      <c r="AV162"/>
      <c r="AW162"/>
      <c r="AY162"/>
      <c r="AZ162"/>
    </row>
    <row r="163" spans="44:52" x14ac:dyDescent="0.25">
      <c r="AR163"/>
      <c r="AS163"/>
      <c r="AT163"/>
      <c r="AV163"/>
      <c r="AW163"/>
      <c r="AY163"/>
      <c r="AZ163"/>
    </row>
    <row r="164" spans="44:52" x14ac:dyDescent="0.25">
      <c r="AR164"/>
      <c r="AS164"/>
      <c r="AT164"/>
      <c r="AV164"/>
      <c r="AW164"/>
      <c r="AY164"/>
      <c r="AZ164"/>
    </row>
    <row r="165" spans="44:52" x14ac:dyDescent="0.25">
      <c r="AR165"/>
      <c r="AS165"/>
      <c r="AT165"/>
      <c r="AV165"/>
      <c r="AW165"/>
      <c r="AY165"/>
      <c r="AZ165"/>
    </row>
    <row r="166" spans="44:52" x14ac:dyDescent="0.25">
      <c r="AR166"/>
      <c r="AS166"/>
      <c r="AT166"/>
      <c r="AV166"/>
      <c r="AW166"/>
      <c r="AY166"/>
      <c r="AZ166"/>
    </row>
    <row r="167" spans="44:52" x14ac:dyDescent="0.25">
      <c r="AR167"/>
      <c r="AS167"/>
      <c r="AT167"/>
      <c r="AV167"/>
      <c r="AW167"/>
      <c r="AY167"/>
      <c r="AZ167"/>
    </row>
    <row r="168" spans="44:52" x14ac:dyDescent="0.25">
      <c r="AR168"/>
      <c r="AS168"/>
      <c r="AT168"/>
      <c r="AV168"/>
      <c r="AW168"/>
      <c r="AY168"/>
      <c r="AZ168"/>
    </row>
    <row r="169" spans="44:52" x14ac:dyDescent="0.25">
      <c r="AR169"/>
      <c r="AS169"/>
      <c r="AT169"/>
      <c r="AV169"/>
      <c r="AW169"/>
      <c r="AY169"/>
      <c r="AZ169"/>
    </row>
  </sheetData>
  <conditionalFormatting sqref="M19">
    <cfRule type="expression" dxfId="67" priority="47">
      <formula>$BN19&gt;=TODAY()</formula>
    </cfRule>
  </conditionalFormatting>
  <conditionalFormatting sqref="W2:W135">
    <cfRule type="expression" dxfId="66" priority="46">
      <formula>$W2&gt;=TODAY()</formula>
    </cfRule>
  </conditionalFormatting>
  <conditionalFormatting sqref="X37">
    <cfRule type="expression" dxfId="65" priority="45">
      <formula>$W37&gt;=TODAY()</formula>
    </cfRule>
  </conditionalFormatting>
  <conditionalFormatting sqref="X2:X135">
    <cfRule type="expression" dxfId="64" priority="44">
      <formula>$X2&gt;=TODAY()</formula>
    </cfRule>
  </conditionalFormatting>
  <conditionalFormatting sqref="Y2:Y135">
    <cfRule type="expression" dxfId="63" priority="43">
      <formula>$Y2&gt;=TODAY()</formula>
    </cfRule>
  </conditionalFormatting>
  <conditionalFormatting sqref="T2:U135">
    <cfRule type="expression" dxfId="62" priority="41">
      <formula>$T2&gt;=TODAY()</formula>
    </cfRule>
  </conditionalFormatting>
  <conditionalFormatting sqref="Z10">
    <cfRule type="expression" dxfId="61" priority="40">
      <formula>$Y10&gt;=TODAY()</formula>
    </cfRule>
  </conditionalFormatting>
  <conditionalFormatting sqref="Z17">
    <cfRule type="expression" dxfId="60" priority="39">
      <formula>$Y17&gt;=TODAY()</formula>
    </cfRule>
  </conditionalFormatting>
  <conditionalFormatting sqref="W82:Z84 W85:Y86 Z86 W2:Z78 W79:Y81 Z80:Z81 W87:Z117">
    <cfRule type="expression" dxfId="59" priority="36">
      <formula>$K2&lt;&gt;"VEFA"</formula>
    </cfRule>
  </conditionalFormatting>
  <conditionalFormatting sqref="G2:G135">
    <cfRule type="expression" dxfId="58" priority="35">
      <formula>$G2=""</formula>
    </cfRule>
  </conditionalFormatting>
  <conditionalFormatting sqref="H2:H135">
    <cfRule type="expression" dxfId="57" priority="34">
      <formula>$H2=""</formula>
    </cfRule>
  </conditionalFormatting>
  <conditionalFormatting sqref="I2:I135">
    <cfRule type="expression" dxfId="56" priority="33">
      <formula>$I2=""</formula>
    </cfRule>
  </conditionalFormatting>
  <conditionalFormatting sqref="J2:J135">
    <cfRule type="expression" dxfId="55" priority="32">
      <formula>$J2=""</formula>
    </cfRule>
  </conditionalFormatting>
  <conditionalFormatting sqref="F2:F135">
    <cfRule type="expression" dxfId="54" priority="31">
      <formula>$F2=0</formula>
    </cfRule>
  </conditionalFormatting>
  <conditionalFormatting sqref="AD2:AD135">
    <cfRule type="expression" dxfId="53" priority="3">
      <formula>$AG2&lt;&gt;""</formula>
    </cfRule>
    <cfRule type="expression" dxfId="52" priority="22">
      <formula>$AD2=""</formula>
    </cfRule>
    <cfRule type="expression" dxfId="51" priority="23">
      <formula>$AD2&gt;=TODAY()</formula>
    </cfRule>
    <cfRule type="expression" dxfId="50" priority="24">
      <formula>$AD2=""</formula>
    </cfRule>
  </conditionalFormatting>
  <conditionalFormatting sqref="AH2:AJ135 Q2:Q135 S2:T135 V2:AB135">
    <cfRule type="expression" dxfId="49" priority="21">
      <formula>$AG2&lt;&gt;""</formula>
    </cfRule>
  </conditionalFormatting>
  <conditionalFormatting sqref="AF2:AF135">
    <cfRule type="expression" dxfId="48" priority="19">
      <formula>$AF2&gt;=TODAY()</formula>
    </cfRule>
    <cfRule type="expression" dxfId="47" priority="20">
      <formula>$AG2&lt;&gt;""</formula>
    </cfRule>
  </conditionalFormatting>
  <conditionalFormatting sqref="Z2:Z78 Z80:Z84 Z86:Z117">
    <cfRule type="expression" dxfId="46" priority="48">
      <formula>$Z2&gt;=TODAY()</formula>
    </cfRule>
  </conditionalFormatting>
  <conditionalFormatting sqref="Z79">
    <cfRule type="expression" dxfId="45" priority="15">
      <formula>$T79&gt;=TODAY()</formula>
    </cfRule>
  </conditionalFormatting>
  <conditionalFormatting sqref="Z85">
    <cfRule type="expression" dxfId="44" priority="14">
      <formula>$T85&gt;=TODAY()</formula>
    </cfRule>
  </conditionalFormatting>
  <conditionalFormatting sqref="M2:P135">
    <cfRule type="expression" dxfId="43" priority="13">
      <formula>$N2&lt;&gt;""</formula>
    </cfRule>
  </conditionalFormatting>
  <conditionalFormatting sqref="U2:U135">
    <cfRule type="cellIs" dxfId="42" priority="8" operator="lessThan">
      <formula>TODAY()</formula>
    </cfRule>
  </conditionalFormatting>
  <conditionalFormatting sqref="AA2:AC135">
    <cfRule type="expression" dxfId="41" priority="5">
      <formula>$D2="Rehab"</formula>
    </cfRule>
  </conditionalFormatting>
  <conditionalFormatting sqref="AC2:AC135">
    <cfRule type="expression" dxfId="40" priority="4">
      <formula>$AC2&lt;&gt;""</formula>
    </cfRule>
  </conditionalFormatting>
  <conditionalFormatting sqref="AE2:AE135">
    <cfRule type="expression" dxfId="39" priority="1">
      <formula>$AG2&lt;&gt;""</formula>
    </cfRule>
    <cfRule type="expression" dxfId="38" priority="2">
      <formula>$AE2&gt;=TODAY()</formula>
    </cfRule>
  </conditionalFormatting>
  <conditionalFormatting sqref="R2:R135">
    <cfRule type="expression" dxfId="37" priority="96">
      <formula>$R2&lt;&gt;""</formula>
    </cfRule>
    <cfRule type="expression" dxfId="36" priority="97">
      <formula>$D2="Rehab"</formula>
    </cfRule>
  </conditionalFormatting>
  <dataValidations count="3">
    <dataValidation type="list" allowBlank="1" showInputMessage="1" showErrorMessage="1" sqref="B2:B135" xr:uid="{2CDAD424-C748-4C50-BDD9-B8431EDB1322}">
      <formula1>EPCI</formula1>
    </dataValidation>
    <dataValidation type="list" allowBlank="1" showInputMessage="1" showErrorMessage="1" sqref="D2:D135" xr:uid="{1067E918-6C38-4FB4-ADE8-FFC54F63D137}">
      <formula1>"LLS,LLTS,PLS,Rehab"</formula1>
    </dataValidation>
    <dataValidation type="list" allowBlank="1" showInputMessage="1" showErrorMessage="1" sqref="K2" xr:uid="{879CA2C8-9CB6-4A19-A53F-66FC6E1E1376}">
      <formula1>"VEFA,Propre"</formula1>
    </dataValidation>
  </dataValidations>
  <pageMargins left="0.25" right="0.25" top="0.75" bottom="0.75" header="0.3" footer="0.3"/>
  <pageSetup paperSize="8" scale="86" orientation="portrait" r:id="rId1"/>
  <headerFooter>
    <oddHeader xml:space="preserve">&amp;CTableau de bord _ Données
</oddHeader>
    <oddFooter>&amp;LDDCP&amp;R&amp;D</oddFooter>
  </headerFooter>
  <colBreaks count="1" manualBreakCount="1">
    <brk id="70" max="1048575" man="1"/>
  </col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85A53-069B-4BB3-8672-960003DA6E0D}">
  <dimension ref="A1:Q100"/>
  <sheetViews>
    <sheetView tabSelected="1" zoomScale="85" zoomScaleNormal="85" workbookViewId="0">
      <pane ySplit="1" topLeftCell="A2" activePane="bottomLeft" state="frozen"/>
      <selection pane="bottomLeft" activeCell="N22" sqref="N22"/>
    </sheetView>
  </sheetViews>
  <sheetFormatPr baseColWidth="10" defaultRowHeight="15" x14ac:dyDescent="0.25"/>
  <cols>
    <col min="1" max="1" width="19.7109375" bestFit="1" customWidth="1"/>
    <col min="2" max="2" width="22.42578125" bestFit="1" customWidth="1"/>
    <col min="6" max="6" width="19.7109375" bestFit="1" customWidth="1"/>
    <col min="7" max="7" width="22.28515625" bestFit="1" customWidth="1"/>
    <col min="8" max="8" width="24.7109375" customWidth="1"/>
    <col min="9" max="9" width="23.42578125" customWidth="1"/>
    <col min="10" max="10" width="11.85546875" bestFit="1" customWidth="1"/>
    <col min="11" max="11" width="16.42578125" bestFit="1" customWidth="1"/>
    <col min="14" max="14" width="16.42578125" bestFit="1" customWidth="1"/>
    <col min="17" max="17" width="14.140625" customWidth="1"/>
  </cols>
  <sheetData>
    <row r="1" spans="1:17" ht="45" x14ac:dyDescent="0.25">
      <c r="A1" s="147" t="s">
        <v>0</v>
      </c>
      <c r="B1" s="148" t="s">
        <v>1</v>
      </c>
      <c r="C1" s="148" t="s">
        <v>2</v>
      </c>
      <c r="D1" s="148" t="s">
        <v>3</v>
      </c>
      <c r="E1" s="148" t="s">
        <v>4</v>
      </c>
      <c r="F1" s="148" t="s">
        <v>11</v>
      </c>
      <c r="G1" s="148" t="s">
        <v>12</v>
      </c>
      <c r="H1" s="149" t="s">
        <v>31</v>
      </c>
      <c r="J1" s="135" t="s">
        <v>49</v>
      </c>
      <c r="K1" s="136" t="s">
        <v>50</v>
      </c>
      <c r="L1" s="137" t="s">
        <v>51</v>
      </c>
      <c r="M1" s="138" t="s">
        <v>52</v>
      </c>
      <c r="N1" s="139" t="s">
        <v>6</v>
      </c>
      <c r="O1" s="140" t="s">
        <v>7</v>
      </c>
      <c r="P1" s="141" t="s">
        <v>8</v>
      </c>
      <c r="Q1" s="142" t="s">
        <v>53</v>
      </c>
    </row>
    <row r="2" spans="1:17" x14ac:dyDescent="0.25">
      <c r="A2" s="111" t="s">
        <v>57</v>
      </c>
      <c r="B2" s="112" t="s">
        <v>38</v>
      </c>
      <c r="C2" s="112">
        <v>2020</v>
      </c>
      <c r="D2" s="112" t="s">
        <v>6</v>
      </c>
      <c r="E2" s="113">
        <v>30</v>
      </c>
      <c r="F2" s="114">
        <v>44027</v>
      </c>
      <c r="G2" s="115">
        <v>44256</v>
      </c>
      <c r="H2" s="116">
        <v>45126</v>
      </c>
      <c r="J2" s="133">
        <v>2022</v>
      </c>
      <c r="K2" s="129" cm="1">
        <f t="array" ref="K2">SUMPRODUCT((Données[Prog]='Tableau de bord CN 2023-2024'!J2)*Données[N hors REHAB])</f>
        <v>227</v>
      </c>
      <c r="L2" s="131" cm="1">
        <f t="array" ref="L2">SUMPRODUCT((YEAR(Données[Date inauguration recalée])=J2)*Données[N hors REHAB])</f>
        <v>231</v>
      </c>
      <c r="M2" s="131">
        <f t="shared" ref="M2:M4" si="0">$F$80</f>
        <v>300</v>
      </c>
      <c r="N2" s="132">
        <f>SUMIFS($E$2:$E$68,$C$2:$C$68,$J2,$D$2:$D$68,N$1)</f>
        <v>63</v>
      </c>
      <c r="O2" s="132">
        <f>SUMIFS($E$2:$E$68,$C$2:$C$68,$J2,$D$2:$D$68,O$1)</f>
        <v>54</v>
      </c>
      <c r="P2" s="132">
        <f>SUMIFS($E$2:$E$68,$C$2:$C$68,$J2,$D$2:$D$68,P$1)</f>
        <v>110</v>
      </c>
      <c r="Q2" s="132">
        <f>SUM($N2:$P2)</f>
        <v>227</v>
      </c>
    </row>
    <row r="3" spans="1:17" x14ac:dyDescent="0.25">
      <c r="A3" s="111" t="s">
        <v>58</v>
      </c>
      <c r="B3" s="112" t="s">
        <v>38</v>
      </c>
      <c r="C3" s="112">
        <v>2019</v>
      </c>
      <c r="D3" s="112" t="s">
        <v>6</v>
      </c>
      <c r="E3" s="113">
        <v>46</v>
      </c>
      <c r="F3" s="114">
        <v>43745</v>
      </c>
      <c r="G3" s="115">
        <v>43997</v>
      </c>
      <c r="H3" s="116">
        <v>45138</v>
      </c>
      <c r="J3" s="134">
        <v>2023</v>
      </c>
      <c r="K3" s="129" cm="1">
        <f t="array" ref="K3">SUMPRODUCT((Données[Prog]='Tableau de bord CN 2023-2024'!J3)*Données[N hors REHAB])</f>
        <v>271</v>
      </c>
      <c r="L3" s="131" cm="1">
        <f t="array" ref="L3">SUMPRODUCT((YEAR(Données[Date inauguration recalée])=J3)*Données[N hors REHAB])</f>
        <v>455</v>
      </c>
      <c r="M3" s="129">
        <f t="shared" si="0"/>
        <v>300</v>
      </c>
      <c r="N3" s="130">
        <f>SUMIFS($E$2:$E$68,$C$2:$C$68,$J3,$D$2:$D$68,N$1)</f>
        <v>60</v>
      </c>
      <c r="O3" s="130">
        <f>SUMIFS($E$2:$E$68,$C$2:$C$68,$J3,$D$2:$D$68,O$1)</f>
        <v>160</v>
      </c>
      <c r="P3" s="130">
        <f>SUMIFS($E$2:$E$68,$C$2:$C$68,$J3,$D$2:$D$68,P$1)</f>
        <v>51</v>
      </c>
      <c r="Q3" s="130">
        <f t="shared" ref="Q3:Q4" si="1">SUM($N3:$P3)</f>
        <v>271</v>
      </c>
    </row>
    <row r="4" spans="1:17" x14ac:dyDescent="0.25">
      <c r="A4" s="111" t="s">
        <v>59</v>
      </c>
      <c r="B4" s="112" t="s">
        <v>38</v>
      </c>
      <c r="C4" s="112">
        <v>2019</v>
      </c>
      <c r="D4" s="112" t="s">
        <v>7</v>
      </c>
      <c r="E4" s="113">
        <v>20</v>
      </c>
      <c r="F4" s="114">
        <v>43745</v>
      </c>
      <c r="G4" s="115">
        <v>43997</v>
      </c>
      <c r="H4" s="116">
        <v>45138</v>
      </c>
      <c r="J4" s="143">
        <v>2024</v>
      </c>
      <c r="K4" s="144" cm="1">
        <f t="array" ref="K4">SUMPRODUCT((Données[Prog]='Tableau de bord CN 2023-2024'!J4)*Données[N hors REHAB])</f>
        <v>619</v>
      </c>
      <c r="L4" s="145" cm="1">
        <f t="array" ref="L4">SUMPRODUCT((YEAR(Données[Date inauguration recalée])=J4)*Données[N hors REHAB])</f>
        <v>114</v>
      </c>
      <c r="M4" s="144">
        <f t="shared" si="0"/>
        <v>300</v>
      </c>
      <c r="N4" s="146">
        <f>SUMIFS($E$2:$E$68,$C$2:$C$68,$J4,$D$2:$D$68,N$1)</f>
        <v>218</v>
      </c>
      <c r="O4" s="146">
        <f>SUMIFS($E$2:$E$68,$C$2:$C$68,$J4,$D$2:$D$68,O$1)</f>
        <v>220</v>
      </c>
      <c r="P4" s="146">
        <f>SUMIFS($E$2:$E$68,$C$2:$C$68,$J4,$D$2:$D$68,P$1)</f>
        <v>186</v>
      </c>
      <c r="Q4" s="146">
        <f t="shared" si="1"/>
        <v>624</v>
      </c>
    </row>
    <row r="5" spans="1:17" x14ac:dyDescent="0.25">
      <c r="A5" s="113" t="s">
        <v>60</v>
      </c>
      <c r="B5" s="112" t="s">
        <v>38</v>
      </c>
      <c r="C5" s="112">
        <v>2020</v>
      </c>
      <c r="D5" s="112" t="s">
        <v>6</v>
      </c>
      <c r="E5" s="113">
        <v>10</v>
      </c>
      <c r="F5" s="114">
        <v>44175</v>
      </c>
      <c r="G5" s="115">
        <v>44301</v>
      </c>
      <c r="H5" s="116">
        <v>45167</v>
      </c>
    </row>
    <row r="6" spans="1:17" x14ac:dyDescent="0.25">
      <c r="A6" s="113" t="s">
        <v>61</v>
      </c>
      <c r="B6" s="112" t="s">
        <v>38</v>
      </c>
      <c r="C6" s="112">
        <v>2020</v>
      </c>
      <c r="D6" s="112" t="s">
        <v>7</v>
      </c>
      <c r="E6" s="113">
        <v>8</v>
      </c>
      <c r="F6" s="114">
        <v>44175</v>
      </c>
      <c r="G6" s="115">
        <v>44301</v>
      </c>
      <c r="H6" s="116">
        <v>45167</v>
      </c>
    </row>
    <row r="7" spans="1:17" x14ac:dyDescent="0.25">
      <c r="A7" s="113" t="s">
        <v>62</v>
      </c>
      <c r="B7" s="112" t="s">
        <v>40</v>
      </c>
      <c r="C7" s="112">
        <v>2017</v>
      </c>
      <c r="D7" s="112" t="s">
        <v>7</v>
      </c>
      <c r="E7" s="113">
        <v>84</v>
      </c>
      <c r="F7" s="114">
        <v>42929</v>
      </c>
      <c r="G7" s="115">
        <v>44148</v>
      </c>
      <c r="H7" s="116">
        <v>45209</v>
      </c>
    </row>
    <row r="8" spans="1:17" x14ac:dyDescent="0.25">
      <c r="A8" s="111" t="s">
        <v>63</v>
      </c>
      <c r="B8" s="112" t="s">
        <v>38</v>
      </c>
      <c r="C8" s="112">
        <v>2020</v>
      </c>
      <c r="D8" s="112" t="s">
        <v>6</v>
      </c>
      <c r="E8" s="113">
        <v>30</v>
      </c>
      <c r="F8" s="114">
        <v>43993</v>
      </c>
      <c r="G8" s="115">
        <v>44186</v>
      </c>
      <c r="H8" s="116">
        <v>45225</v>
      </c>
    </row>
    <row r="9" spans="1:17" x14ac:dyDescent="0.25">
      <c r="A9" s="111" t="s">
        <v>64</v>
      </c>
      <c r="B9" s="112" t="s">
        <v>38</v>
      </c>
      <c r="C9" s="112">
        <v>2020</v>
      </c>
      <c r="D9" s="112" t="s">
        <v>8</v>
      </c>
      <c r="E9" s="113">
        <v>93</v>
      </c>
      <c r="F9" s="114">
        <v>43977</v>
      </c>
      <c r="G9" s="115">
        <v>44186</v>
      </c>
      <c r="H9" s="116">
        <v>45225</v>
      </c>
    </row>
    <row r="10" spans="1:17" x14ac:dyDescent="0.25">
      <c r="A10" s="117" t="s">
        <v>65</v>
      </c>
      <c r="B10" s="112" t="s">
        <v>40</v>
      </c>
      <c r="C10" s="112">
        <v>2018</v>
      </c>
      <c r="D10" s="112" t="s">
        <v>6</v>
      </c>
      <c r="E10" s="113">
        <v>22</v>
      </c>
      <c r="F10" s="114">
        <v>43334</v>
      </c>
      <c r="G10" s="115">
        <v>44148</v>
      </c>
      <c r="H10" s="118">
        <v>45238</v>
      </c>
    </row>
    <row r="11" spans="1:17" x14ac:dyDescent="0.25">
      <c r="A11" s="117" t="s">
        <v>66</v>
      </c>
      <c r="B11" s="112" t="s">
        <v>40</v>
      </c>
      <c r="C11" s="112">
        <v>2018</v>
      </c>
      <c r="D11" s="112" t="s">
        <v>7</v>
      </c>
      <c r="E11" s="113">
        <v>34</v>
      </c>
      <c r="F11" s="114">
        <v>43334</v>
      </c>
      <c r="G11" s="115">
        <v>44148</v>
      </c>
      <c r="H11" s="118">
        <v>45238</v>
      </c>
    </row>
    <row r="12" spans="1:17" x14ac:dyDescent="0.25">
      <c r="A12" s="111" t="s">
        <v>67</v>
      </c>
      <c r="B12" s="112" t="s">
        <v>38</v>
      </c>
      <c r="C12" s="112">
        <v>2020</v>
      </c>
      <c r="D12" s="112" t="s">
        <v>6</v>
      </c>
      <c r="E12" s="113">
        <v>53</v>
      </c>
      <c r="F12" s="114">
        <v>44027</v>
      </c>
      <c r="G12" s="115">
        <v>44368</v>
      </c>
      <c r="H12" s="116">
        <v>45245</v>
      </c>
    </row>
    <row r="13" spans="1:17" x14ac:dyDescent="0.25">
      <c r="A13" s="111" t="s">
        <v>68</v>
      </c>
      <c r="B13" s="112" t="s">
        <v>38</v>
      </c>
      <c r="C13" s="112">
        <v>2020</v>
      </c>
      <c r="D13" s="112" t="s">
        <v>7</v>
      </c>
      <c r="E13" s="113">
        <v>25</v>
      </c>
      <c r="F13" s="114">
        <v>44027</v>
      </c>
      <c r="G13" s="115">
        <v>44368</v>
      </c>
      <c r="H13" s="116">
        <v>45245</v>
      </c>
    </row>
    <row r="14" spans="1:17" x14ac:dyDescent="0.25">
      <c r="A14" s="119" t="s">
        <v>69</v>
      </c>
      <c r="B14" s="112" t="s">
        <v>38</v>
      </c>
      <c r="C14" s="112">
        <v>2020</v>
      </c>
      <c r="D14" s="112" t="s">
        <v>6</v>
      </c>
      <c r="E14" s="113">
        <v>21</v>
      </c>
      <c r="F14" s="114">
        <v>43993</v>
      </c>
      <c r="G14" s="115">
        <v>44760</v>
      </c>
      <c r="H14" s="116">
        <v>45400</v>
      </c>
    </row>
    <row r="15" spans="1:17" x14ac:dyDescent="0.25">
      <c r="A15" s="119" t="s">
        <v>70</v>
      </c>
      <c r="B15" s="112" t="s">
        <v>38</v>
      </c>
      <c r="C15" s="112">
        <v>2020</v>
      </c>
      <c r="D15" s="112" t="s">
        <v>7</v>
      </c>
      <c r="E15" s="113">
        <v>11</v>
      </c>
      <c r="F15" s="114">
        <v>43993</v>
      </c>
      <c r="G15" s="115">
        <v>44760</v>
      </c>
      <c r="H15" s="116">
        <v>45400</v>
      </c>
    </row>
    <row r="16" spans="1:17" x14ac:dyDescent="0.25">
      <c r="A16" s="111" t="s">
        <v>71</v>
      </c>
      <c r="B16" s="112" t="s">
        <v>38</v>
      </c>
      <c r="C16" s="112">
        <v>2021</v>
      </c>
      <c r="D16" s="112" t="s">
        <v>8</v>
      </c>
      <c r="E16" s="113">
        <v>78</v>
      </c>
      <c r="F16" s="114">
        <v>44398</v>
      </c>
      <c r="G16" s="115">
        <v>44558</v>
      </c>
      <c r="H16" s="116">
        <v>45445</v>
      </c>
    </row>
    <row r="17" spans="1:8" x14ac:dyDescent="0.25">
      <c r="A17" s="117" t="s">
        <v>72</v>
      </c>
      <c r="B17" s="112" t="s">
        <v>36</v>
      </c>
      <c r="C17" s="112">
        <v>2024</v>
      </c>
      <c r="D17" s="112" t="s">
        <v>7</v>
      </c>
      <c r="E17" s="113">
        <v>2</v>
      </c>
      <c r="F17" s="120"/>
      <c r="G17" s="121">
        <v>45381</v>
      </c>
      <c r="H17" s="116">
        <v>45534</v>
      </c>
    </row>
    <row r="18" spans="1:8" x14ac:dyDescent="0.25">
      <c r="A18" s="117" t="s">
        <v>73</v>
      </c>
      <c r="B18" s="112" t="s">
        <v>36</v>
      </c>
      <c r="C18" s="112">
        <v>2024</v>
      </c>
      <c r="D18" s="112" t="s">
        <v>7</v>
      </c>
      <c r="E18" s="113">
        <v>2</v>
      </c>
      <c r="F18" s="120"/>
      <c r="G18" s="121">
        <v>45381</v>
      </c>
      <c r="H18" s="116">
        <v>45534</v>
      </c>
    </row>
    <row r="19" spans="1:8" x14ac:dyDescent="0.25">
      <c r="A19" s="113" t="s">
        <v>67</v>
      </c>
      <c r="B19" s="112" t="s">
        <v>38</v>
      </c>
      <c r="C19" s="112">
        <v>2020</v>
      </c>
      <c r="D19" s="122" t="s">
        <v>6</v>
      </c>
      <c r="E19" s="113">
        <v>20</v>
      </c>
      <c r="F19" s="114">
        <v>44022</v>
      </c>
      <c r="G19" s="115">
        <v>45076</v>
      </c>
      <c r="H19" s="116">
        <v>45781</v>
      </c>
    </row>
    <row r="20" spans="1:8" x14ac:dyDescent="0.25">
      <c r="A20" s="113" t="s">
        <v>74</v>
      </c>
      <c r="B20" s="112" t="s">
        <v>38</v>
      </c>
      <c r="C20" s="112">
        <v>2020</v>
      </c>
      <c r="D20" s="112" t="s">
        <v>7</v>
      </c>
      <c r="E20" s="113">
        <v>36</v>
      </c>
      <c r="F20" s="114">
        <v>44028</v>
      </c>
      <c r="G20" s="115">
        <v>45076</v>
      </c>
      <c r="H20" s="116">
        <v>45781</v>
      </c>
    </row>
    <row r="21" spans="1:8" x14ac:dyDescent="0.25">
      <c r="A21" s="113" t="s">
        <v>71</v>
      </c>
      <c r="B21" s="112" t="s">
        <v>38</v>
      </c>
      <c r="C21" s="112">
        <v>2021</v>
      </c>
      <c r="D21" s="122" t="s">
        <v>8</v>
      </c>
      <c r="E21" s="113">
        <v>31</v>
      </c>
      <c r="F21" s="114">
        <v>44371</v>
      </c>
      <c r="G21" s="115">
        <v>45196</v>
      </c>
      <c r="H21" s="116">
        <v>45865</v>
      </c>
    </row>
    <row r="22" spans="1:8" x14ac:dyDescent="0.25">
      <c r="A22" s="111" t="s">
        <v>75</v>
      </c>
      <c r="B22" s="112" t="s">
        <v>38</v>
      </c>
      <c r="C22" s="112">
        <v>2021</v>
      </c>
      <c r="D22" s="112" t="s">
        <v>6</v>
      </c>
      <c r="E22" s="113">
        <v>34</v>
      </c>
      <c r="F22" s="114">
        <v>44545</v>
      </c>
      <c r="G22" s="115">
        <v>45076</v>
      </c>
      <c r="H22" s="116">
        <v>45960</v>
      </c>
    </row>
    <row r="23" spans="1:8" x14ac:dyDescent="0.25">
      <c r="A23" s="123" t="s">
        <v>66</v>
      </c>
      <c r="B23" s="112" t="s">
        <v>38</v>
      </c>
      <c r="C23" s="112">
        <v>2021</v>
      </c>
      <c r="D23" s="112" t="s">
        <v>6</v>
      </c>
      <c r="E23" s="113">
        <v>40</v>
      </c>
      <c r="F23" s="114">
        <v>44545</v>
      </c>
      <c r="G23" s="115">
        <v>45076</v>
      </c>
      <c r="H23" s="116">
        <v>45960</v>
      </c>
    </row>
    <row r="24" spans="1:8" x14ac:dyDescent="0.25">
      <c r="A24" s="111" t="s">
        <v>76</v>
      </c>
      <c r="B24" s="112" t="s">
        <v>38</v>
      </c>
      <c r="C24" s="112">
        <v>2021</v>
      </c>
      <c r="D24" s="112" t="s">
        <v>7</v>
      </c>
      <c r="E24" s="113">
        <v>5</v>
      </c>
      <c r="F24" s="114">
        <v>44553</v>
      </c>
      <c r="G24" s="115">
        <v>45076</v>
      </c>
      <c r="H24" s="116">
        <v>45960</v>
      </c>
    </row>
    <row r="25" spans="1:8" x14ac:dyDescent="0.25">
      <c r="A25" s="111" t="s">
        <v>77</v>
      </c>
      <c r="B25" s="112" t="s">
        <v>38</v>
      </c>
      <c r="C25" s="122">
        <v>2022</v>
      </c>
      <c r="D25" s="112" t="s">
        <v>8</v>
      </c>
      <c r="E25" s="113">
        <v>40</v>
      </c>
      <c r="F25" s="114">
        <v>44705</v>
      </c>
      <c r="G25" s="115">
        <v>45076</v>
      </c>
      <c r="H25" s="116">
        <v>45960</v>
      </c>
    </row>
    <row r="26" spans="1:8" x14ac:dyDescent="0.25">
      <c r="A26" s="113" t="s">
        <v>72</v>
      </c>
      <c r="B26" s="122" t="s">
        <v>36</v>
      </c>
      <c r="C26" s="112">
        <v>2020</v>
      </c>
      <c r="D26" s="122" t="s">
        <v>6</v>
      </c>
      <c r="E26" s="113">
        <v>16</v>
      </c>
      <c r="F26" s="114">
        <v>44022</v>
      </c>
      <c r="G26" s="121">
        <v>45366</v>
      </c>
      <c r="H26" s="116">
        <v>45976</v>
      </c>
    </row>
    <row r="27" spans="1:8" x14ac:dyDescent="0.25">
      <c r="A27" s="113" t="s">
        <v>73</v>
      </c>
      <c r="B27" s="122" t="s">
        <v>36</v>
      </c>
      <c r="C27" s="112">
        <v>2020</v>
      </c>
      <c r="D27" s="122" t="s">
        <v>7</v>
      </c>
      <c r="E27" s="113">
        <v>25</v>
      </c>
      <c r="F27" s="114">
        <v>44022</v>
      </c>
      <c r="G27" s="121">
        <v>45366</v>
      </c>
      <c r="H27" s="116">
        <v>45976</v>
      </c>
    </row>
    <row r="28" spans="1:8" x14ac:dyDescent="0.25">
      <c r="A28" s="113" t="s">
        <v>78</v>
      </c>
      <c r="B28" s="112" t="s">
        <v>36</v>
      </c>
      <c r="C28" s="112">
        <v>2022</v>
      </c>
      <c r="D28" s="122" t="s">
        <v>7</v>
      </c>
      <c r="E28" s="113">
        <v>18</v>
      </c>
      <c r="F28" s="114">
        <v>44735</v>
      </c>
      <c r="G28" s="121">
        <v>45458</v>
      </c>
      <c r="H28" s="116">
        <v>46127</v>
      </c>
    </row>
    <row r="29" spans="1:8" x14ac:dyDescent="0.25">
      <c r="A29" s="124" t="s">
        <v>79</v>
      </c>
      <c r="B29" s="112" t="s">
        <v>36</v>
      </c>
      <c r="C29" s="112">
        <v>2023</v>
      </c>
      <c r="D29" s="112" t="s">
        <v>6</v>
      </c>
      <c r="E29" s="113">
        <v>36</v>
      </c>
      <c r="F29" s="120"/>
      <c r="G29" s="121">
        <v>45381</v>
      </c>
      <c r="H29" s="116">
        <v>46172</v>
      </c>
    </row>
    <row r="30" spans="1:8" x14ac:dyDescent="0.25">
      <c r="A30" s="124" t="s">
        <v>80</v>
      </c>
      <c r="B30" s="112" t="s">
        <v>36</v>
      </c>
      <c r="C30" s="112">
        <v>2023</v>
      </c>
      <c r="D30" s="112" t="s">
        <v>7</v>
      </c>
      <c r="E30" s="113">
        <v>21</v>
      </c>
      <c r="F30" s="120"/>
      <c r="G30" s="121">
        <v>45381</v>
      </c>
      <c r="H30" s="116">
        <v>46172</v>
      </c>
    </row>
    <row r="31" spans="1:8" x14ac:dyDescent="0.25">
      <c r="A31" s="111" t="s">
        <v>81</v>
      </c>
      <c r="B31" s="112" t="s">
        <v>38</v>
      </c>
      <c r="C31" s="112">
        <v>2021</v>
      </c>
      <c r="D31" s="112" t="s">
        <v>6</v>
      </c>
      <c r="E31" s="113">
        <v>48</v>
      </c>
      <c r="F31" s="114">
        <v>44545</v>
      </c>
      <c r="G31" s="121">
        <v>45383</v>
      </c>
      <c r="H31" s="116">
        <v>46174</v>
      </c>
    </row>
    <row r="32" spans="1:8" x14ac:dyDescent="0.25">
      <c r="A32" s="123" t="s">
        <v>82</v>
      </c>
      <c r="B32" s="112" t="s">
        <v>38</v>
      </c>
      <c r="C32" s="122">
        <v>2021</v>
      </c>
      <c r="D32" s="112" t="s">
        <v>6</v>
      </c>
      <c r="E32" s="113">
        <v>17</v>
      </c>
      <c r="F32" s="114">
        <v>44545</v>
      </c>
      <c r="G32" s="121">
        <v>45383</v>
      </c>
      <c r="H32" s="116">
        <v>46174</v>
      </c>
    </row>
    <row r="33" spans="1:8" x14ac:dyDescent="0.25">
      <c r="A33" s="123" t="s">
        <v>69</v>
      </c>
      <c r="B33" s="112" t="s">
        <v>38</v>
      </c>
      <c r="C33" s="122">
        <v>2021</v>
      </c>
      <c r="D33" s="112" t="s">
        <v>7</v>
      </c>
      <c r="E33" s="113">
        <v>5</v>
      </c>
      <c r="F33" s="114">
        <v>44553</v>
      </c>
      <c r="G33" s="121">
        <v>45383</v>
      </c>
      <c r="H33" s="116">
        <v>46174</v>
      </c>
    </row>
    <row r="34" spans="1:8" x14ac:dyDescent="0.25">
      <c r="A34" s="123" t="s">
        <v>83</v>
      </c>
      <c r="B34" s="112" t="s">
        <v>38</v>
      </c>
      <c r="C34" s="122">
        <v>2021</v>
      </c>
      <c r="D34" s="112" t="s">
        <v>7</v>
      </c>
      <c r="E34" s="113">
        <v>48</v>
      </c>
      <c r="F34" s="114">
        <v>44545</v>
      </c>
      <c r="G34" s="121">
        <v>45383</v>
      </c>
      <c r="H34" s="116">
        <v>46174</v>
      </c>
    </row>
    <row r="35" spans="1:8" x14ac:dyDescent="0.25">
      <c r="A35" s="123" t="s">
        <v>67</v>
      </c>
      <c r="B35" s="112" t="s">
        <v>38</v>
      </c>
      <c r="C35" s="112">
        <v>2022</v>
      </c>
      <c r="D35" s="112" t="s">
        <v>8</v>
      </c>
      <c r="E35" s="113">
        <v>34</v>
      </c>
      <c r="F35" s="114">
        <v>44705</v>
      </c>
      <c r="G35" s="121">
        <v>45383</v>
      </c>
      <c r="H35" s="116">
        <v>46174</v>
      </c>
    </row>
    <row r="36" spans="1:8" x14ac:dyDescent="0.25">
      <c r="A36" s="123" t="s">
        <v>71</v>
      </c>
      <c r="B36" s="112" t="s">
        <v>38</v>
      </c>
      <c r="C36" s="112">
        <v>2023</v>
      </c>
      <c r="D36" s="112" t="s">
        <v>7</v>
      </c>
      <c r="E36" s="113">
        <v>28</v>
      </c>
      <c r="F36" s="114">
        <v>45203</v>
      </c>
      <c r="G36" s="121">
        <v>45383</v>
      </c>
      <c r="H36" s="116">
        <v>46174</v>
      </c>
    </row>
    <row r="37" spans="1:8" x14ac:dyDescent="0.25">
      <c r="A37" s="123" t="s">
        <v>67</v>
      </c>
      <c r="B37" s="112" t="s">
        <v>38</v>
      </c>
      <c r="C37" s="112">
        <v>2023</v>
      </c>
      <c r="D37" s="112" t="s">
        <v>8</v>
      </c>
      <c r="E37" s="113">
        <v>25</v>
      </c>
      <c r="F37" s="114">
        <v>45189</v>
      </c>
      <c r="G37" s="121">
        <v>45383</v>
      </c>
      <c r="H37" s="116">
        <v>46174</v>
      </c>
    </row>
    <row r="38" spans="1:8" x14ac:dyDescent="0.25">
      <c r="A38" s="119" t="s">
        <v>66</v>
      </c>
      <c r="B38" s="112" t="s">
        <v>38</v>
      </c>
      <c r="C38" s="112">
        <v>2022</v>
      </c>
      <c r="D38" s="112" t="s">
        <v>6</v>
      </c>
      <c r="E38" s="113">
        <v>15</v>
      </c>
      <c r="F38" s="114">
        <v>44804</v>
      </c>
      <c r="G38" s="121">
        <v>45550</v>
      </c>
      <c r="H38" s="116">
        <v>46218</v>
      </c>
    </row>
    <row r="39" spans="1:8" x14ac:dyDescent="0.25">
      <c r="A39" s="119" t="s">
        <v>67</v>
      </c>
      <c r="B39" s="112" t="s">
        <v>38</v>
      </c>
      <c r="C39" s="112">
        <v>2022</v>
      </c>
      <c r="D39" s="112" t="s">
        <v>7</v>
      </c>
      <c r="E39" s="113">
        <v>18</v>
      </c>
      <c r="F39" s="114">
        <v>44804</v>
      </c>
      <c r="G39" s="121">
        <v>45550</v>
      </c>
      <c r="H39" s="116">
        <v>46218</v>
      </c>
    </row>
    <row r="40" spans="1:8" x14ac:dyDescent="0.25">
      <c r="A40" s="125" t="s">
        <v>67</v>
      </c>
      <c r="B40" s="112" t="s">
        <v>43</v>
      </c>
      <c r="C40" s="112">
        <v>2023</v>
      </c>
      <c r="D40" s="112" t="s">
        <v>7</v>
      </c>
      <c r="E40" s="113">
        <v>18</v>
      </c>
      <c r="F40" s="114">
        <v>45140</v>
      </c>
      <c r="G40" s="121">
        <v>45550</v>
      </c>
      <c r="H40" s="116">
        <v>46218</v>
      </c>
    </row>
    <row r="41" spans="1:8" x14ac:dyDescent="0.25">
      <c r="A41" s="123" t="s">
        <v>67</v>
      </c>
      <c r="B41" s="112" t="s">
        <v>38</v>
      </c>
      <c r="C41" s="112">
        <v>2023</v>
      </c>
      <c r="D41" s="112" t="s">
        <v>6</v>
      </c>
      <c r="E41" s="113">
        <v>24</v>
      </c>
      <c r="F41" s="120"/>
      <c r="G41" s="121">
        <v>45444</v>
      </c>
      <c r="H41" s="116">
        <v>46235</v>
      </c>
    </row>
    <row r="42" spans="1:8" x14ac:dyDescent="0.25">
      <c r="A42" s="123" t="s">
        <v>67</v>
      </c>
      <c r="B42" s="112" t="s">
        <v>38</v>
      </c>
      <c r="C42" s="112">
        <v>2023</v>
      </c>
      <c r="D42" s="112" t="s">
        <v>7</v>
      </c>
      <c r="E42" s="113">
        <v>38</v>
      </c>
      <c r="F42" s="120"/>
      <c r="G42" s="121">
        <v>45444</v>
      </c>
      <c r="H42" s="116">
        <v>46235</v>
      </c>
    </row>
    <row r="43" spans="1:8" x14ac:dyDescent="0.25">
      <c r="A43" s="123" t="s">
        <v>71</v>
      </c>
      <c r="B43" s="112" t="s">
        <v>38</v>
      </c>
      <c r="C43" s="112">
        <v>2023</v>
      </c>
      <c r="D43" s="112" t="s">
        <v>8</v>
      </c>
      <c r="E43" s="113">
        <v>26</v>
      </c>
      <c r="F43" s="120"/>
      <c r="G43" s="121">
        <v>45444</v>
      </c>
      <c r="H43" s="116">
        <v>46235</v>
      </c>
    </row>
    <row r="44" spans="1:8" x14ac:dyDescent="0.25">
      <c r="A44" s="126" t="s">
        <v>72</v>
      </c>
      <c r="B44" s="112" t="s">
        <v>38</v>
      </c>
      <c r="C44" s="112">
        <v>2024</v>
      </c>
      <c r="D44" s="112" t="s">
        <v>6</v>
      </c>
      <c r="E44" s="113">
        <v>30</v>
      </c>
      <c r="F44" s="120"/>
      <c r="G44" s="121">
        <v>45458</v>
      </c>
      <c r="H44" s="116">
        <v>46249</v>
      </c>
    </row>
    <row r="45" spans="1:8" x14ac:dyDescent="0.25">
      <c r="A45" s="127" t="s">
        <v>72</v>
      </c>
      <c r="B45" s="112" t="s">
        <v>38</v>
      </c>
      <c r="C45" s="112">
        <v>2024</v>
      </c>
      <c r="D45" s="112" t="s">
        <v>8</v>
      </c>
      <c r="E45" s="113">
        <v>32</v>
      </c>
      <c r="F45" s="120"/>
      <c r="G45" s="121">
        <v>45458</v>
      </c>
      <c r="H45" s="116">
        <v>46249</v>
      </c>
    </row>
    <row r="46" spans="1:8" x14ac:dyDescent="0.25">
      <c r="A46" s="112" t="s">
        <v>68</v>
      </c>
      <c r="B46" s="112" t="s">
        <v>36</v>
      </c>
      <c r="C46" s="112">
        <v>2024</v>
      </c>
      <c r="D46" s="112" t="s">
        <v>6</v>
      </c>
      <c r="E46" s="113">
        <v>21</v>
      </c>
      <c r="F46" s="120"/>
      <c r="G46" s="121">
        <v>45703</v>
      </c>
      <c r="H46" s="116">
        <v>46310</v>
      </c>
    </row>
    <row r="47" spans="1:8" x14ac:dyDescent="0.25">
      <c r="A47" s="112" t="s">
        <v>72</v>
      </c>
      <c r="B47" s="112" t="s">
        <v>36</v>
      </c>
      <c r="C47" s="112">
        <v>2024</v>
      </c>
      <c r="D47" s="112" t="s">
        <v>8</v>
      </c>
      <c r="E47" s="113">
        <v>18</v>
      </c>
      <c r="F47" s="120"/>
      <c r="G47" s="121">
        <v>45703</v>
      </c>
      <c r="H47" s="116">
        <v>46310</v>
      </c>
    </row>
    <row r="48" spans="1:8" x14ac:dyDescent="0.25">
      <c r="A48" s="127" t="s">
        <v>67</v>
      </c>
      <c r="B48" s="112" t="s">
        <v>38</v>
      </c>
      <c r="C48" s="112">
        <v>2022</v>
      </c>
      <c r="D48" s="112" t="s">
        <v>7</v>
      </c>
      <c r="E48" s="113">
        <v>18</v>
      </c>
      <c r="F48" s="114">
        <v>44701</v>
      </c>
      <c r="G48" s="121">
        <v>45536</v>
      </c>
      <c r="H48" s="116">
        <v>46327</v>
      </c>
    </row>
    <row r="49" spans="1:8" x14ac:dyDescent="0.25">
      <c r="A49" s="123" t="s">
        <v>84</v>
      </c>
      <c r="B49" s="112" t="s">
        <v>38</v>
      </c>
      <c r="C49" s="112">
        <v>2022</v>
      </c>
      <c r="D49" s="112" t="s">
        <v>6</v>
      </c>
      <c r="E49" s="113">
        <v>48</v>
      </c>
      <c r="F49" s="114">
        <v>44701</v>
      </c>
      <c r="G49" s="121">
        <v>45536</v>
      </c>
      <c r="H49" s="116">
        <v>46327</v>
      </c>
    </row>
    <row r="50" spans="1:8" x14ac:dyDescent="0.25">
      <c r="A50" s="123" t="s">
        <v>72</v>
      </c>
      <c r="B50" s="112" t="s">
        <v>38</v>
      </c>
      <c r="C50" s="112">
        <v>2022</v>
      </c>
      <c r="D50" s="112" t="s">
        <v>8</v>
      </c>
      <c r="E50" s="113">
        <v>36</v>
      </c>
      <c r="F50" s="114">
        <v>44705</v>
      </c>
      <c r="G50" s="121">
        <v>45536</v>
      </c>
      <c r="H50" s="116">
        <v>46327</v>
      </c>
    </row>
    <row r="51" spans="1:8" x14ac:dyDescent="0.25">
      <c r="A51" s="119" t="s">
        <v>69</v>
      </c>
      <c r="B51" s="112" t="s">
        <v>38</v>
      </c>
      <c r="C51" s="112">
        <v>2024</v>
      </c>
      <c r="D51" s="112" t="s">
        <v>7</v>
      </c>
      <c r="E51" s="113">
        <v>39</v>
      </c>
      <c r="F51" s="120"/>
      <c r="G51" s="121">
        <v>45703</v>
      </c>
      <c r="H51" s="116">
        <v>46492</v>
      </c>
    </row>
    <row r="52" spans="1:8" x14ac:dyDescent="0.25">
      <c r="A52" s="123" t="s">
        <v>74</v>
      </c>
      <c r="B52" s="112" t="s">
        <v>38</v>
      </c>
      <c r="C52" s="112">
        <v>2024</v>
      </c>
      <c r="D52" s="112" t="s">
        <v>7</v>
      </c>
      <c r="E52" s="113">
        <v>32</v>
      </c>
      <c r="F52" s="120"/>
      <c r="G52" s="121">
        <v>45703</v>
      </c>
      <c r="H52" s="116">
        <v>46492</v>
      </c>
    </row>
    <row r="53" spans="1:8" x14ac:dyDescent="0.25">
      <c r="A53" s="123" t="s">
        <v>67</v>
      </c>
      <c r="B53" s="112" t="s">
        <v>38</v>
      </c>
      <c r="C53" s="112">
        <v>2024</v>
      </c>
      <c r="D53" s="112" t="s">
        <v>8</v>
      </c>
      <c r="E53" s="113">
        <v>32</v>
      </c>
      <c r="F53" s="120"/>
      <c r="G53" s="121">
        <v>45703</v>
      </c>
      <c r="H53" s="116">
        <v>46492</v>
      </c>
    </row>
    <row r="54" spans="1:8" x14ac:dyDescent="0.25">
      <c r="A54" s="123" t="s">
        <v>71</v>
      </c>
      <c r="B54" s="112" t="s">
        <v>38</v>
      </c>
      <c r="C54" s="112">
        <v>2024</v>
      </c>
      <c r="D54" s="112" t="s">
        <v>6</v>
      </c>
      <c r="E54" s="113">
        <v>36</v>
      </c>
      <c r="F54" s="120"/>
      <c r="G54" s="121">
        <v>45703</v>
      </c>
      <c r="H54" s="116">
        <v>46492</v>
      </c>
    </row>
    <row r="55" spans="1:8" x14ac:dyDescent="0.25">
      <c r="A55" s="123" t="s">
        <v>69</v>
      </c>
      <c r="B55" s="112" t="s">
        <v>38</v>
      </c>
      <c r="C55" s="112">
        <v>2024</v>
      </c>
      <c r="D55" s="112" t="s">
        <v>7</v>
      </c>
      <c r="E55" s="113">
        <v>29</v>
      </c>
      <c r="F55" s="120"/>
      <c r="G55" s="121">
        <v>45703</v>
      </c>
      <c r="H55" s="116">
        <v>46492</v>
      </c>
    </row>
    <row r="56" spans="1:8" x14ac:dyDescent="0.25">
      <c r="A56" s="126" t="s">
        <v>71</v>
      </c>
      <c r="B56" s="112" t="s">
        <v>38</v>
      </c>
      <c r="C56" s="112">
        <v>2024</v>
      </c>
      <c r="D56" s="112" t="s">
        <v>6</v>
      </c>
      <c r="E56" s="117">
        <v>24</v>
      </c>
      <c r="F56" s="120"/>
      <c r="G56" s="121">
        <v>45731</v>
      </c>
      <c r="H56" s="116">
        <v>46522</v>
      </c>
    </row>
    <row r="57" spans="1:8" x14ac:dyDescent="0.25">
      <c r="A57" s="126" t="s">
        <v>84</v>
      </c>
      <c r="B57" s="112" t="s">
        <v>36</v>
      </c>
      <c r="C57" s="112">
        <v>2024</v>
      </c>
      <c r="D57" s="112" t="s">
        <v>6</v>
      </c>
      <c r="E57" s="113">
        <v>33</v>
      </c>
      <c r="F57" s="120"/>
      <c r="G57" s="121">
        <v>45731</v>
      </c>
      <c r="H57" s="116">
        <v>46522</v>
      </c>
    </row>
    <row r="58" spans="1:8" x14ac:dyDescent="0.25">
      <c r="A58" s="126" t="s">
        <v>71</v>
      </c>
      <c r="B58" s="112" t="s">
        <v>36</v>
      </c>
      <c r="C58" s="112">
        <v>2024</v>
      </c>
      <c r="D58" s="112" t="s">
        <v>7</v>
      </c>
      <c r="E58" s="113">
        <v>12</v>
      </c>
      <c r="F58" s="120"/>
      <c r="G58" s="121">
        <v>45731</v>
      </c>
      <c r="H58" s="116">
        <v>46522</v>
      </c>
    </row>
    <row r="59" spans="1:8" x14ac:dyDescent="0.25">
      <c r="A59" s="126" t="s">
        <v>84</v>
      </c>
      <c r="B59" s="112" t="s">
        <v>36</v>
      </c>
      <c r="C59" s="112">
        <v>2024</v>
      </c>
      <c r="D59" s="112" t="s">
        <v>8</v>
      </c>
      <c r="E59" s="113">
        <v>6</v>
      </c>
      <c r="F59" s="120"/>
      <c r="G59" s="121">
        <v>45731</v>
      </c>
      <c r="H59" s="116">
        <v>46522</v>
      </c>
    </row>
    <row r="60" spans="1:8" x14ac:dyDescent="0.25">
      <c r="A60" s="126" t="s">
        <v>76</v>
      </c>
      <c r="B60" s="112" t="s">
        <v>38</v>
      </c>
      <c r="C60" s="112">
        <v>2024</v>
      </c>
      <c r="D60" s="112" t="s">
        <v>8</v>
      </c>
      <c r="E60" s="117">
        <v>98</v>
      </c>
      <c r="F60" s="120"/>
      <c r="G60" s="121">
        <v>45731</v>
      </c>
      <c r="H60" s="116">
        <v>46522</v>
      </c>
    </row>
    <row r="61" spans="1:8" x14ac:dyDescent="0.25">
      <c r="A61" s="124" t="s">
        <v>85</v>
      </c>
      <c r="B61" s="112" t="s">
        <v>38</v>
      </c>
      <c r="C61" s="112">
        <v>2024</v>
      </c>
      <c r="D61" s="112" t="s">
        <v>7</v>
      </c>
      <c r="E61" s="113">
        <v>10</v>
      </c>
      <c r="F61" s="120"/>
      <c r="G61" s="121">
        <v>45782</v>
      </c>
      <c r="H61" s="116">
        <v>46573</v>
      </c>
    </row>
    <row r="62" spans="1:8" x14ac:dyDescent="0.25">
      <c r="A62" s="127" t="s">
        <v>76</v>
      </c>
      <c r="B62" s="112" t="s">
        <v>38</v>
      </c>
      <c r="C62" s="122">
        <v>2024</v>
      </c>
      <c r="D62" s="112" t="s">
        <v>6</v>
      </c>
      <c r="E62" s="113">
        <v>30</v>
      </c>
      <c r="F62" s="120"/>
      <c r="G62" s="121">
        <v>45782</v>
      </c>
      <c r="H62" s="116">
        <v>46573</v>
      </c>
    </row>
    <row r="63" spans="1:8" x14ac:dyDescent="0.25">
      <c r="A63" s="127" t="s">
        <v>71</v>
      </c>
      <c r="B63" s="112" t="s">
        <v>38</v>
      </c>
      <c r="C63" s="122">
        <v>2024</v>
      </c>
      <c r="D63" s="112" t="s">
        <v>7</v>
      </c>
      <c r="E63" s="113">
        <v>70</v>
      </c>
      <c r="F63" s="120"/>
      <c r="G63" s="121">
        <v>45782</v>
      </c>
      <c r="H63" s="116">
        <v>46573</v>
      </c>
    </row>
    <row r="64" spans="1:8" x14ac:dyDescent="0.25">
      <c r="A64" s="127" t="s">
        <v>84</v>
      </c>
      <c r="B64" s="112" t="s">
        <v>38</v>
      </c>
      <c r="C64" s="122">
        <v>2024</v>
      </c>
      <c r="D64" s="112" t="s">
        <v>7</v>
      </c>
      <c r="E64" s="113">
        <v>15</v>
      </c>
      <c r="F64" s="120"/>
      <c r="G64" s="121">
        <v>45782</v>
      </c>
      <c r="H64" s="116">
        <v>46573</v>
      </c>
    </row>
    <row r="65" spans="1:8" x14ac:dyDescent="0.25">
      <c r="A65" s="127" t="s">
        <v>72</v>
      </c>
      <c r="B65" s="112" t="s">
        <v>38</v>
      </c>
      <c r="C65" s="122">
        <v>2024</v>
      </c>
      <c r="D65" s="112" t="s">
        <v>6</v>
      </c>
      <c r="E65" s="113">
        <v>16</v>
      </c>
      <c r="F65" s="120"/>
      <c r="G65" s="121">
        <v>45782</v>
      </c>
      <c r="H65" s="116">
        <v>46573</v>
      </c>
    </row>
    <row r="66" spans="1:8" x14ac:dyDescent="0.25">
      <c r="A66" s="125" t="s">
        <v>75</v>
      </c>
      <c r="B66" s="112" t="s">
        <v>43</v>
      </c>
      <c r="C66" s="112">
        <v>2023</v>
      </c>
      <c r="D66" s="112" t="s">
        <v>7</v>
      </c>
      <c r="E66" s="113">
        <v>55</v>
      </c>
      <c r="F66" s="120"/>
      <c r="G66" s="121">
        <v>45703</v>
      </c>
      <c r="H66" s="116">
        <v>46614</v>
      </c>
    </row>
    <row r="67" spans="1:8" x14ac:dyDescent="0.25">
      <c r="A67" s="128" t="s">
        <v>74</v>
      </c>
      <c r="B67" s="112" t="s">
        <v>36</v>
      </c>
      <c r="C67" s="112">
        <v>2024</v>
      </c>
      <c r="D67" s="112" t="s">
        <v>6</v>
      </c>
      <c r="E67" s="113">
        <v>28</v>
      </c>
      <c r="F67" s="120"/>
      <c r="G67" s="121">
        <v>46096</v>
      </c>
      <c r="H67" s="116">
        <v>46767</v>
      </c>
    </row>
    <row r="68" spans="1:8" x14ac:dyDescent="0.25">
      <c r="A68" s="128" t="s">
        <v>41</v>
      </c>
      <c r="B68" s="112" t="s">
        <v>36</v>
      </c>
      <c r="C68" s="112">
        <v>2024</v>
      </c>
      <c r="D68" s="112" t="s">
        <v>7</v>
      </c>
      <c r="E68" s="113">
        <v>9</v>
      </c>
      <c r="F68" s="120"/>
      <c r="G68" s="121">
        <v>46096</v>
      </c>
      <c r="H68" s="116">
        <v>46767</v>
      </c>
    </row>
    <row r="69" spans="1:8" x14ac:dyDescent="0.25">
      <c r="A69" t="s">
        <v>45</v>
      </c>
      <c r="B69" s="150"/>
      <c r="C69" s="150"/>
      <c r="D69" s="150"/>
      <c r="E69" s="152">
        <f>SUBTOTAL(109,TBD_CN[N])</f>
        <v>2012</v>
      </c>
      <c r="F69" s="153"/>
      <c r="G69" s="151"/>
      <c r="H69" s="152">
        <f>SUBTOTAL(103,TBD_CN[Date inauguration recalée])</f>
        <v>67</v>
      </c>
    </row>
    <row r="74" spans="1:8" x14ac:dyDescent="0.25">
      <c r="A74" t="s">
        <v>47</v>
      </c>
      <c r="B74" t="s">
        <v>48</v>
      </c>
    </row>
    <row r="75" spans="1:8" x14ac:dyDescent="0.25">
      <c r="A75" s="90" t="s">
        <v>38</v>
      </c>
      <c r="B75" s="91">
        <v>1552</v>
      </c>
    </row>
    <row r="76" spans="1:8" x14ac:dyDescent="0.25">
      <c r="A76" s="90" t="s">
        <v>36</v>
      </c>
      <c r="B76" s="91">
        <v>247</v>
      </c>
    </row>
    <row r="77" spans="1:8" x14ac:dyDescent="0.25">
      <c r="A77" s="90" t="s">
        <v>40</v>
      </c>
      <c r="B77" s="91">
        <v>140</v>
      </c>
    </row>
    <row r="78" spans="1:8" x14ac:dyDescent="0.25">
      <c r="A78" s="90" t="s">
        <v>43</v>
      </c>
      <c r="B78" s="91">
        <v>73</v>
      </c>
    </row>
    <row r="79" spans="1:8" ht="15.75" thickBot="1" x14ac:dyDescent="0.3">
      <c r="A79" s="90" t="s">
        <v>53</v>
      </c>
      <c r="B79" s="91">
        <v>2012</v>
      </c>
    </row>
    <row r="80" spans="1:8" ht="15.75" thickBot="1" x14ac:dyDescent="0.3">
      <c r="E80" s="92" t="s">
        <v>54</v>
      </c>
      <c r="F80" s="93">
        <v>300</v>
      </c>
    </row>
    <row r="92" spans="1:10" x14ac:dyDescent="0.25">
      <c r="A92" t="s">
        <v>3</v>
      </c>
      <c r="B92" t="s">
        <v>55</v>
      </c>
    </row>
    <row r="94" spans="1:10" x14ac:dyDescent="0.25">
      <c r="A94" t="s">
        <v>47</v>
      </c>
      <c r="B94" t="s">
        <v>48</v>
      </c>
    </row>
    <row r="95" spans="1:10" x14ac:dyDescent="0.25">
      <c r="A95" s="90">
        <v>2022</v>
      </c>
      <c r="B95">
        <v>227</v>
      </c>
      <c r="F95" s="94" t="s">
        <v>48</v>
      </c>
      <c r="G95" s="94" t="s">
        <v>56</v>
      </c>
    </row>
    <row r="96" spans="1:10" x14ac:dyDescent="0.25">
      <c r="A96" s="90">
        <v>2023</v>
      </c>
      <c r="B96">
        <v>271</v>
      </c>
      <c r="F96" s="94" t="s">
        <v>47</v>
      </c>
      <c r="G96" t="s">
        <v>6</v>
      </c>
      <c r="H96" t="s">
        <v>7</v>
      </c>
      <c r="I96" t="s">
        <v>8</v>
      </c>
      <c r="J96" t="s">
        <v>53</v>
      </c>
    </row>
    <row r="97" spans="1:10" x14ac:dyDescent="0.25">
      <c r="A97" s="90">
        <v>2024</v>
      </c>
      <c r="B97">
        <v>624</v>
      </c>
      <c r="F97" s="90">
        <v>2022</v>
      </c>
      <c r="G97">
        <v>63</v>
      </c>
      <c r="H97">
        <v>54</v>
      </c>
      <c r="I97">
        <v>110</v>
      </c>
      <c r="J97">
        <v>227</v>
      </c>
    </row>
    <row r="98" spans="1:10" x14ac:dyDescent="0.25">
      <c r="A98" s="90" t="s">
        <v>53</v>
      </c>
      <c r="B98">
        <v>1122</v>
      </c>
      <c r="F98" s="90">
        <v>2023</v>
      </c>
      <c r="G98">
        <v>60</v>
      </c>
      <c r="H98">
        <v>160</v>
      </c>
      <c r="I98">
        <v>51</v>
      </c>
      <c r="J98">
        <v>271</v>
      </c>
    </row>
    <row r="99" spans="1:10" x14ac:dyDescent="0.25">
      <c r="F99" s="90">
        <v>2024</v>
      </c>
      <c r="G99">
        <v>218</v>
      </c>
      <c r="H99">
        <v>220</v>
      </c>
      <c r="I99">
        <v>186</v>
      </c>
      <c r="J99">
        <v>624</v>
      </c>
    </row>
    <row r="100" spans="1:10" x14ac:dyDescent="0.25">
      <c r="F100" s="90" t="s">
        <v>53</v>
      </c>
      <c r="G100">
        <v>341</v>
      </c>
      <c r="H100">
        <v>434</v>
      </c>
      <c r="I100">
        <v>347</v>
      </c>
      <c r="J100">
        <v>1122</v>
      </c>
    </row>
  </sheetData>
  <conditionalFormatting sqref="G2:G68">
    <cfRule type="expression" dxfId="35" priority="3">
      <formula>$AV2&lt;&gt;""</formula>
    </cfRule>
  </conditionalFormatting>
  <conditionalFormatting sqref="H2:H68">
    <cfRule type="expression" dxfId="34" priority="1">
      <formula>$BN2&gt;=TODAY()</formula>
    </cfRule>
    <cfRule type="expression" dxfId="33" priority="2">
      <formula>$BO2&lt;&gt;""</formula>
    </cfRule>
  </conditionalFormatting>
  <dataValidations count="2">
    <dataValidation type="list" allowBlank="1" showInputMessage="1" showErrorMessage="1" sqref="D2:D68" xr:uid="{588B532C-B89A-4D42-A523-3710EF6027F8}">
      <formula1>"LLS,LLTS,PLS,Rehab"</formula1>
    </dataValidation>
    <dataValidation type="list" allowBlank="1" showInputMessage="1" showErrorMessage="1" sqref="B2:B68" xr:uid="{00E78E46-664E-4A4F-A595-80AE25318FE8}">
      <formula1>EPCI</formula1>
    </dataValidation>
  </dataValidations>
  <pageMargins left="0.7" right="0.7" top="0.75" bottom="0.75" header="0.3" footer="0.3"/>
  <drawing r:id="rId4"/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Tableau de bord CN 2023-2024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 blandino</dc:creator>
  <cp:lastModifiedBy>francis henniaux</cp:lastModifiedBy>
  <dcterms:created xsi:type="dcterms:W3CDTF">2023-10-08T05:19:14Z</dcterms:created>
  <dcterms:modified xsi:type="dcterms:W3CDTF">2023-10-09T02:33:13Z</dcterms:modified>
</cp:coreProperties>
</file>