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25605" windowHeight="14385" tabRatio="500"/>
  </bookViews>
  <sheets>
    <sheet name="Regul" sheetId="3" r:id="rId1"/>
    <sheet name="charges" sheetId="2" r:id="rId2"/>
    <sheet name="locataires" sheetId="1" r:id="rId3"/>
  </sheets>
  <definedNames>
    <definedName name="C_LOCATAIRES">Table3[NOM]</definedName>
    <definedName name="Q_parts">Table3[PARTICIPATION]</definedName>
    <definedName name="T_locataires">locataires!$B$3:$H$8</definedName>
    <definedName name="_xlnm.Print_Area" localSheetId="0">Regul!$A$1:$E$159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3"/>
  <c r="D132"/>
  <c r="D121"/>
  <c r="D110"/>
  <c r="D99"/>
  <c r="D88"/>
  <c r="D77"/>
  <c r="D66"/>
  <c r="D55"/>
  <c r="D44"/>
  <c r="D33"/>
  <c r="D22"/>
  <c r="E3" l="1"/>
  <c r="B14"/>
  <c r="C14"/>
  <c r="B135"/>
  <c r="B124"/>
  <c r="B113"/>
  <c r="B102"/>
  <c r="B91"/>
  <c r="B80"/>
  <c r="B69"/>
  <c r="B47"/>
  <c r="B36"/>
  <c r="B25"/>
  <c r="C25"/>
  <c r="C36"/>
  <c r="C47"/>
  <c r="B58"/>
  <c r="C58"/>
  <c r="C69"/>
  <c r="C80"/>
  <c r="B15"/>
  <c r="C15"/>
  <c r="B11"/>
  <c r="C11"/>
  <c r="B12"/>
  <c r="C12"/>
  <c r="B13"/>
  <c r="C13"/>
  <c r="B16"/>
  <c r="C16"/>
  <c r="B17"/>
  <c r="C17"/>
  <c r="B18"/>
  <c r="C18"/>
  <c r="B33"/>
  <c r="C33"/>
  <c r="B34"/>
  <c r="C34"/>
  <c r="B35"/>
  <c r="C35"/>
  <c r="B37"/>
  <c r="C37"/>
  <c r="B38"/>
  <c r="C38"/>
  <c r="B39"/>
  <c r="C39"/>
  <c r="B40"/>
  <c r="C40"/>
  <c r="C41"/>
  <c r="E33"/>
  <c r="B44"/>
  <c r="C44"/>
  <c r="B45"/>
  <c r="C45"/>
  <c r="B46"/>
  <c r="C46"/>
  <c r="B48"/>
  <c r="C48"/>
  <c r="B49"/>
  <c r="C49"/>
  <c r="B50"/>
  <c r="C50"/>
  <c r="B51"/>
  <c r="C51"/>
  <c r="C52"/>
  <c r="E44"/>
  <c r="B55"/>
  <c r="C55"/>
  <c r="B56"/>
  <c r="C56"/>
  <c r="B57"/>
  <c r="C57"/>
  <c r="B59"/>
  <c r="C59"/>
  <c r="B60"/>
  <c r="C60"/>
  <c r="B61"/>
  <c r="C61"/>
  <c r="B62"/>
  <c r="C62"/>
  <c r="C63"/>
  <c r="E55"/>
  <c r="B66"/>
  <c r="C66"/>
  <c r="B67"/>
  <c r="C67"/>
  <c r="B68"/>
  <c r="C68"/>
  <c r="B70"/>
  <c r="C70"/>
  <c r="B71"/>
  <c r="C71"/>
  <c r="B72"/>
  <c r="C72"/>
  <c r="B73"/>
  <c r="C73"/>
  <c r="C74"/>
  <c r="E66"/>
  <c r="B77"/>
  <c r="C77"/>
  <c r="B78"/>
  <c r="C78"/>
  <c r="B79"/>
  <c r="C79"/>
  <c r="B81"/>
  <c r="C81"/>
  <c r="B82"/>
  <c r="C82"/>
  <c r="B83"/>
  <c r="C83"/>
  <c r="B84"/>
  <c r="C84"/>
  <c r="C85"/>
  <c r="E77"/>
  <c r="B88"/>
  <c r="C88"/>
  <c r="B89"/>
  <c r="C89"/>
  <c r="B90"/>
  <c r="C90"/>
  <c r="B92"/>
  <c r="C92"/>
  <c r="B93"/>
  <c r="C93"/>
  <c r="B94"/>
  <c r="C94"/>
  <c r="B95"/>
  <c r="C95"/>
  <c r="B99"/>
  <c r="C99"/>
  <c r="B100"/>
  <c r="C100"/>
  <c r="B101"/>
  <c r="C101"/>
  <c r="B103"/>
  <c r="C103"/>
  <c r="B104"/>
  <c r="C104"/>
  <c r="B105"/>
  <c r="C105"/>
  <c r="B106"/>
  <c r="C106"/>
  <c r="B110"/>
  <c r="C110"/>
  <c r="B111"/>
  <c r="C111"/>
  <c r="B112"/>
  <c r="C112"/>
  <c r="C113"/>
  <c r="B114"/>
  <c r="C114"/>
  <c r="B115"/>
  <c r="C115"/>
  <c r="B116"/>
  <c r="C116"/>
  <c r="B117"/>
  <c r="C117"/>
  <c r="C118"/>
  <c r="E110"/>
  <c r="B121"/>
  <c r="C121"/>
  <c r="B122"/>
  <c r="C122"/>
  <c r="B123"/>
  <c r="C123"/>
  <c r="C124"/>
  <c r="B125"/>
  <c r="C125"/>
  <c r="B126"/>
  <c r="C126"/>
  <c r="B127"/>
  <c r="C127"/>
  <c r="B128"/>
  <c r="C128"/>
  <c r="C129"/>
  <c r="E121"/>
  <c r="B132"/>
  <c r="C132"/>
  <c r="B133"/>
  <c r="C133"/>
  <c r="B134"/>
  <c r="C134"/>
  <c r="C135"/>
  <c r="B136"/>
  <c r="C136"/>
  <c r="B137"/>
  <c r="C137"/>
  <c r="B138"/>
  <c r="C138"/>
  <c r="B139"/>
  <c r="C139"/>
  <c r="C140"/>
  <c r="E132"/>
  <c r="D142"/>
  <c r="B140"/>
  <c r="B129"/>
  <c r="B118"/>
  <c r="B85"/>
  <c r="B23"/>
  <c r="B24"/>
  <c r="B26"/>
  <c r="B27"/>
  <c r="B28"/>
  <c r="B29"/>
  <c r="B22"/>
  <c r="C22"/>
  <c r="C23"/>
  <c r="C24"/>
  <c r="C26"/>
  <c r="C27"/>
  <c r="C28"/>
  <c r="C29"/>
  <c r="B41"/>
  <c r="B52"/>
  <c r="B63"/>
  <c r="I16" i="2"/>
  <c r="J16"/>
  <c r="C4" i="3"/>
  <c r="C5"/>
  <c r="F139"/>
  <c r="G129"/>
  <c r="F129"/>
  <c r="G118"/>
  <c r="F118"/>
  <c r="G16" i="2"/>
  <c r="E16"/>
  <c r="F16"/>
  <c r="D16"/>
  <c r="H16"/>
  <c r="C16"/>
  <c r="C17"/>
  <c r="H9" i="1"/>
  <c r="B19" i="3"/>
  <c r="B30"/>
  <c r="C19"/>
  <c r="C30"/>
  <c r="E11"/>
  <c r="E22"/>
  <c r="C91"/>
  <c r="C96"/>
  <c r="E88"/>
  <c r="C102"/>
  <c r="C107"/>
  <c r="E99"/>
  <c r="E142"/>
  <c r="C142"/>
  <c r="B96"/>
  <c r="B107"/>
  <c r="B142"/>
  <c r="F107"/>
  <c r="G107"/>
</calcChain>
</file>

<file path=xl/sharedStrings.xml><?xml version="1.0" encoding="utf-8"?>
<sst xmlns="http://schemas.openxmlformats.org/spreadsheetml/2006/main" count="246" uniqueCount="73">
  <si>
    <t>NOM</t>
  </si>
  <si>
    <t>PROFESSION</t>
  </si>
  <si>
    <t>SIRET</t>
  </si>
  <si>
    <t>ADELI</t>
  </si>
  <si>
    <t>NUMERO</t>
  </si>
  <si>
    <t>MAIL</t>
  </si>
  <si>
    <t>LOCATAIRES DU CABINET</t>
  </si>
  <si>
    <t>Nature</t>
  </si>
  <si>
    <t>Fournisseur</t>
  </si>
  <si>
    <t>Fournisseur d'Electricité</t>
  </si>
  <si>
    <t>ENGIE</t>
  </si>
  <si>
    <t>Fournisseur de Gaz</t>
  </si>
  <si>
    <t>Fournisseur Internet et téléphone</t>
  </si>
  <si>
    <t>BOUYGUES</t>
  </si>
  <si>
    <t>Abonnement ancre (imprimante)</t>
  </si>
  <si>
    <t>HP</t>
  </si>
  <si>
    <t>Assurance multirisques professionnel</t>
  </si>
  <si>
    <t>MACSF</t>
  </si>
  <si>
    <t>Achat divers</t>
  </si>
  <si>
    <t>Montant</t>
  </si>
  <si>
    <t>TOTAL</t>
  </si>
  <si>
    <t>SOUS-TOTAL</t>
  </si>
  <si>
    <t>Tableau des charges répartissables annuel</t>
  </si>
  <si>
    <t>SEPTEMBRE</t>
  </si>
  <si>
    <t>MONTANT TOTAL DES CHARGES</t>
  </si>
  <si>
    <t>CHARGES IMPUTABLES</t>
  </si>
  <si>
    <t>PARTICIPATION RÉGLÉE</t>
  </si>
  <si>
    <t>RÉGULATION</t>
  </si>
  <si>
    <t>Travaux d’entretien et de réparation locataire</t>
  </si>
  <si>
    <t>Équipement parties communes</t>
  </si>
  <si>
    <t>OCTOBRE</t>
  </si>
  <si>
    <t>NOVEMBRE</t>
  </si>
  <si>
    <t>DECEMBRE</t>
  </si>
  <si>
    <t>TOTAL MENSUEL</t>
  </si>
  <si>
    <t xml:space="preserve">TOTAL ANNUEL </t>
  </si>
  <si>
    <t xml:space="preserve">le : </t>
  </si>
  <si>
    <t>AOUT</t>
  </si>
  <si>
    <t>JUILLET</t>
  </si>
  <si>
    <t>JUIN</t>
  </si>
  <si>
    <t>MAI</t>
  </si>
  <si>
    <t>JANVIER</t>
  </si>
  <si>
    <t>FEVRIER</t>
  </si>
  <si>
    <t>MARS</t>
  </si>
  <si>
    <t>AVRIL</t>
  </si>
  <si>
    <t>QUOTE_PART</t>
  </si>
  <si>
    <t>Quote-part (en %)</t>
  </si>
  <si>
    <t>Frais de fonctionnement du cabinet de psychomotricité sur la période comprise entre le 1/01/23 au 31/12/23</t>
  </si>
  <si>
    <t xml:space="preserve">Entretien des locaux et fournitures de bureaux </t>
  </si>
  <si>
    <t>Fournisseur d'Electricite</t>
  </si>
  <si>
    <t>janvier</t>
  </si>
  <si>
    <t>Assurance multirisques pro</t>
  </si>
  <si>
    <t>Abonnement encre (imprimante)</t>
  </si>
  <si>
    <t>PARTICIPATION</t>
  </si>
  <si>
    <t>Titulaire du cabinet : An</t>
  </si>
  <si>
    <t>Gestion des charges courantes : X1</t>
  </si>
  <si>
    <t xml:space="preserve">Numéro siret : </t>
  </si>
  <si>
    <t>X</t>
  </si>
  <si>
    <t>BS</t>
  </si>
  <si>
    <t>BA</t>
  </si>
  <si>
    <t>CS</t>
  </si>
  <si>
    <t>FA</t>
  </si>
  <si>
    <t>HA</t>
  </si>
  <si>
    <t>Siret1</t>
  </si>
  <si>
    <t>Siret2</t>
  </si>
  <si>
    <t>Siret3</t>
  </si>
  <si>
    <t>Siret4</t>
  </si>
  <si>
    <t>Siret5</t>
  </si>
  <si>
    <t>Pro1</t>
  </si>
  <si>
    <t>Pro2</t>
  </si>
  <si>
    <t>Pro3</t>
  </si>
  <si>
    <t>Pro4</t>
  </si>
  <si>
    <t>Pro5</t>
  </si>
  <si>
    <t>Colonne1</t>
  </si>
</sst>
</file>

<file path=xl/styles.xml><?xml version="1.0" encoding="utf-8"?>
<styleSheet xmlns="http://schemas.openxmlformats.org/spreadsheetml/2006/main">
  <numFmts count="2">
    <numFmt numFmtId="164" formatCode="_ * #,##0.00_)\ [$€-1]_ ;_ * \(#,##0.00\)\ [$€-1]_ ;_ * &quot;-&quot;??_)\ [$€-1]_ ;_ @_ "/>
    <numFmt numFmtId="165" formatCode="#,##0.00\ &quot;€&quot;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</borders>
  <cellStyleXfs count="66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1" xfId="0" applyBorder="1"/>
    <xf numFmtId="0" fontId="3" fillId="0" borderId="3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7" xfId="0" applyBorder="1"/>
    <xf numFmtId="164" fontId="0" fillId="0" borderId="1" xfId="0" applyNumberFormat="1" applyBorder="1"/>
    <xf numFmtId="0" fontId="1" fillId="0" borderId="1" xfId="0" applyFont="1" applyBorder="1"/>
    <xf numFmtId="164" fontId="0" fillId="0" borderId="1" xfId="0" applyNumberFormat="1" applyFill="1" applyBorder="1"/>
    <xf numFmtId="0" fontId="0" fillId="0" borderId="6" xfId="0" applyBorder="1"/>
    <xf numFmtId="17" fontId="0" fillId="0" borderId="6" xfId="0" applyNumberFormat="1" applyBorder="1"/>
    <xf numFmtId="164" fontId="0" fillId="0" borderId="9" xfId="0" applyNumberFormat="1" applyBorder="1"/>
    <xf numFmtId="0" fontId="0" fillId="0" borderId="10" xfId="0" applyFont="1" applyBorder="1" applyAlignment="1">
      <alignment horizontal="left"/>
    </xf>
    <xf numFmtId="17" fontId="0" fillId="0" borderId="5" xfId="0" applyNumberFormat="1" applyBorder="1"/>
    <xf numFmtId="164" fontId="0" fillId="0" borderId="3" xfId="0" applyNumberFormat="1" applyBorder="1"/>
    <xf numFmtId="164" fontId="0" fillId="0" borderId="3" xfId="0" applyNumberFormat="1" applyFill="1" applyBorder="1"/>
    <xf numFmtId="164" fontId="0" fillId="0" borderId="8" xfId="0" applyNumberFormat="1" applyBorder="1"/>
    <xf numFmtId="0" fontId="0" fillId="0" borderId="4" xfId="0" applyBorder="1"/>
    <xf numFmtId="0" fontId="0" fillId="0" borderId="10" xfId="0" applyFill="1" applyBorder="1"/>
    <xf numFmtId="0" fontId="4" fillId="0" borderId="0" xfId="12"/>
    <xf numFmtId="164" fontId="5" fillId="0" borderId="0" xfId="12" applyNumberFormat="1" applyFont="1"/>
    <xf numFmtId="1" fontId="0" fillId="0" borderId="0" xfId="13" applyNumberFormat="1" applyFont="1" applyBorder="1" applyAlignment="1">
      <alignment horizontal="left" indent="1"/>
    </xf>
    <xf numFmtId="0" fontId="3" fillId="0" borderId="0" xfId="12" applyFont="1" applyAlignment="1">
      <alignment horizontal="center"/>
    </xf>
    <xf numFmtId="0" fontId="4" fillId="2" borderId="0" xfId="12" applyFill="1"/>
    <xf numFmtId="0" fontId="3" fillId="0" borderId="1" xfId="12" applyFont="1" applyBorder="1"/>
    <xf numFmtId="0" fontId="3" fillId="0" borderId="1" xfId="12" applyFont="1" applyBorder="1" applyAlignment="1">
      <alignment horizontal="center"/>
    </xf>
    <xf numFmtId="0" fontId="6" fillId="0" borderId="1" xfId="12" applyFont="1" applyBorder="1" applyAlignment="1">
      <alignment vertical="center" wrapText="1"/>
    </xf>
    <xf numFmtId="165" fontId="4" fillId="0" borderId="1" xfId="12" applyNumberFormat="1" applyBorder="1" applyAlignment="1">
      <alignment horizontal="center" vertical="center"/>
    </xf>
    <xf numFmtId="0" fontId="4" fillId="0" borderId="1" xfId="12" applyBorder="1"/>
    <xf numFmtId="0" fontId="4" fillId="0" borderId="3" xfId="12" applyBorder="1"/>
    <xf numFmtId="0" fontId="4" fillId="0" borderId="11" xfId="12" applyBorder="1"/>
    <xf numFmtId="165" fontId="4" fillId="0" borderId="12" xfId="12" applyNumberFormat="1" applyBorder="1" applyAlignment="1">
      <alignment horizontal="center" vertical="center"/>
    </xf>
    <xf numFmtId="0" fontId="4" fillId="2" borderId="4" xfId="12" applyFill="1" applyBorder="1"/>
    <xf numFmtId="0" fontId="4" fillId="2" borderId="1" xfId="12" applyFill="1" applyBorder="1"/>
    <xf numFmtId="0" fontId="5" fillId="0" borderId="0" xfId="12" applyFont="1"/>
    <xf numFmtId="165" fontId="4" fillId="0" borderId="0" xfId="12" applyNumberFormat="1"/>
    <xf numFmtId="165" fontId="4" fillId="0" borderId="1" xfId="12" applyNumberFormat="1" applyBorder="1" applyAlignment="1">
      <alignment horizontal="center"/>
    </xf>
    <xf numFmtId="0" fontId="4" fillId="0" borderId="0" xfId="12" applyBorder="1"/>
    <xf numFmtId="165" fontId="4" fillId="0" borderId="0" xfId="12" applyNumberFormat="1" applyBorder="1" applyAlignment="1">
      <alignment horizontal="center" vertical="center"/>
    </xf>
    <xf numFmtId="165" fontId="4" fillId="0" borderId="0" xfId="12" applyNumberFormat="1" applyBorder="1" applyAlignment="1">
      <alignment horizontal="center"/>
    </xf>
    <xf numFmtId="0" fontId="4" fillId="0" borderId="0" xfId="12" applyFill="1" applyBorder="1"/>
    <xf numFmtId="164" fontId="4" fillId="0" borderId="0" xfId="12" applyNumberFormat="1"/>
    <xf numFmtId="164" fontId="4" fillId="0" borderId="0" xfId="12" applyNumberFormat="1" applyBorder="1"/>
    <xf numFmtId="2" fontId="0" fillId="0" borderId="9" xfId="0" applyNumberFormat="1" applyBorder="1"/>
    <xf numFmtId="2" fontId="0" fillId="0" borderId="8" xfId="0" applyNumberFormat="1" applyBorder="1"/>
    <xf numFmtId="164" fontId="0" fillId="0" borderId="10" xfId="0" applyNumberFormat="1" applyBorder="1"/>
    <xf numFmtId="165" fontId="5" fillId="0" borderId="12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2" fontId="0" fillId="0" borderId="1" xfId="13" applyNumberFormat="1" applyFont="1" applyBorder="1" applyAlignment="1">
      <alignment horizontal="left" indent="1"/>
    </xf>
    <xf numFmtId="0" fontId="0" fillId="0" borderId="5" xfId="0" applyBorder="1"/>
    <xf numFmtId="0" fontId="0" fillId="0" borderId="6" xfId="0" applyFill="1" applyBorder="1"/>
    <xf numFmtId="165" fontId="4" fillId="0" borderId="3" xfId="12" applyNumberFormat="1" applyBorder="1" applyAlignment="1">
      <alignment horizontal="center" vertical="center"/>
    </xf>
    <xf numFmtId="165" fontId="4" fillId="0" borderId="2" xfId="12" applyNumberFormat="1" applyBorder="1" applyAlignment="1">
      <alignment horizontal="center" vertical="center"/>
    </xf>
    <xf numFmtId="165" fontId="4" fillId="0" borderId="7" xfId="12" applyNumberFormat="1" applyBorder="1" applyAlignment="1">
      <alignment horizontal="center" vertical="center"/>
    </xf>
    <xf numFmtId="165" fontId="4" fillId="0" borderId="4" xfId="12" applyNumberForma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0" fontId="0" fillId="0" borderId="10" xfId="0" applyBorder="1"/>
  </cellXfs>
  <cellStyles count="66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Normal" xfId="0" builtinId="0"/>
    <cellStyle name="Normal 2" xfId="12"/>
    <cellStyle name="Pourcentage 2" xfId="13"/>
  </cellStyles>
  <dxfs count="35"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_ * #,##0.00_)\ [$€-1]_ ;_ * \(#,##0.00\)\ [$€-1]_ ;_ * &quot;-&quot;??_)\ [$€-1]_ ;_ @_ 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2" formatCode="mmm\-yy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2" displayName="Table2" ref="B3:J15" totalsRowShown="0" headerRowDxfId="34" headerRowBorderDxfId="33" tableBorderDxfId="32" totalsRowBorderDxfId="31">
  <autoFilter ref="B3:J15"/>
  <tableColumns count="9">
    <tableColumn id="1" name="Montant" dataDxfId="30"/>
    <tableColumn id="2" name="Fournisseur d'Electricite" dataDxfId="29"/>
    <tableColumn id="3" name="Fournisseur de Gaz" dataDxfId="28"/>
    <tableColumn id="4" name="Fournisseur Internet et téléphone" dataDxfId="27"/>
    <tableColumn id="5" name="Abonnement encre (imprimante)" dataDxfId="26"/>
    <tableColumn id="6" name="Assurance multirisques pro" dataDxfId="25"/>
    <tableColumn id="7" name="Entretien des locaux et fournitures de bureaux " dataDxfId="24"/>
    <tableColumn id="9" name="Travaux d’entretien et de réparation locataire" dataDxfId="23"/>
    <tableColumn id="8" name="Équipement parties communes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B3:I8" totalsRowShown="0" headerRowDxfId="21" headerRowBorderDxfId="20" tableBorderDxfId="19" totalsRowBorderDxfId="18">
  <autoFilter ref="B3:I8"/>
  <sortState ref="B4:I8">
    <sortCondition ref="B4"/>
  </sortState>
  <tableColumns count="8">
    <tableColumn id="1" name="NOM" dataDxfId="17"/>
    <tableColumn id="2" name="PROFESSION" dataDxfId="16"/>
    <tableColumn id="3" name="NUMERO" dataDxfId="15"/>
    <tableColumn id="4" name="MAIL" dataDxfId="14"/>
    <tableColumn id="5" name="SIRET" dataDxfId="13"/>
    <tableColumn id="6" name="ADELI" dataDxfId="12"/>
    <tableColumn id="8" name="QUOTE_PART" dataDxfId="11"/>
    <tableColumn id="7" name="PARTICIPATION" dataDxfId="1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4" displayName="Table4" ref="B12:G24" totalsRowShown="0" headerRowDxfId="0" headerRowBorderDxfId="8" tableBorderDxfId="9" totalsRowBorderDxfId="7">
  <autoFilter ref="B12:G24"/>
  <tableColumns count="6">
    <tableColumn id="1" name="Colonne1" dataDxfId="6"/>
    <tableColumn id="2" name="BS" dataDxfId="5"/>
    <tableColumn id="3" name="BA" dataDxfId="4"/>
    <tableColumn id="4" name="CS" dataDxfId="3"/>
    <tableColumn id="5" name="FA" dataDxfId="2"/>
    <tableColumn id="6" name="HA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H178"/>
  <sheetViews>
    <sheetView showGridLines="0" tabSelected="1" zoomScale="91" zoomScaleNormal="91" zoomScalePageLayoutView="91" workbookViewId="0">
      <selection activeCell="D11" sqref="D11:D19"/>
    </sheetView>
  </sheetViews>
  <sheetFormatPr baseColWidth="10" defaultColWidth="10.875" defaultRowHeight="15"/>
  <cols>
    <col min="1" max="1" width="37.625" style="21" customWidth="1"/>
    <col min="2" max="2" width="25.125" style="21" customWidth="1"/>
    <col min="3" max="3" width="22.125" style="21" customWidth="1"/>
    <col min="4" max="4" width="19" style="21" customWidth="1"/>
    <col min="5" max="16384" width="10.875" style="21"/>
  </cols>
  <sheetData>
    <row r="1" spans="1:5">
      <c r="A1" s="21" t="s">
        <v>53</v>
      </c>
    </row>
    <row r="2" spans="1:5">
      <c r="A2" s="21" t="s">
        <v>54</v>
      </c>
    </row>
    <row r="3" spans="1:5" ht="15.75">
      <c r="A3" s="21" t="s">
        <v>55</v>
      </c>
      <c r="C3" s="22" t="s">
        <v>60</v>
      </c>
      <c r="D3" s="21" t="s">
        <v>45</v>
      </c>
      <c r="E3" s="50">
        <f>INDEX(Table3[QUOTE_PART],MATCH(C3,Table3[NOM],0))</f>
        <v>11.5</v>
      </c>
    </row>
    <row r="4" spans="1:5" ht="15.75">
      <c r="A4" s="21" t="s">
        <v>56</v>
      </c>
      <c r="C4" s="22" t="str">
        <f>INDEX(Table3[PROFESSION],MATCH(C3,Table3[NOM],0))</f>
        <v>Pro4</v>
      </c>
      <c r="E4" s="23"/>
    </row>
    <row r="5" spans="1:5" ht="15.75">
      <c r="A5" s="21" t="s">
        <v>56</v>
      </c>
      <c r="C5" s="21" t="str">
        <f>"Numéro SIRET : "&amp;INDEX(Table3[SIRET],MATCH(C3,Table3[NOM],0))</f>
        <v>Numéro SIRET : Siret4</v>
      </c>
      <c r="E5" s="23"/>
    </row>
    <row r="7" spans="1:5">
      <c r="B7" s="24" t="s">
        <v>46</v>
      </c>
    </row>
    <row r="8" spans="1:5">
      <c r="B8" s="24"/>
    </row>
    <row r="9" spans="1:5">
      <c r="A9" s="25"/>
      <c r="B9" s="25"/>
      <c r="C9" s="25"/>
      <c r="D9" s="25"/>
      <c r="E9" s="25"/>
    </row>
    <row r="10" spans="1:5">
      <c r="A10" s="26" t="s">
        <v>40</v>
      </c>
      <c r="B10" s="27" t="s">
        <v>24</v>
      </c>
      <c r="C10" s="27" t="s">
        <v>25</v>
      </c>
      <c r="D10" s="27" t="s">
        <v>26</v>
      </c>
      <c r="E10" s="27" t="s">
        <v>27</v>
      </c>
    </row>
    <row r="11" spans="1:5">
      <c r="A11" s="28" t="s">
        <v>48</v>
      </c>
      <c r="B11" s="29">
        <f>HLOOKUP(A11,Table2[#All],2,0)</f>
        <v>59</v>
      </c>
      <c r="C11" s="29">
        <f>(B11*$E$3)/100</f>
        <v>6.7850000000000001</v>
      </c>
      <c r="D11" s="53">
        <f>SUMPRODUCT((Table4[Colonne1]=$A10)*(Table4[#Headers]=$C$3),Table4[])</f>
        <v>19</v>
      </c>
      <c r="E11" s="53">
        <f>D11-C19</f>
        <v>-6.1664677499999954</v>
      </c>
    </row>
    <row r="12" spans="1:5">
      <c r="A12" s="30" t="s">
        <v>11</v>
      </c>
      <c r="B12" s="29">
        <f>HLOOKUP(A12,Table2[#All],2,0)</f>
        <v>102</v>
      </c>
      <c r="C12" s="29">
        <f t="shared" ref="C12:C18" si="0">(B12*$E$3)/100</f>
        <v>11.73</v>
      </c>
      <c r="D12" s="54"/>
      <c r="E12" s="54"/>
    </row>
    <row r="13" spans="1:5">
      <c r="A13" s="30" t="s">
        <v>12</v>
      </c>
      <c r="B13" s="29">
        <f>HLOOKUP(A13,Table2[#All],2,0)</f>
        <v>21.99</v>
      </c>
      <c r="C13" s="29">
        <f t="shared" si="0"/>
        <v>2.5288499999999998</v>
      </c>
      <c r="D13" s="54"/>
      <c r="E13" s="54"/>
    </row>
    <row r="14" spans="1:5">
      <c r="A14" s="30" t="s">
        <v>51</v>
      </c>
      <c r="B14" s="29">
        <f>IF(C3="HERVE Annaig","0 €",((HLOOKUP(A14,Table2[#All],2,0)))+((charges!F4*$E$3)/100))</f>
        <v>13.36885</v>
      </c>
      <c r="C14" s="29">
        <f>(B14*$E$3)/100</f>
        <v>1.5374177499999999</v>
      </c>
      <c r="D14" s="54"/>
      <c r="E14" s="54"/>
    </row>
    <row r="15" spans="1:5">
      <c r="A15" s="30" t="s">
        <v>50</v>
      </c>
      <c r="B15" s="29">
        <f>HLOOKUP(A15,Table2[#All],2,0)</f>
        <v>12.48</v>
      </c>
      <c r="C15" s="29">
        <f>(B15*$E$3)/100</f>
        <v>1.4352</v>
      </c>
      <c r="D15" s="54"/>
      <c r="E15" s="54"/>
    </row>
    <row r="16" spans="1:5">
      <c r="A16" s="30" t="s">
        <v>47</v>
      </c>
      <c r="B16" s="29">
        <f>HLOOKUP(A16,Table2[#All],2,0)</f>
        <v>10</v>
      </c>
      <c r="C16" s="29">
        <f t="shared" si="0"/>
        <v>1.1499999999999999</v>
      </c>
      <c r="D16" s="54"/>
      <c r="E16" s="54"/>
    </row>
    <row r="17" spans="1:5">
      <c r="A17" s="31" t="s">
        <v>28</v>
      </c>
      <c r="B17" s="29">
        <f>HLOOKUP(A17,Table2[#All],2,0)</f>
        <v>0</v>
      </c>
      <c r="C17" s="29">
        <f t="shared" si="0"/>
        <v>0</v>
      </c>
      <c r="D17" s="54"/>
      <c r="E17" s="54"/>
    </row>
    <row r="18" spans="1:5" ht="15.75" thickBot="1">
      <c r="A18" s="31" t="s">
        <v>29</v>
      </c>
      <c r="B18" s="29">
        <f>HLOOKUP(A18,Table2[#All],2,0)</f>
        <v>0</v>
      </c>
      <c r="C18" s="29">
        <f t="shared" si="0"/>
        <v>0</v>
      </c>
      <c r="D18" s="54"/>
      <c r="E18" s="54"/>
    </row>
    <row r="19" spans="1:5" ht="15.75" thickBot="1">
      <c r="A19" s="32" t="s">
        <v>20</v>
      </c>
      <c r="B19" s="33">
        <f>SUM(B11:B18)</f>
        <v>218.83885000000001</v>
      </c>
      <c r="C19" s="33">
        <f>SUM(C11:C18)</f>
        <v>25.166467749999995</v>
      </c>
      <c r="D19" s="55"/>
      <c r="E19" s="56"/>
    </row>
    <row r="20" spans="1:5">
      <c r="A20" s="25"/>
      <c r="B20" s="25"/>
      <c r="C20" s="25"/>
      <c r="D20" s="25"/>
      <c r="E20" s="25"/>
    </row>
    <row r="21" spans="1:5">
      <c r="A21" s="26" t="s">
        <v>41</v>
      </c>
      <c r="B21" s="27" t="s">
        <v>24</v>
      </c>
      <c r="C21" s="27" t="s">
        <v>25</v>
      </c>
      <c r="D21" s="27" t="s">
        <v>26</v>
      </c>
      <c r="E21" s="27" t="s">
        <v>27</v>
      </c>
    </row>
    <row r="22" spans="1:5">
      <c r="A22" s="28" t="s">
        <v>48</v>
      </c>
      <c r="B22" s="29">
        <f>HLOOKUP(A22,Table2[#All],3,0)</f>
        <v>59</v>
      </c>
      <c r="C22" s="29">
        <f>(B22*$E$3)/100</f>
        <v>6.7850000000000001</v>
      </c>
      <c r="D22" s="53">
        <f>SUMPRODUCT((Table4[Colonne1]=$A21)*(Table4[#Headers]=$C$3),Table4[])</f>
        <v>19</v>
      </c>
      <c r="E22" s="53">
        <f>D22-C30</f>
        <v>-6.1664677499999954</v>
      </c>
    </row>
    <row r="23" spans="1:5">
      <c r="A23" s="30" t="s">
        <v>11</v>
      </c>
      <c r="B23" s="29">
        <f>HLOOKUP(A23,Table2[#All],3,0)</f>
        <v>102</v>
      </c>
      <c r="C23" s="29">
        <f t="shared" ref="C23:C29" si="1">(B23*$E$3)/100</f>
        <v>11.73</v>
      </c>
      <c r="D23" s="54"/>
      <c r="E23" s="54"/>
    </row>
    <row r="24" spans="1:5">
      <c r="A24" s="30" t="s">
        <v>12</v>
      </c>
      <c r="B24" s="29">
        <f>HLOOKUP(A24,Table2[#All],3,0)</f>
        <v>21.99</v>
      </c>
      <c r="C24" s="29">
        <f t="shared" si="1"/>
        <v>2.5288499999999998</v>
      </c>
      <c r="D24" s="54"/>
      <c r="E24" s="54"/>
    </row>
    <row r="25" spans="1:5">
      <c r="A25" s="30" t="s">
        <v>51</v>
      </c>
      <c r="B25" s="29">
        <f>IF(C3="HERVE Annaig","0 €",((HLOOKUP(A25,Table2[#All],2,0)))+((charges!F5*$E$3)/100))</f>
        <v>13.36885</v>
      </c>
      <c r="C25" s="29">
        <f t="shared" si="1"/>
        <v>1.5374177499999999</v>
      </c>
      <c r="D25" s="54"/>
      <c r="E25" s="54"/>
    </row>
    <row r="26" spans="1:5">
      <c r="A26" s="30" t="s">
        <v>50</v>
      </c>
      <c r="B26" s="29">
        <f>HLOOKUP(A26,Table2[#All],3,0)</f>
        <v>12.48</v>
      </c>
      <c r="C26" s="29">
        <f t="shared" si="1"/>
        <v>1.4352</v>
      </c>
      <c r="D26" s="54"/>
      <c r="E26" s="54"/>
    </row>
    <row r="27" spans="1:5">
      <c r="A27" s="30" t="s">
        <v>47</v>
      </c>
      <c r="B27" s="29">
        <f>HLOOKUP(A27,Table2[#All],3,0)</f>
        <v>10</v>
      </c>
      <c r="C27" s="29">
        <f t="shared" si="1"/>
        <v>1.1499999999999999</v>
      </c>
      <c r="D27" s="54"/>
      <c r="E27" s="54"/>
    </row>
    <row r="28" spans="1:5">
      <c r="A28" s="31" t="s">
        <v>28</v>
      </c>
      <c r="B28" s="29">
        <f>HLOOKUP(A28,Table2[#All],3,0)</f>
        <v>0</v>
      </c>
      <c r="C28" s="29">
        <f t="shared" si="1"/>
        <v>0</v>
      </c>
      <c r="D28" s="54"/>
      <c r="E28" s="54"/>
    </row>
    <row r="29" spans="1:5" ht="15.75" thickBot="1">
      <c r="A29" s="31" t="s">
        <v>29</v>
      </c>
      <c r="B29" s="29">
        <f>HLOOKUP(A29,Table2[#All],3,0)</f>
        <v>0</v>
      </c>
      <c r="C29" s="29">
        <f t="shared" si="1"/>
        <v>0</v>
      </c>
      <c r="D29" s="54"/>
      <c r="E29" s="54"/>
    </row>
    <row r="30" spans="1:5" ht="15.75" thickBot="1">
      <c r="A30" s="32" t="s">
        <v>20</v>
      </c>
      <c r="B30" s="33">
        <f>SUM(B11:B18)</f>
        <v>218.83885000000001</v>
      </c>
      <c r="C30" s="33">
        <f>SUM(C11:C18)</f>
        <v>25.166467749999995</v>
      </c>
      <c r="D30" s="55"/>
      <c r="E30" s="56"/>
    </row>
    <row r="31" spans="1:5">
      <c r="A31" s="25"/>
      <c r="B31" s="25"/>
      <c r="C31" s="25"/>
      <c r="D31" s="25"/>
      <c r="E31" s="25"/>
    </row>
    <row r="32" spans="1:5">
      <c r="A32" s="26" t="s">
        <v>42</v>
      </c>
      <c r="B32" s="27" t="s">
        <v>24</v>
      </c>
      <c r="C32" s="27" t="s">
        <v>25</v>
      </c>
      <c r="D32" s="27" t="s">
        <v>26</v>
      </c>
      <c r="E32" s="27" t="s">
        <v>27</v>
      </c>
    </row>
    <row r="33" spans="1:5">
      <c r="A33" s="28" t="s">
        <v>48</v>
      </c>
      <c r="B33" s="29">
        <f>HLOOKUP(A33,Table2[#All],4,0)</f>
        <v>59</v>
      </c>
      <c r="C33" s="29">
        <f>(B33*$E$3)/100</f>
        <v>6.7850000000000001</v>
      </c>
      <c r="D33" s="53">
        <f>SUMPRODUCT((Table4[Colonne1]=$A32)*(Table4[#Headers]=$C$3),Table4[])</f>
        <v>19</v>
      </c>
      <c r="E33" s="53">
        <f>D33-C41</f>
        <v>-6.167617749999998</v>
      </c>
    </row>
    <row r="34" spans="1:5">
      <c r="A34" s="30" t="s">
        <v>11</v>
      </c>
      <c r="B34" s="29">
        <f>HLOOKUP(A34,Table2[#All],4,0)</f>
        <v>102</v>
      </c>
      <c r="C34" s="29">
        <f>(B34*$E$3)/100</f>
        <v>11.73</v>
      </c>
      <c r="D34" s="54"/>
      <c r="E34" s="54"/>
    </row>
    <row r="35" spans="1:5">
      <c r="A35" s="30" t="s">
        <v>12</v>
      </c>
      <c r="B35" s="29">
        <f>HLOOKUP(A35,Table2[#All],4,0)</f>
        <v>21.99</v>
      </c>
      <c r="C35" s="29">
        <f t="shared" ref="C35:C40" si="2">(B35*$E$3)/100</f>
        <v>2.5288499999999998</v>
      </c>
      <c r="D35" s="54"/>
      <c r="E35" s="54"/>
    </row>
    <row r="36" spans="1:5">
      <c r="A36" s="30" t="s">
        <v>51</v>
      </c>
      <c r="B36" s="29">
        <f>IF(C3="HERVE Annaig","0 €",((HLOOKUP(A36,Table2[#All],2,0)))+((charges!F6*$E$3)/100))</f>
        <v>13.36885</v>
      </c>
      <c r="C36" s="29">
        <f t="shared" si="2"/>
        <v>1.5374177499999999</v>
      </c>
      <c r="D36" s="54"/>
      <c r="E36" s="54"/>
    </row>
    <row r="37" spans="1:5">
      <c r="A37" s="30" t="s">
        <v>50</v>
      </c>
      <c r="B37" s="29">
        <f>HLOOKUP(A37,Table2[#All],4,0)</f>
        <v>12.49</v>
      </c>
      <c r="C37" s="29">
        <f t="shared" si="2"/>
        <v>1.43635</v>
      </c>
      <c r="D37" s="54"/>
      <c r="E37" s="54"/>
    </row>
    <row r="38" spans="1:5">
      <c r="A38" s="30" t="s">
        <v>47</v>
      </c>
      <c r="B38" s="29">
        <f>HLOOKUP(A38,Table2[#All],4,0)</f>
        <v>10</v>
      </c>
      <c r="C38" s="29">
        <f t="shared" si="2"/>
        <v>1.1499999999999999</v>
      </c>
      <c r="D38" s="54"/>
      <c r="E38" s="54"/>
    </row>
    <row r="39" spans="1:5">
      <c r="A39" s="31" t="s">
        <v>28</v>
      </c>
      <c r="B39" s="29">
        <f>HLOOKUP(A39,Table2[#All],4,0)</f>
        <v>0</v>
      </c>
      <c r="C39" s="29">
        <f t="shared" si="2"/>
        <v>0</v>
      </c>
      <c r="D39" s="54"/>
      <c r="E39" s="54"/>
    </row>
    <row r="40" spans="1:5" ht="15.75" thickBot="1">
      <c r="A40" s="31" t="s">
        <v>29</v>
      </c>
      <c r="B40" s="29">
        <f>HLOOKUP(A40,Table2[#All],4,0)</f>
        <v>0</v>
      </c>
      <c r="C40" s="29">
        <f t="shared" si="2"/>
        <v>0</v>
      </c>
      <c r="D40" s="54"/>
      <c r="E40" s="54"/>
    </row>
    <row r="41" spans="1:5" ht="15.75" thickBot="1">
      <c r="A41" s="32" t="s">
        <v>20</v>
      </c>
      <c r="B41" s="33">
        <f>SUM(B33:B40)</f>
        <v>218.84885000000003</v>
      </c>
      <c r="C41" s="33">
        <f>SUM(C33:C40)</f>
        <v>25.167617749999998</v>
      </c>
      <c r="D41" s="55"/>
      <c r="E41" s="56"/>
    </row>
    <row r="42" spans="1:5">
      <c r="A42" s="34"/>
      <c r="B42" s="34"/>
      <c r="C42" s="34"/>
      <c r="D42" s="35"/>
      <c r="E42" s="35"/>
    </row>
    <row r="43" spans="1:5">
      <c r="A43" s="26" t="s">
        <v>43</v>
      </c>
      <c r="B43" s="27" t="s">
        <v>24</v>
      </c>
      <c r="C43" s="27" t="s">
        <v>25</v>
      </c>
      <c r="D43" s="27" t="s">
        <v>26</v>
      </c>
      <c r="E43" s="27" t="s">
        <v>27</v>
      </c>
    </row>
    <row r="44" spans="1:5">
      <c r="A44" s="28" t="s">
        <v>48</v>
      </c>
      <c r="B44" s="29">
        <f>HLOOKUP(A33,Table2[#All],5,0)</f>
        <v>59</v>
      </c>
      <c r="C44" s="29">
        <f>(B44*$E$3)/100</f>
        <v>6.7850000000000001</v>
      </c>
      <c r="D44" s="53">
        <f>SUMPRODUCT((Table4[Colonne1]=$A43)*(Table4[#Headers]=$C$3),Table4[])</f>
        <v>20</v>
      </c>
      <c r="E44" s="53">
        <f>D44-C52</f>
        <v>-5.167617749999998</v>
      </c>
    </row>
    <row r="45" spans="1:5">
      <c r="A45" s="30" t="s">
        <v>11</v>
      </c>
      <c r="B45" s="29">
        <f>HLOOKUP(A34,Table2[#All],5,0)</f>
        <v>102</v>
      </c>
      <c r="C45" s="29">
        <f t="shared" ref="C45:C51" si="3">(B45*$E$3)/100</f>
        <v>11.73</v>
      </c>
      <c r="D45" s="54"/>
      <c r="E45" s="54"/>
    </row>
    <row r="46" spans="1:5">
      <c r="A46" s="30" t="s">
        <v>12</v>
      </c>
      <c r="B46" s="29">
        <f>HLOOKUP(A35,Table2[#All],5,0)</f>
        <v>21.99</v>
      </c>
      <c r="C46" s="29">
        <f t="shared" si="3"/>
        <v>2.5288499999999998</v>
      </c>
      <c r="D46" s="54"/>
      <c r="E46" s="54"/>
    </row>
    <row r="47" spans="1:5">
      <c r="A47" s="30" t="s">
        <v>51</v>
      </c>
      <c r="B47" s="29">
        <f>IF(C$3="HERVE Annaig","0 €",((HLOOKUP(A47,Table2[#All],2,0)))+((charges!F7*$E$3)/100))</f>
        <v>13.36885</v>
      </c>
      <c r="C47" s="29">
        <f t="shared" si="3"/>
        <v>1.5374177499999999</v>
      </c>
      <c r="D47" s="54"/>
      <c r="E47" s="54"/>
    </row>
    <row r="48" spans="1:5">
      <c r="A48" s="30" t="s">
        <v>50</v>
      </c>
      <c r="B48" s="29">
        <f>HLOOKUP(A37,Table2[#All],5,0)</f>
        <v>12.49</v>
      </c>
      <c r="C48" s="29">
        <f t="shared" si="3"/>
        <v>1.43635</v>
      </c>
      <c r="D48" s="54"/>
      <c r="E48" s="54"/>
    </row>
    <row r="49" spans="1:5">
      <c r="A49" s="30" t="s">
        <v>47</v>
      </c>
      <c r="B49" s="29">
        <f>HLOOKUP(A38,Table2[#All],5,0)</f>
        <v>10</v>
      </c>
      <c r="C49" s="29">
        <f t="shared" si="3"/>
        <v>1.1499999999999999</v>
      </c>
      <c r="D49" s="54"/>
      <c r="E49" s="54"/>
    </row>
    <row r="50" spans="1:5">
      <c r="A50" s="31" t="s">
        <v>28</v>
      </c>
      <c r="B50" s="29">
        <f>HLOOKUP(A39,Table2[#All],5,0)</f>
        <v>0</v>
      </c>
      <c r="C50" s="29">
        <f t="shared" si="3"/>
        <v>0</v>
      </c>
      <c r="D50" s="54"/>
      <c r="E50" s="54"/>
    </row>
    <row r="51" spans="1:5" ht="15.75" thickBot="1">
      <c r="A51" s="31" t="s">
        <v>29</v>
      </c>
      <c r="B51" s="29">
        <f>HLOOKUP(A40,Table2[#All],5,0)</f>
        <v>0</v>
      </c>
      <c r="C51" s="29">
        <f t="shared" si="3"/>
        <v>0</v>
      </c>
      <c r="D51" s="54"/>
      <c r="E51" s="54"/>
    </row>
    <row r="52" spans="1:5" ht="15.75" thickBot="1">
      <c r="A52" s="32" t="s">
        <v>20</v>
      </c>
      <c r="B52" s="33">
        <f>SUM(B44:B51)</f>
        <v>218.84885000000003</v>
      </c>
      <c r="C52" s="33">
        <f>SUM(C44:C51)</f>
        <v>25.167617749999998</v>
      </c>
      <c r="D52" s="55"/>
      <c r="E52" s="56"/>
    </row>
    <row r="53" spans="1:5">
      <c r="A53" s="34"/>
      <c r="B53" s="34"/>
      <c r="C53" s="34"/>
      <c r="D53" s="35"/>
      <c r="E53" s="35"/>
    </row>
    <row r="54" spans="1:5">
      <c r="A54" s="26" t="s">
        <v>39</v>
      </c>
      <c r="B54" s="27" t="s">
        <v>24</v>
      </c>
      <c r="C54" s="27" t="s">
        <v>25</v>
      </c>
      <c r="D54" s="27" t="s">
        <v>26</v>
      </c>
      <c r="E54" s="27" t="s">
        <v>27</v>
      </c>
    </row>
    <row r="55" spans="1:5">
      <c r="A55" s="28" t="s">
        <v>48</v>
      </c>
      <c r="B55" s="29">
        <f>HLOOKUP(A44,Table2[#All],6,0)</f>
        <v>59</v>
      </c>
      <c r="C55" s="29">
        <f>(B55*$E$3)/100</f>
        <v>6.7850000000000001</v>
      </c>
      <c r="D55" s="53">
        <f>SUMPRODUCT((Table4[Colonne1]=$A54)*(Table4[#Headers]=$C$3),Table4[])</f>
        <v>19</v>
      </c>
      <c r="E55" s="53">
        <f>D55-C63</f>
        <v>-6.167617749999998</v>
      </c>
    </row>
    <row r="56" spans="1:5">
      <c r="A56" s="30" t="s">
        <v>11</v>
      </c>
      <c r="B56" s="29">
        <f>HLOOKUP(A45,Table2[#All],6,0)</f>
        <v>102</v>
      </c>
      <c r="C56" s="29">
        <f t="shared" ref="C56:C62" si="4">(B56*$E$3)/100</f>
        <v>11.73</v>
      </c>
      <c r="D56" s="54"/>
      <c r="E56" s="54"/>
    </row>
    <row r="57" spans="1:5">
      <c r="A57" s="30" t="s">
        <v>12</v>
      </c>
      <c r="B57" s="29">
        <f>HLOOKUP(A46,Table2[#All],6,0)</f>
        <v>21.99</v>
      </c>
      <c r="C57" s="29">
        <f t="shared" si="4"/>
        <v>2.5288499999999998</v>
      </c>
      <c r="D57" s="54"/>
      <c r="E57" s="54"/>
    </row>
    <row r="58" spans="1:5">
      <c r="A58" s="30" t="s">
        <v>51</v>
      </c>
      <c r="B58" s="29">
        <f>IF(C47="HERVE Annaig","0 €",((HLOOKUP(A58,Table2[#All],2,0)))+((charges!F8*$E$3)/100))</f>
        <v>13.36885</v>
      </c>
      <c r="C58" s="29">
        <f t="shared" si="4"/>
        <v>1.5374177499999999</v>
      </c>
      <c r="D58" s="54"/>
      <c r="E58" s="54"/>
    </row>
    <row r="59" spans="1:5">
      <c r="A59" s="30" t="s">
        <v>50</v>
      </c>
      <c r="B59" s="29">
        <f>HLOOKUP(A48,Table2[#All],6,0)</f>
        <v>12.49</v>
      </c>
      <c r="C59" s="29">
        <f t="shared" si="4"/>
        <v>1.43635</v>
      </c>
      <c r="D59" s="54"/>
      <c r="E59" s="54"/>
    </row>
    <row r="60" spans="1:5">
      <c r="A60" s="30" t="s">
        <v>47</v>
      </c>
      <c r="B60" s="29">
        <f>HLOOKUP(A49,Table2[#All],6,0)</f>
        <v>10</v>
      </c>
      <c r="C60" s="29">
        <f>(B60*$E$3)/100</f>
        <v>1.1499999999999999</v>
      </c>
      <c r="D60" s="54"/>
      <c r="E60" s="54"/>
    </row>
    <row r="61" spans="1:5">
      <c r="A61" s="31" t="s">
        <v>28</v>
      </c>
      <c r="B61" s="29">
        <f>HLOOKUP(A50,Table2[#All],6,0)</f>
        <v>0</v>
      </c>
      <c r="C61" s="29">
        <f t="shared" si="4"/>
        <v>0</v>
      </c>
      <c r="D61" s="54"/>
      <c r="E61" s="54"/>
    </row>
    <row r="62" spans="1:5" ht="15.75" thickBot="1">
      <c r="A62" s="31" t="s">
        <v>29</v>
      </c>
      <c r="B62" s="29">
        <f>HLOOKUP(A51,Table2[#All],6,0)</f>
        <v>0</v>
      </c>
      <c r="C62" s="29">
        <f t="shared" si="4"/>
        <v>0</v>
      </c>
      <c r="D62" s="54"/>
      <c r="E62" s="54"/>
    </row>
    <row r="63" spans="1:5" ht="15.75" thickBot="1">
      <c r="A63" s="32" t="s">
        <v>20</v>
      </c>
      <c r="B63" s="33">
        <f>SUM(B55:B62)</f>
        <v>218.84885000000003</v>
      </c>
      <c r="C63" s="33">
        <f>SUM(C55:C62)</f>
        <v>25.167617749999998</v>
      </c>
      <c r="D63" s="55"/>
      <c r="E63" s="56"/>
    </row>
    <row r="64" spans="1:5">
      <c r="A64" s="34"/>
      <c r="B64" s="34"/>
      <c r="C64" s="34"/>
      <c r="D64" s="35"/>
      <c r="E64" s="35"/>
    </row>
    <row r="65" spans="1:5">
      <c r="A65" s="26" t="s">
        <v>38</v>
      </c>
      <c r="B65" s="27" t="s">
        <v>24</v>
      </c>
      <c r="C65" s="27" t="s">
        <v>25</v>
      </c>
      <c r="D65" s="27" t="s">
        <v>26</v>
      </c>
      <c r="E65" s="27" t="s">
        <v>27</v>
      </c>
    </row>
    <row r="66" spans="1:5">
      <c r="A66" s="28" t="s">
        <v>48</v>
      </c>
      <c r="B66" s="29">
        <f>HLOOKUP(A44,Table2[#All],7,0)</f>
        <v>59</v>
      </c>
      <c r="C66" s="29">
        <f>(B66*$E$3)/100</f>
        <v>6.7850000000000001</v>
      </c>
      <c r="D66" s="53">
        <f>SUMPRODUCT((Table4[Colonne1]=$A65)*(Table4[#Headers]=$C$3),Table4[])</f>
        <v>19</v>
      </c>
      <c r="E66" s="57">
        <f>D66-C74</f>
        <v>-6.167617749999998</v>
      </c>
    </row>
    <row r="67" spans="1:5">
      <c r="A67" s="30" t="s">
        <v>11</v>
      </c>
      <c r="B67" s="29">
        <f>HLOOKUP(A45,Table2[#All],7,0)</f>
        <v>102</v>
      </c>
      <c r="C67" s="29">
        <f t="shared" ref="C67:C73" si="5">(B67*$E$3)/100</f>
        <v>11.73</v>
      </c>
      <c r="D67" s="54"/>
      <c r="E67" s="58"/>
    </row>
    <row r="68" spans="1:5">
      <c r="A68" s="30" t="s">
        <v>12</v>
      </c>
      <c r="B68" s="29">
        <f>HLOOKUP(A46,Table2[#All],7,0)</f>
        <v>21.99</v>
      </c>
      <c r="C68" s="29">
        <f t="shared" si="5"/>
        <v>2.5288499999999998</v>
      </c>
      <c r="D68" s="54"/>
      <c r="E68" s="58"/>
    </row>
    <row r="69" spans="1:5">
      <c r="A69" s="30" t="s">
        <v>51</v>
      </c>
      <c r="B69" s="29">
        <f>IF(C3="HERVE Annaig","0 €",((HLOOKUP(A69,Table2[#All],2,0)))+((charges!F9*$E$3)/100))</f>
        <v>13.36885</v>
      </c>
      <c r="C69" s="29">
        <f t="shared" si="5"/>
        <v>1.5374177499999999</v>
      </c>
      <c r="D69" s="54"/>
      <c r="E69" s="58"/>
    </row>
    <row r="70" spans="1:5">
      <c r="A70" s="30" t="s">
        <v>50</v>
      </c>
      <c r="B70" s="29">
        <f>HLOOKUP(A48,Table2[#All],7,0)</f>
        <v>12.49</v>
      </c>
      <c r="C70" s="29">
        <f t="shared" si="5"/>
        <v>1.43635</v>
      </c>
      <c r="D70" s="54"/>
      <c r="E70" s="58"/>
    </row>
    <row r="71" spans="1:5">
      <c r="A71" s="30" t="s">
        <v>47</v>
      </c>
      <c r="B71" s="29">
        <f>HLOOKUP(A49,Table2[#All],7,0)</f>
        <v>10</v>
      </c>
      <c r="C71" s="29">
        <f t="shared" si="5"/>
        <v>1.1499999999999999</v>
      </c>
      <c r="D71" s="54"/>
      <c r="E71" s="58"/>
    </row>
    <row r="72" spans="1:5">
      <c r="A72" s="31" t="s">
        <v>28</v>
      </c>
      <c r="B72" s="29">
        <f>HLOOKUP(A50,Table2[#All],7,0)</f>
        <v>0</v>
      </c>
      <c r="C72" s="29">
        <f t="shared" si="5"/>
        <v>0</v>
      </c>
      <c r="D72" s="54"/>
      <c r="E72" s="58"/>
    </row>
    <row r="73" spans="1:5" ht="15.75" thickBot="1">
      <c r="A73" s="31" t="s">
        <v>29</v>
      </c>
      <c r="B73" s="29">
        <f>HLOOKUP(A51,Table2[#All],7,0)</f>
        <v>0</v>
      </c>
      <c r="C73" s="29">
        <f t="shared" si="5"/>
        <v>0</v>
      </c>
      <c r="D73" s="54"/>
      <c r="E73" s="58"/>
    </row>
    <row r="74" spans="1:5" ht="15.75" thickBot="1">
      <c r="A74" s="32" t="s">
        <v>33</v>
      </c>
      <c r="B74" s="48">
        <v>0</v>
      </c>
      <c r="C74" s="49">
        <f>SUM(C66:C73)</f>
        <v>25.167617749999998</v>
      </c>
      <c r="D74" s="55"/>
      <c r="E74" s="59"/>
    </row>
    <row r="75" spans="1:5">
      <c r="A75" s="25"/>
      <c r="B75" s="25"/>
      <c r="C75" s="25"/>
      <c r="D75" s="25"/>
      <c r="E75" s="25"/>
    </row>
    <row r="76" spans="1:5">
      <c r="A76" s="26" t="s">
        <v>37</v>
      </c>
      <c r="B76" s="27" t="s">
        <v>24</v>
      </c>
      <c r="C76" s="27" t="s">
        <v>25</v>
      </c>
      <c r="D76" s="27" t="s">
        <v>26</v>
      </c>
      <c r="E76" s="27" t="s">
        <v>27</v>
      </c>
    </row>
    <row r="77" spans="1:5">
      <c r="A77" s="28" t="s">
        <v>48</v>
      </c>
      <c r="B77" s="29">
        <f>HLOOKUP(A55,Table2[#All],8,0)</f>
        <v>59</v>
      </c>
      <c r="C77" s="29">
        <f>(B77*$E$3)/100</f>
        <v>6.7850000000000001</v>
      </c>
      <c r="D77" s="53">
        <f>SUMPRODUCT((Table4[Colonne1]=$A76)*(Table4[#Headers]=$C$3),Table4[])</f>
        <v>50</v>
      </c>
      <c r="E77" s="57">
        <f>D77-C85</f>
        <v>24.832382250000002</v>
      </c>
    </row>
    <row r="78" spans="1:5">
      <c r="A78" s="30" t="s">
        <v>11</v>
      </c>
      <c r="B78" s="29">
        <f>HLOOKUP(A56,Table2[#All],8,0)</f>
        <v>102</v>
      </c>
      <c r="C78" s="29">
        <f t="shared" ref="C78:C84" si="6">(B78*$E$3)/100</f>
        <v>11.73</v>
      </c>
      <c r="D78" s="54"/>
      <c r="E78" s="58"/>
    </row>
    <row r="79" spans="1:5">
      <c r="A79" s="30" t="s">
        <v>12</v>
      </c>
      <c r="B79" s="29">
        <f>HLOOKUP(A57,Table2[#All],8,0)</f>
        <v>21.99</v>
      </c>
      <c r="C79" s="29">
        <f t="shared" si="6"/>
        <v>2.5288499999999998</v>
      </c>
      <c r="D79" s="54"/>
      <c r="E79" s="58"/>
    </row>
    <row r="80" spans="1:5">
      <c r="A80" s="30" t="s">
        <v>51</v>
      </c>
      <c r="B80" s="29">
        <f>IF(C$3="HERVE Annaig","0 €",((HLOOKUP(A80,Table2[#All],2,0)))+((charges!F10*$E$3)/100))</f>
        <v>13.36885</v>
      </c>
      <c r="C80" s="29">
        <f t="shared" si="6"/>
        <v>1.5374177499999999</v>
      </c>
      <c r="D80" s="54"/>
      <c r="E80" s="58"/>
    </row>
    <row r="81" spans="1:5">
      <c r="A81" s="30" t="s">
        <v>50</v>
      </c>
      <c r="B81" s="29">
        <f>HLOOKUP(A59,Table2[#All],8,0)</f>
        <v>12.49</v>
      </c>
      <c r="C81" s="29">
        <f t="shared" si="6"/>
        <v>1.43635</v>
      </c>
      <c r="D81" s="54"/>
      <c r="E81" s="58"/>
    </row>
    <row r="82" spans="1:5">
      <c r="A82" s="30" t="s">
        <v>47</v>
      </c>
      <c r="B82" s="29">
        <f>HLOOKUP(A60,Table2[#All],8,0)</f>
        <v>10</v>
      </c>
      <c r="C82" s="29">
        <f t="shared" si="6"/>
        <v>1.1499999999999999</v>
      </c>
      <c r="D82" s="54"/>
      <c r="E82" s="58"/>
    </row>
    <row r="83" spans="1:5">
      <c r="A83" s="31" t="s">
        <v>28</v>
      </c>
      <c r="B83" s="29">
        <f>HLOOKUP(A61,Table2[#All],8,0)</f>
        <v>0</v>
      </c>
      <c r="C83" s="29">
        <f t="shared" si="6"/>
        <v>0</v>
      </c>
      <c r="D83" s="54"/>
      <c r="E83" s="58"/>
    </row>
    <row r="84" spans="1:5" ht="15.75" thickBot="1">
      <c r="A84" s="31" t="s">
        <v>29</v>
      </c>
      <c r="B84" s="29">
        <f>HLOOKUP(A62,Table2[#All],8,0)</f>
        <v>0</v>
      </c>
      <c r="C84" s="29">
        <f t="shared" si="6"/>
        <v>0</v>
      </c>
      <c r="D84" s="54"/>
      <c r="E84" s="58"/>
    </row>
    <row r="85" spans="1:5" ht="15.75" thickBot="1">
      <c r="A85" s="32" t="s">
        <v>20</v>
      </c>
      <c r="B85" s="49">
        <f>SUM(B77:B84)</f>
        <v>218.84885000000003</v>
      </c>
      <c r="C85" s="49">
        <f>SUM(C77:C84)</f>
        <v>25.167617749999998</v>
      </c>
      <c r="D85" s="55"/>
      <c r="E85" s="59"/>
    </row>
    <row r="86" spans="1:5">
      <c r="A86" s="25"/>
      <c r="B86" s="25"/>
      <c r="C86" s="25"/>
      <c r="D86" s="25"/>
      <c r="E86" s="25"/>
    </row>
    <row r="87" spans="1:5">
      <c r="A87" s="26" t="s">
        <v>36</v>
      </c>
      <c r="B87" s="27" t="s">
        <v>24</v>
      </c>
      <c r="C87" s="27" t="s">
        <v>25</v>
      </c>
      <c r="D87" s="27" t="s">
        <v>26</v>
      </c>
      <c r="E87" s="27" t="s">
        <v>27</v>
      </c>
    </row>
    <row r="88" spans="1:5">
      <c r="A88" s="28" t="s">
        <v>48</v>
      </c>
      <c r="B88" s="29">
        <f>HLOOKUP(A66,Table2[#All],9,0)</f>
        <v>59</v>
      </c>
      <c r="C88" s="29">
        <f>(B88*$E$3)/100</f>
        <v>6.7850000000000001</v>
      </c>
      <c r="D88" s="53">
        <f>SUMPRODUCT((Table4[Colonne1]=$A87)*(Table4[#Headers]=$C$3),Table4[])</f>
        <v>19</v>
      </c>
      <c r="E88" s="57">
        <f>D88-C96</f>
        <v>-6.167617749999998</v>
      </c>
    </row>
    <row r="89" spans="1:5">
      <c r="A89" s="30" t="s">
        <v>11</v>
      </c>
      <c r="B89" s="29">
        <f>HLOOKUP(A67,Table2[#All],9,0)</f>
        <v>102</v>
      </c>
      <c r="C89" s="29">
        <f t="shared" ref="C89:C95" si="7">(B89*$E$3)/100</f>
        <v>11.73</v>
      </c>
      <c r="D89" s="54"/>
      <c r="E89" s="58"/>
    </row>
    <row r="90" spans="1:5">
      <c r="A90" s="30" t="s">
        <v>12</v>
      </c>
      <c r="B90" s="29">
        <f>HLOOKUP(A68,Table2[#All],9,0)</f>
        <v>21.99</v>
      </c>
      <c r="C90" s="29">
        <f t="shared" si="7"/>
        <v>2.5288499999999998</v>
      </c>
      <c r="D90" s="54"/>
      <c r="E90" s="58"/>
    </row>
    <row r="91" spans="1:5">
      <c r="A91" s="30" t="s">
        <v>51</v>
      </c>
      <c r="B91" s="29">
        <f>IF(C$3="HERVE Annaig","0 €",((HLOOKUP(A91,Table2[#All],2,0)))+((charges!F11*$E$3)/100))</f>
        <v>13.36885</v>
      </c>
      <c r="C91" s="29">
        <f t="shared" si="7"/>
        <v>1.5374177499999999</v>
      </c>
      <c r="D91" s="54"/>
      <c r="E91" s="58"/>
    </row>
    <row r="92" spans="1:5">
      <c r="A92" s="30" t="s">
        <v>50</v>
      </c>
      <c r="B92" s="29">
        <f>HLOOKUP(A70,Table2[#All],9,0)</f>
        <v>12.49</v>
      </c>
      <c r="C92" s="29">
        <f t="shared" si="7"/>
        <v>1.43635</v>
      </c>
      <c r="D92" s="54"/>
      <c r="E92" s="58"/>
    </row>
    <row r="93" spans="1:5">
      <c r="A93" s="30" t="s">
        <v>47</v>
      </c>
      <c r="B93" s="29">
        <f>HLOOKUP(A71,Table2[#All],9,0)</f>
        <v>10</v>
      </c>
      <c r="C93" s="29">
        <f t="shared" si="7"/>
        <v>1.1499999999999999</v>
      </c>
      <c r="D93" s="54"/>
      <c r="E93" s="58"/>
    </row>
    <row r="94" spans="1:5">
      <c r="A94" s="31" t="s">
        <v>28</v>
      </c>
      <c r="B94" s="29">
        <f>HLOOKUP(A72,Table2[#All],9,0)</f>
        <v>0</v>
      </c>
      <c r="C94" s="29">
        <f t="shared" si="7"/>
        <v>0</v>
      </c>
      <c r="D94" s="54"/>
      <c r="E94" s="58"/>
    </row>
    <row r="95" spans="1:5" ht="15.75" thickBot="1">
      <c r="A95" s="31" t="s">
        <v>29</v>
      </c>
      <c r="B95" s="29">
        <f>HLOOKUP(A73,Table2[#All],9,0)</f>
        <v>0</v>
      </c>
      <c r="C95" s="29">
        <f t="shared" si="7"/>
        <v>0</v>
      </c>
      <c r="D95" s="54"/>
      <c r="E95" s="58"/>
    </row>
    <row r="96" spans="1:5" ht="15.75" thickBot="1">
      <c r="A96" s="32" t="s">
        <v>20</v>
      </c>
      <c r="B96" s="49">
        <f>SUM(B88:B95)</f>
        <v>218.84885000000003</v>
      </c>
      <c r="C96" s="49">
        <f>SUM(C88:C95)</f>
        <v>25.167617749999998</v>
      </c>
      <c r="D96" s="55"/>
      <c r="E96" s="59"/>
    </row>
    <row r="97" spans="1:7" s="25" customFormat="1"/>
    <row r="98" spans="1:7">
      <c r="A98" s="26" t="s">
        <v>23</v>
      </c>
      <c r="B98" s="27" t="s">
        <v>24</v>
      </c>
      <c r="C98" s="27" t="s">
        <v>25</v>
      </c>
      <c r="D98" s="27" t="s">
        <v>26</v>
      </c>
      <c r="E98" s="27" t="s">
        <v>27</v>
      </c>
    </row>
    <row r="99" spans="1:7">
      <c r="A99" s="28" t="s">
        <v>48</v>
      </c>
      <c r="B99" s="29">
        <f>HLOOKUP(A77,Table2[#All],10,0)</f>
        <v>59</v>
      </c>
      <c r="C99" s="29">
        <f>(B99*$E$3)/100</f>
        <v>6.7850000000000001</v>
      </c>
      <c r="D99" s="53">
        <f>SUMPRODUCT((Table4[Colonne1]=$A98)*(Table4[#Headers]=$C$3),Table4[])</f>
        <v>60</v>
      </c>
      <c r="E99" s="57">
        <f>D99-C107</f>
        <v>34.832382250000002</v>
      </c>
    </row>
    <row r="100" spans="1:7">
      <c r="A100" s="30" t="s">
        <v>11</v>
      </c>
      <c r="B100" s="29">
        <f>HLOOKUP(A78,Table2[#All],10,0)</f>
        <v>102</v>
      </c>
      <c r="C100" s="29">
        <f t="shared" ref="C100:C106" si="8">(B100*$E$3)/100</f>
        <v>11.73</v>
      </c>
      <c r="D100" s="54"/>
      <c r="E100" s="58"/>
    </row>
    <row r="101" spans="1:7">
      <c r="A101" s="30" t="s">
        <v>12</v>
      </c>
      <c r="B101" s="29">
        <f>HLOOKUP(A79,Table2[#All],10,0)</f>
        <v>21.99</v>
      </c>
      <c r="C101" s="29">
        <f t="shared" si="8"/>
        <v>2.5288499999999998</v>
      </c>
      <c r="D101" s="54"/>
      <c r="E101" s="58"/>
    </row>
    <row r="102" spans="1:7">
      <c r="A102" s="30" t="s">
        <v>51</v>
      </c>
      <c r="B102" s="29">
        <f>IF(C$3="HERVE Annaig","0 €",((HLOOKUP(A102,Table2[#All],2,0)))+((charges!F12*$E$3)/100))</f>
        <v>13.36885</v>
      </c>
      <c r="C102" s="29">
        <f t="shared" si="8"/>
        <v>1.5374177499999999</v>
      </c>
      <c r="D102" s="54"/>
      <c r="E102" s="58"/>
    </row>
    <row r="103" spans="1:7">
      <c r="A103" s="30" t="s">
        <v>50</v>
      </c>
      <c r="B103" s="29">
        <f>HLOOKUP(A81,Table2[#All],10,0)</f>
        <v>12.49</v>
      </c>
      <c r="C103" s="29">
        <f t="shared" si="8"/>
        <v>1.43635</v>
      </c>
      <c r="D103" s="54"/>
      <c r="E103" s="58"/>
    </row>
    <row r="104" spans="1:7">
      <c r="A104" s="30" t="s">
        <v>47</v>
      </c>
      <c r="B104" s="29">
        <f>HLOOKUP(A82,Table2[#All],10,0)</f>
        <v>10</v>
      </c>
      <c r="C104" s="29">
        <f t="shared" si="8"/>
        <v>1.1499999999999999</v>
      </c>
      <c r="D104" s="54"/>
      <c r="E104" s="58"/>
    </row>
    <row r="105" spans="1:7">
      <c r="A105" s="31" t="s">
        <v>28</v>
      </c>
      <c r="B105" s="29">
        <f>HLOOKUP(A83,Table2[#All],10,0)</f>
        <v>0</v>
      </c>
      <c r="C105" s="29">
        <f t="shared" si="8"/>
        <v>0</v>
      </c>
      <c r="D105" s="54"/>
      <c r="E105" s="58"/>
    </row>
    <row r="106" spans="1:7" ht="15.75" thickBot="1">
      <c r="A106" s="31" t="s">
        <v>29</v>
      </c>
      <c r="B106" s="29">
        <f>HLOOKUP(A84,Table2[#All],10,0)</f>
        <v>0</v>
      </c>
      <c r="C106" s="29">
        <f t="shared" si="8"/>
        <v>0</v>
      </c>
      <c r="D106" s="54"/>
      <c r="E106" s="58"/>
    </row>
    <row r="107" spans="1:7" ht="15.75" thickBot="1">
      <c r="A107" s="32" t="s">
        <v>20</v>
      </c>
      <c r="B107" s="49">
        <f>SUM(B99:B106)</f>
        <v>218.84885000000003</v>
      </c>
      <c r="C107" s="49">
        <f>SUM(C99:C106)</f>
        <v>25.167617749999998</v>
      </c>
      <c r="D107" s="55"/>
      <c r="E107" s="60"/>
      <c r="F107" s="21" t="b">
        <f>SUM(B99:B106)=B107</f>
        <v>1</v>
      </c>
      <c r="G107" s="21" t="b">
        <f>SUM(C99:C106)=C107</f>
        <v>1</v>
      </c>
    </row>
    <row r="108" spans="1:7" s="25" customFormat="1">
      <c r="A108" s="34"/>
      <c r="B108" s="34"/>
      <c r="C108" s="34"/>
      <c r="D108" s="35"/>
      <c r="E108" s="35"/>
    </row>
    <row r="109" spans="1:7">
      <c r="A109" s="26" t="s">
        <v>30</v>
      </c>
      <c r="B109" s="27" t="s">
        <v>24</v>
      </c>
      <c r="C109" s="27" t="s">
        <v>25</v>
      </c>
      <c r="D109" s="27" t="s">
        <v>26</v>
      </c>
      <c r="E109" s="27" t="s">
        <v>27</v>
      </c>
    </row>
    <row r="110" spans="1:7">
      <c r="A110" s="28" t="s">
        <v>48</v>
      </c>
      <c r="B110" s="29">
        <f>HLOOKUP(A88,Table2[#All],11,0)</f>
        <v>59</v>
      </c>
      <c r="C110" s="29">
        <f>(B110*$E$3)/100</f>
        <v>6.7850000000000001</v>
      </c>
      <c r="D110" s="53">
        <f>SUMPRODUCT((Table4[Colonne1]=$A109)*(Table4[#Headers]=$C$3),Table4[])</f>
        <v>19</v>
      </c>
      <c r="E110" s="57">
        <f>D110-C118</f>
        <v>-6.167617749999998</v>
      </c>
    </row>
    <row r="111" spans="1:7">
      <c r="A111" s="30" t="s">
        <v>11</v>
      </c>
      <c r="B111" s="29">
        <f>HLOOKUP(A89,Table2[#All],11,0)</f>
        <v>102</v>
      </c>
      <c r="C111" s="29">
        <f t="shared" ref="C111:C117" si="9">(B111*$E$3)/100</f>
        <v>11.73</v>
      </c>
      <c r="D111" s="54"/>
      <c r="E111" s="58"/>
    </row>
    <row r="112" spans="1:7">
      <c r="A112" s="30" t="s">
        <v>12</v>
      </c>
      <c r="B112" s="29">
        <f>HLOOKUP(A90,Table2[#All],11,0)</f>
        <v>21.99</v>
      </c>
      <c r="C112" s="29">
        <f t="shared" si="9"/>
        <v>2.5288499999999998</v>
      </c>
      <c r="D112" s="54"/>
      <c r="E112" s="58"/>
    </row>
    <row r="113" spans="1:7">
      <c r="A113" s="30" t="s">
        <v>51</v>
      </c>
      <c r="B113" s="29">
        <f>IF(C$3="HERVE Annaig","0 €",((HLOOKUP(A113,Table2[#All],2,0)))+((charges!F13*$E$3)/100))</f>
        <v>13.36885</v>
      </c>
      <c r="C113" s="29">
        <f t="shared" si="9"/>
        <v>1.5374177499999999</v>
      </c>
      <c r="D113" s="54"/>
      <c r="E113" s="58"/>
    </row>
    <row r="114" spans="1:7">
      <c r="A114" s="30" t="s">
        <v>50</v>
      </c>
      <c r="B114" s="29">
        <f>HLOOKUP(A92,Table2[#All],11,0)</f>
        <v>12.49</v>
      </c>
      <c r="C114" s="29">
        <f t="shared" si="9"/>
        <v>1.43635</v>
      </c>
      <c r="D114" s="54"/>
      <c r="E114" s="58"/>
    </row>
    <row r="115" spans="1:7">
      <c r="A115" s="30" t="s">
        <v>47</v>
      </c>
      <c r="B115" s="29">
        <f>HLOOKUP(A93,Table2[#All],11,0)</f>
        <v>10</v>
      </c>
      <c r="C115" s="29">
        <f t="shared" si="9"/>
        <v>1.1499999999999999</v>
      </c>
      <c r="D115" s="54"/>
      <c r="E115" s="58"/>
    </row>
    <row r="116" spans="1:7">
      <c r="A116" s="31" t="s">
        <v>28</v>
      </c>
      <c r="B116" s="29">
        <f>HLOOKUP(A94,Table2[#All],11,0)</f>
        <v>0</v>
      </c>
      <c r="C116" s="29">
        <f t="shared" si="9"/>
        <v>0</v>
      </c>
      <c r="D116" s="54"/>
      <c r="E116" s="58"/>
    </row>
    <row r="117" spans="1:7" ht="15.75" thickBot="1">
      <c r="A117" s="31" t="s">
        <v>29</v>
      </c>
      <c r="B117" s="29">
        <f>HLOOKUP(A95,Table2[#All],11,0)</f>
        <v>0</v>
      </c>
      <c r="C117" s="29">
        <f t="shared" si="9"/>
        <v>0</v>
      </c>
      <c r="D117" s="54"/>
      <c r="E117" s="58"/>
    </row>
    <row r="118" spans="1:7" ht="15.75" thickBot="1">
      <c r="A118" s="32" t="s">
        <v>20</v>
      </c>
      <c r="B118" s="49">
        <f>SUM(B110:B117)</f>
        <v>218.84885000000003</v>
      </c>
      <c r="C118" s="49">
        <f>SUM(C110:C117)</f>
        <v>25.167617749999998</v>
      </c>
      <c r="D118" s="55"/>
      <c r="E118" s="60"/>
      <c r="F118" s="21" t="b">
        <f>SUM(B110:B117)=B118</f>
        <v>1</v>
      </c>
      <c r="G118" s="21" t="b">
        <f>SUM(C110:C117)=C118</f>
        <v>1</v>
      </c>
    </row>
    <row r="119" spans="1:7" s="25" customFormat="1">
      <c r="A119" s="34"/>
      <c r="B119" s="34"/>
      <c r="C119" s="34"/>
      <c r="D119" s="35"/>
      <c r="E119" s="35"/>
    </row>
    <row r="120" spans="1:7">
      <c r="A120" s="26" t="s">
        <v>31</v>
      </c>
      <c r="B120" s="27" t="s">
        <v>24</v>
      </c>
      <c r="C120" s="27" t="s">
        <v>25</v>
      </c>
      <c r="D120" s="27" t="s">
        <v>26</v>
      </c>
      <c r="E120" s="27" t="s">
        <v>27</v>
      </c>
    </row>
    <row r="121" spans="1:7">
      <c r="A121" s="28" t="s">
        <v>48</v>
      </c>
      <c r="B121" s="29">
        <f>HLOOKUP(A99,Table2[#All],12,0)</f>
        <v>59</v>
      </c>
      <c r="C121" s="29">
        <f>(B121*$E$3)/100</f>
        <v>6.7850000000000001</v>
      </c>
      <c r="D121" s="53">
        <f>SUMPRODUCT((Table4[Colonne1]=$A120)*(Table4[#Headers]=$C$3),Table4[])</f>
        <v>19</v>
      </c>
      <c r="E121" s="57">
        <f>D121-C129</f>
        <v>-6.167617749999998</v>
      </c>
    </row>
    <row r="122" spans="1:7">
      <c r="A122" s="30" t="s">
        <v>11</v>
      </c>
      <c r="B122" s="29">
        <f>HLOOKUP(A100,Table2[#All],12,0)</f>
        <v>102</v>
      </c>
      <c r="C122" s="29">
        <f t="shared" ref="C122:C128" si="10">(B122*$E$3)/100</f>
        <v>11.73</v>
      </c>
      <c r="D122" s="54"/>
      <c r="E122" s="58"/>
    </row>
    <row r="123" spans="1:7">
      <c r="A123" s="30" t="s">
        <v>12</v>
      </c>
      <c r="B123" s="29">
        <f>HLOOKUP(A101,Table2[#All],12,0)</f>
        <v>21.99</v>
      </c>
      <c r="C123" s="29">
        <f t="shared" si="10"/>
        <v>2.5288499999999998</v>
      </c>
      <c r="D123" s="54"/>
      <c r="E123" s="58"/>
    </row>
    <row r="124" spans="1:7">
      <c r="A124" s="30" t="s">
        <v>51</v>
      </c>
      <c r="B124" s="29">
        <f>IF(C$3="HERVE Annaig","0 €",((HLOOKUP(A124,Table2[#All],2,0)))+((charges!F14*$E$3)/100))</f>
        <v>13.36885</v>
      </c>
      <c r="C124" s="29">
        <f t="shared" si="10"/>
        <v>1.5374177499999999</v>
      </c>
      <c r="D124" s="54"/>
      <c r="E124" s="58"/>
    </row>
    <row r="125" spans="1:7">
      <c r="A125" s="30" t="s">
        <v>50</v>
      </c>
      <c r="B125" s="29">
        <f>HLOOKUP(A103,Table2[#All],12,0)</f>
        <v>12.49</v>
      </c>
      <c r="C125" s="29">
        <f t="shared" si="10"/>
        <v>1.43635</v>
      </c>
      <c r="D125" s="54"/>
      <c r="E125" s="58"/>
    </row>
    <row r="126" spans="1:7">
      <c r="A126" s="30" t="s">
        <v>47</v>
      </c>
      <c r="B126" s="29">
        <f>HLOOKUP(A104,Table2[#All],12,0)</f>
        <v>10</v>
      </c>
      <c r="C126" s="29">
        <f t="shared" si="10"/>
        <v>1.1499999999999999</v>
      </c>
      <c r="D126" s="54"/>
      <c r="E126" s="58"/>
    </row>
    <row r="127" spans="1:7">
      <c r="A127" s="31" t="s">
        <v>28</v>
      </c>
      <c r="B127" s="29">
        <f>HLOOKUP(A105,Table2[#All],12,0)</f>
        <v>0</v>
      </c>
      <c r="C127" s="29">
        <f t="shared" si="10"/>
        <v>0</v>
      </c>
      <c r="D127" s="54"/>
      <c r="E127" s="58"/>
    </row>
    <row r="128" spans="1:7" ht="15.75" thickBot="1">
      <c r="A128" s="31" t="s">
        <v>29</v>
      </c>
      <c r="B128" s="29">
        <f>HLOOKUP(A106,Table2[#All],12,0)</f>
        <v>0</v>
      </c>
      <c r="C128" s="29">
        <f t="shared" si="10"/>
        <v>0</v>
      </c>
      <c r="D128" s="54"/>
      <c r="E128" s="58"/>
    </row>
    <row r="129" spans="1:8" ht="15.75" thickBot="1">
      <c r="A129" s="32" t="s">
        <v>20</v>
      </c>
      <c r="B129" s="49">
        <f>SUM(B121:B128)</f>
        <v>218.84885000000003</v>
      </c>
      <c r="C129" s="49">
        <f>SUM(C121:C128)</f>
        <v>25.167617749999998</v>
      </c>
      <c r="D129" s="55"/>
      <c r="E129" s="60"/>
      <c r="F129" s="36" t="b">
        <f>SUM(B121:B128)=B129</f>
        <v>1</v>
      </c>
      <c r="G129" s="36" t="b">
        <f>SUM(C121:C128)=C129</f>
        <v>1</v>
      </c>
    </row>
    <row r="130" spans="1:8" s="25" customFormat="1">
      <c r="A130" s="34"/>
      <c r="B130" s="34"/>
      <c r="C130" s="34"/>
      <c r="D130" s="35"/>
      <c r="E130" s="35"/>
    </row>
    <row r="131" spans="1:8">
      <c r="A131" s="26" t="s">
        <v>32</v>
      </c>
      <c r="B131" s="27" t="s">
        <v>24</v>
      </c>
      <c r="C131" s="27" t="s">
        <v>25</v>
      </c>
      <c r="D131" s="27" t="s">
        <v>26</v>
      </c>
      <c r="E131" s="27" t="s">
        <v>27</v>
      </c>
    </row>
    <row r="132" spans="1:8">
      <c r="A132" s="28" t="s">
        <v>48</v>
      </c>
      <c r="B132" s="29">
        <f>HLOOKUP(A110,Table2[#All],13,0)</f>
        <v>59</v>
      </c>
      <c r="C132" s="29">
        <f>(B132*$E$3)/100</f>
        <v>6.7850000000000001</v>
      </c>
      <c r="D132" s="53">
        <f>SUMPRODUCT((Table4[Colonne1]=$A131)*(Table4[#Headers]=$C$3),Table4[])</f>
        <v>19</v>
      </c>
      <c r="E132" s="57">
        <f>D132-C140</f>
        <v>-6.167617749999998</v>
      </c>
    </row>
    <row r="133" spans="1:8">
      <c r="A133" s="30" t="s">
        <v>11</v>
      </c>
      <c r="B133" s="29">
        <f>HLOOKUP(A111,Table2[#All],13,0)</f>
        <v>102</v>
      </c>
      <c r="C133" s="29">
        <f t="shared" ref="C133:C139" si="11">(B133*$E$3)/100</f>
        <v>11.73</v>
      </c>
      <c r="D133" s="54"/>
      <c r="E133" s="58"/>
    </row>
    <row r="134" spans="1:8">
      <c r="A134" s="30" t="s">
        <v>12</v>
      </c>
      <c r="B134" s="29">
        <f>HLOOKUP(A112,Table2[#All],13,0)</f>
        <v>21.99</v>
      </c>
      <c r="C134" s="29">
        <f t="shared" si="11"/>
        <v>2.5288499999999998</v>
      </c>
      <c r="D134" s="54"/>
      <c r="E134" s="58"/>
    </row>
    <row r="135" spans="1:8">
      <c r="A135" s="30" t="s">
        <v>51</v>
      </c>
      <c r="B135" s="29">
        <f>IF(C$3="HERVE Annaig","0 €",((HLOOKUP(A135,Table2[#All],2,0)))+((charges!F15*$E$3)/100))</f>
        <v>13.36885</v>
      </c>
      <c r="C135" s="29">
        <f t="shared" si="11"/>
        <v>1.5374177499999999</v>
      </c>
      <c r="D135" s="54"/>
      <c r="E135" s="58"/>
    </row>
    <row r="136" spans="1:8">
      <c r="A136" s="30" t="s">
        <v>50</v>
      </c>
      <c r="B136" s="29">
        <f>HLOOKUP(A114,Table2[#All],13,0)</f>
        <v>12.49</v>
      </c>
      <c r="C136" s="29">
        <f t="shared" si="11"/>
        <v>1.43635</v>
      </c>
      <c r="D136" s="54"/>
      <c r="E136" s="58"/>
    </row>
    <row r="137" spans="1:8">
      <c r="A137" s="30" t="s">
        <v>47</v>
      </c>
      <c r="B137" s="29">
        <f>HLOOKUP(A115,Table2[#All],13,0)</f>
        <v>10</v>
      </c>
      <c r="C137" s="29">
        <f t="shared" si="11"/>
        <v>1.1499999999999999</v>
      </c>
      <c r="D137" s="54"/>
      <c r="E137" s="58"/>
    </row>
    <row r="138" spans="1:8">
      <c r="A138" s="31" t="s">
        <v>28</v>
      </c>
      <c r="B138" s="29">
        <f>HLOOKUP(A116,Table2[#All],13,0)</f>
        <v>0</v>
      </c>
      <c r="C138" s="29">
        <f t="shared" si="11"/>
        <v>0</v>
      </c>
      <c r="D138" s="54"/>
      <c r="E138" s="58"/>
      <c r="H138" s="37"/>
    </row>
    <row r="139" spans="1:8" ht="15.75" thickBot="1">
      <c r="A139" s="31" t="s">
        <v>29</v>
      </c>
      <c r="B139" s="29">
        <f>HLOOKUP(A117,Table2[#All],13,0)</f>
        <v>0</v>
      </c>
      <c r="C139" s="29">
        <f t="shared" si="11"/>
        <v>0</v>
      </c>
      <c r="D139" s="54"/>
      <c r="E139" s="58"/>
      <c r="F139" s="36" t="b">
        <f>SUM(C132:C139)=C140</f>
        <v>1</v>
      </c>
    </row>
    <row r="140" spans="1:8" ht="15.75" thickBot="1">
      <c r="A140" s="32" t="s">
        <v>33</v>
      </c>
      <c r="B140" s="49">
        <f>SUM(B132:B139)</f>
        <v>218.84885000000003</v>
      </c>
      <c r="C140" s="49">
        <f>SUM(C132:C139)</f>
        <v>25.167617749999998</v>
      </c>
      <c r="D140" s="55"/>
      <c r="E140" s="59"/>
    </row>
    <row r="142" spans="1:8">
      <c r="A142" s="30" t="s">
        <v>34</v>
      </c>
      <c r="B142" s="29">
        <f>B19+B30+B41+B52+B63+B74+B85+B96+B107+B118+B129+B140</f>
        <v>2407.3173500000003</v>
      </c>
      <c r="C142" s="29">
        <f>C19+C30+C41+C52+C63+C74+C85+C96+C107+C118+C129+C140</f>
        <v>302.00911300000001</v>
      </c>
      <c r="D142" s="38">
        <f>D11+D22+D33+D44+D55+D66+D77+D77+D88+D99+D110+D121+D132</f>
        <v>351</v>
      </c>
      <c r="E142" s="38">
        <f>E11+E22+E33+E44+E55+E66+E77+E88+E99+E110+E121+E132</f>
        <v>-1.0091129999999708</v>
      </c>
    </row>
    <row r="143" spans="1:8">
      <c r="A143" s="39"/>
      <c r="B143" s="40"/>
      <c r="C143" s="41"/>
      <c r="D143" s="41"/>
      <c r="E143" s="41"/>
    </row>
    <row r="144" spans="1:8">
      <c r="A144" s="42"/>
    </row>
    <row r="146" spans="3:5">
      <c r="E146" s="43"/>
    </row>
    <row r="150" spans="3:5">
      <c r="C150" s="21" t="s">
        <v>35</v>
      </c>
    </row>
    <row r="168" spans="3:5">
      <c r="E168" s="43"/>
    </row>
    <row r="169" spans="3:5">
      <c r="E169" s="43"/>
    </row>
    <row r="170" spans="3:5">
      <c r="E170" s="43"/>
    </row>
    <row r="171" spans="3:5">
      <c r="E171" s="43"/>
    </row>
    <row r="172" spans="3:5">
      <c r="E172" s="43"/>
    </row>
    <row r="176" spans="3:5" ht="15.75">
      <c r="C176" s="22"/>
      <c r="E176" s="23"/>
    </row>
    <row r="177" spans="5:5">
      <c r="E177" s="44"/>
    </row>
    <row r="178" spans="5:5">
      <c r="E178" s="44"/>
    </row>
  </sheetData>
  <mergeCells count="24">
    <mergeCell ref="D132:D140"/>
    <mergeCell ref="E132:E140"/>
    <mergeCell ref="D88:D96"/>
    <mergeCell ref="E88:E96"/>
    <mergeCell ref="D77:D85"/>
    <mergeCell ref="E77:E85"/>
    <mergeCell ref="D99:D107"/>
    <mergeCell ref="E99:E107"/>
    <mergeCell ref="D110:D118"/>
    <mergeCell ref="E110:E118"/>
    <mergeCell ref="D121:D129"/>
    <mergeCell ref="E121:E129"/>
    <mergeCell ref="D11:D19"/>
    <mergeCell ref="E11:E19"/>
    <mergeCell ref="D22:D30"/>
    <mergeCell ref="E22:E30"/>
    <mergeCell ref="D33:D41"/>
    <mergeCell ref="E33:E41"/>
    <mergeCell ref="D44:D52"/>
    <mergeCell ref="E44:E52"/>
    <mergeCell ref="D55:D63"/>
    <mergeCell ref="E55:E63"/>
    <mergeCell ref="D66:D74"/>
    <mergeCell ref="E66:E74"/>
  </mergeCells>
  <phoneticPr fontId="7" type="noConversion"/>
  <pageMargins left="0.75000000000000011" right="0.75000000000000011" top="1" bottom="1" header="0.5" footer="0.5"/>
  <pageSetup paperSize="9" scale="31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locataires!$B$4:$B$8</xm:f>
          </x14:formula1>
          <xm:sqref>C3</xm:sqref>
        </x14:dataValidation>
        <x14:dataValidation type="list" allowBlank="1" showInputMessage="1" showErrorMessage="1">
          <x14:formula1>
            <xm:f>charges!$C$3:$J$3</xm:f>
          </x14:formula1>
          <xm:sqref>A11:A18 A121:A128 A22:A29 A33:A40 A44:A51 A55:A62 A66:A73 A77:A84 A88:A95 A99:A106 A110:A117 A132:A139</xm:sqref>
        </x14:dataValidation>
      </x14:dataValidations>
    </ext>
    <ext xmlns:mx="http://schemas.microsoft.com/office/mac/excel/2008/main" uri="{64002731-A6B0-56B0-2670-7721B7C09600}">
      <mx:PLV Mode="0" OnePage="0" WScale="34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O20"/>
  <sheetViews>
    <sheetView workbookViewId="0">
      <selection activeCell="C20" sqref="C20"/>
    </sheetView>
  </sheetViews>
  <sheetFormatPr baseColWidth="10" defaultRowHeight="15.75"/>
  <cols>
    <col min="2" max="2" width="11.5" bestFit="1" customWidth="1"/>
    <col min="3" max="3" width="23.375" customWidth="1"/>
    <col min="4" max="4" width="19.375" customWidth="1"/>
    <col min="5" max="5" width="31.375" customWidth="1"/>
    <col min="6" max="6" width="30.625" customWidth="1"/>
    <col min="7" max="7" width="26.5" bestFit="1" customWidth="1"/>
    <col min="8" max="9" width="34" customWidth="1"/>
    <col min="10" max="10" width="21.875" customWidth="1"/>
    <col min="14" max="14" width="31.5" bestFit="1" customWidth="1"/>
  </cols>
  <sheetData>
    <row r="1" spans="1:15">
      <c r="A1" t="s">
        <v>22</v>
      </c>
    </row>
    <row r="2" spans="1:15">
      <c r="N2" s="2" t="s">
        <v>7</v>
      </c>
      <c r="O2" s="2" t="s">
        <v>8</v>
      </c>
    </row>
    <row r="3" spans="1:15">
      <c r="B3" s="7" t="s">
        <v>19</v>
      </c>
      <c r="C3" s="5" t="s">
        <v>48</v>
      </c>
      <c r="D3" s="5" t="s">
        <v>11</v>
      </c>
      <c r="E3" s="5" t="s">
        <v>12</v>
      </c>
      <c r="F3" s="5" t="s">
        <v>51</v>
      </c>
      <c r="G3" s="5" t="s">
        <v>50</v>
      </c>
      <c r="H3" s="14" t="s">
        <v>47</v>
      </c>
      <c r="I3" s="14" t="s">
        <v>28</v>
      </c>
      <c r="J3" s="14" t="s">
        <v>29</v>
      </c>
      <c r="N3" s="3" t="s">
        <v>9</v>
      </c>
      <c r="O3" s="4" t="s">
        <v>10</v>
      </c>
    </row>
    <row r="4" spans="1:15">
      <c r="B4" s="12">
        <v>44927</v>
      </c>
      <c r="C4" s="8">
        <v>59</v>
      </c>
      <c r="D4" s="8">
        <v>102</v>
      </c>
      <c r="E4" s="8">
        <v>21.99</v>
      </c>
      <c r="F4" s="10">
        <v>11.99</v>
      </c>
      <c r="G4" s="8">
        <v>12.48</v>
      </c>
      <c r="H4" s="13">
        <v>10</v>
      </c>
      <c r="I4" s="13">
        <v>0</v>
      </c>
      <c r="J4" s="13">
        <v>0</v>
      </c>
      <c r="N4" s="3" t="s">
        <v>11</v>
      </c>
      <c r="O4" s="4" t="s">
        <v>10</v>
      </c>
    </row>
    <row r="5" spans="1:15">
      <c r="B5" s="12">
        <v>44958</v>
      </c>
      <c r="C5" s="8">
        <v>59</v>
      </c>
      <c r="D5" s="8">
        <v>102</v>
      </c>
      <c r="E5" s="8">
        <v>21.99</v>
      </c>
      <c r="F5" s="10">
        <v>11.99</v>
      </c>
      <c r="G5" s="8">
        <v>12.48</v>
      </c>
      <c r="H5" s="13">
        <v>10</v>
      </c>
      <c r="I5" s="13">
        <v>0</v>
      </c>
      <c r="J5" s="13">
        <v>0</v>
      </c>
      <c r="N5" s="3" t="s">
        <v>12</v>
      </c>
      <c r="O5" s="4" t="s">
        <v>13</v>
      </c>
    </row>
    <row r="6" spans="1:15">
      <c r="B6" s="12">
        <v>44986</v>
      </c>
      <c r="C6" s="8">
        <v>59</v>
      </c>
      <c r="D6" s="8">
        <v>102</v>
      </c>
      <c r="E6" s="8">
        <v>21.99</v>
      </c>
      <c r="F6" s="10">
        <v>11.99</v>
      </c>
      <c r="G6" s="8">
        <v>12.49</v>
      </c>
      <c r="H6" s="13">
        <v>10</v>
      </c>
      <c r="I6" s="13">
        <v>0</v>
      </c>
      <c r="J6" s="13">
        <v>0</v>
      </c>
      <c r="N6" s="5" t="s">
        <v>14</v>
      </c>
      <c r="O6" s="6" t="s">
        <v>15</v>
      </c>
    </row>
    <row r="7" spans="1:15">
      <c r="B7" s="12">
        <v>45017</v>
      </c>
      <c r="C7" s="8">
        <v>59</v>
      </c>
      <c r="D7" s="8">
        <v>102</v>
      </c>
      <c r="E7" s="8">
        <v>21.99</v>
      </c>
      <c r="F7" s="10">
        <v>11.99</v>
      </c>
      <c r="G7" s="8">
        <v>12.49</v>
      </c>
      <c r="H7" s="13">
        <v>10</v>
      </c>
      <c r="I7" s="13">
        <v>0</v>
      </c>
      <c r="J7" s="13">
        <v>0</v>
      </c>
      <c r="N7" s="3" t="s">
        <v>16</v>
      </c>
      <c r="O7" s="4" t="s">
        <v>17</v>
      </c>
    </row>
    <row r="8" spans="1:15">
      <c r="B8" s="12">
        <v>45047</v>
      </c>
      <c r="C8" s="8">
        <v>59</v>
      </c>
      <c r="D8" s="8">
        <v>102</v>
      </c>
      <c r="E8" s="8">
        <v>21.99</v>
      </c>
      <c r="F8" s="10">
        <v>11.99</v>
      </c>
      <c r="G8" s="8">
        <v>12.49</v>
      </c>
      <c r="H8" s="13">
        <v>10</v>
      </c>
      <c r="I8" s="13">
        <v>0</v>
      </c>
      <c r="J8" s="13">
        <v>0</v>
      </c>
      <c r="N8" s="3" t="s">
        <v>18</v>
      </c>
      <c r="O8" s="4"/>
    </row>
    <row r="9" spans="1:15">
      <c r="B9" s="12">
        <v>45078</v>
      </c>
      <c r="C9" s="8">
        <v>59</v>
      </c>
      <c r="D9" s="8">
        <v>102</v>
      </c>
      <c r="E9" s="8">
        <v>21.99</v>
      </c>
      <c r="F9" s="10">
        <v>11.99</v>
      </c>
      <c r="G9" s="8">
        <v>12.49</v>
      </c>
      <c r="H9" s="13">
        <v>10</v>
      </c>
      <c r="I9" s="13">
        <v>0</v>
      </c>
      <c r="J9" s="13">
        <v>0</v>
      </c>
    </row>
    <row r="10" spans="1:15">
      <c r="B10" s="12">
        <v>45108</v>
      </c>
      <c r="C10" s="8">
        <v>59</v>
      </c>
      <c r="D10" s="8">
        <v>102</v>
      </c>
      <c r="E10" s="8">
        <v>21.99</v>
      </c>
      <c r="F10" s="10">
        <v>11.99</v>
      </c>
      <c r="G10" s="8">
        <v>12.49</v>
      </c>
      <c r="H10" s="13">
        <v>10</v>
      </c>
      <c r="I10" s="13">
        <v>0</v>
      </c>
      <c r="J10" s="13">
        <v>0</v>
      </c>
    </row>
    <row r="11" spans="1:15">
      <c r="B11" s="12">
        <v>45139</v>
      </c>
      <c r="C11" s="8">
        <v>59</v>
      </c>
      <c r="D11" s="8">
        <v>102</v>
      </c>
      <c r="E11" s="8">
        <v>21.99</v>
      </c>
      <c r="F11" s="10">
        <v>11.99</v>
      </c>
      <c r="G11" s="8">
        <v>12.49</v>
      </c>
      <c r="H11" s="13">
        <v>10</v>
      </c>
      <c r="I11" s="13">
        <v>0</v>
      </c>
      <c r="J11" s="13">
        <v>0</v>
      </c>
    </row>
    <row r="12" spans="1:15">
      <c r="B12" s="12">
        <v>45170</v>
      </c>
      <c r="C12" s="8">
        <v>59</v>
      </c>
      <c r="D12" s="8">
        <v>102</v>
      </c>
      <c r="E12" s="8">
        <v>21.99</v>
      </c>
      <c r="F12" s="10">
        <v>11.99</v>
      </c>
      <c r="G12" s="8">
        <v>12.49</v>
      </c>
      <c r="H12" s="13">
        <v>10</v>
      </c>
      <c r="I12" s="13">
        <v>0</v>
      </c>
      <c r="J12" s="13">
        <v>0</v>
      </c>
    </row>
    <row r="13" spans="1:15">
      <c r="B13" s="12">
        <v>45200</v>
      </c>
      <c r="C13" s="8">
        <v>59</v>
      </c>
      <c r="D13" s="8">
        <v>102</v>
      </c>
      <c r="E13" s="8">
        <v>21.99</v>
      </c>
      <c r="F13" s="10">
        <v>11.99</v>
      </c>
      <c r="G13" s="8">
        <v>12.49</v>
      </c>
      <c r="H13" s="13">
        <v>10</v>
      </c>
      <c r="I13" s="13">
        <v>0</v>
      </c>
      <c r="J13" s="13">
        <v>0</v>
      </c>
    </row>
    <row r="14" spans="1:15">
      <c r="B14" s="12">
        <v>45231</v>
      </c>
      <c r="C14" s="8">
        <v>59</v>
      </c>
      <c r="D14" s="8">
        <v>102</v>
      </c>
      <c r="E14" s="8">
        <v>21.99</v>
      </c>
      <c r="F14" s="10">
        <v>11.99</v>
      </c>
      <c r="G14" s="8">
        <v>12.49</v>
      </c>
      <c r="H14" s="13">
        <v>10</v>
      </c>
      <c r="I14" s="13">
        <v>0</v>
      </c>
      <c r="J14" s="13">
        <v>0</v>
      </c>
    </row>
    <row r="15" spans="1:15">
      <c r="B15" s="15">
        <v>45261</v>
      </c>
      <c r="C15" s="16">
        <v>59</v>
      </c>
      <c r="D15" s="16">
        <v>102</v>
      </c>
      <c r="E15" s="16">
        <v>21.99</v>
      </c>
      <c r="F15" s="17">
        <v>11.99</v>
      </c>
      <c r="G15" s="16">
        <v>12.49</v>
      </c>
      <c r="H15" s="18">
        <v>10</v>
      </c>
      <c r="I15" s="13">
        <v>0</v>
      </c>
      <c r="J15" s="13">
        <v>0</v>
      </c>
    </row>
    <row r="16" spans="1:15">
      <c r="B16" s="9" t="s">
        <v>21</v>
      </c>
      <c r="C16" s="8">
        <f>SUM(C4:C15)</f>
        <v>708</v>
      </c>
      <c r="D16" s="8">
        <f t="shared" ref="D16:E16" si="0">SUM(D4:D15)</f>
        <v>1224</v>
      </c>
      <c r="E16" s="8">
        <f t="shared" si="0"/>
        <v>263.88000000000005</v>
      </c>
      <c r="F16" s="8">
        <f>SUM(G4:G15)</f>
        <v>149.85999999999999</v>
      </c>
      <c r="G16" s="8">
        <f>SUM(G4:G15)</f>
        <v>149.85999999999999</v>
      </c>
      <c r="H16" s="8">
        <f>SUM(H4:H15)</f>
        <v>120</v>
      </c>
      <c r="I16" s="8">
        <f t="shared" ref="I16:J16" si="1">SUM(I4:I15)</f>
        <v>0</v>
      </c>
      <c r="J16" s="8">
        <f t="shared" si="1"/>
        <v>0</v>
      </c>
    </row>
    <row r="17" spans="2:10">
      <c r="B17" s="9" t="s">
        <v>20</v>
      </c>
      <c r="C17" s="61">
        <f>SUM(C16:H16)</f>
        <v>2615.6000000000004</v>
      </c>
      <c r="D17" s="61"/>
      <c r="E17" s="61"/>
      <c r="F17" s="61"/>
      <c r="G17" s="61"/>
      <c r="H17" s="61"/>
      <c r="I17" s="61"/>
      <c r="J17" s="61"/>
    </row>
    <row r="20" spans="2:10">
      <c r="C20" t="s">
        <v>49</v>
      </c>
    </row>
  </sheetData>
  <mergeCells count="1">
    <mergeCell ref="C17:J17"/>
  </mergeCells>
  <dataValidations count="1">
    <dataValidation type="list" allowBlank="1" showInputMessage="1" showErrorMessage="1" sqref="C3:J3">
      <formula1>$C$3:$J$3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selection activeCell="B20" sqref="B20"/>
    </sheetView>
  </sheetViews>
  <sheetFormatPr baseColWidth="10" defaultRowHeight="15.75"/>
  <cols>
    <col min="2" max="2" width="20.375" bestFit="1" customWidth="1"/>
    <col min="3" max="3" width="14" customWidth="1"/>
    <col min="4" max="4" width="13.125" bestFit="1" customWidth="1"/>
    <col min="5" max="5" width="34.375" bestFit="1" customWidth="1"/>
    <col min="6" max="6" width="18.375" bestFit="1" customWidth="1"/>
    <col min="8" max="8" width="14.375" bestFit="1" customWidth="1"/>
    <col min="9" max="9" width="14.375" customWidth="1"/>
  </cols>
  <sheetData>
    <row r="1" spans="1:9">
      <c r="A1" t="s">
        <v>6</v>
      </c>
    </row>
    <row r="3" spans="1:9">
      <c r="B3" s="7" t="s">
        <v>0</v>
      </c>
      <c r="C3" s="19" t="s">
        <v>1</v>
      </c>
      <c r="D3" s="19" t="s">
        <v>4</v>
      </c>
      <c r="E3" s="19" t="s">
        <v>5</v>
      </c>
      <c r="F3" s="19" t="s">
        <v>2</v>
      </c>
      <c r="G3" s="19" t="s">
        <v>3</v>
      </c>
      <c r="H3" s="20" t="s">
        <v>44</v>
      </c>
      <c r="I3" s="19" t="s">
        <v>52</v>
      </c>
    </row>
    <row r="4" spans="1:9">
      <c r="B4" s="11" t="s">
        <v>57</v>
      </c>
      <c r="C4" s="1" t="s">
        <v>67</v>
      </c>
      <c r="D4" s="1"/>
      <c r="E4" s="1"/>
      <c r="F4" s="1" t="s">
        <v>62</v>
      </c>
      <c r="G4" s="1"/>
      <c r="H4" s="45">
        <v>11</v>
      </c>
      <c r="I4" s="47">
        <v>18.5</v>
      </c>
    </row>
    <row r="5" spans="1:9">
      <c r="B5" s="52" t="s">
        <v>58</v>
      </c>
      <c r="C5" s="1" t="s">
        <v>68</v>
      </c>
      <c r="D5" s="1"/>
      <c r="E5" s="1"/>
      <c r="F5" s="1" t="s">
        <v>63</v>
      </c>
      <c r="G5" s="1"/>
      <c r="H5" s="45">
        <v>56.5</v>
      </c>
      <c r="I5" s="13"/>
    </row>
    <row r="6" spans="1:9">
      <c r="B6" s="11" t="s">
        <v>59</v>
      </c>
      <c r="C6" s="1" t="s">
        <v>69</v>
      </c>
      <c r="D6" s="1"/>
      <c r="E6" s="1"/>
      <c r="F6" s="1" t="s">
        <v>64</v>
      </c>
      <c r="G6" s="1"/>
      <c r="H6" s="45">
        <v>6</v>
      </c>
      <c r="I6" s="13">
        <v>0</v>
      </c>
    </row>
    <row r="7" spans="1:9">
      <c r="B7" s="11" t="s">
        <v>60</v>
      </c>
      <c r="C7" s="1" t="s">
        <v>70</v>
      </c>
      <c r="D7" s="1"/>
      <c r="E7" s="1"/>
      <c r="F7" s="1" t="s">
        <v>65</v>
      </c>
      <c r="G7" s="1"/>
      <c r="H7" s="45">
        <v>11.5</v>
      </c>
      <c r="I7" s="13">
        <v>19</v>
      </c>
    </row>
    <row r="8" spans="1:9">
      <c r="B8" s="51" t="s">
        <v>61</v>
      </c>
      <c r="C8" s="1" t="s">
        <v>71</v>
      </c>
      <c r="D8" s="1"/>
      <c r="E8" s="1"/>
      <c r="F8" s="1" t="s">
        <v>66</v>
      </c>
      <c r="G8" s="1"/>
      <c r="H8" s="46">
        <v>15</v>
      </c>
      <c r="I8" s="18">
        <v>24</v>
      </c>
    </row>
    <row r="9" spans="1:9">
      <c r="H9">
        <f>SUM(H4:H8)</f>
        <v>100</v>
      </c>
    </row>
    <row r="12" spans="1:9">
      <c r="B12" s="7" t="s">
        <v>72</v>
      </c>
      <c r="C12" s="19" t="s">
        <v>57</v>
      </c>
      <c r="D12" s="19" t="s">
        <v>58</v>
      </c>
      <c r="E12" s="19" t="s">
        <v>59</v>
      </c>
      <c r="F12" s="19" t="s">
        <v>60</v>
      </c>
      <c r="G12" s="62" t="s">
        <v>61</v>
      </c>
    </row>
    <row r="13" spans="1:9">
      <c r="B13" s="11" t="s">
        <v>40</v>
      </c>
      <c r="C13" s="8">
        <v>18.5</v>
      </c>
      <c r="D13" s="8"/>
      <c r="E13" s="8"/>
      <c r="F13" s="8">
        <v>19</v>
      </c>
      <c r="G13" s="13">
        <v>24</v>
      </c>
    </row>
    <row r="14" spans="1:9">
      <c r="B14" s="11" t="s">
        <v>41</v>
      </c>
      <c r="C14" s="8">
        <v>30</v>
      </c>
      <c r="D14" s="8"/>
      <c r="E14" s="8"/>
      <c r="F14" s="8">
        <v>19</v>
      </c>
      <c r="G14" s="13">
        <v>50</v>
      </c>
    </row>
    <row r="15" spans="1:9">
      <c r="B15" s="11" t="s">
        <v>42</v>
      </c>
      <c r="C15" s="8">
        <v>18.5</v>
      </c>
      <c r="D15" s="8"/>
      <c r="E15" s="8"/>
      <c r="F15" s="8">
        <v>19</v>
      </c>
      <c r="G15" s="13">
        <v>24</v>
      </c>
    </row>
    <row r="16" spans="1:9">
      <c r="B16" s="11" t="s">
        <v>43</v>
      </c>
      <c r="C16" s="8">
        <v>40</v>
      </c>
      <c r="D16" s="8"/>
      <c r="E16" s="8"/>
      <c r="F16" s="8">
        <v>20</v>
      </c>
      <c r="G16" s="13">
        <v>24</v>
      </c>
    </row>
    <row r="17" spans="2:7">
      <c r="B17" s="11" t="s">
        <v>39</v>
      </c>
      <c r="C17" s="8">
        <v>18.5</v>
      </c>
      <c r="D17" s="8"/>
      <c r="E17" s="8"/>
      <c r="F17" s="8">
        <v>19</v>
      </c>
      <c r="G17" s="13">
        <v>60</v>
      </c>
    </row>
    <row r="18" spans="2:7">
      <c r="B18" s="11" t="s">
        <v>38</v>
      </c>
      <c r="C18" s="8">
        <v>18.5</v>
      </c>
      <c r="D18" s="8"/>
      <c r="E18" s="8"/>
      <c r="F18" s="8">
        <v>19</v>
      </c>
      <c r="G18" s="13">
        <v>24</v>
      </c>
    </row>
    <row r="19" spans="2:7">
      <c r="B19" s="11" t="s">
        <v>37</v>
      </c>
      <c r="C19" s="8">
        <v>50</v>
      </c>
      <c r="D19" s="8"/>
      <c r="E19" s="8"/>
      <c r="F19" s="8">
        <v>50</v>
      </c>
      <c r="G19" s="13">
        <v>24</v>
      </c>
    </row>
    <row r="20" spans="2:7">
      <c r="B20" s="11" t="s">
        <v>36</v>
      </c>
      <c r="C20" s="8">
        <v>18.5</v>
      </c>
      <c r="D20" s="8"/>
      <c r="E20" s="8"/>
      <c r="F20" s="8">
        <v>19</v>
      </c>
      <c r="G20" s="13">
        <v>40</v>
      </c>
    </row>
    <row r="21" spans="2:7">
      <c r="B21" s="11" t="s">
        <v>23</v>
      </c>
      <c r="C21" s="8">
        <v>18.5</v>
      </c>
      <c r="D21" s="8"/>
      <c r="E21" s="8"/>
      <c r="F21" s="8">
        <v>60</v>
      </c>
      <c r="G21" s="13">
        <v>24</v>
      </c>
    </row>
    <row r="22" spans="2:7">
      <c r="B22" s="11" t="s">
        <v>30</v>
      </c>
      <c r="C22" s="8">
        <v>30</v>
      </c>
      <c r="D22" s="8"/>
      <c r="E22" s="8"/>
      <c r="F22" s="8">
        <v>19</v>
      </c>
      <c r="G22" s="13">
        <v>20</v>
      </c>
    </row>
    <row r="23" spans="2:7">
      <c r="B23" s="11" t="s">
        <v>31</v>
      </c>
      <c r="C23" s="8">
        <v>18.5</v>
      </c>
      <c r="D23" s="8"/>
      <c r="E23" s="8"/>
      <c r="F23" s="8">
        <v>19</v>
      </c>
      <c r="G23" s="13">
        <v>24</v>
      </c>
    </row>
    <row r="24" spans="2:7">
      <c r="B24" s="11" t="s">
        <v>32</v>
      </c>
      <c r="C24" s="16">
        <v>18.5</v>
      </c>
      <c r="D24" s="16"/>
      <c r="E24" s="16"/>
      <c r="F24" s="16">
        <v>19</v>
      </c>
      <c r="G24" s="18">
        <v>24</v>
      </c>
    </row>
  </sheetData>
  <pageMargins left="0.75" right="0.75" top="1" bottom="1" header="0.5" footer="0.5"/>
  <pageSetup paperSize="9" orientation="portrait" horizontalDpi="4294967292" verticalDpi="4294967292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Regul</vt:lpstr>
      <vt:lpstr>charges</vt:lpstr>
      <vt:lpstr>locataires</vt:lpstr>
      <vt:lpstr>C_LOCATAIRES</vt:lpstr>
      <vt:lpstr>Q_parts</vt:lpstr>
      <vt:lpstr>T_locataires</vt:lpstr>
      <vt:lpstr>Regul!Zone_d_impression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Armel</dc:creator>
  <cp:lastModifiedBy>FRANCIS</cp:lastModifiedBy>
  <cp:lastPrinted>2022-12-29T19:24:29Z</cp:lastPrinted>
  <dcterms:created xsi:type="dcterms:W3CDTF">2022-12-29T11:55:53Z</dcterms:created>
  <dcterms:modified xsi:type="dcterms:W3CDTF">2023-01-18T04:07:35Z</dcterms:modified>
</cp:coreProperties>
</file>