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20" yWindow="465" windowWidth="33255" windowHeight="16440" tabRatio="518"/>
  </bookViews>
  <sheets>
    <sheet name="Saisie" sheetId="8" r:id="rId1"/>
    <sheet name="Base" sheetId="12" r:id="rId2"/>
    <sheet name="Listes" sheetId="3" r:id="rId3"/>
    <sheet name="Leurres" sheetId="7" r:id="rId4"/>
    <sheet name="Meteo" sheetId="13" r:id="rId5"/>
  </sheets>
  <functionGroups/>
  <definedNames>
    <definedName name="Accompagnateur">Saisie!$L$4</definedName>
    <definedName name="Date">Saisie!$B$4</definedName>
    <definedName name="Heure_debut">Saisie!$C$4</definedName>
    <definedName name="Heure_fin">Saisie!$D$4</definedName>
    <definedName name="Leurre_categorie">Saisie!$I$4</definedName>
    <definedName name="Leurre_couleur">Saisie!$J$4</definedName>
    <definedName name="Leurre_type">Saisie!$H$4</definedName>
    <definedName name="Meteo">Saisie!$E$4</definedName>
    <definedName name="pl_categorieLeurre">Leurres!$A$4:$A$46</definedName>
    <definedName name="pl_couleurLeurre">Leurres!$J$4:$J$46</definedName>
    <definedName name="pl_leurres">Leurres!$F$4:$F$46</definedName>
    <definedName name="pl_riviere">Listes!$A$2:$A$23</definedName>
    <definedName name="pl_secteur">Listes!$E$2:$E$23</definedName>
    <definedName name="pl_test">#REF!</definedName>
    <definedName name="Remarque">Saisie!$M$4</definedName>
    <definedName name="Riviere">Saisie!$F$4</definedName>
    <definedName name="Secteur">Saisie!$G$4</definedName>
    <definedName name="Type_approche">Saisie!$K$4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N3" l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P182"/>
  <c r="Q182"/>
  <c r="R182"/>
  <c r="S182"/>
  <c r="T182"/>
  <c r="U182"/>
  <c r="V182"/>
  <c r="W182"/>
  <c r="X182"/>
  <c r="Y182"/>
  <c r="Z182"/>
  <c r="AA182"/>
  <c r="AB182"/>
  <c r="AC182"/>
  <c r="AD182"/>
  <c r="AE182"/>
  <c r="AF182"/>
  <c r="AG182"/>
  <c r="AH182"/>
  <c r="AI182"/>
  <c r="AJ182"/>
  <c r="AK182"/>
  <c r="AL182"/>
  <c r="AM182"/>
  <c r="D34" i="8"/>
  <c r="E34"/>
  <c r="F34"/>
  <c r="G34"/>
  <c r="H34"/>
  <c r="I34"/>
  <c r="J34"/>
  <c r="K34"/>
  <c r="N182" i="12" l="1"/>
  <c r="G182"/>
</calcChain>
</file>

<file path=xl/sharedStrings.xml><?xml version="1.0" encoding="utf-8"?>
<sst xmlns="http://schemas.openxmlformats.org/spreadsheetml/2006/main" count="1790" uniqueCount="407">
  <si>
    <t>Date</t>
  </si>
  <si>
    <t>pluie</t>
  </si>
  <si>
    <t>froid</t>
  </si>
  <si>
    <t>bon</t>
  </si>
  <si>
    <t>chaud</t>
  </si>
  <si>
    <t>St Pierre du moulin d'Hardray au pont romain</t>
  </si>
  <si>
    <t>Saint jean sur Erve</t>
  </si>
  <si>
    <t>Neau</t>
  </si>
  <si>
    <t>Blandouet</t>
  </si>
  <si>
    <t>Terrain et alentours</t>
  </si>
  <si>
    <t>Eychargelat au pont de pierre</t>
  </si>
  <si>
    <t>Au dessus du pont de pierre</t>
  </si>
  <si>
    <t>Erve</t>
  </si>
  <si>
    <t>Jouanne</t>
  </si>
  <si>
    <t>Mayenne</t>
  </si>
  <si>
    <t>Vaige</t>
  </si>
  <si>
    <t>Artax</t>
  </si>
  <si>
    <t>Ouette</t>
  </si>
  <si>
    <t>Taude</t>
  </si>
  <si>
    <t>gris</t>
  </si>
  <si>
    <t>Vaiges</t>
  </si>
  <si>
    <t>cuiller n°0</t>
  </si>
  <si>
    <t>souple à palette</t>
  </si>
  <si>
    <t>asticot</t>
  </si>
  <si>
    <t>cuiller n°1</t>
  </si>
  <si>
    <t>verre de terre</t>
  </si>
  <si>
    <t>cuiller n°2</t>
  </si>
  <si>
    <t>teigne</t>
  </si>
  <si>
    <t>cuiller n°3</t>
  </si>
  <si>
    <t>whopper plopper</t>
  </si>
  <si>
    <t>spiner</t>
  </si>
  <si>
    <t>mouche</t>
  </si>
  <si>
    <t>cuiller n°4</t>
  </si>
  <si>
    <t>pimkie</t>
  </si>
  <si>
    <t>cuiller n°5</t>
  </si>
  <si>
    <t>cuiller ondulante</t>
  </si>
  <si>
    <t>Rivière</t>
  </si>
  <si>
    <t>Météo</t>
  </si>
  <si>
    <t>Secteur</t>
  </si>
  <si>
    <t>Remarque</t>
  </si>
  <si>
    <t>Autre</t>
  </si>
  <si>
    <t>Riviere</t>
  </si>
  <si>
    <t>Meteo</t>
  </si>
  <si>
    <t>Vegre</t>
  </si>
  <si>
    <t>Arriege</t>
  </si>
  <si>
    <t>Montee vers gourbit</t>
  </si>
  <si>
    <t>etang d'Artax</t>
  </si>
  <si>
    <t>Argentre</t>
  </si>
  <si>
    <t>tres chaud</t>
  </si>
  <si>
    <t>Cuiller</t>
  </si>
  <si>
    <t>Souple</t>
  </si>
  <si>
    <t>Poisson Nageur</t>
  </si>
  <si>
    <t>Surface</t>
  </si>
  <si>
    <t>Palette</t>
  </si>
  <si>
    <t>Appat Naturel</t>
  </si>
  <si>
    <t>Leurre_type</t>
  </si>
  <si>
    <t>Leurre_categorie</t>
  </si>
  <si>
    <t>Leurre type</t>
  </si>
  <si>
    <t>Leurre categorie</t>
  </si>
  <si>
    <t>Afficher tout</t>
  </si>
  <si>
    <t>Brochet</t>
  </si>
  <si>
    <t>Perche</t>
  </si>
  <si>
    <t>Sandre</t>
  </si>
  <si>
    <t>Chevesne</t>
  </si>
  <si>
    <t>Total</t>
  </si>
  <si>
    <t>Espece</t>
  </si>
  <si>
    <t>Id</t>
  </si>
  <si>
    <t>Total_espece</t>
  </si>
  <si>
    <t>Conditions de pêche</t>
  </si>
  <si>
    <t>Résultats</t>
  </si>
  <si>
    <t>Totaux</t>
  </si>
  <si>
    <t>Heure début</t>
  </si>
  <si>
    <t>Heure fin</t>
  </si>
  <si>
    <t>Heure_debut</t>
  </si>
  <si>
    <t>Heure_fin</t>
  </si>
  <si>
    <t>0 - 19 cm</t>
  </si>
  <si>
    <t>20 - 29 cm</t>
  </si>
  <si>
    <t>30 - 39 cm</t>
  </si>
  <si>
    <t>40 - 49 cm</t>
  </si>
  <si>
    <t>50 - 59 cm</t>
  </si>
  <si>
    <t>60 - 69 cm</t>
  </si>
  <si>
    <t>70 - 79 cm</t>
  </si>
  <si>
    <t>80 - 89 cm</t>
  </si>
  <si>
    <t>90 - 99 cm</t>
  </si>
  <si>
    <t>100 - 109 cm</t>
  </si>
  <si>
    <t>110 - 119 cm</t>
  </si>
  <si>
    <t>120 - 129 cm</t>
  </si>
  <si>
    <t>130 - 139 cm</t>
  </si>
  <si>
    <t>140 - 149 cm</t>
  </si>
  <si>
    <t>150 - 159 cm</t>
  </si>
  <si>
    <t>160 - 169 cm</t>
  </si>
  <si>
    <t>170 - 179 cm</t>
  </si>
  <si>
    <t>180 - 189 cm</t>
  </si>
  <si>
    <t>190 - 199 cm</t>
  </si>
  <si>
    <t>200 - 209 cm</t>
  </si>
  <si>
    <t>210 - 219 cm</t>
  </si>
  <si>
    <t>220 - 229 cm</t>
  </si>
  <si>
    <t>230 - 239 cm</t>
  </si>
  <si>
    <t>240 - 249 cm</t>
  </si>
  <si>
    <t>Etang</t>
  </si>
  <si>
    <t>Leurre_couleur</t>
  </si>
  <si>
    <t>jaune</t>
  </si>
  <si>
    <t>vert</t>
  </si>
  <si>
    <t>bleu</t>
  </si>
  <si>
    <t>Leurre couleur</t>
  </si>
  <si>
    <t>Fonctionnement identique à la feuille "Listes"</t>
  </si>
  <si>
    <t>vent</t>
  </si>
  <si>
    <t>rouge</t>
  </si>
  <si>
    <t>blanc</t>
  </si>
  <si>
    <t>argent</t>
  </si>
  <si>
    <t>rose</t>
  </si>
  <si>
    <t>violet</t>
  </si>
  <si>
    <t>Seiche</t>
  </si>
  <si>
    <t>Truite arc en ciel</t>
  </si>
  <si>
    <t>Truite Fario</t>
  </si>
  <si>
    <t>Silure</t>
  </si>
  <si>
    <t>Carpe</t>
  </si>
  <si>
    <t>naturel</t>
  </si>
  <si>
    <t>fire tiger</t>
  </si>
  <si>
    <t>DuckFin shad 3 pouces</t>
  </si>
  <si>
    <t>shad 3 pouces</t>
  </si>
  <si>
    <t>transparent</t>
  </si>
  <si>
    <t>créature</t>
  </si>
  <si>
    <t>worm</t>
  </si>
  <si>
    <t>marron</t>
  </si>
  <si>
    <t>notobeug 2cm</t>
  </si>
  <si>
    <t>notobeug 3cm</t>
  </si>
  <si>
    <t>stickbait WXM STK 70</t>
  </si>
  <si>
    <t>rockvibe 2+ pouces</t>
  </si>
  <si>
    <t>shad 2+ pouces</t>
  </si>
  <si>
    <t>Duree</t>
  </si>
  <si>
    <t>43053|Etang|Plan d'eau fede Bonchamp les Laval|froid|X|X|X</t>
  </si>
  <si>
    <t>43187|Etang|Mezangers le Gue de sel|froid|Souple|DuckFin shad 3 pouces|gudgeon</t>
  </si>
  <si>
    <t>43774|Etang|La Fenderie|bon|X|X|X</t>
  </si>
  <si>
    <t>43775|Etang|Saint jean sur Erve|froid|X|X|X</t>
  </si>
  <si>
    <t>44099|Jouanne|Moulin de Pochard amont|bon|Souple|shad 3 pouces|rouge</t>
  </si>
  <si>
    <t>44137|Erve|En face de l'etang de St Jean|froid|Souple|shad 3 pouces|rouge</t>
  </si>
  <si>
    <t>44166|Jouanne|Moulin de Porchard aval|froid|Souple|truitelle 5 pouces|truite</t>
  </si>
  <si>
    <t>44310|Erve|St Pierre du moulin d'Hardray à la Roche Brault|froid|X|X|X</t>
  </si>
  <si>
    <t>44312|Jouanne|Moulin de Porchard aval|bon|X|X|X</t>
  </si>
  <si>
    <t>44338|Jouanne|Argentre en face du plan d'eau|bon|créature|écrevisse|marron</t>
  </si>
  <si>
    <t>44362|Erve|Oratoire aval|bon|Souple|shad 2+ pouces|X</t>
  </si>
  <si>
    <t>44363|Erve|Oratoire aval|bon|X|X|X</t>
  </si>
  <si>
    <t>44403|Jouanne|Moulin de Porchard aval|chaud|X|X|X</t>
  </si>
  <si>
    <t>44442|Erve|Moulin de pre|bon|X|X|X</t>
  </si>
  <si>
    <t>44446|Erve|Moulin de pre|bon|Surface|notobeug 2cm|marron</t>
  </si>
  <si>
    <t>44446|Erve|Moulin de pre|bon|X|X|X</t>
  </si>
  <si>
    <t>44451|Erve|Moulin de pré à Moulin de Thévales|bon|Surface|stickbait WXM STK 70|blanc</t>
  </si>
  <si>
    <t>44451|Erve|Moulin de pre|bon|Surface|stickbait WXM STK 70|blanc</t>
  </si>
  <si>
    <t>44451|Erve|Moulin de pre|bon|Souple|easy shinner 2+ pouces|blanc</t>
  </si>
  <si>
    <t>44467|Vaige|Entre Beauomon pied de Bouef et val du Maine|bon|Surface|notobeug 2cm|jaune</t>
  </si>
  <si>
    <t>44467|Vaige|Entre Beauomon pied de Bouef et val du Maine|bon|Cuiller|cuiller n°2|noir à point jaune</t>
  </si>
  <si>
    <t>44484|Erve|Moulin de pre|bon|X|X|X</t>
  </si>
  <si>
    <t>44487|Erve|St Pierre du pont romain au moulin de Go|froid|Surface|notobeug 2cm|vert</t>
  </si>
  <si>
    <t>44487|Erve|St Pierre du pont romain au moulin de Go|froid|Cuiller|cuiller n°2|argent à point rouge</t>
  </si>
  <si>
    <t>44487|Erve|St Pierre du pont romain au moulin de Go|froid|Souple|rockvibe 2+ pouces|chartreuse</t>
  </si>
  <si>
    <t>44495|Erve|St Pierre du moulin d'Hardray au pont romain|froid|Cuiller|cuiller n°2|X</t>
  </si>
  <si>
    <t>44498|Erve|St Pierre du pont romain au moulin de Go|bon|Cuiller|cuiller n°2|jaune</t>
  </si>
  <si>
    <t>44513|Erve|Moulin de pre|froid|Cuiller|cuiller n°2|noir à point jaune</t>
  </si>
  <si>
    <t>44513|Erve|St Pierre du moulin d'Hardray au pont romain|froid|Cuiller|cuiller n°2|noir à point jaune</t>
  </si>
  <si>
    <t>44514|Taude|Sauvigne sur Sarthe aval|froid|Cuiller|cuiller n°2|noir à point jaune</t>
  </si>
  <si>
    <t>44507|froid|Erve|St Pierre du pont romain au moulin de Go|Souple|DuckFin shad 3 pouces|gudgeon</t>
  </si>
  <si>
    <t>44451|bon|Erve|Moulin de pre|Surface|stickbait WXM STK 70|blanc</t>
  </si>
  <si>
    <t>leurre dur</t>
  </si>
  <si>
    <t>salmo slider 7cm</t>
  </si>
  <si>
    <t>44591|froid|Erve|Oratoire amont|leurre dur|salmo slider 7cm|real hot perch</t>
  </si>
  <si>
    <t>44621|froid|Etang|Saint jean sur Erve|||</t>
  </si>
  <si>
    <t>44623|froid|Etang|Saint jean sur Erve|Cuiller|cuiller n°2|jaune à point noir</t>
  </si>
  <si>
    <t>44625|froid|Etang|Saint jean sur Erve|||</t>
  </si>
  <si>
    <t>44626|froid|Etang|Saint jean sur Erve|||</t>
  </si>
  <si>
    <t>44640|froid|Etang|Saint jean sur Erve|||</t>
  </si>
  <si>
    <t>44650|froid|Etang|Saint jean sur Erve|||</t>
  </si>
  <si>
    <t>44651|froid|Etang|Saint jean sur Erve|||</t>
  </si>
  <si>
    <t>44654|bon|Etang|Saint jean sur Erve|Cuiller|cuiller n°2|jaune à point noir</t>
  </si>
  <si>
    <t>44654|bon|Etang|Saint jean sur Erve|||</t>
  </si>
  <si>
    <t>44670|bon|Etang|Saint jean sur Erve|||</t>
  </si>
  <si>
    <t>44671|bon|Etang|Saint jean sur Erve|||</t>
  </si>
  <si>
    <t>44672|bon|Etang|Saint jean sur Erve|||</t>
  </si>
  <si>
    <t>44681|bon|Erve|St Pierre du pont romain au moulin de Go|||</t>
  </si>
  <si>
    <t>44681|bon|Erve|Oratoire amont|leurre dur|salmo slider 7cm|real hot perch</t>
  </si>
  <si>
    <t>44683|bon|Jouanne|Moulin de Porchard aval|Cuiller|cuiller n°2|real hot perch</t>
  </si>
  <si>
    <t>44683|bon|Jouanne|Moulin de Porchard aval|Cuiller|cuiller n°2|</t>
  </si>
  <si>
    <t>44683|bon|Jouanne|Moulin de Porchard aval|leurre dur|salmo slider 7cm|real hot perch</t>
  </si>
  <si>
    <t>44684|bon|Etang|Olivet|leurre dur|salmo slider 7cm|real hot perch</t>
  </si>
  <si>
    <t>44689|bon|Erve|Moulin de pre|Palette|spiner|fire tiger</t>
  </si>
  <si>
    <t>Noyal Chatillon - zone de loisirs</t>
  </si>
  <si>
    <t>pluie et vent</t>
  </si>
  <si>
    <t>Chammes - entre eglise et route de Blanoudet</t>
  </si>
  <si>
    <t>Chammes - entre 4X4 et forges</t>
  </si>
  <si>
    <t>St Jean - terrain 4X4</t>
  </si>
  <si>
    <t>St Jean - entre autoroute et Davier</t>
  </si>
  <si>
    <t>St Jean - champ maison</t>
  </si>
  <si>
    <t>St Jean - nationale à maison</t>
  </si>
  <si>
    <t>St Jean - en face de l'etang</t>
  </si>
  <si>
    <t>St Jean - la riviere Amont</t>
  </si>
  <si>
    <t>St Jean - entre moulin aux moines et la riviere</t>
  </si>
  <si>
    <t>St Pierre - entre moulin de Go et moulin aux moines</t>
  </si>
  <si>
    <t>St Pierre - entre pont romain et moulin de Go</t>
  </si>
  <si>
    <t>St Pierre - entre moulin d'Hardray et la Roche Brault</t>
  </si>
  <si>
    <t>Saulges - oratoire amont</t>
  </si>
  <si>
    <t>Saulges - oratoire aval</t>
  </si>
  <si>
    <t>Saulges - entre moulin de pre et oratoire</t>
  </si>
  <si>
    <t>Saulges - moulin de pre</t>
  </si>
  <si>
    <t>Chemere le roi - moulin de Thevales</t>
  </si>
  <si>
    <t>Auvers le Hamon - Les roches</t>
  </si>
  <si>
    <t>Auvers le Hamon - la jeune panne</t>
  </si>
  <si>
    <t>Neau - en face du plan d'eau</t>
  </si>
  <si>
    <t>Montsurs - amont du pont du centre ville</t>
  </si>
  <si>
    <t>Montsurs - aval du pont du centre ville</t>
  </si>
  <si>
    <t>Montsurs - les petits ifs amont</t>
  </si>
  <si>
    <t>Montsurs - les petits ifs aval</t>
  </si>
  <si>
    <t>St Cenere - entre le lavoir et la riviere</t>
  </si>
  <si>
    <t>St Cenere - la riviere amont</t>
  </si>
  <si>
    <t>St Cenere - lavoir aval</t>
  </si>
  <si>
    <t>Argentre - la courbe</t>
  </si>
  <si>
    <t>Argentre - amont du plan d'eau</t>
  </si>
  <si>
    <t>Argentre - en face du plan d'eau</t>
  </si>
  <si>
    <t>Argentre - aval du plan d'eau</t>
  </si>
  <si>
    <t>Bonchamp - moulin de Pochard amont</t>
  </si>
  <si>
    <t>Bonchamp - moulin de Porchard aval</t>
  </si>
  <si>
    <t>Entrammes - Carriere</t>
  </si>
  <si>
    <t>Alexain - No Kill Montgiroux</t>
  </si>
  <si>
    <t>Deux Evailles - la Fenderie</t>
  </si>
  <si>
    <t>Bonchamp - plan de la fede</t>
  </si>
  <si>
    <t>Mezangers - le Gue de sel</t>
  </si>
  <si>
    <t>Olivet - No Kill</t>
  </si>
  <si>
    <t>Brûlon - moulin du pont</t>
  </si>
  <si>
    <t>Beaumont pied de Bœuf - Moulins aval</t>
  </si>
  <si>
    <t>Tarascon - parcours famillial</t>
  </si>
  <si>
    <t>Entrammes - la malabriere</t>
  </si>
  <si>
    <t>Sauvigne sur Sarthe - sud de la departmentale</t>
  </si>
  <si>
    <t>Saulges - Moulin de pré à Moulin de Thévales</t>
  </si>
  <si>
    <t>St Pierre - entre moulin d'Hardray et pont romain</t>
  </si>
  <si>
    <t>Type approche</t>
  </si>
  <si>
    <t>Type_approche</t>
  </si>
  <si>
    <t>Accompagnateur</t>
  </si>
  <si>
    <t>du bord</t>
  </si>
  <si>
    <t>en bateau</t>
  </si>
  <si>
    <t>en wadding</t>
  </si>
  <si>
    <t>en float tube</t>
  </si>
  <si>
    <t>en kayak</t>
  </si>
  <si>
    <t>Aurélien</t>
  </si>
  <si>
    <t>Jean Michel</t>
  </si>
  <si>
    <t>Papa</t>
  </si>
  <si>
    <t>Ewen</t>
  </si>
  <si>
    <t>Mael</t>
  </si>
  <si>
    <t xml:space="preserve">Eric </t>
  </si>
  <si>
    <t>Ewen et Mael</t>
  </si>
  <si>
    <t>Argentre - entre les roches et l autoroute</t>
  </si>
  <si>
    <t>ecrevisse</t>
  </si>
  <si>
    <t>popper WXM PPR 65F</t>
  </si>
  <si>
    <t>noir</t>
  </si>
  <si>
    <t>44690|bon|Jouanne|Bonchamp - moulin de Porchard aval|Palette|spiner|fire tiger</t>
  </si>
  <si>
    <t>44701|bon|Jouanne|Argentre - entre les roches et l autoroute|||</t>
  </si>
  <si>
    <t>44701|bon|Jouanne|Argentre - en face du plan d'eau|Cuiller|cuiller n°2|or à point rouge</t>
  </si>
  <si>
    <t>44710|bon|Erve|St Jean - nationale à maison|Cuiller|cuiller n°3|rouge à point noir</t>
  </si>
  <si>
    <t>44717|bon|Erve|St Pierre - entre moulin d'Hardray et pont romain|Cuiller|cuiller n°2|argent à point noir</t>
  </si>
  <si>
    <t>44718|bon|Jouanne|Argentre - en face du plan d'eau|créature|ecrevisse|noir</t>
  </si>
  <si>
    <t>44718|bon|Jouanne|Argentre - en face du plan d'eau|||</t>
  </si>
  <si>
    <t>44721|bon|Etang|Olivet - No Kill|leurre dur|salmo slider 7cm|real hot perch</t>
  </si>
  <si>
    <t>44739|bon|Jouanne|Argentre - aval du plan d'eau|Cuiller|cuiller n°2|</t>
  </si>
  <si>
    <t>44746|bon|Jouanne|Argentre - aval du plan d'eau|Cuiller|cuiller n°2|</t>
  </si>
  <si>
    <t>44746|bon|Jouanne|Argentre - en face du plan d'eau|||</t>
  </si>
  <si>
    <t>44746|bon|Jouanne|Argentre - amont du plan d'eau|Cuiller|cuiller n°2|</t>
  </si>
  <si>
    <t>44753|chaud|Jouanne|Bonchamp - moulin de Porchard aval|leurre dur|salmo slider 7cm|real hot perch</t>
  </si>
  <si>
    <t>44753|chaud|Jouanne|Bonchamp - moulin de Porchard aval|Cuiller|cuiller n°2|</t>
  </si>
  <si>
    <t>44792|bon|Jouanne|Argentre - en face du plan d'eau|Cuiller|cuiller n°2|</t>
  </si>
  <si>
    <t>44792|bon|Jouanne|Argentre - amont du plan d'eau|Cuiller|cuiller n°2|</t>
  </si>
  <si>
    <t>44809|chaud|Jouanne|Argentre - aval du plan d'eau|Surface|popper WXM PPR 65F|grenouille</t>
  </si>
  <si>
    <t>44809|chaud|Jouanne|Argentre - en face du plan d'eau|Cuiller|cuiller n°2|</t>
  </si>
  <si>
    <t>44810|chaud|Jouanne|Argentre - aval du plan d'eau|Surface|popper WXM PPR 65F|grenouille</t>
  </si>
  <si>
    <t>44815|chaud|Jouanne|Argentre - amont du plan d'eau|||</t>
  </si>
  <si>
    <t>44815|chaud|Jouanne|St Cenere - entre le lavoir et la riviere|Surface|popper WXM PPR 65F|grenouille</t>
  </si>
  <si>
    <t>44815|chaud|Jouanne|St Cenere - lavoir aval|Surface|popper WXM PPR 65F|grenouille</t>
  </si>
  <si>
    <t>44822|chaud|Erve|St Jean - nationale à maison|||</t>
  </si>
  <si>
    <t>44822|chaud|Etang|Vaiges|||</t>
  </si>
  <si>
    <t>44823|chaud|Jouanne|St Cenere - entre le lavoir et la riviere|Souple|slickshad 5 pouces|lemon tiger</t>
  </si>
  <si>
    <t>44823|chaud|Jouanne|St Cenere - entre le lavoir et la riviere|Cuiller|cuiller n°2|or à point rouge</t>
  </si>
  <si>
    <t>44823|chaud|Jouanne|St Cenere - la riviere amont|Cuiller|cuiller n°2|or à point rouge</t>
  </si>
  <si>
    <t>44825|bon|Erve|Saulges - moulin de pre|créature|worm|watermelon</t>
  </si>
  <si>
    <t>44827|froid|Jouanne|Montsurs - les petits ifs aval|||</t>
  </si>
  <si>
    <t>Black Bass</t>
  </si>
  <si>
    <t>Origne - la courbe No Kill</t>
  </si>
  <si>
    <t>Saulges - entre roche Brault et pas japonais No Kill</t>
  </si>
  <si>
    <t>44747|chaud|Etang|Origne - la courbe No Kill|créature|worm|watermelon</t>
  </si>
  <si>
    <t>44752|chaud|Etang|Origne - la courbe No Kill|créature|worm|watermelon</t>
  </si>
  <si>
    <t>44752|chaud|Etang|Origne - la courbe No Kill|Surface|stickbait WXM STK 70|blanc</t>
  </si>
  <si>
    <t>44768|chaud|Etang|Origne - la courbe No Kill|créature|worm|watermelon</t>
  </si>
  <si>
    <t>44802|chaud|Etang|Origne - la courbe No Kill|créature|worm|watermelon</t>
  </si>
  <si>
    <t>44803|chaud|Erve|St Jean - entre autoroute et Davier|Cuiller|cuiller n°1|or à point jaune</t>
  </si>
  <si>
    <t>44803|chaud|Erve|St Jean - entre autoroute et Davier|Cuiller|cuiller n°2|noir à point jaune</t>
  </si>
  <si>
    <t>44804|chaud|Erve|St Jean - terrain 4X4|Cuiller|cuiller n°1|or à point jaune</t>
  </si>
  <si>
    <t>Alexain - Le port amont</t>
  </si>
  <si>
    <t>44805|bon|Mayenne|Alexain - Le port amont|Cuiller|cuiller n°2|or à point rouge</t>
  </si>
  <si>
    <t>44807|bon|Erve|Chammes - entre 4X4 et forges|Cuiller|cuiller n°1|jaune à point noir</t>
  </si>
  <si>
    <t>44808|bon|Erve|Chammes - entre 4X4 et forges|Cuiller|cuiller n°1|</t>
  </si>
  <si>
    <t>44831|bon|Erve|St Pierre - entre moulin de Go et moulin aux moines|Cuiller|cuiller n°2|</t>
  </si>
  <si>
    <t>44831|bon|Jouanne|St Cenere - entre le lavoir et la riviere|Cuiller|cuiller n°2|jaune à point noir</t>
  </si>
  <si>
    <t>44837|gris|Etang|Olivet - No Kill|||</t>
  </si>
  <si>
    <t>44767|chaud|Jouanne|Entrammes - Carriere|Cuiller|cuiller n°2|noir à point jaune</t>
  </si>
  <si>
    <t>44770|chaud|Jouanne|Entrammes - Carriere|Cuiller|cuiller n°2|</t>
  </si>
  <si>
    <t>44858|pluie et vent|Etang|Olivet - No Kill|Souple|gunki pacemaker 100|</t>
  </si>
  <si>
    <t>Shallow runner WXM CRKSR 40 F</t>
  </si>
  <si>
    <t>44858|pluie et vent|Etang|Olivet - No Kill|Poisson Nageur|Shallow runner WXM CRKSR 40 F|blanc</t>
  </si>
  <si>
    <t>44859|gris|Etang|Olivet - No Kill|Poisson Nageur|Shallow runner WXM CRKSR 40 F|blanc</t>
  </si>
  <si>
    <t>Minnow YXM MNWFS 65 U</t>
  </si>
  <si>
    <t>Browm Yamame</t>
  </si>
  <si>
    <t>jerkbait minnow MNWFP 100 F</t>
  </si>
  <si>
    <t>44859|gris|Etang|Olivet - No Kill|Poisson Nageur|Minnow YXM MNWFS 65 U|Browm Yamame</t>
  </si>
  <si>
    <t>44859|gris|Etang|Olivet - No Kill|Souple|Deraball palette|agressiv blue gill</t>
  </si>
  <si>
    <t>44859|gris|Etang|Olivet - No Kill|Poisson Nageur|jerkbait minnow MNWFP 100 F|gris dos ayu</t>
  </si>
  <si>
    <t>44859|gris|Etang|Olivet - No Kill|leurre dur|salmo slider 7cm|real hot perch</t>
  </si>
  <si>
    <t>44878|froid|Etang|Origne - la courbe No Kill|||</t>
  </si>
  <si>
    <t>truitelle 15cm</t>
  </si>
  <si>
    <t>easy shinner 2 pouces</t>
  </si>
  <si>
    <t>slick shad 13 cm</t>
  </si>
  <si>
    <t>gunki pacemaker 125</t>
  </si>
  <si>
    <t>ayu</t>
  </si>
  <si>
    <t>swing impact fat 13cm</t>
  </si>
  <si>
    <t>chatterbaig Gunki boomer 14g trailer slick shad 11 cm hot olive UV</t>
  </si>
  <si>
    <t>Lipless WXM VBN 65 S</t>
  </si>
  <si>
    <t>rasta</t>
  </si>
  <si>
    <t>Deraball coupe palette</t>
  </si>
  <si>
    <t>pulse tail 10 cm</t>
  </si>
  <si>
    <t>pulse tail 10 cm coupe palette</t>
  </si>
  <si>
    <t>44838|bon|Erve|St Jean - la riviere Amont|Cuiller|cuiller n°2|</t>
  </si>
  <si>
    <t>44840|bon|Jouanne|Argentre - aval du plan d'eau|||</t>
  </si>
  <si>
    <t>44840|bon|Erve|St Pierre - entre pont romain et moulin de Go|||</t>
  </si>
  <si>
    <t>deraball</t>
  </si>
  <si>
    <t>44841|bon|Etang|Olivet - No Kill|Souple|deraball|pike</t>
  </si>
  <si>
    <t>44841|bon|Etang|Olivet - No Kill|||</t>
  </si>
  <si>
    <t>44842|bon|Etang|Olivet - No Kill|||</t>
  </si>
  <si>
    <t>44803|bon|Erve|Chammes - entre eglise et route de Blanoudet|||</t>
  </si>
  <si>
    <t>44846|froid|Jouanne|Montsurs - les petits ifs aval|||</t>
  </si>
  <si>
    <t>44848|pluie|Etang|Olivet - No Kill|||</t>
  </si>
  <si>
    <t>44848|pluie|Etang|Olivet - No Kill|Palette|chatterbaig Gunki boomer 14g trailer slick shad 11 cm hot olive UV|fire tiger</t>
  </si>
  <si>
    <t>44848|pluie|Etang|Olivet - No Kill|Souple|deraball|pike</t>
  </si>
  <si>
    <t>44849|bon|Etang|Saint jean sur Erve|||</t>
  </si>
  <si>
    <t>44851|bon|Etang|Olivet - No Kill|||</t>
  </si>
  <si>
    <t>pacemaker 125</t>
  </si>
  <si>
    <t>44851|bon|Etang|Olivet - No Kill|Souple|pacemaker 125|browm sugar</t>
  </si>
  <si>
    <t>rockvibe 3 pouces</t>
  </si>
  <si>
    <t>44851|bon|Etang|Olivet - No Kill|Souple|rockvibe 3 pouces|chartreuse</t>
  </si>
  <si>
    <t>44852|vent|Etang|Olivet - No Kill|Souple|pacemaker 125|browm sugar</t>
  </si>
  <si>
    <t>44852|vent|Etang|Olivet - No Kill|||</t>
  </si>
  <si>
    <t>44852|vent|Etang|Olivet - No Kill|Cuiller|cuiller n°3|rouge à point noir</t>
  </si>
  <si>
    <t>44852|vent|Etang|Olivet - No Kill|Palette|chatterbaig Gunki boomer 14g trailer slick shad 11 cm hot olive UV|fire tiger</t>
  </si>
  <si>
    <t>44852|vent|Etang|Olivet - No Kill|Souple|pulse tail 10 cm|roach</t>
  </si>
  <si>
    <t>44855|vent|Etang|Olivet - No Kill|||</t>
  </si>
  <si>
    <t>44855|vent|Etang|Olivet - No Kill|leurre dur|Lipless WXM VBN 65 S|fire tiger</t>
  </si>
  <si>
    <t>shad 4 pouces</t>
  </si>
  <si>
    <t>orange</t>
  </si>
  <si>
    <t>44855|vent|Etang|Olivet - No Kill|Souple|shad 4 pouces|orange</t>
  </si>
  <si>
    <t>44855|vent|Etang|Olivet - No Kill|Cuiller|cuiller n°3|argent à point noir</t>
  </si>
  <si>
    <t>44855|vent|Etang|Olivet - No Kill|Souple|pulse tail 10 cm coupe palette|roach</t>
  </si>
  <si>
    <t>44855|vent|Etang|Olivet - No Kill|Souple|pacemaker 125|orange</t>
  </si>
  <si>
    <t>44855|vent|Etang|Olivet - No Kill|Souple|pacemaker 125|browm sugar</t>
  </si>
  <si>
    <t>Hover Jig 14g</t>
  </si>
  <si>
    <t>pluie vent froid</t>
  </si>
  <si>
    <t>44886|pluie vent froid|Etang|Olivet - No Kill|Cuiller|cuiller n°3|rouge à point noir</t>
  </si>
  <si>
    <t>44886|pluie vent froid|Etang|Olivet - No Kill|leurre dur|salmo slider 7cm|real hot perch</t>
  </si>
  <si>
    <t>Shallow runner WXM CRKSR 70 F</t>
  </si>
  <si>
    <t>c argent à point noir</t>
  </si>
  <si>
    <t>c argent à point rouge</t>
  </si>
  <si>
    <t>c jaune à point noir</t>
  </si>
  <si>
    <t>c noir à point jaune</t>
  </si>
  <si>
    <t>c or à point bleu</t>
  </si>
  <si>
    <t>c or à point jaune</t>
  </si>
  <si>
    <t>c or à point rouge</t>
  </si>
  <si>
    <t>c rouge à point noir</t>
  </si>
  <si>
    <t>fire tiger - orange tiger</t>
  </si>
  <si>
    <t>fire tiger - real hot perch</t>
  </si>
  <si>
    <t>gris - roach</t>
  </si>
  <si>
    <t>marron - acid craw</t>
  </si>
  <si>
    <t>marron - brown sugar</t>
  </si>
  <si>
    <t>marron - brown yamane</t>
  </si>
  <si>
    <t>marron - gris do ayu</t>
  </si>
  <si>
    <t>marron - gudgeon</t>
  </si>
  <si>
    <t>orange - agressiv blue gill</t>
  </si>
  <si>
    <t>rose - truitelle</t>
  </si>
  <si>
    <t>vert - chartreuse</t>
  </si>
  <si>
    <t>vert - pike</t>
  </si>
  <si>
    <t>vert - signal frog</t>
  </si>
  <si>
    <t>vert - watermelon</t>
  </si>
  <si>
    <t>vert et jaune - grenouille</t>
  </si>
  <si>
    <t>vert et jaune - lemon tiger</t>
  </si>
  <si>
    <t>vert - orange - hot olive UV</t>
  </si>
  <si>
    <t>44889|froid|Jouanne|St Cenere - entre le lavoir et la riviere|||</t>
  </si>
  <si>
    <t>44890|bon|Etang|Olivet - No Kill|Cuiller|cuiller n°3|c argent à point noir</t>
  </si>
  <si>
    <t>44890|bon|Etang|Olivet - No Kill|Cuiller|cuiller n°3|c rouge à point noir</t>
  </si>
  <si>
    <t>44890|bon|Etang|Olivet - No Kill|leurre dur|Lipless WXM VBN 65 S|fire tiger</t>
  </si>
  <si>
    <t>vent et froid</t>
  </si>
  <si>
    <t>44893|vent et froid|Etang|Olivet - No Kill|Palette|spiner|fire tiger</t>
  </si>
  <si>
    <t>44897|vent et froid|Etang|Olivet - No Kill|leurre dur|Lipless WXM VBN 65 S|fire tiger</t>
  </si>
  <si>
    <t>Eric</t>
  </si>
  <si>
    <t>44520|froid|Erve|Saulges - moulin de pre|Cuiller|cuiller n°2|c jaune à point noir</t>
  </si>
  <si>
    <t>jaune - lemon milk</t>
  </si>
  <si>
    <t>gunki peps 9 cm</t>
  </si>
  <si>
    <t>44522|froid|Erve|St Pierre - entre pont romain et moulin de Go|Souple|gunki peps 9 cm|jaune - lemon milk</t>
  </si>
  <si>
    <t>Ewen Mael et Emile</t>
  </si>
  <si>
    <t>Ewen et Emile</t>
  </si>
  <si>
    <t>44910|vent et froid|Erve|Saulges - moulin de pre|leurre dur|Lipless WXM VBN 65 S|fire tiger</t>
  </si>
  <si>
    <t>Entrammes - écluse de port Rhingeard amont</t>
  </si>
  <si>
    <t>44924|froid|Mayenne|Entrammes - écluse de port Rhingeard amont|||</t>
  </si>
  <si>
    <t>44926|froid|Etang|Deux Evailles - la Fenderie|||</t>
  </si>
  <si>
    <t>44928|bon|Etang|Olivet - No Kill|||</t>
  </si>
  <si>
    <t>44929|froid|Etang|Deux Evailles - la Fenderie|||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</si>
</sst>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m/d/yy"/>
  </numFmts>
  <fonts count="5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34373A"/>
      <name val="Arial"/>
      <family val="2"/>
    </font>
    <font>
      <b/>
      <i/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left"/>
    </xf>
    <xf numFmtId="0" fontId="0" fillId="3" borderId="4" xfId="0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3" xfId="0" applyNumberFormat="1" applyFont="1" applyFill="1" applyBorder="1" applyAlignment="1">
      <alignment horizontal="center"/>
    </xf>
    <xf numFmtId="2" fontId="0" fillId="0" borderId="0" xfId="0" applyNumberFormat="1"/>
    <xf numFmtId="2" fontId="1" fillId="0" borderId="0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8" xfId="0" applyFont="1" applyBorder="1"/>
    <xf numFmtId="0" fontId="1" fillId="2" borderId="0" xfId="0" applyFont="1" applyFill="1" applyBorder="1"/>
    <xf numFmtId="0" fontId="3" fillId="0" borderId="0" xfId="0" applyFont="1"/>
    <xf numFmtId="0" fontId="0" fillId="0" borderId="0" xfId="0" applyBorder="1"/>
    <xf numFmtId="14" fontId="0" fillId="0" borderId="0" xfId="0" applyNumberFormat="1" applyBorder="1"/>
    <xf numFmtId="0" fontId="1" fillId="0" borderId="9" xfId="0" applyFon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Font="1" applyBorder="1"/>
    <xf numFmtId="0" fontId="1" fillId="2" borderId="0" xfId="0" applyFont="1" applyFill="1" applyBorder="1" applyAlignment="1">
      <alignment horizontal="center"/>
    </xf>
    <xf numFmtId="165" fontId="0" fillId="0" borderId="0" xfId="0" applyNumberFormat="1"/>
    <xf numFmtId="2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5" fontId="0" fillId="0" borderId="0" xfId="0" applyNumberFormat="1" applyBorder="1"/>
    <xf numFmtId="165" fontId="0" fillId="0" borderId="13" xfId="0" applyNumberFormat="1" applyBorder="1"/>
    <xf numFmtId="0" fontId="0" fillId="0" borderId="13" xfId="0" applyBorder="1"/>
    <xf numFmtId="14" fontId="0" fillId="0" borderId="0" xfId="0" applyNumberFormat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4" fontId="0" fillId="0" borderId="0" xfId="0" applyNumberFormat="1" applyFill="1"/>
    <xf numFmtId="0" fontId="0" fillId="0" borderId="0" xfId="0" applyFill="1" applyBorder="1"/>
    <xf numFmtId="14" fontId="0" fillId="0" borderId="0" xfId="0" applyNumberFormat="1" applyFill="1" applyBorder="1"/>
    <xf numFmtId="165" fontId="0" fillId="0" borderId="0" xfId="0" applyNumberFormat="1" applyFill="1"/>
  </cellXfs>
  <cellStyles count="1">
    <cellStyle name="Normal" xfId="0" builtinId="0"/>
  </cellStyles>
  <dxfs count="1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/>
        <right style="thin">
          <color theme="5"/>
        </right>
        <top style="thin">
          <color theme="5"/>
        </top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m/d/yy"/>
      <alignment horizontal="center" textRotation="0" wrapText="0" indent="0" relativeIndent="255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m/d/yy"/>
    </dxf>
    <dxf>
      <alignment horizontal="center" vertical="center" textRotation="0" wrapText="0" indent="0" relativeIndent="0" justifyLastLine="0" shrinkToFit="0" readingOrder="0"/>
    </dxf>
    <dxf>
      <numFmt numFmtId="165" formatCode="m/d/yy"/>
    </dxf>
    <dxf>
      <alignment horizontal="center" vertical="center" textRotation="0" wrapText="0" indent="0" relativeIndent="0" justifyLastLine="0" shrinkToFit="0" readingOrder="0"/>
    </dxf>
    <dxf>
      <numFmt numFmtId="165" formatCode="m/d/yy"/>
    </dxf>
    <dxf>
      <alignment horizontal="center" vertical="center" textRotation="0" wrapText="0" indent="0" relativeIndent="0" justifyLastLine="0" shrinkToFit="0" readingOrder="0"/>
    </dxf>
    <dxf>
      <numFmt numFmtId="165" formatCode="m/d/yy"/>
    </dxf>
    <dxf>
      <alignment horizontal="center" vertical="center" textRotation="0" wrapText="0" indent="0" relativeIndent="0" justifyLastLine="0" shrinkToFit="0" readingOrder="0"/>
    </dxf>
    <dxf>
      <numFmt numFmtId="165" formatCode="m/d/yy"/>
    </dxf>
    <dxf>
      <numFmt numFmtId="2" formatCode="0.00"/>
      <alignment horizontal="right" vertical="center" textRotation="0" wrapText="0" indent="0" relativeIndent="0" justifyLastLine="0" shrinkToFit="0" readingOrder="0"/>
    </dxf>
    <dxf>
      <numFmt numFmtId="2" formatCode="0.00"/>
    </dxf>
    <dxf>
      <numFmt numFmtId="164" formatCode="h:mm;@"/>
      <alignment horizontal="center" vertical="center" textRotation="0" wrapText="0" indent="0" relativeIndent="0" justifyLastLine="0" shrinkToFit="0" readingOrder="0"/>
    </dxf>
    <dxf>
      <numFmt numFmtId="164" formatCode="h:mm;@"/>
    </dxf>
    <dxf>
      <numFmt numFmtId="164" formatCode="h:mm;@"/>
      <alignment horizontal="center" vertical="center" textRotation="0" wrapText="0" indent="0" relativeIndent="0" justifyLastLine="0" shrinkToFit="0" readingOrder="0"/>
    </dxf>
    <dxf>
      <numFmt numFmtId="164" formatCode="h:mm;@"/>
    </dxf>
    <dxf>
      <alignment horizontal="center" vertical="center" textRotation="0" wrapText="0" indent="0" relativeIndent="0" justifyLastLine="0" shrinkToFit="0" readingOrder="0"/>
    </dxf>
    <dxf>
      <numFmt numFmtId="165" formatCode="m/d/yy"/>
    </dxf>
    <dxf>
      <alignment horizontal="center" vertical="center" textRotation="0" wrapText="0" indent="0" relativeIndent="0" justifyLastLine="0" shrinkToFit="0" readingOrder="0"/>
    </dxf>
    <dxf>
      <numFmt numFmtId="165" formatCode="m/d/yy"/>
    </dxf>
    <dxf>
      <numFmt numFmtId="19" formatCode="dd/mm/yyyy"/>
      <alignment horizontal="center" vertical="center" textRotation="0" wrapText="0" indent="0" relativeIndent="0" justifyLastLine="0" shrinkToFit="0" readingOrder="0"/>
    </dxf>
    <dxf>
      <numFmt numFmtId="165" formatCode="m/d/yy"/>
    </dxf>
    <dxf>
      <alignment horizontal="center" vertical="center" textRotation="0" wrapText="0" indent="0" relativeIndent="0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361950</xdr:colOff>
      <xdr:row>0</xdr:row>
      <xdr:rowOff>285750</xdr:rowOff>
    </xdr:from>
    <xdr:to>
      <xdr:col>9</xdr:col>
      <xdr:colOff>781050</xdr:colOff>
      <xdr:row>1</xdr:row>
      <xdr:rowOff>38100</xdr:rowOff>
    </xdr:to>
    <xdr:sp macro="[0]!Desactiver_Filtre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315450" y="285750"/>
          <a:ext cx="2971800" cy="3905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Désactiver les filtres  de toutes les feuilles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5" name="tb_Peche" displayName="tb_Peche" ref="C9:L34" totalsRowCount="1" headerRowDxfId="111" dataDxfId="110">
  <tableColumns count="10">
    <tableColumn id="1" name="Afficher tout" totalsRowLabel="Total"/>
    <tableColumn id="2" name="Brochet" totalsRowFunction="sum" dataDxfId="109" totalsRowDxfId="108"/>
    <tableColumn id="3" name="Perche" totalsRowFunction="sum" dataDxfId="107" totalsRowDxfId="106"/>
    <tableColumn id="4" name="Sandre" totalsRowFunction="sum" dataDxfId="105" totalsRowDxfId="104"/>
    <tableColumn id="5" name="Truite Fario" totalsRowFunction="sum" dataDxfId="103" totalsRowDxfId="102"/>
    <tableColumn id="9" name="Chevesne" totalsRowFunction="sum" dataDxfId="101" totalsRowDxfId="100"/>
    <tableColumn id="6" name="Truite arc en ciel" totalsRowFunction="sum" dataDxfId="99" totalsRowDxfId="98"/>
    <tableColumn id="7" name="Silure" totalsRowFunction="sum" dataDxfId="97" totalsRowDxfId="96"/>
    <tableColumn id="8" name="Carpe" totalsRowFunction="sum" dataDxfId="95" totalsRowDxfId="94"/>
    <tableColumn id="10" name="Black Bass" dataDxfId="93" totalsRowDxfId="9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7" name="tb_Base" displayName="tb_Base" ref="A2:AN182" totalsRowCount="1" headerRowDxfId="91" totalsRowDxfId="90">
  <autoFilter ref="A2:AN181"/>
  <tableColumns count="40">
    <tableColumn id="15" name="Id" dataDxfId="89" totalsRowDxfId="88"/>
    <tableColumn id="1" name="Date" totalsRowLabel="Totaux" dataDxfId="87" totalsRowDxfId="86"/>
    <tableColumn id="2" name="Riviere" dataDxfId="85" totalsRowDxfId="84"/>
    <tableColumn id="18" name="Secteur" dataDxfId="83" totalsRowDxfId="82"/>
    <tableColumn id="25" name="Heure_debut" dataDxfId="81" totalsRowDxfId="80"/>
    <tableColumn id="21" name="Heure_fin" dataDxfId="79" totalsRowDxfId="78"/>
    <tableColumn id="38" name="Duree" totalsRowFunction="sum" dataDxfId="77" totalsRowDxfId="76">
      <calculatedColumnFormula>IF(AND(tb_Base[[#This Row],[Date]]=B2,tb_Base[[#This Row],[Riviere]]=C2,tb_Base[[#This Row],[Secteur]]=D2,tb_Base[[#This Row],[Heure_debut]]=E2,tb_Base[[#This Row],[Heure_fin]]=F2),"",(tb_Base[[#This Row],[Heure_fin]]-tb_Base[[#This Row],[Heure_debut]])*24)</calculatedColumnFormula>
    </tableColumn>
    <tableColumn id="16" name="Meteo" dataDxfId="75" totalsRowDxfId="74"/>
    <tableColumn id="17" name="Leurre_type" dataDxfId="73" totalsRowDxfId="72"/>
    <tableColumn id="22" name="Leurre_categorie" dataDxfId="71" totalsRowDxfId="70"/>
    <tableColumn id="37" name="Leurre_couleur" dataDxfId="69" totalsRowDxfId="68"/>
    <tableColumn id="23" name="Type_approche" dataDxfId="67" totalsRowDxfId="66"/>
    <tableColumn id="40" name="Accompagnateur" dataDxfId="65" totalsRowDxfId="64"/>
    <tableColumn id="39" name="Total_espece" totalsRowFunction="sum" dataDxfId="63" totalsRowDxfId="62">
      <calculatedColumnFormula>SUM(tb_Base[[#This Row],[0 - 19 cm]:[240 - 249 cm]])</calculatedColumnFormula>
    </tableColumn>
    <tableColumn id="3" name="Espece" dataDxfId="61" totalsRowDxfId="60"/>
    <tableColumn id="20" name="0 - 19 cm" totalsRowFunction="sum" totalsRowDxfId="59"/>
    <tableColumn id="26" name="20 - 29 cm" totalsRowFunction="sum" totalsRowDxfId="58"/>
    <tableColumn id="27" name="30 - 39 cm" totalsRowFunction="sum" totalsRowDxfId="57"/>
    <tableColumn id="28" name="40 - 49 cm" totalsRowFunction="sum" totalsRowDxfId="56"/>
    <tableColumn id="29" name="50 - 59 cm" totalsRowFunction="sum" totalsRowDxfId="55"/>
    <tableColumn id="30" name="60 - 69 cm" totalsRowFunction="sum" totalsRowDxfId="54"/>
    <tableColumn id="31" name="70 - 79 cm" totalsRowFunction="sum" totalsRowDxfId="53"/>
    <tableColumn id="32" name="80 - 89 cm" totalsRowFunction="sum" totalsRowDxfId="52"/>
    <tableColumn id="33" name="90 - 99 cm" totalsRowFunction="sum" totalsRowDxfId="51"/>
    <tableColumn id="34" name="100 - 109 cm" totalsRowFunction="sum" totalsRowDxfId="50"/>
    <tableColumn id="35" name="110 - 119 cm" totalsRowFunction="sum" totalsRowDxfId="49"/>
    <tableColumn id="36" name="120 - 129 cm" totalsRowFunction="sum" totalsRowDxfId="48"/>
    <tableColumn id="4" name="130 - 139 cm" totalsRowFunction="sum" dataDxfId="47" totalsRowDxfId="46"/>
    <tableColumn id="5" name="140 - 149 cm" totalsRowFunction="sum" dataDxfId="45" totalsRowDxfId="44"/>
    <tableColumn id="6" name="150 - 159 cm" totalsRowFunction="sum" dataDxfId="43" totalsRowDxfId="42"/>
    <tableColumn id="7" name="160 - 169 cm" totalsRowFunction="sum" dataDxfId="41" totalsRowDxfId="40"/>
    <tableColumn id="8" name="170 - 179 cm" totalsRowFunction="sum" dataDxfId="39" totalsRowDxfId="38"/>
    <tableColumn id="9" name="180 - 189 cm" totalsRowFunction="sum" dataDxfId="37" totalsRowDxfId="36"/>
    <tableColumn id="10" name="190 - 199 cm" totalsRowFunction="sum" dataDxfId="35" totalsRowDxfId="34"/>
    <tableColumn id="11" name="200 - 209 cm" totalsRowFunction="sum" dataDxfId="33" totalsRowDxfId="32"/>
    <tableColumn id="12" name="210 - 219 cm" totalsRowFunction="sum" dataDxfId="31" totalsRowDxfId="30"/>
    <tableColumn id="13" name="220 - 229 cm" totalsRowFunction="sum" dataDxfId="29" totalsRowDxfId="28"/>
    <tableColumn id="14" name="230 - 239 cm" totalsRowFunction="sum" dataDxfId="27" totalsRowDxfId="26"/>
    <tableColumn id="19" name="240 - 249 cm" totalsRowFunction="sum" dataDxfId="25" totalsRowDxfId="24"/>
    <tableColumn id="24" name="Remarque" dataDxfId="23" totalsRowDxfId="22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1" name="tb_listes" displayName="tb_listes" ref="A1:L23" totalsRowShown="0" headerRowDxfId="21" headerRowBorderDxfId="20" tableBorderDxfId="19">
  <autoFilter ref="A1:L23"/>
  <tableColumns count="12">
    <tableColumn id="3" name="Riviere" dataDxfId="18"/>
    <tableColumn id="1" name="Seiche" dataDxfId="17"/>
    <tableColumn id="4" name="Erve" dataDxfId="16"/>
    <tableColumn id="5" name="Jouanne" dataDxfId="15"/>
    <tableColumn id="6" name="Mayenne" dataDxfId="14"/>
    <tableColumn id="7" name="Etang" dataDxfId="13"/>
    <tableColumn id="8" name="Vegre" dataDxfId="12"/>
    <tableColumn id="9" name="Vaige" dataDxfId="11"/>
    <tableColumn id="10" name="Artax" dataDxfId="10"/>
    <tableColumn id="11" name="Arriege" dataDxfId="9"/>
    <tableColumn id="12" name="Ouette" dataDxfId="8"/>
    <tableColumn id="13" name="Taude" dataDxfId="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b_leurres" displayName="tb_leurres" ref="A3:J46" totalsRowShown="0">
  <autoFilter ref="A3:J46"/>
  <tableColumns count="10">
    <tableColumn id="1" name="Leurre_type"/>
    <tableColumn id="11" name="leurre dur"/>
    <tableColumn id="9" name="créature"/>
    <tableColumn id="2" name="Cuiller"/>
    <tableColumn id="3" name="Souple"/>
    <tableColumn id="4" name="Poisson Nageur"/>
    <tableColumn id="5" name="Surface"/>
    <tableColumn id="6" name="Palette"/>
    <tableColumn id="7" name="Appat Naturel"/>
    <tableColumn id="10" name="Leurre_couleur" dataDxfId="6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2" name="tb_meteo" displayName="tb_meteo" ref="A1:C11" totalsRowShown="0" headerRowDxfId="5" dataDxfId="4" tableBorderDxfId="3">
  <autoFilter ref="A1:C11"/>
  <tableColumns count="3">
    <tableColumn id="1" name="Meteo" dataDxfId="2"/>
    <tableColumn id="2" name="Type_approche" dataDxfId="1"/>
    <tableColumn id="3" name="Accompagnateu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1:P35"/>
  <sheetViews>
    <sheetView showGridLines="0" tabSelected="1" workbookViewId="0">
      <selection activeCell="H17" sqref="H17"/>
    </sheetView>
  </sheetViews>
  <sheetFormatPr baseColWidth="10" defaultRowHeight="15.75"/>
  <cols>
    <col min="2" max="2" width="12" style="2" customWidth="1"/>
    <col min="3" max="5" width="14.625" style="2" customWidth="1"/>
    <col min="6" max="6" width="14.625" customWidth="1"/>
    <col min="7" max="7" width="36" customWidth="1"/>
    <col min="8" max="8" width="14.625" customWidth="1"/>
    <col min="9" max="9" width="18.875" customWidth="1"/>
    <col min="10" max="10" width="15.125" customWidth="1"/>
    <col min="11" max="11" width="12.375" customWidth="1"/>
    <col min="12" max="12" width="14.375" bestFit="1" customWidth="1"/>
    <col min="13" max="13" width="9.125" bestFit="1" customWidth="1"/>
  </cols>
  <sheetData>
    <row r="1" spans="2:16" ht="50.25" customHeight="1">
      <c r="J1" s="22"/>
    </row>
    <row r="2" spans="2:16" ht="24.75" customHeight="1">
      <c r="B2" s="13" t="s">
        <v>68</v>
      </c>
      <c r="C2" s="12"/>
      <c r="D2" s="12"/>
      <c r="E2" s="12"/>
      <c r="F2" s="12"/>
      <c r="G2" s="12"/>
      <c r="H2" s="12"/>
      <c r="I2" s="12"/>
    </row>
    <row r="3" spans="2:16" s="2" customFormat="1">
      <c r="B3" s="15" t="s">
        <v>0</v>
      </c>
      <c r="C3" s="15" t="s">
        <v>71</v>
      </c>
      <c r="D3" s="15" t="s">
        <v>72</v>
      </c>
      <c r="E3" s="15" t="s">
        <v>37</v>
      </c>
      <c r="F3" s="15" t="s">
        <v>36</v>
      </c>
      <c r="G3" s="15" t="s">
        <v>38</v>
      </c>
      <c r="H3" s="15" t="s">
        <v>57</v>
      </c>
      <c r="I3" s="15" t="s">
        <v>58</v>
      </c>
      <c r="J3" s="15" t="s">
        <v>104</v>
      </c>
      <c r="K3" s="15" t="s">
        <v>233</v>
      </c>
      <c r="L3" s="15" t="s">
        <v>235</v>
      </c>
      <c r="M3" s="15" t="s">
        <v>39</v>
      </c>
    </row>
    <row r="4" spans="2:16">
      <c r="B4" s="16">
        <v>44930</v>
      </c>
      <c r="C4" s="17">
        <v>0.64583333333333337</v>
      </c>
      <c r="D4" s="17">
        <v>0.70833333333333337</v>
      </c>
      <c r="E4" s="18" t="s">
        <v>2</v>
      </c>
      <c r="F4" s="18" t="s">
        <v>99</v>
      </c>
      <c r="G4" s="19" t="s">
        <v>222</v>
      </c>
      <c r="H4" s="18"/>
      <c r="I4" s="18"/>
      <c r="J4" s="18"/>
      <c r="K4" s="18" t="s">
        <v>236</v>
      </c>
      <c r="L4" s="18" t="s">
        <v>399</v>
      </c>
      <c r="M4" s="20"/>
    </row>
    <row r="5" spans="2:16">
      <c r="B5" s="23"/>
      <c r="E5" s="8"/>
      <c r="F5" s="2"/>
      <c r="G5" s="2"/>
      <c r="H5" s="2"/>
      <c r="I5" s="2"/>
      <c r="J5" s="2"/>
    </row>
    <row r="6" spans="2:16" s="2" customFormat="1">
      <c r="J6"/>
      <c r="P6"/>
    </row>
    <row r="7" spans="2:16">
      <c r="D7" s="14"/>
      <c r="I7" s="2"/>
    </row>
    <row r="8" spans="2:16" ht="18.75">
      <c r="C8" s="13" t="s">
        <v>69</v>
      </c>
      <c r="D8" s="12"/>
      <c r="E8" s="12"/>
      <c r="F8" s="12"/>
      <c r="G8" s="12"/>
      <c r="H8" s="12"/>
      <c r="I8" s="12"/>
    </row>
    <row r="9" spans="2:16">
      <c r="C9" s="6" t="s">
        <v>59</v>
      </c>
      <c r="D9" s="6" t="s">
        <v>60</v>
      </c>
      <c r="E9" s="6" t="s">
        <v>61</v>
      </c>
      <c r="F9" s="6" t="s">
        <v>62</v>
      </c>
      <c r="G9" s="6" t="s">
        <v>114</v>
      </c>
      <c r="H9" s="6" t="s">
        <v>63</v>
      </c>
      <c r="I9" s="6" t="s">
        <v>113</v>
      </c>
      <c r="J9" s="6" t="s">
        <v>115</v>
      </c>
      <c r="K9" s="6" t="s">
        <v>116</v>
      </c>
      <c r="L9" s="6" t="s">
        <v>281</v>
      </c>
      <c r="N9" s="31"/>
    </row>
    <row r="10" spans="2:16">
      <c r="C10" t="s">
        <v>75</v>
      </c>
      <c r="F10" s="2"/>
      <c r="G10" s="2"/>
      <c r="H10" s="2"/>
      <c r="I10" s="2"/>
      <c r="J10" s="2"/>
      <c r="K10" s="2"/>
      <c r="L10" s="2"/>
    </row>
    <row r="11" spans="2:16">
      <c r="C11" t="s">
        <v>76</v>
      </c>
      <c r="F11" s="2"/>
      <c r="G11" s="2"/>
      <c r="H11" s="2"/>
      <c r="I11" s="2"/>
      <c r="J11" s="2"/>
      <c r="K11" s="2"/>
      <c r="L11" s="2"/>
    </row>
    <row r="12" spans="2:16">
      <c r="C12" t="s">
        <v>77</v>
      </c>
      <c r="F12" s="2"/>
      <c r="G12" s="2"/>
      <c r="H12" s="2"/>
      <c r="I12" s="2"/>
      <c r="J12" s="2"/>
      <c r="K12" s="2"/>
      <c r="L12" s="2"/>
    </row>
    <row r="13" spans="2:16">
      <c r="C13" t="s">
        <v>78</v>
      </c>
      <c r="F13" s="2"/>
      <c r="G13" s="2"/>
      <c r="H13" s="2"/>
      <c r="I13" s="2"/>
      <c r="J13" s="2"/>
      <c r="K13" s="2"/>
      <c r="L13" s="2"/>
    </row>
    <row r="14" spans="2:16">
      <c r="C14" t="s">
        <v>79</v>
      </c>
      <c r="F14" s="2"/>
      <c r="G14" s="2"/>
      <c r="H14" s="2"/>
      <c r="I14" s="2"/>
      <c r="J14" s="2"/>
      <c r="K14" s="2"/>
      <c r="L14" s="2"/>
    </row>
    <row r="15" spans="2:16">
      <c r="C15" t="s">
        <v>80</v>
      </c>
      <c r="F15" s="2"/>
      <c r="G15" s="2"/>
      <c r="H15" s="2"/>
      <c r="I15" s="2"/>
      <c r="J15" s="2"/>
      <c r="K15" s="2"/>
      <c r="L15" s="2"/>
    </row>
    <row r="16" spans="2:16">
      <c r="C16" t="s">
        <v>81</v>
      </c>
      <c r="F16" s="2"/>
      <c r="G16" s="2"/>
      <c r="H16" s="2"/>
      <c r="I16" s="2"/>
      <c r="J16" s="2"/>
      <c r="K16" s="2"/>
      <c r="L16" s="2"/>
    </row>
    <row r="17" spans="3:12">
      <c r="C17" t="s">
        <v>82</v>
      </c>
      <c r="F17" s="2"/>
      <c r="G17" s="2"/>
      <c r="H17" s="2"/>
      <c r="I17" s="2"/>
      <c r="J17" s="2"/>
      <c r="K17" s="2"/>
      <c r="L17" s="2"/>
    </row>
    <row r="18" spans="3:12">
      <c r="C18" t="s">
        <v>83</v>
      </c>
      <c r="F18" s="2"/>
      <c r="G18" s="2"/>
      <c r="H18" s="2"/>
      <c r="I18" s="2"/>
      <c r="J18" s="2"/>
      <c r="K18" s="2"/>
      <c r="L18" s="2"/>
    </row>
    <row r="19" spans="3:12">
      <c r="C19" t="s">
        <v>84</v>
      </c>
      <c r="F19" s="2"/>
      <c r="G19" s="2"/>
      <c r="H19" s="2"/>
      <c r="I19" s="2"/>
      <c r="J19" s="2"/>
      <c r="K19" s="2"/>
      <c r="L19" s="2"/>
    </row>
    <row r="20" spans="3:12">
      <c r="C20" t="s">
        <v>85</v>
      </c>
      <c r="F20" s="2"/>
      <c r="G20" s="2"/>
      <c r="H20" s="2"/>
      <c r="I20" s="2"/>
      <c r="J20" s="2"/>
      <c r="K20" s="2"/>
      <c r="L20" s="2"/>
    </row>
    <row r="21" spans="3:12">
      <c r="C21" t="s">
        <v>86</v>
      </c>
      <c r="F21" s="2"/>
      <c r="G21" s="2"/>
      <c r="H21" s="2"/>
      <c r="I21" s="2"/>
      <c r="J21" s="2"/>
      <c r="K21" s="2"/>
      <c r="L21" s="2"/>
    </row>
    <row r="22" spans="3:12">
      <c r="C22" t="s">
        <v>87</v>
      </c>
      <c r="F22" s="2"/>
      <c r="G22" s="2"/>
      <c r="H22" s="2"/>
      <c r="I22" s="2"/>
      <c r="J22" s="2"/>
      <c r="K22" s="2"/>
      <c r="L22" s="2"/>
    </row>
    <row r="23" spans="3:12">
      <c r="C23" t="s">
        <v>88</v>
      </c>
      <c r="F23" s="2"/>
      <c r="G23" s="2"/>
      <c r="H23" s="2"/>
      <c r="I23" s="2"/>
      <c r="J23" s="2"/>
      <c r="K23" s="2"/>
      <c r="L23" s="2"/>
    </row>
    <row r="24" spans="3:12">
      <c r="C24" t="s">
        <v>89</v>
      </c>
      <c r="F24" s="2"/>
      <c r="G24" s="2"/>
      <c r="H24" s="2"/>
      <c r="I24" s="2"/>
      <c r="J24" s="2"/>
      <c r="K24" s="2"/>
      <c r="L24" s="2"/>
    </row>
    <row r="25" spans="3:12">
      <c r="C25" t="s">
        <v>90</v>
      </c>
      <c r="F25" s="2"/>
      <c r="G25" s="2"/>
      <c r="H25" s="2"/>
      <c r="I25" s="2"/>
      <c r="J25" s="2"/>
      <c r="K25" s="2"/>
      <c r="L25" s="2"/>
    </row>
    <row r="26" spans="3:12">
      <c r="C26" t="s">
        <v>91</v>
      </c>
      <c r="F26" s="2"/>
      <c r="G26" s="2"/>
      <c r="H26" s="2"/>
      <c r="I26" s="2"/>
      <c r="J26" s="2"/>
      <c r="K26" s="2"/>
      <c r="L26" s="2"/>
    </row>
    <row r="27" spans="3:12">
      <c r="C27" t="s">
        <v>92</v>
      </c>
      <c r="F27" s="2"/>
      <c r="G27" s="2"/>
      <c r="H27" s="2"/>
      <c r="I27" s="2"/>
      <c r="J27" s="2"/>
      <c r="K27" s="2"/>
      <c r="L27" s="2"/>
    </row>
    <row r="28" spans="3:12">
      <c r="C28" t="s">
        <v>93</v>
      </c>
      <c r="F28" s="2"/>
      <c r="G28" s="2"/>
      <c r="H28" s="2"/>
      <c r="I28" s="2"/>
      <c r="J28" s="2"/>
      <c r="K28" s="2"/>
      <c r="L28" s="2"/>
    </row>
    <row r="29" spans="3:12">
      <c r="C29" t="s">
        <v>94</v>
      </c>
      <c r="F29" s="2"/>
      <c r="G29" s="2"/>
      <c r="H29" s="2"/>
      <c r="I29" s="2"/>
      <c r="J29" s="2"/>
      <c r="K29" s="2"/>
      <c r="L29" s="2"/>
    </row>
    <row r="30" spans="3:12">
      <c r="C30" t="s">
        <v>95</v>
      </c>
      <c r="F30" s="2"/>
      <c r="G30" s="2"/>
      <c r="H30" s="2"/>
      <c r="I30" s="2"/>
      <c r="J30" s="2"/>
      <c r="K30" s="2"/>
      <c r="L30" s="2"/>
    </row>
    <row r="31" spans="3:12">
      <c r="C31" t="s">
        <v>96</v>
      </c>
      <c r="F31" s="2"/>
      <c r="G31" s="2"/>
      <c r="H31" s="2"/>
      <c r="I31" s="2"/>
      <c r="J31" s="2"/>
      <c r="K31" s="2"/>
      <c r="L31" s="2"/>
    </row>
    <row r="32" spans="3:12">
      <c r="C32" t="s">
        <v>97</v>
      </c>
      <c r="F32" s="2"/>
      <c r="G32" s="2"/>
      <c r="H32" s="2"/>
      <c r="I32" s="2"/>
      <c r="J32" s="2"/>
      <c r="K32" s="2"/>
      <c r="L32" s="2"/>
    </row>
    <row r="33" spans="3:12">
      <c r="C33" t="s">
        <v>98</v>
      </c>
      <c r="F33" s="2"/>
      <c r="G33" s="2"/>
      <c r="H33" s="2"/>
      <c r="I33" s="2"/>
      <c r="J33" s="2"/>
      <c r="K33" s="2"/>
      <c r="L33" s="2"/>
    </row>
    <row r="34" spans="3:12">
      <c r="C34" t="s">
        <v>64</v>
      </c>
      <c r="D34" s="2">
        <f>SUBTOTAL(109,[Brochet])</f>
        <v>0</v>
      </c>
      <c r="E34" s="2">
        <f>SUBTOTAL(109,[Perche])</f>
        <v>0</v>
      </c>
      <c r="F34" s="2">
        <f>SUBTOTAL(109,[Sandre])</f>
        <v>0</v>
      </c>
      <c r="G34" s="2">
        <f>SUBTOTAL(109,[Truite Fario])</f>
        <v>0</v>
      </c>
      <c r="H34" s="2">
        <f>SUBTOTAL(109,[Chevesne])</f>
        <v>0</v>
      </c>
      <c r="I34" s="2">
        <f>SUBTOTAL(109,[Truite arc en ciel])</f>
        <v>0</v>
      </c>
      <c r="J34" s="2">
        <f>SUBTOTAL(109,[Silure])</f>
        <v>0</v>
      </c>
      <c r="K34" s="2">
        <f>SUBTOTAL(109,[Carpe])</f>
        <v>0</v>
      </c>
      <c r="L34" s="2"/>
    </row>
    <row r="35" spans="3:12">
      <c r="C35"/>
      <c r="D35"/>
      <c r="E35"/>
    </row>
  </sheetData>
  <dataConsolidate/>
  <dataValidations count="1">
    <dataValidation type="list" allowBlank="1" showInputMessage="1" showErrorMessage="1" sqref="E4">
      <formula1>INDIRECT("tb_meteo[Meteo]")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tableParts count="1">
    <tablePart r:id="rId4"/>
  </tableParts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Leurres!$A$4:$A$11</xm:f>
          </x14:formula1>
          <xm:sqref>H4</xm:sqref>
        </x14:dataValidation>
        <x14:dataValidation type="list" allowBlank="1" showInputMessage="1" showErrorMessage="1" xr:uid="{00000000-0002-0000-0000-000002000000}">
          <x14:formula1>
            <xm:f>Listes!$A$2:$A$12</xm:f>
          </x14:formula1>
          <xm:sqref>F4</xm:sqref>
        </x14:dataValidation>
        <x14:dataValidation type="list" allowBlank="1" showInputMessage="1" showErrorMessage="1" xr:uid="{00000000-0002-0000-0000-000006000000}">
          <x14:formula1>
            <xm:f>Meteo!$B$2:$B$6</xm:f>
          </x14:formula1>
          <xm:sqref>K4</xm:sqref>
        </x14:dataValidation>
        <x14:dataValidation type="list" allowBlank="1" showInputMessage="1" showErrorMessage="1" xr:uid="{B072DD9D-0FB3-4947-BE6B-E3A0B160D859}">
          <x14:formula1>
            <xm:f>Leurres!$J$4:$J$46</xm:f>
          </x14:formula1>
          <xm:sqref>J4</xm:sqref>
        </x14:dataValidation>
        <x14:dataValidation type="list" allowBlank="1" showInputMessage="1" showErrorMessage="1" xr:uid="{746F43F8-4112-A14C-BC4A-732A5DE9F71B}">
          <x14:formula1>
            <xm:f>Meteo!$C$2:$C$10</xm:f>
          </x14:formula1>
          <xm:sqref>L4</xm:sqref>
        </x14:dataValidation>
        <x14:dataValidation type="list" allowBlank="1" showInputMessage="1" showErrorMessage="1" xr:uid="{F76B3E27-55B1-2342-B6B1-AD2CD73B7F19}">
          <x14:formula1>
            <xm:f>Listes!$F$2:$F$11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AN182"/>
  <sheetViews>
    <sheetView showGridLines="0" workbookViewId="0">
      <pane ySplit="2" topLeftCell="A3" activePane="bottomLeft" state="frozen"/>
      <selection activeCell="C1" sqref="C1"/>
      <selection pane="bottomLeft" activeCell="A2" sqref="A2"/>
    </sheetView>
  </sheetViews>
  <sheetFormatPr baseColWidth="10" defaultColWidth="11" defaultRowHeight="15.75"/>
  <cols>
    <col min="1" max="1" width="73" hidden="1" customWidth="1"/>
    <col min="2" max="2" width="11.625" style="7" customWidth="1"/>
    <col min="3" max="3" width="9" customWidth="1"/>
    <col min="4" max="4" width="43.375" customWidth="1"/>
    <col min="5" max="5" width="16.125" style="24" customWidth="1"/>
    <col min="6" max="6" width="13.125" style="24" customWidth="1"/>
    <col min="7" max="7" width="10" style="26" customWidth="1"/>
    <col min="8" max="8" width="10.5" customWidth="1"/>
    <col min="9" max="9" width="15.125" customWidth="1"/>
    <col min="10" max="10" width="24" customWidth="1"/>
    <col min="11" max="11" width="25.125" customWidth="1"/>
    <col min="12" max="12" width="15.625" style="2" customWidth="1"/>
    <col min="13" max="13" width="19.5" style="2" bestFit="1" customWidth="1"/>
    <col min="14" max="14" width="11" style="2" bestFit="1" customWidth="1"/>
    <col min="15" max="22" width="16.5" style="2" bestFit="1" customWidth="1"/>
    <col min="23" max="23" width="14.875" style="2" bestFit="1" customWidth="1"/>
    <col min="24" max="24" width="16" style="2" bestFit="1" customWidth="1"/>
    <col min="25" max="26" width="17.375" bestFit="1" customWidth="1"/>
  </cols>
  <sheetData>
    <row r="1" spans="1:40">
      <c r="N1"/>
      <c r="O1"/>
      <c r="P1"/>
      <c r="Q1"/>
      <c r="R1"/>
      <c r="S1"/>
      <c r="T1"/>
      <c r="U1"/>
      <c r="V1"/>
      <c r="W1"/>
      <c r="X1"/>
    </row>
    <row r="2" spans="1:40">
      <c r="A2" s="6" t="s">
        <v>66</v>
      </c>
      <c r="B2" s="21" t="s">
        <v>0</v>
      </c>
      <c r="C2" s="21" t="s">
        <v>41</v>
      </c>
      <c r="D2" s="34" t="s">
        <v>38</v>
      </c>
      <c r="E2" s="25" t="s">
        <v>73</v>
      </c>
      <c r="F2" s="25" t="s">
        <v>74</v>
      </c>
      <c r="G2" s="27" t="s">
        <v>130</v>
      </c>
      <c r="H2" s="21" t="s">
        <v>42</v>
      </c>
      <c r="I2" s="9" t="s">
        <v>55</v>
      </c>
      <c r="J2" s="9" t="s">
        <v>56</v>
      </c>
      <c r="K2" s="10" t="s">
        <v>100</v>
      </c>
      <c r="L2" s="10" t="s">
        <v>234</v>
      </c>
      <c r="M2" s="10" t="s">
        <v>235</v>
      </c>
      <c r="N2" s="10" t="s">
        <v>67</v>
      </c>
      <c r="O2" s="6" t="s">
        <v>65</v>
      </c>
      <c r="P2" t="s">
        <v>75</v>
      </c>
      <c r="Q2" t="s">
        <v>76</v>
      </c>
      <c r="R2" t="s">
        <v>77</v>
      </c>
      <c r="S2" t="s">
        <v>78</v>
      </c>
      <c r="T2" t="s">
        <v>79</v>
      </c>
      <c r="U2" t="s">
        <v>80</v>
      </c>
      <c r="V2" t="s">
        <v>81</v>
      </c>
      <c r="W2" t="s">
        <v>82</v>
      </c>
      <c r="X2" t="s">
        <v>83</v>
      </c>
      <c r="Y2" t="s">
        <v>84</v>
      </c>
      <c r="Z2" t="s">
        <v>85</v>
      </c>
      <c r="AA2" t="s">
        <v>86</v>
      </c>
      <c r="AB2" t="s">
        <v>87</v>
      </c>
      <c r="AC2" t="s">
        <v>88</v>
      </c>
      <c r="AD2" t="s">
        <v>89</v>
      </c>
      <c r="AE2" t="s">
        <v>90</v>
      </c>
      <c r="AF2" t="s">
        <v>91</v>
      </c>
      <c r="AG2" t="s">
        <v>92</v>
      </c>
      <c r="AH2" t="s">
        <v>93</v>
      </c>
      <c r="AI2" t="s">
        <v>94</v>
      </c>
      <c r="AJ2" t="s">
        <v>95</v>
      </c>
      <c r="AK2" t="s">
        <v>96</v>
      </c>
      <c r="AL2" t="s">
        <v>97</v>
      </c>
      <c r="AM2" t="s">
        <v>98</v>
      </c>
      <c r="AN2" s="11" t="s">
        <v>39</v>
      </c>
    </row>
    <row r="3" spans="1:40" ht="15.95" customHeight="1">
      <c r="A3" s="14" t="s">
        <v>131</v>
      </c>
      <c r="B3" s="7">
        <v>43053</v>
      </c>
      <c r="C3" s="7" t="s">
        <v>99</v>
      </c>
      <c r="D3" s="32" t="s">
        <v>223</v>
      </c>
      <c r="E3" s="24">
        <v>0.41666666666666669</v>
      </c>
      <c r="F3" s="24">
        <v>0.5</v>
      </c>
      <c r="G3" s="26">
        <f>IF(AND(tb_Base[[#This Row],[Date]]=B2,tb_Base[[#This Row],[Riviere]]=C2,tb_Base[[#This Row],[Secteur]]=D2,tb_Base[[#This Row],[Heure_debut]]=E2,tb_Base[[#This Row],[Heure_fin]]=F2),"",(tb_Base[[#This Row],[Heure_fin]]-tb_Base[[#This Row],[Heure_debut]])*24)</f>
        <v>1.9999999999999996</v>
      </c>
      <c r="H3" s="7" t="s">
        <v>2</v>
      </c>
      <c r="I3" s="7"/>
      <c r="J3" s="7"/>
      <c r="K3" s="7"/>
      <c r="L3" s="2" t="s">
        <v>236</v>
      </c>
      <c r="M3" s="2" t="s">
        <v>394</v>
      </c>
      <c r="N3" s="28">
        <f>SUM(tb_Base[[#This Row],[0 - 19 cm]:[240 - 249 cm]])</f>
        <v>1</v>
      </c>
      <c r="O3" s="2" t="s">
        <v>60</v>
      </c>
      <c r="P3"/>
      <c r="Q3"/>
      <c r="R3"/>
      <c r="S3"/>
      <c r="T3">
        <v>1</v>
      </c>
      <c r="U3"/>
      <c r="V3"/>
      <c r="W3"/>
      <c r="X3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14"/>
    </row>
    <row r="4" spans="1:40" ht="15.95" customHeight="1">
      <c r="A4" s="14" t="s">
        <v>132</v>
      </c>
      <c r="B4" s="7">
        <v>43187</v>
      </c>
      <c r="C4" s="7" t="s">
        <v>99</v>
      </c>
      <c r="D4" s="32" t="s">
        <v>224</v>
      </c>
      <c r="E4" s="24">
        <v>0.66666666666666663</v>
      </c>
      <c r="F4" s="24">
        <v>0.75</v>
      </c>
      <c r="G4" s="26">
        <f>IF(AND(tb_Base[[#This Row],[Date]]=B3,tb_Base[[#This Row],[Riviere]]=C3,tb_Base[[#This Row],[Secteur]]=D3,tb_Base[[#This Row],[Heure_debut]]=E3,tb_Base[[#This Row],[Heure_fin]]=F3),"",(tb_Base[[#This Row],[Heure_fin]]-tb_Base[[#This Row],[Heure_debut]])*24)</f>
        <v>2.0000000000000009</v>
      </c>
      <c r="H4" s="7" t="s">
        <v>2</v>
      </c>
      <c r="I4" s="7" t="s">
        <v>50</v>
      </c>
      <c r="J4" s="7" t="s">
        <v>119</v>
      </c>
      <c r="K4" s="7" t="s">
        <v>377</v>
      </c>
      <c r="L4" s="2" t="s">
        <v>236</v>
      </c>
      <c r="M4" s="2" t="s">
        <v>244</v>
      </c>
      <c r="N4" s="28">
        <f>SUM(tb_Base[[#This Row],[0 - 19 cm]:[240 - 249 cm]])</f>
        <v>1</v>
      </c>
      <c r="O4" s="2" t="s">
        <v>60</v>
      </c>
      <c r="V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4"/>
    </row>
    <row r="5" spans="1:40" ht="15.95" customHeight="1">
      <c r="A5" s="14" t="s">
        <v>133</v>
      </c>
      <c r="B5" s="7">
        <v>43774</v>
      </c>
      <c r="C5" s="7" t="s">
        <v>99</v>
      </c>
      <c r="D5" s="32" t="s">
        <v>222</v>
      </c>
      <c r="E5" s="24">
        <v>0.625</v>
      </c>
      <c r="F5" s="24">
        <v>0.70833333333333337</v>
      </c>
      <c r="G5" s="26">
        <f>IF(AND(tb_Base[[#This Row],[Date]]=B4,tb_Base[[#This Row],[Riviere]]=C4,tb_Base[[#This Row],[Secteur]]=D4,tb_Base[[#This Row],[Heure_debut]]=E4,tb_Base[[#This Row],[Heure_fin]]=F4),"",(tb_Base[[#This Row],[Heure_fin]]-tb_Base[[#This Row],[Heure_debut]])*24)</f>
        <v>2.0000000000000009</v>
      </c>
      <c r="H5" s="7" t="s">
        <v>3</v>
      </c>
      <c r="I5" s="7"/>
      <c r="J5" s="7"/>
      <c r="K5" s="7"/>
      <c r="L5" s="2" t="s">
        <v>236</v>
      </c>
      <c r="N5" s="28">
        <f>SUM(tb_Base[[#This Row],[0 - 19 cm]:[240 - 249 cm]])</f>
        <v>1</v>
      </c>
      <c r="O5" s="2" t="s">
        <v>60</v>
      </c>
      <c r="S5" s="2">
        <v>1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4"/>
    </row>
    <row r="6" spans="1:40" ht="15.95" customHeight="1">
      <c r="A6" s="14" t="s">
        <v>134</v>
      </c>
      <c r="B6" s="7">
        <v>43775</v>
      </c>
      <c r="C6" s="7" t="s">
        <v>99</v>
      </c>
      <c r="D6" s="32" t="s">
        <v>6</v>
      </c>
      <c r="E6" s="24">
        <v>0.58333333333333337</v>
      </c>
      <c r="F6" s="24">
        <v>0.66666666666666663</v>
      </c>
      <c r="G6" s="26">
        <f>IF(AND(tb_Base[[#This Row],[Date]]=B5,tb_Base[[#This Row],[Riviere]]=C5,tb_Base[[#This Row],[Secteur]]=D5,tb_Base[[#This Row],[Heure_debut]]=E5,tb_Base[[#This Row],[Heure_fin]]=F5),"",(tb_Base[[#This Row],[Heure_fin]]-tb_Base[[#This Row],[Heure_debut]])*24)</f>
        <v>1.9999999999999982</v>
      </c>
      <c r="H6" s="7" t="s">
        <v>2</v>
      </c>
      <c r="I6" s="7"/>
      <c r="J6" s="7"/>
      <c r="K6" s="7"/>
      <c r="L6" s="2" t="s">
        <v>236</v>
      </c>
      <c r="N6" s="28">
        <f>SUM(tb_Base[[#This Row],[0 - 19 cm]:[240 - 249 cm]])</f>
        <v>1</v>
      </c>
      <c r="O6" s="2" t="s">
        <v>62</v>
      </c>
      <c r="P6" s="2">
        <v>1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4"/>
    </row>
    <row r="7" spans="1:40" ht="15.95" customHeight="1">
      <c r="A7" s="14" t="s">
        <v>135</v>
      </c>
      <c r="B7" s="7">
        <v>44099</v>
      </c>
      <c r="C7" s="7" t="s">
        <v>13</v>
      </c>
      <c r="D7" s="32" t="s">
        <v>218</v>
      </c>
      <c r="E7" s="24">
        <v>0.58333333333333337</v>
      </c>
      <c r="F7" s="24">
        <v>0.70833333333333337</v>
      </c>
      <c r="G7" s="26">
        <f>IF(AND(tb_Base[[#This Row],[Date]]=B6,tb_Base[[#This Row],[Riviere]]=C6,tb_Base[[#This Row],[Secteur]]=D6,tb_Base[[#This Row],[Heure_debut]]=E6,tb_Base[[#This Row],[Heure_fin]]=F6),"",(tb_Base[[#This Row],[Heure_fin]]-tb_Base[[#This Row],[Heure_debut]])*24)</f>
        <v>3</v>
      </c>
      <c r="H7" s="7" t="s">
        <v>3</v>
      </c>
      <c r="I7" s="7" t="s">
        <v>50</v>
      </c>
      <c r="J7" s="7" t="s">
        <v>120</v>
      </c>
      <c r="K7" s="7" t="s">
        <v>107</v>
      </c>
      <c r="L7" s="23" t="s">
        <v>238</v>
      </c>
      <c r="N7" s="28">
        <f>SUM(tb_Base[[#This Row],[0 - 19 cm]:[240 - 249 cm]])</f>
        <v>2</v>
      </c>
      <c r="O7" s="2" t="s">
        <v>60</v>
      </c>
      <c r="S7" s="2">
        <v>1</v>
      </c>
      <c r="T7" s="2">
        <v>1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14"/>
    </row>
    <row r="8" spans="1:40" ht="15.95" customHeight="1">
      <c r="A8" s="14" t="s">
        <v>136</v>
      </c>
      <c r="B8" s="7">
        <v>44137</v>
      </c>
      <c r="C8" s="7" t="s">
        <v>12</v>
      </c>
      <c r="D8" s="7" t="s">
        <v>193</v>
      </c>
      <c r="E8" s="24">
        <v>0.58333333333333337</v>
      </c>
      <c r="F8" s="24">
        <v>0.625</v>
      </c>
      <c r="G8" s="26">
        <f>IF(AND(tb_Base[[#This Row],[Date]]=B7,tb_Base[[#This Row],[Riviere]]=C7,tb_Base[[#This Row],[Secteur]]=D7,tb_Base[[#This Row],[Heure_debut]]=E7,tb_Base[[#This Row],[Heure_fin]]=F7),"",(tb_Base[[#This Row],[Heure_fin]]-tb_Base[[#This Row],[Heure_debut]])*24)</f>
        <v>0.99999999999999911</v>
      </c>
      <c r="H8" s="7" t="s">
        <v>2</v>
      </c>
      <c r="I8" s="7" t="s">
        <v>50</v>
      </c>
      <c r="J8" s="7" t="s">
        <v>120</v>
      </c>
      <c r="K8" s="7" t="s">
        <v>107</v>
      </c>
      <c r="L8" s="2" t="s">
        <v>236</v>
      </c>
      <c r="M8" s="23"/>
      <c r="N8" s="28">
        <f>SUM(tb_Base[[#This Row],[0 - 19 cm]:[240 - 249 cm]])</f>
        <v>1</v>
      </c>
      <c r="O8" s="2" t="s">
        <v>60</v>
      </c>
      <c r="S8" s="2">
        <v>1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14"/>
    </row>
    <row r="9" spans="1:40" ht="15.95" customHeight="1">
      <c r="A9" s="14" t="s">
        <v>137</v>
      </c>
      <c r="B9" s="7">
        <v>44166</v>
      </c>
      <c r="C9" s="7" t="s">
        <v>13</v>
      </c>
      <c r="D9" s="32" t="s">
        <v>219</v>
      </c>
      <c r="E9" s="24">
        <v>0.45833333333333331</v>
      </c>
      <c r="F9" s="24">
        <v>0.58333333333333337</v>
      </c>
      <c r="G9" s="26">
        <f>IF(AND(tb_Base[[#This Row],[Date]]=B8,tb_Base[[#This Row],[Riviere]]=C8,tb_Base[[#This Row],[Secteur]]=D8,tb_Base[[#This Row],[Heure_debut]]=E8,tb_Base[[#This Row],[Heure_fin]]=F8),"",(tb_Base[[#This Row],[Heure_fin]]-tb_Base[[#This Row],[Heure_debut]])*24)</f>
        <v>3.0000000000000013</v>
      </c>
      <c r="H9" s="7" t="s">
        <v>2</v>
      </c>
      <c r="I9" s="7" t="s">
        <v>50</v>
      </c>
      <c r="J9" s="7" t="s">
        <v>313</v>
      </c>
      <c r="K9" s="7" t="s">
        <v>379</v>
      </c>
      <c r="L9" s="23" t="s">
        <v>238</v>
      </c>
      <c r="M9" s="23"/>
      <c r="N9" s="28">
        <f>SUM(tb_Base[[#This Row],[0 - 19 cm]:[240 - 249 cm]])</f>
        <v>3</v>
      </c>
      <c r="O9" s="2" t="s">
        <v>60</v>
      </c>
      <c r="S9" s="2">
        <v>1</v>
      </c>
      <c r="T9" s="2">
        <v>1</v>
      </c>
      <c r="U9" s="2">
        <v>1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4"/>
    </row>
    <row r="10" spans="1:40" ht="15.95" customHeight="1">
      <c r="A10" s="14" t="s">
        <v>138</v>
      </c>
      <c r="B10" s="7">
        <v>44310</v>
      </c>
      <c r="C10" s="7" t="s">
        <v>12</v>
      </c>
      <c r="D10" s="7" t="s">
        <v>198</v>
      </c>
      <c r="E10" s="24">
        <v>0.33333333333333331</v>
      </c>
      <c r="F10" s="24">
        <v>0.41666666666666669</v>
      </c>
      <c r="G10" s="26">
        <f>IF(AND(tb_Base[[#This Row],[Date]]=B9,tb_Base[[#This Row],[Riviere]]=C9,tb_Base[[#This Row],[Secteur]]=D9,tb_Base[[#This Row],[Heure_debut]]=E9,tb_Base[[#This Row],[Heure_fin]]=F9),"",(tb_Base[[#This Row],[Heure_fin]]-tb_Base[[#This Row],[Heure_debut]])*24)</f>
        <v>2.0000000000000009</v>
      </c>
      <c r="H10" s="7" t="s">
        <v>2</v>
      </c>
      <c r="I10" s="7"/>
      <c r="J10" s="7"/>
      <c r="K10" s="7"/>
      <c r="L10" s="23" t="s">
        <v>238</v>
      </c>
      <c r="M10" s="23" t="s">
        <v>244</v>
      </c>
      <c r="N10" s="28">
        <f>SUM(tb_Base[[#This Row],[0 - 19 cm]:[240 - 249 cm]])</f>
        <v>1</v>
      </c>
      <c r="O10" s="2" t="s">
        <v>60</v>
      </c>
      <c r="S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14"/>
    </row>
    <row r="11" spans="1:40" ht="15.95" customHeight="1">
      <c r="A11" s="14" t="s">
        <v>139</v>
      </c>
      <c r="B11" s="7">
        <v>44312</v>
      </c>
      <c r="C11" s="7" t="s">
        <v>13</v>
      </c>
      <c r="D11" s="32" t="s">
        <v>219</v>
      </c>
      <c r="E11" s="24">
        <v>0.39583333333333331</v>
      </c>
      <c r="F11" s="24">
        <v>0.5625</v>
      </c>
      <c r="G11" s="26">
        <f>IF(AND(tb_Base[[#This Row],[Date]]=B10,tb_Base[[#This Row],[Riviere]]=C10,tb_Base[[#This Row],[Secteur]]=D10,tb_Base[[#This Row],[Heure_debut]]=E10,tb_Base[[#This Row],[Heure_fin]]=F10),"",(tb_Base[[#This Row],[Heure_fin]]-tb_Base[[#This Row],[Heure_debut]])*24)</f>
        <v>4</v>
      </c>
      <c r="H11" s="7" t="s">
        <v>3</v>
      </c>
      <c r="I11" s="7"/>
      <c r="J11" s="7"/>
      <c r="K11" s="7"/>
      <c r="L11" s="23" t="s">
        <v>238</v>
      </c>
      <c r="M11" s="23" t="s">
        <v>241</v>
      </c>
      <c r="N11" s="28">
        <f>SUM(tb_Base[[#This Row],[0 - 19 cm]:[240 - 249 cm]])</f>
        <v>1</v>
      </c>
      <c r="O11" s="2" t="s">
        <v>60</v>
      </c>
      <c r="U11" s="2">
        <v>1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4"/>
    </row>
    <row r="12" spans="1:40" ht="15.95" customHeight="1">
      <c r="A12" s="14" t="s">
        <v>140</v>
      </c>
      <c r="B12" s="7">
        <v>44338</v>
      </c>
      <c r="C12" s="7" t="s">
        <v>13</v>
      </c>
      <c r="D12" s="32" t="s">
        <v>216</v>
      </c>
      <c r="E12" s="24">
        <v>0.45833333333333331</v>
      </c>
      <c r="F12" s="24">
        <v>0.54166666666666663</v>
      </c>
      <c r="G12" s="26">
        <f>IF(AND(tb_Base[[#This Row],[Date]]=B11,tb_Base[[#This Row],[Riviere]]=C11,tb_Base[[#This Row],[Secteur]]=D11,tb_Base[[#This Row],[Heure_debut]]=E11,tb_Base[[#This Row],[Heure_fin]]=F11),"",(tb_Base[[#This Row],[Heure_fin]]-tb_Base[[#This Row],[Heure_debut]])*24)</f>
        <v>1.9999999999999996</v>
      </c>
      <c r="H12" s="7" t="s">
        <v>3</v>
      </c>
      <c r="I12" s="7" t="s">
        <v>122</v>
      </c>
      <c r="J12" s="7" t="s">
        <v>249</v>
      </c>
      <c r="K12" s="7" t="s">
        <v>251</v>
      </c>
      <c r="L12" s="2" t="s">
        <v>236</v>
      </c>
      <c r="M12" s="23" t="s">
        <v>247</v>
      </c>
      <c r="N12" s="28">
        <f>SUM(tb_Base[[#This Row],[0 - 19 cm]:[240 - 249 cm]])</f>
        <v>1</v>
      </c>
      <c r="O12" s="2" t="s">
        <v>60</v>
      </c>
      <c r="S12" s="2">
        <v>1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4"/>
    </row>
    <row r="13" spans="1:40" ht="15.95" customHeight="1">
      <c r="A13" s="14" t="s">
        <v>141</v>
      </c>
      <c r="B13" s="7">
        <v>44362</v>
      </c>
      <c r="C13" s="7" t="s">
        <v>12</v>
      </c>
      <c r="D13" s="7" t="s">
        <v>200</v>
      </c>
      <c r="E13" s="24">
        <v>0.375</v>
      </c>
      <c r="F13" s="24">
        <v>0.45833333333333331</v>
      </c>
      <c r="G13" s="26">
        <f>IF(AND(tb_Base[[#This Row],[Date]]=B12,tb_Base[[#This Row],[Riviere]]=C12,tb_Base[[#This Row],[Secteur]]=D12,tb_Base[[#This Row],[Heure_debut]]=E12,tb_Base[[#This Row],[Heure_fin]]=F12),"",(tb_Base[[#This Row],[Heure_fin]]-tb_Base[[#This Row],[Heure_debut]])*24)</f>
        <v>1.9999999999999996</v>
      </c>
      <c r="H13" s="7" t="s">
        <v>3</v>
      </c>
      <c r="I13" s="7" t="s">
        <v>50</v>
      </c>
      <c r="J13" t="s">
        <v>129</v>
      </c>
      <c r="K13" s="7"/>
      <c r="L13" s="23" t="s">
        <v>238</v>
      </c>
      <c r="M13" s="23"/>
      <c r="N13" s="28">
        <f>SUM(tb_Base[[#This Row],[0 - 19 cm]:[240 - 249 cm]])</f>
        <v>1</v>
      </c>
      <c r="O13" s="2" t="s">
        <v>60</v>
      </c>
      <c r="Q13" s="2">
        <v>1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4"/>
    </row>
    <row r="14" spans="1:40" ht="15.95" customHeight="1">
      <c r="A14" s="14" t="s">
        <v>142</v>
      </c>
      <c r="B14" s="7">
        <v>44363</v>
      </c>
      <c r="C14" s="7" t="s">
        <v>12</v>
      </c>
      <c r="D14" s="7" t="s">
        <v>200</v>
      </c>
      <c r="E14" s="24">
        <v>0.60416666666666663</v>
      </c>
      <c r="F14" s="24">
        <v>0.6875</v>
      </c>
      <c r="G14" s="26">
        <f>IF(AND(tb_Base[[#This Row],[Date]]=B13,tb_Base[[#This Row],[Riviere]]=C13,tb_Base[[#This Row],[Secteur]]=D13,tb_Base[[#This Row],[Heure_debut]]=E13,tb_Base[[#This Row],[Heure_fin]]=F13),"",(tb_Base[[#This Row],[Heure_fin]]-tb_Base[[#This Row],[Heure_debut]])*24)</f>
        <v>2.0000000000000009</v>
      </c>
      <c r="H14" s="7" t="s">
        <v>3</v>
      </c>
      <c r="I14" s="7"/>
      <c r="J14" s="7"/>
      <c r="K14" s="7"/>
      <c r="L14" s="23" t="s">
        <v>238</v>
      </c>
      <c r="M14" s="23" t="s">
        <v>244</v>
      </c>
      <c r="N14" s="28">
        <f>SUM(tb_Base[[#This Row],[0 - 19 cm]:[240 - 249 cm]])</f>
        <v>1</v>
      </c>
      <c r="O14" s="2" t="s">
        <v>60</v>
      </c>
      <c r="Q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4"/>
    </row>
    <row r="15" spans="1:40" ht="15.95" customHeight="1">
      <c r="A15" s="14" t="s">
        <v>143</v>
      </c>
      <c r="B15" s="7">
        <v>44403</v>
      </c>
      <c r="C15" s="7" t="s">
        <v>13</v>
      </c>
      <c r="D15" s="32" t="s">
        <v>219</v>
      </c>
      <c r="E15" s="24">
        <v>0.66666666666666663</v>
      </c>
      <c r="F15" s="24">
        <v>0.79166666666666663</v>
      </c>
      <c r="G15" s="26">
        <f>IF(AND(tb_Base[[#This Row],[Date]]=B14,tb_Base[[#This Row],[Riviere]]=C14,tb_Base[[#This Row],[Secteur]]=D14,tb_Base[[#This Row],[Heure_debut]]=E14,tb_Base[[#This Row],[Heure_fin]]=F14),"",(tb_Base[[#This Row],[Heure_fin]]-tb_Base[[#This Row],[Heure_debut]])*24)</f>
        <v>3</v>
      </c>
      <c r="H15" s="7" t="s">
        <v>4</v>
      </c>
      <c r="I15" s="7"/>
      <c r="J15" s="7"/>
      <c r="K15" s="7"/>
      <c r="L15" s="23" t="s">
        <v>238</v>
      </c>
      <c r="M15" s="23" t="s">
        <v>244</v>
      </c>
      <c r="N15" s="28">
        <f>SUM(tb_Base[[#This Row],[0 - 19 cm]:[240 - 249 cm]])</f>
        <v>3</v>
      </c>
      <c r="O15" s="2" t="s">
        <v>60</v>
      </c>
      <c r="S15" s="2">
        <v>3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4"/>
    </row>
    <row r="16" spans="1:40" ht="15.95" customHeight="1">
      <c r="A16" s="14" t="s">
        <v>144</v>
      </c>
      <c r="B16" s="7">
        <v>44442</v>
      </c>
      <c r="C16" s="7" t="s">
        <v>12</v>
      </c>
      <c r="D16" s="7" t="s">
        <v>202</v>
      </c>
      <c r="E16" s="24">
        <v>0.5</v>
      </c>
      <c r="F16" s="24">
        <v>0.66666666666666663</v>
      </c>
      <c r="G16" s="26">
        <f>IF(AND(tb_Base[[#This Row],[Date]]=B15,tb_Base[[#This Row],[Riviere]]=C15,tb_Base[[#This Row],[Secteur]]=D15,tb_Base[[#This Row],[Heure_debut]]=E15,tb_Base[[#This Row],[Heure_fin]]=F15),"",(tb_Base[[#This Row],[Heure_fin]]-tb_Base[[#This Row],[Heure_debut]])*24)</f>
        <v>3.9999999999999991</v>
      </c>
      <c r="H16" s="7" t="s">
        <v>3</v>
      </c>
      <c r="I16" s="7"/>
      <c r="J16" s="7"/>
      <c r="K16" s="7"/>
      <c r="L16" s="23" t="s">
        <v>238</v>
      </c>
      <c r="M16" s="23" t="s">
        <v>241</v>
      </c>
      <c r="N16" s="28">
        <f>SUM(tb_Base[[#This Row],[0 - 19 cm]:[240 - 249 cm]])</f>
        <v>1</v>
      </c>
      <c r="O16" s="2" t="s">
        <v>60</v>
      </c>
      <c r="S16" s="2">
        <v>1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4"/>
    </row>
    <row r="17" spans="1:40" ht="15.95" customHeight="1">
      <c r="A17" s="14" t="s">
        <v>145</v>
      </c>
      <c r="B17" s="7">
        <v>44446</v>
      </c>
      <c r="C17" s="7" t="s">
        <v>12</v>
      </c>
      <c r="D17" s="7" t="s">
        <v>202</v>
      </c>
      <c r="E17" s="24">
        <v>0.5</v>
      </c>
      <c r="F17" s="24">
        <v>0.66666666666666663</v>
      </c>
      <c r="G17" s="26">
        <f>IF(AND(tb_Base[[#This Row],[Date]]=B16,tb_Base[[#This Row],[Riviere]]=C16,tb_Base[[#This Row],[Secteur]]=D16,tb_Base[[#This Row],[Heure_debut]]=E16,tb_Base[[#This Row],[Heure_fin]]=F16),"",(tb_Base[[#This Row],[Heure_fin]]-tb_Base[[#This Row],[Heure_debut]])*24)</f>
        <v>3.9999999999999991</v>
      </c>
      <c r="H17" s="7" t="s">
        <v>3</v>
      </c>
      <c r="I17" s="7" t="s">
        <v>52</v>
      </c>
      <c r="J17" s="7" t="s">
        <v>125</v>
      </c>
      <c r="K17" s="7" t="s">
        <v>124</v>
      </c>
      <c r="L17" s="23" t="s">
        <v>238</v>
      </c>
      <c r="M17" s="23"/>
      <c r="N17" s="28">
        <f>SUM(tb_Base[[#This Row],[0 - 19 cm]:[240 - 249 cm]])</f>
        <v>1</v>
      </c>
      <c r="O17" s="2" t="s">
        <v>63</v>
      </c>
      <c r="R17" s="2">
        <v>1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4"/>
    </row>
    <row r="18" spans="1:40" ht="15.95" customHeight="1">
      <c r="A18" s="14" t="s">
        <v>146</v>
      </c>
      <c r="B18" s="7">
        <v>44446</v>
      </c>
      <c r="C18" s="7" t="s">
        <v>12</v>
      </c>
      <c r="D18" s="7" t="s">
        <v>202</v>
      </c>
      <c r="E18" s="24">
        <v>0.5</v>
      </c>
      <c r="F18" s="24">
        <v>0.66666666666666663</v>
      </c>
      <c r="G18" s="26" t="str">
        <f>IF(AND(tb_Base[[#This Row],[Date]]=B17,tb_Base[[#This Row],[Riviere]]=C17,tb_Base[[#This Row],[Secteur]]=D17,tb_Base[[#This Row],[Heure_debut]]=E17,tb_Base[[#This Row],[Heure_fin]]=F17),"",(tb_Base[[#This Row],[Heure_fin]]-tb_Base[[#This Row],[Heure_debut]])*24)</f>
        <v/>
      </c>
      <c r="H18" s="7" t="s">
        <v>3</v>
      </c>
      <c r="I18" s="7"/>
      <c r="J18" s="7"/>
      <c r="K18" s="7"/>
      <c r="L18" s="23" t="s">
        <v>238</v>
      </c>
      <c r="M18" s="23"/>
      <c r="N18" s="28">
        <f>SUM(tb_Base[[#This Row],[0 - 19 cm]:[240 - 249 cm]])</f>
        <v>1</v>
      </c>
      <c r="O18" s="2" t="s">
        <v>60</v>
      </c>
      <c r="S18" s="2">
        <v>1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4"/>
    </row>
    <row r="19" spans="1:40" ht="15.95" customHeight="1">
      <c r="A19" s="14" t="s">
        <v>147</v>
      </c>
      <c r="B19" s="7">
        <v>44451</v>
      </c>
      <c r="C19" s="7" t="s">
        <v>12</v>
      </c>
      <c r="D19" s="7" t="s">
        <v>231</v>
      </c>
      <c r="E19" s="24">
        <v>0.33333333333333331</v>
      </c>
      <c r="F19" s="24">
        <v>0.35416666666666669</v>
      </c>
      <c r="G19" s="26">
        <f>IF(AND(tb_Base[[#This Row],[Date]]=B18,tb_Base[[#This Row],[Riviere]]=C18,tb_Base[[#This Row],[Secteur]]=D18,tb_Base[[#This Row],[Heure_debut]]=E18,tb_Base[[#This Row],[Heure_fin]]=F18),"",(tb_Base[[#This Row],[Heure_fin]]-tb_Base[[#This Row],[Heure_debut]])*24)</f>
        <v>0.50000000000000089</v>
      </c>
      <c r="H19" s="7" t="s">
        <v>3</v>
      </c>
      <c r="I19" s="7" t="s">
        <v>52</v>
      </c>
      <c r="J19" s="7" t="s">
        <v>127</v>
      </c>
      <c r="K19" s="7" t="s">
        <v>108</v>
      </c>
      <c r="L19" s="23" t="s">
        <v>238</v>
      </c>
      <c r="M19" s="23"/>
      <c r="N19" s="28">
        <f>SUM(tb_Base[[#This Row],[0 - 19 cm]:[240 - 249 cm]])</f>
        <v>2</v>
      </c>
      <c r="O19" s="2" t="s">
        <v>61</v>
      </c>
      <c r="P19" s="2">
        <v>2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4"/>
    </row>
    <row r="20" spans="1:40" ht="15.95" customHeight="1">
      <c r="A20" s="14" t="s">
        <v>148</v>
      </c>
      <c r="B20" s="7">
        <v>44451</v>
      </c>
      <c r="C20" s="7" t="s">
        <v>12</v>
      </c>
      <c r="D20" s="7" t="s">
        <v>202</v>
      </c>
      <c r="E20" s="24">
        <v>0.35416666666666669</v>
      </c>
      <c r="F20" s="24">
        <v>0.41666666666666669</v>
      </c>
      <c r="G20" s="26">
        <f>IF(AND(tb_Base[[#This Row],[Date]]=B19,tb_Base[[#This Row],[Riviere]]=C19,tb_Base[[#This Row],[Secteur]]=D19,tb_Base[[#This Row],[Heure_debut]]=E19,tb_Base[[#This Row],[Heure_fin]]=F19),"",(tb_Base[[#This Row],[Heure_fin]]-tb_Base[[#This Row],[Heure_debut]])*24)</f>
        <v>1.5</v>
      </c>
      <c r="H20" s="7" t="s">
        <v>3</v>
      </c>
      <c r="I20" s="7" t="s">
        <v>52</v>
      </c>
      <c r="J20" s="7" t="s">
        <v>127</v>
      </c>
      <c r="K20" s="7" t="s">
        <v>108</v>
      </c>
      <c r="L20" s="23" t="s">
        <v>238</v>
      </c>
      <c r="M20" s="23"/>
      <c r="N20" s="28">
        <f>SUM(tb_Base[[#This Row],[0 - 19 cm]:[240 - 249 cm]])</f>
        <v>1</v>
      </c>
      <c r="O20" s="2" t="s">
        <v>60</v>
      </c>
      <c r="S20" s="2">
        <v>1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4"/>
    </row>
    <row r="21" spans="1:40" ht="15.95" customHeight="1">
      <c r="A21" s="14" t="s">
        <v>148</v>
      </c>
      <c r="B21" s="7">
        <v>44451</v>
      </c>
      <c r="C21" s="7" t="s">
        <v>12</v>
      </c>
      <c r="D21" s="7" t="s">
        <v>202</v>
      </c>
      <c r="E21" s="24">
        <v>0.35416666666666669</v>
      </c>
      <c r="F21" s="24">
        <v>0.41666666666666669</v>
      </c>
      <c r="G21" s="26" t="str">
        <f>IF(AND(tb_Base[[#This Row],[Date]]=B20,tb_Base[[#This Row],[Riviere]]=C20,tb_Base[[#This Row],[Secteur]]=D20,tb_Base[[#This Row],[Heure_debut]]=E20,tb_Base[[#This Row],[Heure_fin]]=F20),"",(tb_Base[[#This Row],[Heure_fin]]-tb_Base[[#This Row],[Heure_debut]])*24)</f>
        <v/>
      </c>
      <c r="H21" s="7" t="s">
        <v>3</v>
      </c>
      <c r="I21" s="7" t="s">
        <v>52</v>
      </c>
      <c r="J21" s="7" t="s">
        <v>127</v>
      </c>
      <c r="K21" s="7" t="s">
        <v>108</v>
      </c>
      <c r="L21" s="23" t="s">
        <v>238</v>
      </c>
      <c r="M21" s="23"/>
      <c r="N21" s="28">
        <f>SUM(tb_Base[[#This Row],[0 - 19 cm]:[240 - 249 cm]])</f>
        <v>1</v>
      </c>
      <c r="O21" s="2" t="s">
        <v>61</v>
      </c>
      <c r="Q21" s="2">
        <v>1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4"/>
    </row>
    <row r="22" spans="1:40" ht="15.95" customHeight="1">
      <c r="A22" s="14" t="s">
        <v>149</v>
      </c>
      <c r="B22" s="7">
        <v>44451</v>
      </c>
      <c r="C22" s="7" t="s">
        <v>12</v>
      </c>
      <c r="D22" s="7" t="s">
        <v>202</v>
      </c>
      <c r="E22" s="24">
        <v>0.35416666666666669</v>
      </c>
      <c r="F22" s="24">
        <v>0.41666666666666669</v>
      </c>
      <c r="G22" s="26" t="str">
        <f>IF(AND(tb_Base[[#This Row],[Date]]=B21,tb_Base[[#This Row],[Riviere]]=C21,tb_Base[[#This Row],[Secteur]]=D21,tb_Base[[#This Row],[Heure_debut]]=E21,tb_Base[[#This Row],[Heure_fin]]=F21),"",(tb_Base[[#This Row],[Heure_fin]]-tb_Base[[#This Row],[Heure_debut]])*24)</f>
        <v/>
      </c>
      <c r="H22" s="7" t="s">
        <v>3</v>
      </c>
      <c r="I22" s="7" t="s">
        <v>50</v>
      </c>
      <c r="J22" t="s">
        <v>314</v>
      </c>
      <c r="K22" s="7" t="s">
        <v>108</v>
      </c>
      <c r="L22" s="23" t="s">
        <v>238</v>
      </c>
      <c r="M22" s="23"/>
      <c r="N22" s="28">
        <f>SUM(tb_Base[[#This Row],[0 - 19 cm]:[240 - 249 cm]])</f>
        <v>1</v>
      </c>
      <c r="O22" s="2" t="s">
        <v>61</v>
      </c>
      <c r="Q22" s="2">
        <v>1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4"/>
    </row>
    <row r="23" spans="1:40" ht="15.95" customHeight="1">
      <c r="A23" s="14" t="s">
        <v>162</v>
      </c>
      <c r="B23" s="7">
        <v>44451</v>
      </c>
      <c r="C23" s="7" t="s">
        <v>12</v>
      </c>
      <c r="D23" s="7" t="s">
        <v>202</v>
      </c>
      <c r="E23" s="24">
        <v>0.35416666666666669</v>
      </c>
      <c r="F23" s="24">
        <v>0.41666666666666669</v>
      </c>
      <c r="G23" s="26" t="str">
        <f>IF(AND(tb_Base[[#This Row],[Date]]=B22,tb_Base[[#This Row],[Riviere]]=C22,tb_Base[[#This Row],[Secteur]]=D22,tb_Base[[#This Row],[Heure_debut]]=E22,tb_Base[[#This Row],[Heure_fin]]=F22),"",(tb_Base[[#This Row],[Heure_fin]]-tb_Base[[#This Row],[Heure_debut]])*24)</f>
        <v/>
      </c>
      <c r="H23" s="7" t="s">
        <v>3</v>
      </c>
      <c r="I23" s="7" t="s">
        <v>52</v>
      </c>
      <c r="J23" s="7" t="s">
        <v>127</v>
      </c>
      <c r="K23" s="7" t="s">
        <v>108</v>
      </c>
      <c r="L23" s="23" t="s">
        <v>238</v>
      </c>
      <c r="M23" s="23"/>
      <c r="N23" s="28">
        <f>SUM(tb_Base[[#This Row],[0 - 19 cm]:[240 - 249 cm]])</f>
        <v>1</v>
      </c>
      <c r="O23" s="2" t="s">
        <v>60</v>
      </c>
      <c r="S23" s="2">
        <v>1</v>
      </c>
      <c r="Y23" s="2"/>
      <c r="Z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4"/>
    </row>
    <row r="24" spans="1:40" ht="15.95" customHeight="1">
      <c r="A24" s="14" t="s">
        <v>162</v>
      </c>
      <c r="B24" s="7">
        <v>44451</v>
      </c>
      <c r="C24" s="7" t="s">
        <v>12</v>
      </c>
      <c r="D24" s="7" t="s">
        <v>202</v>
      </c>
      <c r="E24" s="24">
        <v>0.35416666666666669</v>
      </c>
      <c r="F24" s="24">
        <v>0.41666666666666669</v>
      </c>
      <c r="G24" s="26" t="str">
        <f>IF(AND(tb_Base[[#This Row],[Date]]=B23,tb_Base[[#This Row],[Riviere]]=C23,tb_Base[[#This Row],[Secteur]]=D23,tb_Base[[#This Row],[Heure_debut]]=E23,tb_Base[[#This Row],[Heure_fin]]=F23),"",(tb_Base[[#This Row],[Heure_fin]]-tb_Base[[#This Row],[Heure_debut]])*24)</f>
        <v/>
      </c>
      <c r="H24" s="7" t="s">
        <v>3</v>
      </c>
      <c r="I24" s="7" t="s">
        <v>52</v>
      </c>
      <c r="J24" s="7" t="s">
        <v>127</v>
      </c>
      <c r="K24" s="7" t="s">
        <v>108</v>
      </c>
      <c r="L24" s="23" t="s">
        <v>238</v>
      </c>
      <c r="M24" s="23"/>
      <c r="N24" s="28">
        <f>SUM(tb_Base[[#This Row],[0 - 19 cm]:[240 - 249 cm]])</f>
        <v>1</v>
      </c>
      <c r="O24" s="2" t="s">
        <v>61</v>
      </c>
      <c r="Q24" s="2">
        <v>1</v>
      </c>
      <c r="Y24" s="2"/>
      <c r="Z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4"/>
    </row>
    <row r="25" spans="1:40" ht="15.95" customHeight="1">
      <c r="A25" s="14" t="s">
        <v>150</v>
      </c>
      <c r="B25" s="7">
        <v>44467</v>
      </c>
      <c r="C25" s="7" t="s">
        <v>15</v>
      </c>
      <c r="D25" s="32" t="s">
        <v>227</v>
      </c>
      <c r="E25" s="24">
        <v>0.5625</v>
      </c>
      <c r="F25" s="24">
        <v>0.66666666666666663</v>
      </c>
      <c r="G25" s="26">
        <f>IF(AND(tb_Base[[#This Row],[Date]]=B24,tb_Base[[#This Row],[Riviere]]=C24,tb_Base[[#This Row],[Secteur]]=D24,tb_Base[[#This Row],[Heure_debut]]=E24,tb_Base[[#This Row],[Heure_fin]]=F24),"",(tb_Base[[#This Row],[Heure_fin]]-tb_Base[[#This Row],[Heure_debut]])*24)</f>
        <v>2.4999999999999991</v>
      </c>
      <c r="H25" s="7" t="s">
        <v>3</v>
      </c>
      <c r="I25" s="7" t="s">
        <v>52</v>
      </c>
      <c r="J25" s="7" t="s">
        <v>125</v>
      </c>
      <c r="K25" s="7" t="s">
        <v>101</v>
      </c>
      <c r="L25" s="23" t="s">
        <v>238</v>
      </c>
      <c r="M25" s="23"/>
      <c r="N25" s="28">
        <f>SUM(tb_Base[[#This Row],[0 - 19 cm]:[240 - 249 cm]])</f>
        <v>1</v>
      </c>
      <c r="O25" s="2" t="s">
        <v>60</v>
      </c>
      <c r="U25" s="2">
        <v>1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4"/>
    </row>
    <row r="26" spans="1:40" ht="15.95" customHeight="1">
      <c r="A26" s="14" t="s">
        <v>151</v>
      </c>
      <c r="B26" s="7">
        <v>44467</v>
      </c>
      <c r="C26" s="7" t="s">
        <v>15</v>
      </c>
      <c r="D26" s="32" t="s">
        <v>227</v>
      </c>
      <c r="E26" s="24">
        <v>0.5625</v>
      </c>
      <c r="F26" s="24">
        <v>0.66666666666666663</v>
      </c>
      <c r="G26" s="26" t="str">
        <f>IF(AND(tb_Base[[#This Row],[Date]]=B25,tb_Base[[#This Row],[Riviere]]=C25,tb_Base[[#This Row],[Secteur]]=D25,tb_Base[[#This Row],[Heure_debut]]=E25,tb_Base[[#This Row],[Heure_fin]]=F25),"",(tb_Base[[#This Row],[Heure_fin]]-tb_Base[[#This Row],[Heure_debut]])*24)</f>
        <v/>
      </c>
      <c r="H26" s="7" t="s">
        <v>3</v>
      </c>
      <c r="I26" s="7" t="s">
        <v>49</v>
      </c>
      <c r="J26" s="7" t="s">
        <v>26</v>
      </c>
      <c r="K26" s="7" t="s">
        <v>365</v>
      </c>
      <c r="L26" s="23" t="s">
        <v>238</v>
      </c>
      <c r="M26" s="23"/>
      <c r="N26" s="28">
        <f>SUM(tb_Base[[#This Row],[0 - 19 cm]:[240 - 249 cm]])</f>
        <v>2</v>
      </c>
      <c r="O26" s="2" t="s">
        <v>60</v>
      </c>
      <c r="Q26" s="2">
        <v>1</v>
      </c>
      <c r="T26" s="2">
        <v>1</v>
      </c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4"/>
    </row>
    <row r="27" spans="1:40" ht="15.95" customHeight="1">
      <c r="A27" s="14" t="s">
        <v>152</v>
      </c>
      <c r="B27" s="7">
        <v>44484</v>
      </c>
      <c r="C27" s="7" t="s">
        <v>12</v>
      </c>
      <c r="D27" s="7" t="s">
        <v>202</v>
      </c>
      <c r="E27" s="24">
        <v>0.70833333333333337</v>
      </c>
      <c r="F27" s="24">
        <v>0.79166666666666663</v>
      </c>
      <c r="G27" s="26">
        <f>IF(AND(tb_Base[[#This Row],[Date]]=B26,tb_Base[[#This Row],[Riviere]]=C26,tb_Base[[#This Row],[Secteur]]=D26,tb_Base[[#This Row],[Heure_debut]]=E26,tb_Base[[#This Row],[Heure_fin]]=F26),"",(tb_Base[[#This Row],[Heure_fin]]-tb_Base[[#This Row],[Heure_debut]])*24)</f>
        <v>1.9999999999999982</v>
      </c>
      <c r="H27" s="7" t="s">
        <v>3</v>
      </c>
      <c r="I27" s="7"/>
      <c r="J27" s="7"/>
      <c r="K27" s="7"/>
      <c r="L27" s="23" t="s">
        <v>238</v>
      </c>
      <c r="M27" s="23"/>
      <c r="N27" s="28">
        <f>SUM(tb_Base[[#This Row],[0 - 19 cm]:[240 - 249 cm]])</f>
        <v>1</v>
      </c>
      <c r="O27" s="2" t="s">
        <v>60</v>
      </c>
      <c r="Q27" s="2">
        <v>1</v>
      </c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4"/>
    </row>
    <row r="28" spans="1:40" ht="15.95" customHeight="1">
      <c r="A28" s="14" t="s">
        <v>152</v>
      </c>
      <c r="B28" s="7">
        <v>44484</v>
      </c>
      <c r="C28" s="7" t="s">
        <v>12</v>
      </c>
      <c r="D28" s="7" t="s">
        <v>202</v>
      </c>
      <c r="E28" s="24">
        <v>0.70833333333333337</v>
      </c>
      <c r="F28" s="24">
        <v>0.79166666666666663</v>
      </c>
      <c r="G28" s="26" t="str">
        <f>IF(AND(tb_Base[[#This Row],[Date]]=B27,tb_Base[[#This Row],[Riviere]]=C27,tb_Base[[#This Row],[Secteur]]=D27,tb_Base[[#This Row],[Heure_debut]]=E27,tb_Base[[#This Row],[Heure_fin]]=F27),"",(tb_Base[[#This Row],[Heure_fin]]-tb_Base[[#This Row],[Heure_debut]])*24)</f>
        <v/>
      </c>
      <c r="H28" s="7" t="s">
        <v>3</v>
      </c>
      <c r="I28" s="7"/>
      <c r="J28" s="7"/>
      <c r="K28" s="7"/>
      <c r="L28" s="23" t="s">
        <v>238</v>
      </c>
      <c r="M28" s="23"/>
      <c r="N28" s="28">
        <f>SUM(tb_Base[[#This Row],[0 - 19 cm]:[240 - 249 cm]])</f>
        <v>1</v>
      </c>
      <c r="O28" s="2" t="s">
        <v>61</v>
      </c>
      <c r="Q28" s="2">
        <v>1</v>
      </c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4"/>
    </row>
    <row r="29" spans="1:40" ht="15.95" customHeight="1">
      <c r="A29" s="14" t="s">
        <v>153</v>
      </c>
      <c r="B29" s="7">
        <v>44487</v>
      </c>
      <c r="C29" s="7" t="s">
        <v>12</v>
      </c>
      <c r="D29" s="7" t="s">
        <v>197</v>
      </c>
      <c r="E29" s="24">
        <v>0.52083333333333337</v>
      </c>
      <c r="F29" s="24">
        <v>0.60416666666666663</v>
      </c>
      <c r="G29" s="26">
        <f>IF(AND(tb_Base[[#This Row],[Date]]=B28,tb_Base[[#This Row],[Riviere]]=C28,tb_Base[[#This Row],[Secteur]]=D28,tb_Base[[#This Row],[Heure_debut]]=E28,tb_Base[[#This Row],[Heure_fin]]=F28),"",(tb_Base[[#This Row],[Heure_fin]]-tb_Base[[#This Row],[Heure_debut]])*24)</f>
        <v>1.9999999999999982</v>
      </c>
      <c r="H29" s="7" t="s">
        <v>2</v>
      </c>
      <c r="I29" s="7" t="s">
        <v>52</v>
      </c>
      <c r="J29" s="7" t="s">
        <v>125</v>
      </c>
      <c r="K29" s="7" t="s">
        <v>102</v>
      </c>
      <c r="L29" s="23" t="s">
        <v>238</v>
      </c>
      <c r="M29" s="23" t="s">
        <v>241</v>
      </c>
      <c r="N29" s="28">
        <f>SUM(tb_Base[[#This Row],[0 - 19 cm]:[240 - 249 cm]])</f>
        <v>1</v>
      </c>
      <c r="O29" s="2" t="s">
        <v>63</v>
      </c>
      <c r="R29" s="2">
        <v>1</v>
      </c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4"/>
    </row>
    <row r="30" spans="1:40" ht="15.95" customHeight="1">
      <c r="A30" s="14" t="s">
        <v>154</v>
      </c>
      <c r="B30" s="7">
        <v>44487</v>
      </c>
      <c r="C30" s="7" t="s">
        <v>12</v>
      </c>
      <c r="D30" s="7" t="s">
        <v>197</v>
      </c>
      <c r="E30" s="24">
        <v>0.52083333333333337</v>
      </c>
      <c r="F30" s="24">
        <v>0.60416666666666663</v>
      </c>
      <c r="G30" s="26" t="str">
        <f>IF(AND(tb_Base[[#This Row],[Date]]=B29,tb_Base[[#This Row],[Riviere]]=C29,tb_Base[[#This Row],[Secteur]]=D29,tb_Base[[#This Row],[Heure_debut]]=E29,tb_Base[[#This Row],[Heure_fin]]=F29),"",(tb_Base[[#This Row],[Heure_fin]]-tb_Base[[#This Row],[Heure_debut]])*24)</f>
        <v/>
      </c>
      <c r="H30" s="7" t="s">
        <v>2</v>
      </c>
      <c r="I30" s="7" t="s">
        <v>49</v>
      </c>
      <c r="J30" s="7" t="s">
        <v>26</v>
      </c>
      <c r="K30" s="7" t="s">
        <v>363</v>
      </c>
      <c r="L30" s="23" t="s">
        <v>238</v>
      </c>
      <c r="M30" s="23" t="s">
        <v>241</v>
      </c>
      <c r="N30" s="28">
        <f>SUM(tb_Base[[#This Row],[0 - 19 cm]:[240 - 249 cm]])</f>
        <v>1</v>
      </c>
      <c r="O30" s="2" t="s">
        <v>61</v>
      </c>
      <c r="Q30" s="2">
        <v>1</v>
      </c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4"/>
    </row>
    <row r="31" spans="1:40" ht="15.95" customHeight="1">
      <c r="A31" s="14" t="s">
        <v>155</v>
      </c>
      <c r="B31" s="7">
        <v>44487</v>
      </c>
      <c r="C31" s="7" t="s">
        <v>12</v>
      </c>
      <c r="D31" s="7" t="s">
        <v>197</v>
      </c>
      <c r="E31" s="24">
        <v>0.52083333333333337</v>
      </c>
      <c r="F31" s="24">
        <v>0.60416666666666663</v>
      </c>
      <c r="G31" s="26" t="str">
        <f>IF(AND(tb_Base[[#This Row],[Date]]=B30,tb_Base[[#This Row],[Riviere]]=C30,tb_Base[[#This Row],[Secteur]]=D30,tb_Base[[#This Row],[Heure_debut]]=E30,tb_Base[[#This Row],[Heure_fin]]=F30),"",(tb_Base[[#This Row],[Heure_fin]]-tb_Base[[#This Row],[Heure_debut]])*24)</f>
        <v/>
      </c>
      <c r="H31" s="7" t="s">
        <v>2</v>
      </c>
      <c r="I31" s="7" t="s">
        <v>50</v>
      </c>
      <c r="J31" s="7" t="s">
        <v>128</v>
      </c>
      <c r="K31" s="7" t="s">
        <v>380</v>
      </c>
      <c r="L31" s="23" t="s">
        <v>238</v>
      </c>
      <c r="M31" s="23" t="s">
        <v>241</v>
      </c>
      <c r="N31" s="28">
        <f>SUM(tb_Base[[#This Row],[0 - 19 cm]:[240 - 249 cm]])</f>
        <v>1</v>
      </c>
      <c r="O31" s="2" t="s">
        <v>116</v>
      </c>
      <c r="U31" s="2">
        <v>1</v>
      </c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4"/>
    </row>
    <row r="32" spans="1:40" ht="15.95" customHeight="1">
      <c r="A32" s="14" t="s">
        <v>156</v>
      </c>
      <c r="B32" s="51">
        <v>44495</v>
      </c>
      <c r="C32" s="51" t="s">
        <v>12</v>
      </c>
      <c r="D32" s="51" t="s">
        <v>5</v>
      </c>
      <c r="E32" s="24">
        <v>0.375</v>
      </c>
      <c r="F32" s="24">
        <v>0.41666666666666669</v>
      </c>
      <c r="G32" s="26">
        <f>IF(AND(tb_Base[[#This Row],[Date]]=B31,tb_Base[[#This Row],[Riviere]]=C31,tb_Base[[#This Row],[Secteur]]=D31,tb_Base[[#This Row],[Heure_debut]]=E31,tb_Base[[#This Row],[Heure_fin]]=F31),"",(tb_Base[[#This Row],[Heure_fin]]-tb_Base[[#This Row],[Heure_debut]])*24)</f>
        <v>1.0000000000000004</v>
      </c>
      <c r="H32" s="7" t="s">
        <v>2</v>
      </c>
      <c r="I32" s="7" t="s">
        <v>49</v>
      </c>
      <c r="J32" s="7" t="s">
        <v>26</v>
      </c>
      <c r="K32" s="7"/>
      <c r="L32" s="23" t="s">
        <v>238</v>
      </c>
      <c r="M32" s="23"/>
      <c r="N32" s="28">
        <f>SUM(tb_Base[[#This Row],[0 - 19 cm]:[240 - 249 cm]])</f>
        <v>3</v>
      </c>
      <c r="O32" s="2" t="s">
        <v>61</v>
      </c>
      <c r="P32" s="2">
        <v>1</v>
      </c>
      <c r="Q32" s="2">
        <v>2</v>
      </c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4"/>
    </row>
    <row r="33" spans="1:40" ht="15.95" customHeight="1">
      <c r="A33" s="14" t="s">
        <v>157</v>
      </c>
      <c r="B33" s="51">
        <v>44498</v>
      </c>
      <c r="C33" s="51" t="s">
        <v>12</v>
      </c>
      <c r="D33" s="51" t="s">
        <v>197</v>
      </c>
      <c r="E33" s="24">
        <v>0.64583333333333337</v>
      </c>
      <c r="F33" s="24">
        <v>0.77083333333333337</v>
      </c>
      <c r="G33" s="26">
        <f>IF(AND(tb_Base[[#This Row],[Date]]=B32,tb_Base[[#This Row],[Riviere]]=C32,tb_Base[[#This Row],[Secteur]]=D32,tb_Base[[#This Row],[Heure_debut]]=E32,tb_Base[[#This Row],[Heure_fin]]=F32),"",(tb_Base[[#This Row],[Heure_fin]]-tb_Base[[#This Row],[Heure_debut]])*24)</f>
        <v>3</v>
      </c>
      <c r="H33" s="7" t="s">
        <v>3</v>
      </c>
      <c r="I33" s="7" t="s">
        <v>49</v>
      </c>
      <c r="J33" s="7" t="s">
        <v>26</v>
      </c>
      <c r="K33" s="7" t="s">
        <v>101</v>
      </c>
      <c r="L33" s="23" t="s">
        <v>238</v>
      </c>
      <c r="M33" s="23" t="s">
        <v>244</v>
      </c>
      <c r="N33" s="28">
        <f>SUM(tb_Base[[#This Row],[0 - 19 cm]:[240 - 249 cm]])</f>
        <v>1</v>
      </c>
      <c r="O33" s="2" t="s">
        <v>60</v>
      </c>
      <c r="T33" s="2">
        <v>1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4"/>
    </row>
    <row r="34" spans="1:40" ht="15.95" customHeight="1">
      <c r="A34" s="14" t="s">
        <v>157</v>
      </c>
      <c r="B34" s="51">
        <v>44498</v>
      </c>
      <c r="C34" s="51" t="s">
        <v>12</v>
      </c>
      <c r="D34" s="51" t="s">
        <v>197</v>
      </c>
      <c r="E34" s="24">
        <v>0.64583333333333337</v>
      </c>
      <c r="F34" s="24">
        <v>0.77083333333333337</v>
      </c>
      <c r="G34" s="26" t="str">
        <f>IF(AND(tb_Base[[#This Row],[Date]]=B33,tb_Base[[#This Row],[Riviere]]=C33,tb_Base[[#This Row],[Secteur]]=D33,tb_Base[[#This Row],[Heure_debut]]=E33,tb_Base[[#This Row],[Heure_fin]]=F33),"",(tb_Base[[#This Row],[Heure_fin]]-tb_Base[[#This Row],[Heure_debut]])*24)</f>
        <v/>
      </c>
      <c r="H34" s="7" t="s">
        <v>3</v>
      </c>
      <c r="I34" s="7" t="s">
        <v>49</v>
      </c>
      <c r="J34" s="7" t="s">
        <v>26</v>
      </c>
      <c r="K34" s="7" t="s">
        <v>101</v>
      </c>
      <c r="L34" s="23" t="s">
        <v>238</v>
      </c>
      <c r="M34" s="23" t="s">
        <v>244</v>
      </c>
      <c r="N34" s="28">
        <f>SUM(tb_Base[[#This Row],[0 - 19 cm]:[240 - 249 cm]])</f>
        <v>1</v>
      </c>
      <c r="O34" s="2" t="s">
        <v>61</v>
      </c>
      <c r="Q34" s="2">
        <v>1</v>
      </c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4"/>
    </row>
    <row r="35" spans="1:40" ht="15.95" customHeight="1">
      <c r="A35" s="14" t="s">
        <v>161</v>
      </c>
      <c r="B35" s="51">
        <v>44507</v>
      </c>
      <c r="C35" s="51" t="s">
        <v>12</v>
      </c>
      <c r="D35" s="51" t="s">
        <v>197</v>
      </c>
      <c r="E35" s="24">
        <v>0.35416666666666669</v>
      </c>
      <c r="F35" s="24">
        <v>0.4375</v>
      </c>
      <c r="G35" s="26">
        <f>IF(AND(tb_Base[[#This Row],[Date]]=B34,tb_Base[[#This Row],[Riviere]]=C34,tb_Base[[#This Row],[Secteur]]=D34,tb_Base[[#This Row],[Heure_debut]]=E34,tb_Base[[#This Row],[Heure_fin]]=F34),"",(tb_Base[[#This Row],[Heure_fin]]-tb_Base[[#This Row],[Heure_debut]])*24)</f>
        <v>1.9999999999999996</v>
      </c>
      <c r="H35" s="7" t="s">
        <v>2</v>
      </c>
      <c r="I35" s="7" t="s">
        <v>50</v>
      </c>
      <c r="J35" s="7" t="s">
        <v>119</v>
      </c>
      <c r="K35" s="7" t="s">
        <v>377</v>
      </c>
      <c r="L35" s="23" t="s">
        <v>238</v>
      </c>
      <c r="M35" s="23"/>
      <c r="N35" s="28">
        <f>SUM(tb_Base[[#This Row],[0 - 19 cm]:[240 - 249 cm]])</f>
        <v>1</v>
      </c>
      <c r="O35" s="2" t="s">
        <v>60</v>
      </c>
      <c r="S35" s="2">
        <v>1</v>
      </c>
      <c r="Y35" s="2"/>
      <c r="Z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4"/>
    </row>
    <row r="36" spans="1:40" ht="15.95" customHeight="1">
      <c r="A36" s="14" t="s">
        <v>161</v>
      </c>
      <c r="B36" s="51">
        <v>44507</v>
      </c>
      <c r="C36" s="51" t="s">
        <v>12</v>
      </c>
      <c r="D36" s="51" t="s">
        <v>197</v>
      </c>
      <c r="E36" s="24">
        <v>0.35416666666666669</v>
      </c>
      <c r="F36" s="24">
        <v>0.4375</v>
      </c>
      <c r="G36" s="26" t="str">
        <f>IF(AND(tb_Base[[#This Row],[Date]]=B35,tb_Base[[#This Row],[Riviere]]=C35,tb_Base[[#This Row],[Secteur]]=D35,tb_Base[[#This Row],[Heure_debut]]=E35,tb_Base[[#This Row],[Heure_fin]]=F35),"",(tb_Base[[#This Row],[Heure_fin]]-tb_Base[[#This Row],[Heure_debut]])*24)</f>
        <v/>
      </c>
      <c r="H36" s="7" t="s">
        <v>2</v>
      </c>
      <c r="I36" s="7" t="s">
        <v>50</v>
      </c>
      <c r="J36" s="7" t="s">
        <v>119</v>
      </c>
      <c r="K36" s="7" t="s">
        <v>377</v>
      </c>
      <c r="L36" s="23" t="s">
        <v>238</v>
      </c>
      <c r="M36" s="23"/>
      <c r="N36" s="28">
        <f>SUM(tb_Base[[#This Row],[0 - 19 cm]:[240 - 249 cm]])</f>
        <v>1</v>
      </c>
      <c r="O36" s="2" t="s">
        <v>63</v>
      </c>
      <c r="S36" s="2">
        <v>1</v>
      </c>
      <c r="Y36" s="2"/>
      <c r="Z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4"/>
    </row>
    <row r="37" spans="1:40" ht="15.95" customHeight="1">
      <c r="A37" s="14" t="s">
        <v>158</v>
      </c>
      <c r="B37" s="51">
        <v>44513</v>
      </c>
      <c r="C37" s="51" t="s">
        <v>12</v>
      </c>
      <c r="D37" s="51" t="s">
        <v>202</v>
      </c>
      <c r="E37" s="24">
        <v>0.33333333333333331</v>
      </c>
      <c r="F37" s="24">
        <v>0.375</v>
      </c>
      <c r="G37" s="26">
        <f>IF(AND(tb_Base[[#This Row],[Date]]=B36,tb_Base[[#This Row],[Riviere]]=C36,tb_Base[[#This Row],[Secteur]]=D36,tb_Base[[#This Row],[Heure_debut]]=E36,tb_Base[[#This Row],[Heure_fin]]=F36),"",(tb_Base[[#This Row],[Heure_fin]]-tb_Base[[#This Row],[Heure_debut]])*24)</f>
        <v>1.0000000000000004</v>
      </c>
      <c r="H37" s="7" t="s">
        <v>2</v>
      </c>
      <c r="I37" s="7" t="s">
        <v>49</v>
      </c>
      <c r="J37" s="7" t="s">
        <v>26</v>
      </c>
      <c r="K37" s="7" t="s">
        <v>365</v>
      </c>
      <c r="L37" s="23" t="s">
        <v>238</v>
      </c>
      <c r="M37" s="23"/>
      <c r="N37" s="28">
        <f>SUM(tb_Base[[#This Row],[0 - 19 cm]:[240 - 249 cm]])</f>
        <v>1</v>
      </c>
      <c r="O37" s="2" t="s">
        <v>60</v>
      </c>
      <c r="S37" s="2">
        <v>1</v>
      </c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4"/>
    </row>
    <row r="38" spans="1:40" ht="15.95" customHeight="1">
      <c r="A38" s="14" t="s">
        <v>159</v>
      </c>
      <c r="B38" s="51">
        <v>44513</v>
      </c>
      <c r="C38" s="51" t="s">
        <v>12</v>
      </c>
      <c r="D38" s="52" t="s">
        <v>232</v>
      </c>
      <c r="E38" s="24">
        <v>0.47916666666666669</v>
      </c>
      <c r="F38" s="24">
        <v>0.52083333333333337</v>
      </c>
      <c r="G38" s="26">
        <f>IF(AND(tb_Base[[#This Row],[Date]]=B37,tb_Base[[#This Row],[Riviere]]=C37,tb_Base[[#This Row],[Secteur]]=D37,tb_Base[[#This Row],[Heure_debut]]=E37,tb_Base[[#This Row],[Heure_fin]]=F37),"",(tb_Base[[#This Row],[Heure_fin]]-tb_Base[[#This Row],[Heure_debut]])*24)</f>
        <v>1.0000000000000004</v>
      </c>
      <c r="H38" s="7" t="s">
        <v>2</v>
      </c>
      <c r="I38" s="7" t="s">
        <v>49</v>
      </c>
      <c r="J38" s="7" t="s">
        <v>26</v>
      </c>
      <c r="K38" s="7" t="s">
        <v>365</v>
      </c>
      <c r="L38" s="23" t="s">
        <v>238</v>
      </c>
      <c r="M38" s="23"/>
      <c r="N38" s="28">
        <f>SUM(tb_Base[[#This Row],[0 - 19 cm]:[240 - 249 cm]])</f>
        <v>1</v>
      </c>
      <c r="O38" s="2" t="s">
        <v>60</v>
      </c>
      <c r="R38" s="2">
        <v>1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4"/>
    </row>
    <row r="39" spans="1:40" ht="15.95" customHeight="1">
      <c r="A39" s="14" t="s">
        <v>160</v>
      </c>
      <c r="B39" s="51">
        <v>44514</v>
      </c>
      <c r="C39" s="53" t="s">
        <v>18</v>
      </c>
      <c r="D39" s="52" t="s">
        <v>230</v>
      </c>
      <c r="E39" s="24">
        <v>0.35416666666666669</v>
      </c>
      <c r="F39" s="24">
        <v>0.47916666666666669</v>
      </c>
      <c r="G39" s="26">
        <f>IF(AND(tb_Base[[#This Row],[Date]]=B38,tb_Base[[#This Row],[Riviere]]=C38,tb_Base[[#This Row],[Secteur]]=D38,tb_Base[[#This Row],[Heure_debut]]=E38,tb_Base[[#This Row],[Heure_fin]]=F38),"",(tb_Base[[#This Row],[Heure_fin]]-tb_Base[[#This Row],[Heure_debut]])*24)</f>
        <v>3</v>
      </c>
      <c r="H39" s="7" t="s">
        <v>2</v>
      </c>
      <c r="I39" s="7" t="s">
        <v>49</v>
      </c>
      <c r="J39" s="7" t="s">
        <v>26</v>
      </c>
      <c r="K39" s="7" t="s">
        <v>365</v>
      </c>
      <c r="L39" s="23" t="s">
        <v>238</v>
      </c>
      <c r="M39" s="49" t="s">
        <v>242</v>
      </c>
      <c r="N39" s="28">
        <f>SUM(tb_Base[[#This Row],[0 - 19 cm]:[240 - 249 cm]])</f>
        <v>1</v>
      </c>
      <c r="O39" s="2" t="s">
        <v>60</v>
      </c>
      <c r="R39" s="2">
        <v>1</v>
      </c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4"/>
    </row>
    <row r="40" spans="1:40" ht="15.95" customHeight="1">
      <c r="A40" s="14" t="s">
        <v>395</v>
      </c>
      <c r="B40" s="51">
        <v>44520</v>
      </c>
      <c r="C40" s="54" t="s">
        <v>12</v>
      </c>
      <c r="D40" s="54" t="s">
        <v>202</v>
      </c>
      <c r="E40" s="24">
        <v>0.41666666666666669</v>
      </c>
      <c r="F40" s="24">
        <v>0.45833333333333331</v>
      </c>
      <c r="G40" s="26">
        <f>IF(AND(tb_Base[[#This Row],[Date]]=B39,tb_Base[[#This Row],[Riviere]]=C39,tb_Base[[#This Row],[Secteur]]=D39,tb_Base[[#This Row],[Heure_debut]]=E39,tb_Base[[#This Row],[Heure_fin]]=F39),"",(tb_Base[[#This Row],[Heure_fin]]-tb_Base[[#This Row],[Heure_debut]])*24)</f>
        <v>0.99999999999999911</v>
      </c>
      <c r="H40" s="38" t="s">
        <v>2</v>
      </c>
      <c r="I40" s="38" t="s">
        <v>49</v>
      </c>
      <c r="J40" s="38" t="s">
        <v>26</v>
      </c>
      <c r="K40" s="38" t="s">
        <v>364</v>
      </c>
      <c r="L40" s="40" t="s">
        <v>238</v>
      </c>
      <c r="M40" s="40" t="s">
        <v>244</v>
      </c>
      <c r="N40" s="28">
        <f>SUM(tb_Base[[#This Row],[0 - 19 cm]:[240 - 249 cm]])</f>
        <v>1</v>
      </c>
      <c r="O40" s="2" t="s">
        <v>60</v>
      </c>
      <c r="Q40" s="2">
        <v>1</v>
      </c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4"/>
    </row>
    <row r="41" spans="1:40" ht="15.95" customHeight="1">
      <c r="A41" s="14" t="s">
        <v>398</v>
      </c>
      <c r="B41" s="51">
        <v>44522</v>
      </c>
      <c r="C41" s="54" t="s">
        <v>12</v>
      </c>
      <c r="D41" s="54" t="s">
        <v>197</v>
      </c>
      <c r="E41" s="24">
        <v>0.47916666666666669</v>
      </c>
      <c r="F41" s="24">
        <v>0.5625</v>
      </c>
      <c r="G41" s="26">
        <f>IF(AND(tb_Base[[#This Row],[Date]]=B40,tb_Base[[#This Row],[Riviere]]=C40,tb_Base[[#This Row],[Secteur]]=D40,tb_Base[[#This Row],[Heure_debut]]=E40,tb_Base[[#This Row],[Heure_fin]]=F40),"",(tb_Base[[#This Row],[Heure_fin]]-tb_Base[[#This Row],[Heure_debut]])*24)</f>
        <v>1.9999999999999996</v>
      </c>
      <c r="H41" s="38" t="s">
        <v>2</v>
      </c>
      <c r="I41" s="38" t="s">
        <v>50</v>
      </c>
      <c r="J41" s="38" t="s">
        <v>397</v>
      </c>
      <c r="K41" s="38" t="s">
        <v>396</v>
      </c>
      <c r="L41" s="40" t="s">
        <v>238</v>
      </c>
      <c r="M41" s="40"/>
      <c r="N41" s="28">
        <f>SUM(tb_Base[[#This Row],[0 - 19 cm]:[240 - 249 cm]])</f>
        <v>1</v>
      </c>
      <c r="O41" s="2" t="s">
        <v>60</v>
      </c>
      <c r="T41" s="2">
        <v>1</v>
      </c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4"/>
    </row>
    <row r="42" spans="1:40" ht="15.95" customHeight="1">
      <c r="A42" s="14" t="s">
        <v>165</v>
      </c>
      <c r="B42" s="7">
        <v>44591</v>
      </c>
      <c r="C42" s="7" t="s">
        <v>12</v>
      </c>
      <c r="D42" s="33" t="s">
        <v>200</v>
      </c>
      <c r="E42" s="24">
        <v>0.6875</v>
      </c>
      <c r="F42" s="24">
        <v>0.75</v>
      </c>
      <c r="G42" s="26">
        <f>IF(AND(tb_Base[[#This Row],[Date]]=B41,tb_Base[[#This Row],[Riviere]]=C41,tb_Base[[#This Row],[Secteur]]=D41,tb_Base[[#This Row],[Heure_debut]]=E41,tb_Base[[#This Row],[Heure_fin]]=F41),"",(tb_Base[[#This Row],[Heure_fin]]-tb_Base[[#This Row],[Heure_debut]])*24)</f>
        <v>1.5</v>
      </c>
      <c r="H42" s="7" t="s">
        <v>2</v>
      </c>
      <c r="I42" s="7" t="s">
        <v>163</v>
      </c>
      <c r="J42" s="7" t="s">
        <v>164</v>
      </c>
      <c r="K42" s="7" t="s">
        <v>371</v>
      </c>
      <c r="L42" s="23" t="s">
        <v>238</v>
      </c>
      <c r="M42" s="23" t="s">
        <v>244</v>
      </c>
      <c r="N42" s="28">
        <f>SUM(tb_Base[[#This Row],[0 - 19 cm]:[240 - 249 cm]])</f>
        <v>1</v>
      </c>
      <c r="O42" s="2" t="s">
        <v>60</v>
      </c>
      <c r="S42" s="2">
        <v>1</v>
      </c>
      <c r="Y42" s="2"/>
      <c r="Z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4"/>
    </row>
    <row r="43" spans="1:40" ht="15.95" customHeight="1">
      <c r="A43" s="14" t="s">
        <v>166</v>
      </c>
      <c r="B43" s="7">
        <v>44621</v>
      </c>
      <c r="C43" s="7" t="s">
        <v>99</v>
      </c>
      <c r="D43" s="33" t="s">
        <v>6</v>
      </c>
      <c r="E43" s="24">
        <v>0.41666666666666669</v>
      </c>
      <c r="F43" s="24">
        <v>0.52083333333333337</v>
      </c>
      <c r="G43" s="26">
        <f>IF(AND(tb_Base[[#This Row],[Date]]=B42,tb_Base[[#This Row],[Riviere]]=C42,tb_Base[[#This Row],[Secteur]]=D42,tb_Base[[#This Row],[Heure_debut]]=E42,tb_Base[[#This Row],[Heure_fin]]=F42),"",(tb_Base[[#This Row],[Heure_fin]]-tb_Base[[#This Row],[Heure_debut]])*24)</f>
        <v>2.5000000000000004</v>
      </c>
      <c r="H43" s="7" t="s">
        <v>2</v>
      </c>
      <c r="I43" s="7"/>
      <c r="J43" s="7"/>
      <c r="K43" s="7"/>
      <c r="L43" s="2" t="s">
        <v>236</v>
      </c>
      <c r="M43" s="23"/>
      <c r="N43" s="28">
        <f>SUM(tb_Base[[#This Row],[0 - 19 cm]:[240 - 249 cm]])</f>
        <v>1</v>
      </c>
      <c r="O43" s="2" t="s">
        <v>60</v>
      </c>
      <c r="R43" s="2">
        <v>1</v>
      </c>
      <c r="Y43" s="2"/>
      <c r="Z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4"/>
    </row>
    <row r="44" spans="1:40" ht="15.95" customHeight="1">
      <c r="A44" s="14" t="s">
        <v>166</v>
      </c>
      <c r="B44" s="7">
        <v>44621</v>
      </c>
      <c r="C44" s="7" t="s">
        <v>99</v>
      </c>
      <c r="D44" s="33" t="s">
        <v>6</v>
      </c>
      <c r="E44" s="24">
        <v>0.41666666666666669</v>
      </c>
      <c r="F44" s="24">
        <v>0.52083333333333337</v>
      </c>
      <c r="G44" s="26" t="str">
        <f>IF(AND(tb_Base[[#This Row],[Date]]=B43,tb_Base[[#This Row],[Riviere]]=C43,tb_Base[[#This Row],[Secteur]]=D43,tb_Base[[#This Row],[Heure_debut]]=E43,tb_Base[[#This Row],[Heure_fin]]=F43),"",(tb_Base[[#This Row],[Heure_fin]]-tb_Base[[#This Row],[Heure_debut]])*24)</f>
        <v/>
      </c>
      <c r="H44" s="7" t="s">
        <v>2</v>
      </c>
      <c r="I44" s="7"/>
      <c r="J44" s="7"/>
      <c r="K44" s="7"/>
      <c r="L44" s="2" t="s">
        <v>236</v>
      </c>
      <c r="M44" s="23"/>
      <c r="N44" s="28">
        <f>SUM(tb_Base[[#This Row],[0 - 19 cm]:[240 - 249 cm]])</f>
        <v>9</v>
      </c>
      <c r="O44" s="2" t="s">
        <v>61</v>
      </c>
      <c r="P44" s="2">
        <v>3</v>
      </c>
      <c r="Q44" s="2">
        <v>5</v>
      </c>
      <c r="R44" s="2">
        <v>1</v>
      </c>
      <c r="Y44" s="2"/>
      <c r="Z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4"/>
    </row>
    <row r="45" spans="1:40" ht="15.95" customHeight="1">
      <c r="A45" s="14" t="s">
        <v>167</v>
      </c>
      <c r="B45" s="7">
        <v>44623</v>
      </c>
      <c r="C45" s="7" t="s">
        <v>99</v>
      </c>
      <c r="D45" s="33" t="s">
        <v>6</v>
      </c>
      <c r="E45" s="24">
        <v>0.70833333333333337</v>
      </c>
      <c r="F45" s="24">
        <v>0.75</v>
      </c>
      <c r="G45" s="26">
        <f>IF(AND(tb_Base[[#This Row],[Date]]=B44,tb_Base[[#This Row],[Riviere]]=C44,tb_Base[[#This Row],[Secteur]]=D44,tb_Base[[#This Row],[Heure_debut]]=E44,tb_Base[[#This Row],[Heure_fin]]=F44),"",(tb_Base[[#This Row],[Heure_fin]]-tb_Base[[#This Row],[Heure_debut]])*24)</f>
        <v>0.99999999999999911</v>
      </c>
      <c r="H45" s="7" t="s">
        <v>2</v>
      </c>
      <c r="I45" s="7" t="s">
        <v>49</v>
      </c>
      <c r="J45" s="7" t="s">
        <v>26</v>
      </c>
      <c r="K45" s="7" t="s">
        <v>364</v>
      </c>
      <c r="L45" s="2" t="s">
        <v>236</v>
      </c>
      <c r="M45" s="23" t="s">
        <v>247</v>
      </c>
      <c r="N45" s="28">
        <f>SUM(tb_Base[[#This Row],[0 - 19 cm]:[240 - 249 cm]])</f>
        <v>2</v>
      </c>
      <c r="O45" s="2" t="s">
        <v>60</v>
      </c>
      <c r="R45" s="2">
        <v>2</v>
      </c>
      <c r="Y45" s="2"/>
      <c r="Z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4"/>
    </row>
    <row r="46" spans="1:40" ht="15.95" customHeight="1">
      <c r="A46" s="14" t="s">
        <v>168</v>
      </c>
      <c r="B46" s="7">
        <v>44625</v>
      </c>
      <c r="C46" s="7" t="s">
        <v>99</v>
      </c>
      <c r="D46" s="33" t="s">
        <v>6</v>
      </c>
      <c r="E46" s="24">
        <v>0.75</v>
      </c>
      <c r="F46" s="24">
        <v>0.79166666666666663</v>
      </c>
      <c r="G46" s="26">
        <f>IF(AND(tb_Base[[#This Row],[Date]]=B45,tb_Base[[#This Row],[Riviere]]=C45,tb_Base[[#This Row],[Secteur]]=D45,tb_Base[[#This Row],[Heure_debut]]=E45,tb_Base[[#This Row],[Heure_fin]]=F45),"",(tb_Base[[#This Row],[Heure_fin]]-tb_Base[[#This Row],[Heure_debut]])*24)</f>
        <v>0.99999999999999911</v>
      </c>
      <c r="H46" s="7" t="s">
        <v>2</v>
      </c>
      <c r="I46" s="7"/>
      <c r="J46" s="7"/>
      <c r="K46" s="7"/>
      <c r="L46" s="2" t="s">
        <v>236</v>
      </c>
      <c r="M46" s="23" t="s">
        <v>247</v>
      </c>
      <c r="N46" s="28">
        <f>SUM(tb_Base[[#This Row],[0 - 19 cm]:[240 - 249 cm]])</f>
        <v>1</v>
      </c>
      <c r="O46" s="2" t="s">
        <v>60</v>
      </c>
      <c r="R46" s="2">
        <v>1</v>
      </c>
      <c r="Y46" s="2"/>
      <c r="Z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4"/>
    </row>
    <row r="47" spans="1:40" ht="15.95" customHeight="1">
      <c r="A47" s="14" t="s">
        <v>169</v>
      </c>
      <c r="B47" s="7">
        <v>44626</v>
      </c>
      <c r="C47" s="7" t="s">
        <v>99</v>
      </c>
      <c r="D47" s="33" t="s">
        <v>6</v>
      </c>
      <c r="E47" s="24">
        <v>0.39583333333333331</v>
      </c>
      <c r="F47" s="24">
        <v>0.52083333333333337</v>
      </c>
      <c r="G47" s="26">
        <f>IF(AND(tb_Base[[#This Row],[Date]]=B46,tb_Base[[#This Row],[Riviere]]=C46,tb_Base[[#This Row],[Secteur]]=D46,tb_Base[[#This Row],[Heure_debut]]=E46,tb_Base[[#This Row],[Heure_fin]]=F46),"",(tb_Base[[#This Row],[Heure_fin]]-tb_Base[[#This Row],[Heure_debut]])*24)</f>
        <v>3.0000000000000013</v>
      </c>
      <c r="H47" s="7" t="s">
        <v>2</v>
      </c>
      <c r="I47" s="7"/>
      <c r="J47" s="7"/>
      <c r="K47" s="7"/>
      <c r="L47" s="2" t="s">
        <v>236</v>
      </c>
      <c r="M47" s="23" t="s">
        <v>247</v>
      </c>
      <c r="N47" s="28">
        <f>SUM(tb_Base[[#This Row],[0 - 19 cm]:[240 - 249 cm]])</f>
        <v>2</v>
      </c>
      <c r="O47" s="2" t="s">
        <v>60</v>
      </c>
      <c r="R47" s="2">
        <v>2</v>
      </c>
      <c r="Y47" s="2"/>
      <c r="Z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4"/>
    </row>
    <row r="48" spans="1:40" ht="15.95" customHeight="1">
      <c r="A48" s="14" t="s">
        <v>170</v>
      </c>
      <c r="B48" s="7">
        <v>44640</v>
      </c>
      <c r="C48" s="7" t="s">
        <v>99</v>
      </c>
      <c r="D48" s="33" t="s">
        <v>6</v>
      </c>
      <c r="E48" s="24">
        <v>0.33333333333333331</v>
      </c>
      <c r="F48" s="24">
        <v>0.5</v>
      </c>
      <c r="G48" s="26">
        <f>IF(AND(tb_Base[[#This Row],[Date]]=B47,tb_Base[[#This Row],[Riviere]]=C47,tb_Base[[#This Row],[Secteur]]=D47,tb_Base[[#This Row],[Heure_debut]]=E47,tb_Base[[#This Row],[Heure_fin]]=F47),"",(tb_Base[[#This Row],[Heure_fin]]-tb_Base[[#This Row],[Heure_debut]])*24)</f>
        <v>4</v>
      </c>
      <c r="H48" s="7" t="s">
        <v>2</v>
      </c>
      <c r="I48" s="7"/>
      <c r="J48" s="7"/>
      <c r="K48" s="7"/>
      <c r="L48" s="2" t="s">
        <v>236</v>
      </c>
      <c r="M48" s="23"/>
      <c r="N48" s="28">
        <f>SUM(tb_Base[[#This Row],[0 - 19 cm]:[240 - 249 cm]])</f>
        <v>1</v>
      </c>
      <c r="O48" s="2" t="s">
        <v>60</v>
      </c>
      <c r="Q48" s="2">
        <v>1</v>
      </c>
      <c r="Y48" s="2"/>
      <c r="Z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4"/>
    </row>
    <row r="49" spans="1:40" ht="15.95" customHeight="1">
      <c r="A49" s="14" t="s">
        <v>170</v>
      </c>
      <c r="B49" s="7">
        <v>44640</v>
      </c>
      <c r="C49" s="7" t="s">
        <v>99</v>
      </c>
      <c r="D49" s="33" t="s">
        <v>6</v>
      </c>
      <c r="E49" s="24">
        <v>0.33333333333333331</v>
      </c>
      <c r="F49" s="24">
        <v>0.5</v>
      </c>
      <c r="G49" s="26" t="str">
        <f>IF(AND(tb_Base[[#This Row],[Date]]=B48,tb_Base[[#This Row],[Riviere]]=C48,tb_Base[[#This Row],[Secteur]]=D48,tb_Base[[#This Row],[Heure_debut]]=E48,tb_Base[[#This Row],[Heure_fin]]=F48),"",(tb_Base[[#This Row],[Heure_fin]]-tb_Base[[#This Row],[Heure_debut]])*24)</f>
        <v/>
      </c>
      <c r="H49" s="7" t="s">
        <v>2</v>
      </c>
      <c r="I49" s="7"/>
      <c r="J49" s="7"/>
      <c r="K49" s="7"/>
      <c r="L49" s="2" t="s">
        <v>236</v>
      </c>
      <c r="M49" s="23"/>
      <c r="N49" s="28">
        <f>SUM(tb_Base[[#This Row],[0 - 19 cm]:[240 - 249 cm]])</f>
        <v>3</v>
      </c>
      <c r="O49" s="2" t="s">
        <v>61</v>
      </c>
      <c r="Q49" s="2">
        <v>2</v>
      </c>
      <c r="R49" s="2">
        <v>1</v>
      </c>
      <c r="Y49" s="2"/>
      <c r="Z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4"/>
    </row>
    <row r="50" spans="1:40" ht="15.95" customHeight="1">
      <c r="A50" s="14" t="s">
        <v>171</v>
      </c>
      <c r="B50" s="7">
        <v>44650</v>
      </c>
      <c r="C50" s="7" t="s">
        <v>99</v>
      </c>
      <c r="D50" s="33" t="s">
        <v>6</v>
      </c>
      <c r="E50" s="24">
        <v>0.33333333333333331</v>
      </c>
      <c r="F50" s="24">
        <v>0.5</v>
      </c>
      <c r="G50" s="26">
        <f>IF(AND(tb_Base[[#This Row],[Date]]=B49,tb_Base[[#This Row],[Riviere]]=C49,tb_Base[[#This Row],[Secteur]]=D49,tb_Base[[#This Row],[Heure_debut]]=E49,tb_Base[[#This Row],[Heure_fin]]=F49),"",(tb_Base[[#This Row],[Heure_fin]]-tb_Base[[#This Row],[Heure_debut]])*24)</f>
        <v>4</v>
      </c>
      <c r="H50" s="7" t="s">
        <v>2</v>
      </c>
      <c r="I50" s="7" t="s">
        <v>50</v>
      </c>
      <c r="J50" s="7" t="s">
        <v>314</v>
      </c>
      <c r="K50" s="7" t="s">
        <v>108</v>
      </c>
      <c r="L50" s="2" t="s">
        <v>236</v>
      </c>
      <c r="M50" s="23"/>
      <c r="N50" s="28">
        <f>SUM(tb_Base[[#This Row],[0 - 19 cm]:[240 - 249 cm]])</f>
        <v>1</v>
      </c>
      <c r="O50" s="2" t="s">
        <v>60</v>
      </c>
      <c r="R50" s="2">
        <v>1</v>
      </c>
      <c r="Y50" s="2"/>
      <c r="Z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4"/>
    </row>
    <row r="51" spans="1:40" ht="15.95" customHeight="1">
      <c r="A51" s="14" t="s">
        <v>171</v>
      </c>
      <c r="B51" s="7">
        <v>44650</v>
      </c>
      <c r="C51" s="7" t="s">
        <v>99</v>
      </c>
      <c r="D51" s="33" t="s">
        <v>6</v>
      </c>
      <c r="E51" s="24">
        <v>0.33333333333333331</v>
      </c>
      <c r="F51" s="24">
        <v>0.5</v>
      </c>
      <c r="G51" s="26" t="str">
        <f>IF(AND(tb_Base[[#This Row],[Date]]=B50,tb_Base[[#This Row],[Riviere]]=C50,tb_Base[[#This Row],[Secteur]]=D50,tb_Base[[#This Row],[Heure_debut]]=E50,tb_Base[[#This Row],[Heure_fin]]=F50),"",(tb_Base[[#This Row],[Heure_fin]]-tb_Base[[#This Row],[Heure_debut]])*24)</f>
        <v/>
      </c>
      <c r="H51" s="7" t="s">
        <v>2</v>
      </c>
      <c r="I51" s="7"/>
      <c r="J51" s="7"/>
      <c r="K51" s="7"/>
      <c r="L51" s="2" t="s">
        <v>236</v>
      </c>
      <c r="M51" s="23"/>
      <c r="N51" s="28">
        <f>SUM(tb_Base[[#This Row],[0 - 19 cm]:[240 - 249 cm]])</f>
        <v>4</v>
      </c>
      <c r="O51" s="2" t="s">
        <v>61</v>
      </c>
      <c r="P51" s="2">
        <v>2</v>
      </c>
      <c r="Q51" s="2">
        <v>2</v>
      </c>
      <c r="Y51" s="2"/>
      <c r="Z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4"/>
    </row>
    <row r="52" spans="1:40" ht="15.95" customHeight="1">
      <c r="A52" s="14" t="s">
        <v>172</v>
      </c>
      <c r="B52" s="7">
        <v>44651</v>
      </c>
      <c r="C52" s="7" t="s">
        <v>99</v>
      </c>
      <c r="D52" s="33" t="s">
        <v>6</v>
      </c>
      <c r="E52" s="24">
        <v>0.39583333333333331</v>
      </c>
      <c r="F52" s="24">
        <v>0.4375</v>
      </c>
      <c r="G52" s="26">
        <f>IF(AND(tb_Base[[#This Row],[Date]]=B51,tb_Base[[#This Row],[Riviere]]=C51,tb_Base[[#This Row],[Secteur]]=D51,tb_Base[[#This Row],[Heure_debut]]=E51,tb_Base[[#This Row],[Heure_fin]]=F51),"",(tb_Base[[#This Row],[Heure_fin]]-tb_Base[[#This Row],[Heure_debut]])*24)</f>
        <v>1.0000000000000004</v>
      </c>
      <c r="H52" s="7" t="s">
        <v>2</v>
      </c>
      <c r="I52" s="7" t="s">
        <v>49</v>
      </c>
      <c r="J52" s="7" t="s">
        <v>26</v>
      </c>
      <c r="K52" s="7" t="s">
        <v>369</v>
      </c>
      <c r="L52" s="2" t="s">
        <v>236</v>
      </c>
      <c r="M52" s="23"/>
      <c r="N52" s="28">
        <f>SUM(tb_Base[[#This Row],[0 - 19 cm]:[240 - 249 cm]])</f>
        <v>1</v>
      </c>
      <c r="O52" s="2" t="s">
        <v>60</v>
      </c>
      <c r="R52" s="2">
        <v>1</v>
      </c>
      <c r="Y52" s="2"/>
      <c r="Z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4"/>
    </row>
    <row r="53" spans="1:40" ht="15.95" customHeight="1">
      <c r="A53" s="14" t="s">
        <v>172</v>
      </c>
      <c r="B53" s="7">
        <v>44651</v>
      </c>
      <c r="C53" s="7" t="s">
        <v>99</v>
      </c>
      <c r="D53" s="33" t="s">
        <v>6</v>
      </c>
      <c r="E53" s="24">
        <v>0.39583333333333331</v>
      </c>
      <c r="F53" s="24">
        <v>0.4375</v>
      </c>
      <c r="G53" s="26" t="str">
        <f>IF(AND(tb_Base[[#This Row],[Date]]=B52,tb_Base[[#This Row],[Riviere]]=C52,tb_Base[[#This Row],[Secteur]]=D52,tb_Base[[#This Row],[Heure_debut]]=E52,tb_Base[[#This Row],[Heure_fin]]=F52),"",(tb_Base[[#This Row],[Heure_fin]]-tb_Base[[#This Row],[Heure_debut]])*24)</f>
        <v/>
      </c>
      <c r="H53" s="7" t="s">
        <v>2</v>
      </c>
      <c r="I53" s="7"/>
      <c r="J53" s="7"/>
      <c r="K53" s="7"/>
      <c r="L53" s="2" t="s">
        <v>236</v>
      </c>
      <c r="M53" s="23"/>
      <c r="N53" s="28">
        <f>SUM(tb_Base[[#This Row],[0 - 19 cm]:[240 - 249 cm]])</f>
        <v>3</v>
      </c>
      <c r="O53" s="2" t="s">
        <v>61</v>
      </c>
      <c r="P53" s="2">
        <v>3</v>
      </c>
      <c r="Y53" s="2"/>
      <c r="Z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4"/>
    </row>
    <row r="54" spans="1:40" ht="15.95" customHeight="1">
      <c r="A54" s="14" t="s">
        <v>173</v>
      </c>
      <c r="B54" s="7">
        <v>44654</v>
      </c>
      <c r="C54" s="7" t="s">
        <v>99</v>
      </c>
      <c r="D54" s="33" t="s">
        <v>6</v>
      </c>
      <c r="E54" s="24">
        <v>0.4375</v>
      </c>
      <c r="F54" s="24">
        <v>0.47916666666666669</v>
      </c>
      <c r="G54" s="26">
        <f>IF(AND(tb_Base[[#This Row],[Date]]=B53,tb_Base[[#This Row],[Riviere]]=C53,tb_Base[[#This Row],[Secteur]]=D53,tb_Base[[#This Row],[Heure_debut]]=E53,tb_Base[[#This Row],[Heure_fin]]=F53),"",(tb_Base[[#This Row],[Heure_fin]]-tb_Base[[#This Row],[Heure_debut]])*24)</f>
        <v>1.0000000000000004</v>
      </c>
      <c r="H54" s="7" t="s">
        <v>3</v>
      </c>
      <c r="I54" s="7" t="s">
        <v>49</v>
      </c>
      <c r="J54" s="7" t="s">
        <v>26</v>
      </c>
      <c r="K54" s="7" t="s">
        <v>364</v>
      </c>
      <c r="L54" s="2" t="s">
        <v>236</v>
      </c>
      <c r="M54" s="23"/>
      <c r="N54" s="28">
        <f>SUM(tb_Base[[#This Row],[0 - 19 cm]:[240 - 249 cm]])</f>
        <v>1</v>
      </c>
      <c r="O54" s="2" t="s">
        <v>61</v>
      </c>
      <c r="P54" s="2">
        <v>1</v>
      </c>
      <c r="Y54" s="2"/>
      <c r="Z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4"/>
    </row>
    <row r="55" spans="1:40" ht="15.95" customHeight="1">
      <c r="A55" s="14" t="s">
        <v>174</v>
      </c>
      <c r="B55" s="7">
        <v>44654</v>
      </c>
      <c r="C55" s="7" t="s">
        <v>99</v>
      </c>
      <c r="D55" s="33" t="s">
        <v>6</v>
      </c>
      <c r="E55" s="24">
        <v>0.4375</v>
      </c>
      <c r="F55" s="24">
        <v>0.47916666666666669</v>
      </c>
      <c r="G55" s="26" t="str">
        <f>IF(AND(tb_Base[[#This Row],[Date]]=B54,tb_Base[[#This Row],[Riviere]]=C54,tb_Base[[#This Row],[Secteur]]=D54,tb_Base[[#This Row],[Heure_debut]]=E54,tb_Base[[#This Row],[Heure_fin]]=F54),"",(tb_Base[[#This Row],[Heure_fin]]-tb_Base[[#This Row],[Heure_debut]])*24)</f>
        <v/>
      </c>
      <c r="H55" s="7" t="s">
        <v>3</v>
      </c>
      <c r="I55" s="7"/>
      <c r="J55" s="7"/>
      <c r="K55" s="7"/>
      <c r="L55" s="2" t="s">
        <v>236</v>
      </c>
      <c r="M55" s="23"/>
      <c r="N55" s="28">
        <f>SUM(tb_Base[[#This Row],[0 - 19 cm]:[240 - 249 cm]])</f>
        <v>2</v>
      </c>
      <c r="O55" s="2" t="s">
        <v>60</v>
      </c>
      <c r="Q55" s="2">
        <v>1</v>
      </c>
      <c r="R55" s="2">
        <v>1</v>
      </c>
      <c r="Y55" s="2"/>
      <c r="Z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4"/>
    </row>
    <row r="56" spans="1:40" ht="15.95" customHeight="1">
      <c r="A56" s="14" t="s">
        <v>175</v>
      </c>
      <c r="B56" s="7">
        <v>44670</v>
      </c>
      <c r="C56" s="7" t="s">
        <v>99</v>
      </c>
      <c r="D56" s="33" t="s">
        <v>6</v>
      </c>
      <c r="E56" s="24">
        <v>0.72916666666666663</v>
      </c>
      <c r="F56" s="24">
        <v>0.8125</v>
      </c>
      <c r="G56" s="26">
        <f>IF(AND(tb_Base[[#This Row],[Date]]=B55,tb_Base[[#This Row],[Riviere]]=C55,tb_Base[[#This Row],[Secteur]]=D55,tb_Base[[#This Row],[Heure_debut]]=E55,tb_Base[[#This Row],[Heure_fin]]=F55),"",(tb_Base[[#This Row],[Heure_fin]]-tb_Base[[#This Row],[Heure_debut]])*24)</f>
        <v>2.0000000000000009</v>
      </c>
      <c r="H56" s="7" t="s">
        <v>3</v>
      </c>
      <c r="I56" s="7"/>
      <c r="J56" s="7"/>
      <c r="K56" s="7"/>
      <c r="L56" s="2" t="s">
        <v>236</v>
      </c>
      <c r="M56" s="23" t="s">
        <v>399</v>
      </c>
      <c r="N56" s="28">
        <f>SUM(tb_Base[[#This Row],[0 - 19 cm]:[240 - 249 cm]])</f>
        <v>1</v>
      </c>
      <c r="O56" s="2" t="s">
        <v>60</v>
      </c>
      <c r="R56" s="2">
        <v>1</v>
      </c>
      <c r="Y56" s="2"/>
      <c r="Z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4"/>
    </row>
    <row r="57" spans="1:40" ht="15.95" customHeight="1">
      <c r="A57" s="14" t="s">
        <v>175</v>
      </c>
      <c r="B57" s="7">
        <v>44670</v>
      </c>
      <c r="C57" s="7" t="s">
        <v>99</v>
      </c>
      <c r="D57" s="33" t="s">
        <v>6</v>
      </c>
      <c r="E57" s="24">
        <v>0.72916666666666663</v>
      </c>
      <c r="F57" s="24">
        <v>0.8125</v>
      </c>
      <c r="G57" s="26" t="str">
        <f>IF(AND(tb_Base[[#This Row],[Date]]=B56,tb_Base[[#This Row],[Riviere]]=C56,tb_Base[[#This Row],[Secteur]]=D56,tb_Base[[#This Row],[Heure_debut]]=E56,tb_Base[[#This Row],[Heure_fin]]=F56),"",(tb_Base[[#This Row],[Heure_fin]]-tb_Base[[#This Row],[Heure_debut]])*24)</f>
        <v/>
      </c>
      <c r="H57" s="7" t="s">
        <v>3</v>
      </c>
      <c r="I57" s="7"/>
      <c r="J57" s="7"/>
      <c r="K57" s="7"/>
      <c r="L57" s="2" t="s">
        <v>236</v>
      </c>
      <c r="M57" s="23" t="s">
        <v>399</v>
      </c>
      <c r="N57" s="28">
        <f>SUM(tb_Base[[#This Row],[0 - 19 cm]:[240 - 249 cm]])</f>
        <v>1</v>
      </c>
      <c r="O57" s="2" t="s">
        <v>61</v>
      </c>
      <c r="P57" s="2">
        <v>1</v>
      </c>
      <c r="Y57" s="2"/>
      <c r="Z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4"/>
    </row>
    <row r="58" spans="1:40" ht="15.95" customHeight="1">
      <c r="A58" s="14" t="s">
        <v>176</v>
      </c>
      <c r="B58" s="7">
        <v>44671</v>
      </c>
      <c r="C58" s="7" t="s">
        <v>99</v>
      </c>
      <c r="D58" s="33" t="s">
        <v>6</v>
      </c>
      <c r="E58" s="24">
        <v>0.83333333333333337</v>
      </c>
      <c r="F58" s="24">
        <v>0.875</v>
      </c>
      <c r="G58" s="26">
        <f>IF(AND(tb_Base[[#This Row],[Date]]=B57,tb_Base[[#This Row],[Riviere]]=C57,tb_Base[[#This Row],[Secteur]]=D57,tb_Base[[#This Row],[Heure_debut]]=E57,tb_Base[[#This Row],[Heure_fin]]=F57),"",(tb_Base[[#This Row],[Heure_fin]]-tb_Base[[#This Row],[Heure_debut]])*24)</f>
        <v>0.99999999999999911</v>
      </c>
      <c r="H58" s="7" t="s">
        <v>3</v>
      </c>
      <c r="I58" s="7"/>
      <c r="J58" s="7"/>
      <c r="K58" s="7"/>
      <c r="L58" s="2" t="s">
        <v>236</v>
      </c>
      <c r="M58" s="23"/>
      <c r="N58" s="28">
        <f>SUM(tb_Base[[#This Row],[0 - 19 cm]:[240 - 249 cm]])</f>
        <v>3</v>
      </c>
      <c r="O58" s="2" t="s">
        <v>60</v>
      </c>
      <c r="Q58" s="2">
        <v>3</v>
      </c>
      <c r="Y58" s="2"/>
      <c r="Z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4"/>
    </row>
    <row r="59" spans="1:40" ht="15.95" customHeight="1">
      <c r="A59" s="14" t="s">
        <v>177</v>
      </c>
      <c r="B59" s="7">
        <v>44672</v>
      </c>
      <c r="C59" s="7" t="s">
        <v>99</v>
      </c>
      <c r="D59" s="33" t="s">
        <v>6</v>
      </c>
      <c r="E59" s="24">
        <v>0.83333333333333337</v>
      </c>
      <c r="F59" s="24">
        <v>0.875</v>
      </c>
      <c r="G59" s="26">
        <f>IF(AND(tb_Base[[#This Row],[Date]]=B58,tb_Base[[#This Row],[Riviere]]=C58,tb_Base[[#This Row],[Secteur]]=D58,tb_Base[[#This Row],[Heure_debut]]=E58,tb_Base[[#This Row],[Heure_fin]]=F58),"",(tb_Base[[#This Row],[Heure_fin]]-tb_Base[[#This Row],[Heure_debut]])*24)</f>
        <v>0.99999999999999911</v>
      </c>
      <c r="H59" s="7" t="s">
        <v>3</v>
      </c>
      <c r="I59" s="7"/>
      <c r="J59" s="7"/>
      <c r="K59" s="7"/>
      <c r="L59" s="2" t="s">
        <v>236</v>
      </c>
      <c r="M59" s="23"/>
      <c r="N59" s="28">
        <f>SUM(tb_Base[[#This Row],[0 - 19 cm]:[240 - 249 cm]])</f>
        <v>4</v>
      </c>
      <c r="O59" s="2" t="s">
        <v>61</v>
      </c>
      <c r="P59" s="2">
        <v>1</v>
      </c>
      <c r="Q59" s="2">
        <v>3</v>
      </c>
      <c r="Y59" s="2"/>
      <c r="Z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4"/>
    </row>
    <row r="60" spans="1:40" ht="15.95" customHeight="1">
      <c r="A60" s="14" t="s">
        <v>178</v>
      </c>
      <c r="B60" s="7">
        <v>44681</v>
      </c>
      <c r="C60" s="7" t="s">
        <v>12</v>
      </c>
      <c r="D60" s="32" t="s">
        <v>197</v>
      </c>
      <c r="E60" s="24">
        <v>0.35416666666666669</v>
      </c>
      <c r="F60" s="24">
        <v>0.39583333333333331</v>
      </c>
      <c r="G60" s="26">
        <f>IF(AND(tb_Base[[#This Row],[Date]]=B59,tb_Base[[#This Row],[Riviere]]=C59,tb_Base[[#This Row],[Secteur]]=D59,tb_Base[[#This Row],[Heure_debut]]=E59,tb_Base[[#This Row],[Heure_fin]]=F59),"",(tb_Base[[#This Row],[Heure_fin]]-tb_Base[[#This Row],[Heure_debut]])*24)</f>
        <v>0.99999999999999911</v>
      </c>
      <c r="H60" s="7" t="s">
        <v>3</v>
      </c>
      <c r="I60" s="7"/>
      <c r="J60" s="7"/>
      <c r="K60" s="7"/>
      <c r="L60" s="23" t="s">
        <v>238</v>
      </c>
      <c r="M60" s="23"/>
      <c r="N60" s="28">
        <f>SUM(tb_Base[[#This Row],[0 - 19 cm]:[240 - 249 cm]])</f>
        <v>0</v>
      </c>
      <c r="Y60" s="2"/>
      <c r="Z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4"/>
    </row>
    <row r="61" spans="1:40" ht="15.95" customHeight="1">
      <c r="A61" s="14" t="s">
        <v>179</v>
      </c>
      <c r="B61" s="7">
        <v>44681</v>
      </c>
      <c r="C61" s="7" t="s">
        <v>12</v>
      </c>
      <c r="D61" s="7" t="s">
        <v>200</v>
      </c>
      <c r="E61" s="24">
        <v>0.39583333333333331</v>
      </c>
      <c r="F61" s="24">
        <v>0.4375</v>
      </c>
      <c r="G61" s="26">
        <f>IF(AND(tb_Base[[#This Row],[Date]]=B60,tb_Base[[#This Row],[Riviere]]=C60,tb_Base[[#This Row],[Secteur]]=D60,tb_Base[[#This Row],[Heure_debut]]=E60,tb_Base[[#This Row],[Heure_fin]]=F60),"",(tb_Base[[#This Row],[Heure_fin]]-tb_Base[[#This Row],[Heure_debut]])*24)</f>
        <v>1.0000000000000004</v>
      </c>
      <c r="H61" s="7" t="s">
        <v>3</v>
      </c>
      <c r="I61" s="7" t="s">
        <v>163</v>
      </c>
      <c r="J61" s="7" t="s">
        <v>164</v>
      </c>
      <c r="K61" s="7" t="s">
        <v>371</v>
      </c>
      <c r="L61" s="23" t="s">
        <v>238</v>
      </c>
      <c r="M61" s="23"/>
      <c r="N61" s="28">
        <f>SUM(tb_Base[[#This Row],[0 - 19 cm]:[240 - 249 cm]])</f>
        <v>1</v>
      </c>
      <c r="O61" s="2" t="s">
        <v>60</v>
      </c>
      <c r="S61" s="2">
        <v>1</v>
      </c>
      <c r="Y61" s="2"/>
      <c r="Z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4"/>
    </row>
    <row r="62" spans="1:40" ht="15.95" customHeight="1">
      <c r="A62" s="14" t="s">
        <v>180</v>
      </c>
      <c r="B62" s="7">
        <v>44683</v>
      </c>
      <c r="C62" s="7" t="s">
        <v>13</v>
      </c>
      <c r="D62" s="32" t="s">
        <v>219</v>
      </c>
      <c r="E62" s="24">
        <v>0.45833333333333331</v>
      </c>
      <c r="F62" s="24">
        <v>0.58333333333333337</v>
      </c>
      <c r="G62" s="26">
        <f>IF(AND(tb_Base[[#This Row],[Date]]=B61,tb_Base[[#This Row],[Riviere]]=C61,tb_Base[[#This Row],[Secteur]]=D61,tb_Base[[#This Row],[Heure_debut]]=E61,tb_Base[[#This Row],[Heure_fin]]=F61),"",(tb_Base[[#This Row],[Heure_fin]]-tb_Base[[#This Row],[Heure_debut]])*24)</f>
        <v>3.0000000000000013</v>
      </c>
      <c r="H62" s="7" t="s">
        <v>3</v>
      </c>
      <c r="I62" s="7" t="s">
        <v>49</v>
      </c>
      <c r="J62" s="7" t="s">
        <v>26</v>
      </c>
      <c r="K62" s="7"/>
      <c r="L62" s="23" t="s">
        <v>238</v>
      </c>
      <c r="M62" s="23"/>
      <c r="N62" s="28">
        <f>SUM(tb_Base[[#This Row],[0 - 19 cm]:[240 - 249 cm]])</f>
        <v>1</v>
      </c>
      <c r="O62" s="2" t="s">
        <v>61</v>
      </c>
      <c r="P62" s="2">
        <v>1</v>
      </c>
      <c r="Y62" s="2"/>
      <c r="Z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4"/>
    </row>
    <row r="63" spans="1:40" ht="15.95" customHeight="1">
      <c r="A63" s="14" t="s">
        <v>181</v>
      </c>
      <c r="B63" s="7">
        <v>44683</v>
      </c>
      <c r="C63" s="7" t="s">
        <v>13</v>
      </c>
      <c r="D63" s="32" t="s">
        <v>219</v>
      </c>
      <c r="E63" s="24">
        <v>0.45833333333333331</v>
      </c>
      <c r="F63" s="24">
        <v>0.58333333333333337</v>
      </c>
      <c r="G63" s="26" t="str">
        <f>IF(AND(tb_Base[[#This Row],[Date]]=B62,tb_Base[[#This Row],[Riviere]]=C62,tb_Base[[#This Row],[Secteur]]=D62,tb_Base[[#This Row],[Heure_debut]]=E62,tb_Base[[#This Row],[Heure_fin]]=F62),"",(tb_Base[[#This Row],[Heure_fin]]-tb_Base[[#This Row],[Heure_debut]])*24)</f>
        <v/>
      </c>
      <c r="H63" s="7" t="s">
        <v>3</v>
      </c>
      <c r="I63" s="7" t="s">
        <v>49</v>
      </c>
      <c r="J63" s="7" t="s">
        <v>26</v>
      </c>
      <c r="K63" s="7"/>
      <c r="L63" s="23" t="s">
        <v>238</v>
      </c>
      <c r="M63" s="23"/>
      <c r="N63" s="28">
        <f>SUM(tb_Base[[#This Row],[0 - 19 cm]:[240 - 249 cm]])</f>
        <v>1</v>
      </c>
      <c r="O63" s="2" t="s">
        <v>60</v>
      </c>
      <c r="R63" s="2">
        <v>1</v>
      </c>
      <c r="Y63" s="2"/>
      <c r="Z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4"/>
    </row>
    <row r="64" spans="1:40" ht="15.95" customHeight="1">
      <c r="A64" s="14" t="s">
        <v>182</v>
      </c>
      <c r="B64" s="7">
        <v>44683</v>
      </c>
      <c r="C64" s="7" t="s">
        <v>13</v>
      </c>
      <c r="D64" s="32" t="s">
        <v>219</v>
      </c>
      <c r="E64" s="24">
        <v>0.45833333333333331</v>
      </c>
      <c r="F64" s="24">
        <v>0.58333333333333337</v>
      </c>
      <c r="G64" s="26" t="str">
        <f>IF(AND(tb_Base[[#This Row],[Date]]=B63,tb_Base[[#This Row],[Riviere]]=C63,tb_Base[[#This Row],[Secteur]]=D63,tb_Base[[#This Row],[Heure_debut]]=E63,tb_Base[[#This Row],[Heure_fin]]=F63),"",(tb_Base[[#This Row],[Heure_fin]]-tb_Base[[#This Row],[Heure_debut]])*24)</f>
        <v/>
      </c>
      <c r="H64" s="7" t="s">
        <v>3</v>
      </c>
      <c r="I64" s="7" t="s">
        <v>163</v>
      </c>
      <c r="J64" s="7" t="s">
        <v>164</v>
      </c>
      <c r="K64" s="7" t="s">
        <v>371</v>
      </c>
      <c r="L64" s="23" t="s">
        <v>238</v>
      </c>
      <c r="M64" s="23"/>
      <c r="N64" s="28">
        <f>SUM(tb_Base[[#This Row],[0 - 19 cm]:[240 - 249 cm]])</f>
        <v>1</v>
      </c>
      <c r="O64" s="2" t="s">
        <v>60</v>
      </c>
      <c r="R64" s="2">
        <v>1</v>
      </c>
      <c r="Y64" s="2"/>
      <c r="Z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4"/>
    </row>
    <row r="65" spans="1:40" s="8" customFormat="1">
      <c r="A65" s="14" t="s">
        <v>183</v>
      </c>
      <c r="B65" s="7">
        <v>44684</v>
      </c>
      <c r="C65" s="7" t="s">
        <v>99</v>
      </c>
      <c r="D65" s="32" t="s">
        <v>225</v>
      </c>
      <c r="E65" s="24">
        <v>0.4375</v>
      </c>
      <c r="F65" s="24">
        <v>0.66666666666666663</v>
      </c>
      <c r="G65" s="26">
        <f>IF(AND(tb_Base[[#This Row],[Date]]=B64,tb_Base[[#This Row],[Riviere]]=C64,tb_Base[[#This Row],[Secteur]]=D64,tb_Base[[#This Row],[Heure_debut]]=E64,tb_Base[[#This Row],[Heure_fin]]=F64),"",(tb_Base[[#This Row],[Heure_fin]]-tb_Base[[#This Row],[Heure_debut]])*24)</f>
        <v>5.4999999999999991</v>
      </c>
      <c r="H65" s="7" t="s">
        <v>3</v>
      </c>
      <c r="I65" s="7" t="s">
        <v>163</v>
      </c>
      <c r="J65" s="7" t="s">
        <v>164</v>
      </c>
      <c r="K65" s="7" t="s">
        <v>371</v>
      </c>
      <c r="L65" s="23" t="s">
        <v>239</v>
      </c>
      <c r="M65" s="23" t="s">
        <v>394</v>
      </c>
      <c r="N65" s="28">
        <f>SUM(tb_Base[[#This Row],[0 - 19 cm]:[240 - 249 cm]])</f>
        <v>2</v>
      </c>
      <c r="O65" s="2" t="s">
        <v>60</v>
      </c>
      <c r="P65" s="2"/>
      <c r="Q65" s="2"/>
      <c r="R65" s="2"/>
      <c r="S65" s="2"/>
      <c r="T65" s="2">
        <v>2</v>
      </c>
      <c r="U65" s="2"/>
      <c r="V65" s="2"/>
      <c r="W65" s="2"/>
      <c r="X65" s="2"/>
      <c r="Y65" s="2"/>
      <c r="Z65" s="2"/>
      <c r="AA65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4"/>
    </row>
    <row r="66" spans="1:40">
      <c r="A66" s="14" t="s">
        <v>184</v>
      </c>
      <c r="B66" s="7">
        <v>44689</v>
      </c>
      <c r="C66" s="7" t="s">
        <v>12</v>
      </c>
      <c r="D66" s="7" t="s">
        <v>202</v>
      </c>
      <c r="E66" s="24">
        <v>0.70833333333333337</v>
      </c>
      <c r="F66" s="24">
        <v>0.75</v>
      </c>
      <c r="G66" s="26">
        <f>IF(AND(tb_Base[[#This Row],[Date]]=B65,tb_Base[[#This Row],[Riviere]]=C65,tb_Base[[#This Row],[Secteur]]=D65,tb_Base[[#This Row],[Heure_debut]]=E65,tb_Base[[#This Row],[Heure_fin]]=F65),"",(tb_Base[[#This Row],[Heure_fin]]-tb_Base[[#This Row],[Heure_debut]])*24)</f>
        <v>0.99999999999999911</v>
      </c>
      <c r="H66" s="7" t="s">
        <v>3</v>
      </c>
      <c r="I66" s="7" t="s">
        <v>53</v>
      </c>
      <c r="J66" s="7" t="s">
        <v>30</v>
      </c>
      <c r="K66" s="7" t="s">
        <v>118</v>
      </c>
      <c r="L66" s="23" t="s">
        <v>238</v>
      </c>
      <c r="M66" s="23" t="s">
        <v>245</v>
      </c>
      <c r="N66" s="28">
        <f>SUM(tb_Base[[#This Row],[0 - 19 cm]:[240 - 249 cm]])</f>
        <v>1</v>
      </c>
      <c r="O66" s="2" t="s">
        <v>60</v>
      </c>
      <c r="S66" s="2">
        <v>1</v>
      </c>
      <c r="Y66" s="2"/>
      <c r="Z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4"/>
    </row>
    <row r="67" spans="1:40">
      <c r="A67" s="14" t="s">
        <v>252</v>
      </c>
      <c r="B67" s="7">
        <v>44690</v>
      </c>
      <c r="C67" s="38" t="s">
        <v>13</v>
      </c>
      <c r="D67" s="38" t="s">
        <v>219</v>
      </c>
      <c r="E67" s="24">
        <v>0.375</v>
      </c>
      <c r="F67" s="24">
        <v>0.5</v>
      </c>
      <c r="G67" s="26">
        <f>IF(AND(tb_Base[[#This Row],[Date]]=B66,tb_Base[[#This Row],[Riviere]]=C66,tb_Base[[#This Row],[Secteur]]=D66,tb_Base[[#This Row],[Heure_debut]]=E66,tb_Base[[#This Row],[Heure_fin]]=F66),"",(tb_Base[[#This Row],[Heure_fin]]-tb_Base[[#This Row],[Heure_debut]])*24)</f>
        <v>3</v>
      </c>
      <c r="H67" s="38" t="s">
        <v>3</v>
      </c>
      <c r="I67" s="38" t="s">
        <v>53</v>
      </c>
      <c r="J67" s="38" t="s">
        <v>30</v>
      </c>
      <c r="K67" s="38" t="s">
        <v>118</v>
      </c>
      <c r="L67" s="23" t="s">
        <v>238</v>
      </c>
      <c r="M67" s="23"/>
      <c r="N67" s="28">
        <f>SUM(tb_Base[[#This Row],[0 - 19 cm]:[240 - 249 cm]])</f>
        <v>1</v>
      </c>
      <c r="O67" s="2" t="s">
        <v>60</v>
      </c>
      <c r="S67" s="2">
        <v>1</v>
      </c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4"/>
    </row>
    <row r="68" spans="1:40">
      <c r="A68" s="14" t="s">
        <v>253</v>
      </c>
      <c r="B68" s="7">
        <v>44701</v>
      </c>
      <c r="C68" s="38" t="s">
        <v>13</v>
      </c>
      <c r="D68" s="38" t="s">
        <v>248</v>
      </c>
      <c r="E68" s="24">
        <v>0.5625</v>
      </c>
      <c r="F68" s="24">
        <v>0.6875</v>
      </c>
      <c r="G68" s="26">
        <f>IF(AND(tb_Base[[#This Row],[Date]]=B67,tb_Base[[#This Row],[Riviere]]=C67,tb_Base[[#This Row],[Secteur]]=D67,tb_Base[[#This Row],[Heure_debut]]=E67,tb_Base[[#This Row],[Heure_fin]]=F67),"",(tb_Base[[#This Row],[Heure_fin]]-tb_Base[[#This Row],[Heure_debut]])*24)</f>
        <v>3</v>
      </c>
      <c r="H68" s="38" t="s">
        <v>3</v>
      </c>
      <c r="I68" s="38"/>
      <c r="J68" s="38"/>
      <c r="K68" s="38"/>
      <c r="L68" s="23" t="s">
        <v>238</v>
      </c>
      <c r="M68" s="23"/>
      <c r="N68" s="28">
        <f>SUM(tb_Base[[#This Row],[0 - 19 cm]:[240 - 249 cm]])</f>
        <v>1</v>
      </c>
      <c r="O68" s="2" t="s">
        <v>60</v>
      </c>
      <c r="Q68" s="2">
        <v>1</v>
      </c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4"/>
    </row>
    <row r="69" spans="1:40">
      <c r="A69" s="14" t="s">
        <v>253</v>
      </c>
      <c r="B69" s="7">
        <v>44701</v>
      </c>
      <c r="C69" s="38" t="s">
        <v>13</v>
      </c>
      <c r="D69" s="38" t="s">
        <v>248</v>
      </c>
      <c r="E69" s="24">
        <v>0.5625</v>
      </c>
      <c r="F69" s="24">
        <v>0.6875</v>
      </c>
      <c r="G69" s="26" t="str">
        <f>IF(AND(tb_Base[[#This Row],[Date]]=B68,tb_Base[[#This Row],[Riviere]]=C68,tb_Base[[#This Row],[Secteur]]=D68,tb_Base[[#This Row],[Heure_debut]]=E68,tb_Base[[#This Row],[Heure_fin]]=F68),"",(tb_Base[[#This Row],[Heure_fin]]-tb_Base[[#This Row],[Heure_debut]])*24)</f>
        <v/>
      </c>
      <c r="H69" s="38" t="s">
        <v>3</v>
      </c>
      <c r="I69" s="38"/>
      <c r="J69" s="38"/>
      <c r="K69" s="38"/>
      <c r="L69" s="23" t="s">
        <v>238</v>
      </c>
      <c r="M69" s="23" t="s">
        <v>241</v>
      </c>
      <c r="N69" s="28">
        <f>SUM(tb_Base[[#This Row],[0 - 19 cm]:[240 - 249 cm]])</f>
        <v>2</v>
      </c>
      <c r="O69" s="2" t="s">
        <v>61</v>
      </c>
      <c r="P69" s="2">
        <v>2</v>
      </c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4"/>
    </row>
    <row r="70" spans="1:40">
      <c r="A70" s="14" t="s">
        <v>254</v>
      </c>
      <c r="B70" s="7">
        <v>44701</v>
      </c>
      <c r="C70" s="38" t="s">
        <v>13</v>
      </c>
      <c r="D70" s="38" t="s">
        <v>216</v>
      </c>
      <c r="E70" s="24">
        <v>0.83333333333333337</v>
      </c>
      <c r="F70" s="24">
        <v>0.875</v>
      </c>
      <c r="G70" s="26">
        <f>IF(AND(tb_Base[[#This Row],[Date]]=B69,tb_Base[[#This Row],[Riviere]]=C69,tb_Base[[#This Row],[Secteur]]=D69,tb_Base[[#This Row],[Heure_debut]]=E69,tb_Base[[#This Row],[Heure_fin]]=F69),"",(tb_Base[[#This Row],[Heure_fin]]-tb_Base[[#This Row],[Heure_debut]])*24)</f>
        <v>0.99999999999999911</v>
      </c>
      <c r="H70" s="38" t="s">
        <v>3</v>
      </c>
      <c r="I70" s="38" t="s">
        <v>49</v>
      </c>
      <c r="J70" s="38" t="s">
        <v>26</v>
      </c>
      <c r="K70" s="38" t="s">
        <v>368</v>
      </c>
      <c r="L70" s="23" t="s">
        <v>238</v>
      </c>
      <c r="M70" s="23"/>
      <c r="N70" s="28">
        <f>SUM(tb_Base[[#This Row],[0 - 19 cm]:[240 - 249 cm]])</f>
        <v>2</v>
      </c>
      <c r="O70" s="2" t="s">
        <v>61</v>
      </c>
      <c r="P70" s="2">
        <v>2</v>
      </c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4"/>
    </row>
    <row r="71" spans="1:40">
      <c r="A71" s="14" t="s">
        <v>255</v>
      </c>
      <c r="B71" s="7">
        <v>44710</v>
      </c>
      <c r="C71" s="38" t="s">
        <v>12</v>
      </c>
      <c r="D71" s="38" t="s">
        <v>192</v>
      </c>
      <c r="E71" s="24">
        <v>0.33333333333333331</v>
      </c>
      <c r="F71" s="24">
        <v>0.41666666666666669</v>
      </c>
      <c r="G71" s="26">
        <f>IF(AND(tb_Base[[#This Row],[Date]]=B70,tb_Base[[#This Row],[Riviere]]=C70,tb_Base[[#This Row],[Secteur]]=D70,tb_Base[[#This Row],[Heure_debut]]=E70,tb_Base[[#This Row],[Heure_fin]]=F70),"",(tb_Base[[#This Row],[Heure_fin]]-tb_Base[[#This Row],[Heure_debut]])*24)</f>
        <v>2.0000000000000009</v>
      </c>
      <c r="H71" s="38" t="s">
        <v>3</v>
      </c>
      <c r="I71" s="38" t="s">
        <v>49</v>
      </c>
      <c r="J71" s="38" t="s">
        <v>28</v>
      </c>
      <c r="K71" s="38" t="s">
        <v>369</v>
      </c>
      <c r="L71" s="23" t="s">
        <v>238</v>
      </c>
      <c r="M71" s="23"/>
      <c r="N71" s="28">
        <f>SUM(tb_Base[[#This Row],[0 - 19 cm]:[240 - 249 cm]])</f>
        <v>1</v>
      </c>
      <c r="O71" s="2" t="s">
        <v>60</v>
      </c>
      <c r="T71" s="2">
        <v>1</v>
      </c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14"/>
    </row>
    <row r="72" spans="1:40">
      <c r="A72" s="14" t="s">
        <v>256</v>
      </c>
      <c r="B72" s="7">
        <v>44717</v>
      </c>
      <c r="C72" s="38" t="s">
        <v>12</v>
      </c>
      <c r="D72" s="38" t="s">
        <v>232</v>
      </c>
      <c r="E72" s="24">
        <v>0.33333333333333331</v>
      </c>
      <c r="F72" s="24">
        <v>0.41666666666666669</v>
      </c>
      <c r="G72" s="26">
        <f>IF(AND(tb_Base[[#This Row],[Date]]=B71,tb_Base[[#This Row],[Riviere]]=C71,tb_Base[[#This Row],[Secteur]]=D71,tb_Base[[#This Row],[Heure_debut]]=E71,tb_Base[[#This Row],[Heure_fin]]=F71),"",(tb_Base[[#This Row],[Heure_fin]]-tb_Base[[#This Row],[Heure_debut]])*24)</f>
        <v>2.0000000000000009</v>
      </c>
      <c r="H72" s="38" t="s">
        <v>3</v>
      </c>
      <c r="I72" s="38" t="s">
        <v>49</v>
      </c>
      <c r="J72" s="38" t="s">
        <v>26</v>
      </c>
      <c r="K72" s="38" t="s">
        <v>362</v>
      </c>
      <c r="L72" s="23" t="s">
        <v>238</v>
      </c>
      <c r="M72" s="23"/>
      <c r="N72" s="28">
        <f>SUM(tb_Base[[#This Row],[0 - 19 cm]:[240 - 249 cm]])</f>
        <v>1</v>
      </c>
      <c r="O72" s="2" t="s">
        <v>60</v>
      </c>
      <c r="R72" s="2">
        <v>1</v>
      </c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14"/>
    </row>
    <row r="73" spans="1:40">
      <c r="A73" s="14" t="s">
        <v>256</v>
      </c>
      <c r="B73" s="7">
        <v>44717</v>
      </c>
      <c r="C73" s="38" t="s">
        <v>12</v>
      </c>
      <c r="D73" s="38" t="s">
        <v>232</v>
      </c>
      <c r="E73" s="24">
        <v>0.33333333333333331</v>
      </c>
      <c r="F73" s="24">
        <v>0.41666666666666669</v>
      </c>
      <c r="G73" s="26" t="str">
        <f>IF(AND(tb_Base[[#This Row],[Date]]=B72,tb_Base[[#This Row],[Riviere]]=C72,tb_Base[[#This Row],[Secteur]]=D72,tb_Base[[#This Row],[Heure_debut]]=E72,tb_Base[[#This Row],[Heure_fin]]=F72),"",(tb_Base[[#This Row],[Heure_fin]]-tb_Base[[#This Row],[Heure_debut]])*24)</f>
        <v/>
      </c>
      <c r="H73" s="38" t="s">
        <v>3</v>
      </c>
      <c r="I73" s="38" t="s">
        <v>49</v>
      </c>
      <c r="J73" s="38" t="s">
        <v>26</v>
      </c>
      <c r="K73" s="38" t="s">
        <v>362</v>
      </c>
      <c r="L73" s="23" t="s">
        <v>238</v>
      </c>
      <c r="M73" s="23"/>
      <c r="N73" s="28">
        <f>SUM(tb_Base[[#This Row],[0 - 19 cm]:[240 - 249 cm]])</f>
        <v>1</v>
      </c>
      <c r="O73" s="2" t="s">
        <v>61</v>
      </c>
      <c r="Q73" s="2">
        <v>1</v>
      </c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14"/>
    </row>
    <row r="74" spans="1:40">
      <c r="A74" s="14" t="s">
        <v>257</v>
      </c>
      <c r="B74" s="7">
        <v>44718</v>
      </c>
      <c r="C74" s="38" t="s">
        <v>13</v>
      </c>
      <c r="D74" s="38" t="s">
        <v>216</v>
      </c>
      <c r="E74" s="24">
        <v>0.66666666666666663</v>
      </c>
      <c r="F74" s="24">
        <v>0.75</v>
      </c>
      <c r="G74" s="26">
        <f>IF(AND(tb_Base[[#This Row],[Date]]=B73,tb_Base[[#This Row],[Riviere]]=C73,tb_Base[[#This Row],[Secteur]]=D73,tb_Base[[#This Row],[Heure_debut]]=E73,tb_Base[[#This Row],[Heure_fin]]=F73),"",(tb_Base[[#This Row],[Heure_fin]]-tb_Base[[#This Row],[Heure_debut]])*24)</f>
        <v>2.0000000000000009</v>
      </c>
      <c r="H74" s="38" t="s">
        <v>3</v>
      </c>
      <c r="I74" s="38" t="s">
        <v>122</v>
      </c>
      <c r="J74" s="38" t="s">
        <v>249</v>
      </c>
      <c r="K74" s="38" t="s">
        <v>251</v>
      </c>
      <c r="L74" s="23" t="s">
        <v>238</v>
      </c>
      <c r="M74" s="23"/>
      <c r="N74" s="28">
        <f>SUM(tb_Base[[#This Row],[0 - 19 cm]:[240 - 249 cm]])</f>
        <v>1</v>
      </c>
      <c r="O74" s="2" t="s">
        <v>60</v>
      </c>
      <c r="R74" s="2">
        <v>1</v>
      </c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14"/>
    </row>
    <row r="75" spans="1:40">
      <c r="A75" s="14" t="s">
        <v>258</v>
      </c>
      <c r="B75" s="7">
        <v>44718</v>
      </c>
      <c r="C75" s="38" t="s">
        <v>13</v>
      </c>
      <c r="D75" s="38" t="s">
        <v>216</v>
      </c>
      <c r="E75" s="24">
        <v>0.66666666666666663</v>
      </c>
      <c r="F75" s="24">
        <v>0.75</v>
      </c>
      <c r="G75" s="26" t="str">
        <f>IF(AND(tb_Base[[#This Row],[Date]]=B74,tb_Base[[#This Row],[Riviere]]=C74,tb_Base[[#This Row],[Secteur]]=D74,tb_Base[[#This Row],[Heure_debut]]=E74,tb_Base[[#This Row],[Heure_fin]]=F74),"",(tb_Base[[#This Row],[Heure_fin]]-tb_Base[[#This Row],[Heure_debut]])*24)</f>
        <v/>
      </c>
      <c r="H75" s="38" t="s">
        <v>3</v>
      </c>
      <c r="I75" s="38"/>
      <c r="J75" s="38"/>
      <c r="K75" s="38"/>
      <c r="L75" s="23" t="s">
        <v>238</v>
      </c>
      <c r="M75" s="23"/>
      <c r="N75" s="28">
        <f>SUM(tb_Base[[#This Row],[0 - 19 cm]:[240 - 249 cm]])</f>
        <v>1</v>
      </c>
      <c r="O75" s="2" t="s">
        <v>60</v>
      </c>
      <c r="R75" s="2">
        <v>1</v>
      </c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14"/>
    </row>
    <row r="76" spans="1:40">
      <c r="A76" s="14" t="s">
        <v>259</v>
      </c>
      <c r="B76" s="7">
        <v>44721</v>
      </c>
      <c r="C76" s="38" t="s">
        <v>99</v>
      </c>
      <c r="D76" s="38" t="s">
        <v>225</v>
      </c>
      <c r="E76" s="24">
        <v>0.79166666666666663</v>
      </c>
      <c r="F76" s="24">
        <v>0.875</v>
      </c>
      <c r="G76" s="26">
        <f>IF(AND(tb_Base[[#This Row],[Date]]=B75,tb_Base[[#This Row],[Riviere]]=C75,tb_Base[[#This Row],[Secteur]]=D75,tb_Base[[#This Row],[Heure_debut]]=E75,tb_Base[[#This Row],[Heure_fin]]=F75),"",(tb_Base[[#This Row],[Heure_fin]]-tb_Base[[#This Row],[Heure_debut]])*24)</f>
        <v>2.0000000000000009</v>
      </c>
      <c r="H76" s="38" t="s">
        <v>3</v>
      </c>
      <c r="I76" s="38" t="s">
        <v>163</v>
      </c>
      <c r="J76" s="38" t="s">
        <v>164</v>
      </c>
      <c r="K76" s="7" t="s">
        <v>371</v>
      </c>
      <c r="L76" s="23" t="s">
        <v>239</v>
      </c>
      <c r="M76" s="23" t="s">
        <v>241</v>
      </c>
      <c r="N76" s="28">
        <f>SUM(tb_Base[[#This Row],[0 - 19 cm]:[240 - 249 cm]])</f>
        <v>1</v>
      </c>
      <c r="O76" s="2" t="s">
        <v>60</v>
      </c>
      <c r="T76" s="2">
        <v>1</v>
      </c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14"/>
    </row>
    <row r="77" spans="1:40">
      <c r="A77" s="14" t="s">
        <v>260</v>
      </c>
      <c r="B77" s="7">
        <v>44739</v>
      </c>
      <c r="C77" s="38" t="s">
        <v>13</v>
      </c>
      <c r="D77" s="38" t="s">
        <v>217</v>
      </c>
      <c r="E77" s="24">
        <v>0.58333333333333337</v>
      </c>
      <c r="F77" s="24">
        <v>0.6875</v>
      </c>
      <c r="G77" s="26">
        <f>IF(AND(tb_Base[[#This Row],[Date]]=B76,tb_Base[[#This Row],[Riviere]]=C76,tb_Base[[#This Row],[Secteur]]=D76,tb_Base[[#This Row],[Heure_debut]]=E76,tb_Base[[#This Row],[Heure_fin]]=F76),"",(tb_Base[[#This Row],[Heure_fin]]-tb_Base[[#This Row],[Heure_debut]])*24)</f>
        <v>2.4999999999999991</v>
      </c>
      <c r="H77" s="38" t="s">
        <v>3</v>
      </c>
      <c r="I77" s="38" t="s">
        <v>49</v>
      </c>
      <c r="J77" s="38" t="s">
        <v>26</v>
      </c>
      <c r="K77" s="38"/>
      <c r="L77" s="23" t="s">
        <v>238</v>
      </c>
      <c r="M77" s="23"/>
      <c r="N77" s="28">
        <f>SUM(tb_Base[[#This Row],[0 - 19 cm]:[240 - 249 cm]])</f>
        <v>2</v>
      </c>
      <c r="O77" s="2" t="s">
        <v>60</v>
      </c>
      <c r="S77" s="2">
        <v>2</v>
      </c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14"/>
    </row>
    <row r="78" spans="1:40">
      <c r="A78" s="14" t="s">
        <v>260</v>
      </c>
      <c r="B78" s="7">
        <v>44739</v>
      </c>
      <c r="C78" s="38" t="s">
        <v>13</v>
      </c>
      <c r="D78" s="38" t="s">
        <v>217</v>
      </c>
      <c r="E78" s="24">
        <v>0.58333333333333337</v>
      </c>
      <c r="F78" s="24">
        <v>0.6875</v>
      </c>
      <c r="G78" s="26" t="str">
        <f>IF(AND(tb_Base[[#This Row],[Date]]=B77,tb_Base[[#This Row],[Riviere]]=C77,tb_Base[[#This Row],[Secteur]]=D77,tb_Base[[#This Row],[Heure_debut]]=E77,tb_Base[[#This Row],[Heure_fin]]=F77),"",(tb_Base[[#This Row],[Heure_fin]]-tb_Base[[#This Row],[Heure_debut]])*24)</f>
        <v/>
      </c>
      <c r="H78" s="38" t="s">
        <v>3</v>
      </c>
      <c r="I78" s="38" t="s">
        <v>49</v>
      </c>
      <c r="J78" s="38" t="s">
        <v>26</v>
      </c>
      <c r="K78" s="38"/>
      <c r="L78" s="23" t="s">
        <v>238</v>
      </c>
      <c r="M78" s="23"/>
      <c r="N78" s="28">
        <f>SUM(tb_Base[[#This Row],[0 - 19 cm]:[240 - 249 cm]])</f>
        <v>1</v>
      </c>
      <c r="O78" s="2" t="s">
        <v>61</v>
      </c>
      <c r="P78" s="2">
        <v>1</v>
      </c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4"/>
    </row>
    <row r="79" spans="1:40">
      <c r="A79" s="14" t="s">
        <v>261</v>
      </c>
      <c r="B79" s="7">
        <v>44746</v>
      </c>
      <c r="C79" s="38" t="s">
        <v>13</v>
      </c>
      <c r="D79" s="38" t="s">
        <v>217</v>
      </c>
      <c r="E79" s="24">
        <v>0.54166666666666663</v>
      </c>
      <c r="F79" s="24">
        <v>0.5625</v>
      </c>
      <c r="G79" s="26">
        <f>IF(AND(tb_Base[[#This Row],[Date]]=B78,tb_Base[[#This Row],[Riviere]]=C78,tb_Base[[#This Row],[Secteur]]=D78,tb_Base[[#This Row],[Heure_debut]]=E78,tb_Base[[#This Row],[Heure_fin]]=F78),"",(tb_Base[[#This Row],[Heure_fin]]-tb_Base[[#This Row],[Heure_debut]])*24)</f>
        <v>0.50000000000000089</v>
      </c>
      <c r="H79" s="38" t="s">
        <v>3</v>
      </c>
      <c r="I79" s="38" t="s">
        <v>49</v>
      </c>
      <c r="J79" s="38" t="s">
        <v>26</v>
      </c>
      <c r="K79" s="38"/>
      <c r="L79" s="23" t="s">
        <v>238</v>
      </c>
      <c r="M79" s="23"/>
      <c r="N79" s="28">
        <f>SUM(tb_Base[[#This Row],[0 - 19 cm]:[240 - 249 cm]])</f>
        <v>2</v>
      </c>
      <c r="O79" s="2" t="s">
        <v>61</v>
      </c>
      <c r="P79" s="2">
        <v>2</v>
      </c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14"/>
    </row>
    <row r="80" spans="1:40">
      <c r="A80" s="14" t="s">
        <v>262</v>
      </c>
      <c r="B80" s="7">
        <v>44746</v>
      </c>
      <c r="C80" s="38" t="s">
        <v>13</v>
      </c>
      <c r="D80" s="38" t="s">
        <v>216</v>
      </c>
      <c r="E80" s="24">
        <v>0.5625</v>
      </c>
      <c r="F80" s="24">
        <v>0.625</v>
      </c>
      <c r="G80" s="26">
        <f>IF(AND(tb_Base[[#This Row],[Date]]=B79,tb_Base[[#This Row],[Riviere]]=C79,tb_Base[[#This Row],[Secteur]]=D79,tb_Base[[#This Row],[Heure_debut]]=E79,tb_Base[[#This Row],[Heure_fin]]=F79),"",(tb_Base[[#This Row],[Heure_fin]]-tb_Base[[#This Row],[Heure_debut]])*24)</f>
        <v>1.5</v>
      </c>
      <c r="H80" s="38" t="s">
        <v>3</v>
      </c>
      <c r="I80" s="38"/>
      <c r="J80" s="38"/>
      <c r="K80" s="38"/>
      <c r="L80" s="23" t="s">
        <v>238</v>
      </c>
      <c r="M80" s="23"/>
      <c r="N80" s="28">
        <f>SUM(tb_Base[[#This Row],[0 - 19 cm]:[240 - 249 cm]])</f>
        <v>0</v>
      </c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14"/>
    </row>
    <row r="81" spans="1:40">
      <c r="A81" s="14" t="s">
        <v>263</v>
      </c>
      <c r="B81" s="7">
        <v>44746</v>
      </c>
      <c r="C81" s="38" t="s">
        <v>13</v>
      </c>
      <c r="D81" s="38" t="s">
        <v>215</v>
      </c>
      <c r="E81" s="24">
        <v>0.625</v>
      </c>
      <c r="F81" s="24">
        <v>0.64583333333333337</v>
      </c>
      <c r="G81" s="26">
        <f>IF(AND(tb_Base[[#This Row],[Date]]=B80,tb_Base[[#This Row],[Riviere]]=C80,tb_Base[[#This Row],[Secteur]]=D80,tb_Base[[#This Row],[Heure_debut]]=E80,tb_Base[[#This Row],[Heure_fin]]=F80),"",(tb_Base[[#This Row],[Heure_fin]]-tb_Base[[#This Row],[Heure_debut]])*24)</f>
        <v>0.50000000000000089</v>
      </c>
      <c r="H81" s="38" t="s">
        <v>3</v>
      </c>
      <c r="I81" s="38" t="s">
        <v>49</v>
      </c>
      <c r="J81" s="38" t="s">
        <v>26</v>
      </c>
      <c r="K81" s="38"/>
      <c r="L81" s="23" t="s">
        <v>238</v>
      </c>
      <c r="M81" s="23"/>
      <c r="N81" s="28">
        <f>SUM(tb_Base[[#This Row],[0 - 19 cm]:[240 - 249 cm]])</f>
        <v>1</v>
      </c>
      <c r="O81" s="2" t="s">
        <v>60</v>
      </c>
      <c r="S81" s="2">
        <v>1</v>
      </c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14"/>
    </row>
    <row r="82" spans="1:40">
      <c r="A82" s="14" t="s">
        <v>284</v>
      </c>
      <c r="B82" s="7">
        <v>44747</v>
      </c>
      <c r="C82" s="38" t="s">
        <v>99</v>
      </c>
      <c r="D82" s="38" t="s">
        <v>282</v>
      </c>
      <c r="E82" s="24">
        <v>0.27083333333333331</v>
      </c>
      <c r="F82" s="24">
        <v>0.58333333333333337</v>
      </c>
      <c r="G82" s="26">
        <f>IF(AND(tb_Base[[#This Row],[Date]]=B81,tb_Base[[#This Row],[Riviere]]=C81,tb_Base[[#This Row],[Secteur]]=D81,tb_Base[[#This Row],[Heure_debut]]=E81,tb_Base[[#This Row],[Heure_fin]]=F81),"",(tb_Base[[#This Row],[Heure_fin]]-tb_Base[[#This Row],[Heure_debut]])*24)</f>
        <v>7.5000000000000018</v>
      </c>
      <c r="H82" s="38" t="s">
        <v>4</v>
      </c>
      <c r="I82" s="38" t="s">
        <v>122</v>
      </c>
      <c r="J82" s="38" t="s">
        <v>123</v>
      </c>
      <c r="K82" s="38" t="s">
        <v>383</v>
      </c>
      <c r="L82" s="23" t="s">
        <v>239</v>
      </c>
      <c r="M82" s="23"/>
      <c r="N82" s="28">
        <f>SUM(tb_Base[[#This Row],[0 - 19 cm]:[240 - 249 cm]])</f>
        <v>12</v>
      </c>
      <c r="O82" s="2" t="s">
        <v>281</v>
      </c>
      <c r="P82" s="2">
        <v>11</v>
      </c>
      <c r="Q82" s="2">
        <v>1</v>
      </c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14"/>
    </row>
    <row r="83" spans="1:40">
      <c r="A83" s="14" t="s">
        <v>285</v>
      </c>
      <c r="B83" s="7">
        <v>44752</v>
      </c>
      <c r="C83" s="38" t="s">
        <v>99</v>
      </c>
      <c r="D83" s="38" t="s">
        <v>282</v>
      </c>
      <c r="E83" s="24">
        <v>0.27083333333333331</v>
      </c>
      <c r="F83" s="24">
        <v>0.58333333333333337</v>
      </c>
      <c r="G83" s="26">
        <f>IF(AND(tb_Base[[#This Row],[Date]]=B82,tb_Base[[#This Row],[Riviere]]=C82,tb_Base[[#This Row],[Secteur]]=D82,tb_Base[[#This Row],[Heure_debut]]=E82,tb_Base[[#This Row],[Heure_fin]]=F82),"",(tb_Base[[#This Row],[Heure_fin]]-tb_Base[[#This Row],[Heure_debut]])*24)</f>
        <v>7.5000000000000018</v>
      </c>
      <c r="H83" s="38" t="s">
        <v>4</v>
      </c>
      <c r="I83" s="38" t="s">
        <v>122</v>
      </c>
      <c r="J83" s="38" t="s">
        <v>123</v>
      </c>
      <c r="K83" s="38" t="s">
        <v>383</v>
      </c>
      <c r="L83" s="23" t="s">
        <v>239</v>
      </c>
      <c r="M83" s="23" t="s">
        <v>244</v>
      </c>
      <c r="N83" s="28">
        <f>SUM(tb_Base[[#This Row],[0 - 19 cm]:[240 - 249 cm]])</f>
        <v>29</v>
      </c>
      <c r="O83" s="2" t="s">
        <v>281</v>
      </c>
      <c r="P83" s="2">
        <v>29</v>
      </c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14"/>
    </row>
    <row r="84" spans="1:40">
      <c r="A84" s="14" t="s">
        <v>286</v>
      </c>
      <c r="B84" s="7">
        <v>44752</v>
      </c>
      <c r="C84" s="38" t="s">
        <v>99</v>
      </c>
      <c r="D84" s="38" t="s">
        <v>282</v>
      </c>
      <c r="E84" s="24">
        <v>0.27083333333333331</v>
      </c>
      <c r="F84" s="24">
        <v>0.58333333333333337</v>
      </c>
      <c r="G84" s="26" t="str">
        <f>IF(AND(tb_Base[[#This Row],[Date]]=B83,tb_Base[[#This Row],[Riviere]]=C83,tb_Base[[#This Row],[Secteur]]=D83,tb_Base[[#This Row],[Heure_debut]]=E83,tb_Base[[#This Row],[Heure_fin]]=F83),"",(tb_Base[[#This Row],[Heure_fin]]-tb_Base[[#This Row],[Heure_debut]])*24)</f>
        <v/>
      </c>
      <c r="H84" s="38" t="s">
        <v>4</v>
      </c>
      <c r="I84" s="38" t="s">
        <v>52</v>
      </c>
      <c r="J84" s="38" t="s">
        <v>127</v>
      </c>
      <c r="K84" s="38" t="s">
        <v>108</v>
      </c>
      <c r="L84" s="23" t="s">
        <v>239</v>
      </c>
      <c r="M84" s="23" t="s">
        <v>244</v>
      </c>
      <c r="N84" s="28">
        <f>SUM(tb_Base[[#This Row],[0 - 19 cm]:[240 - 249 cm]])</f>
        <v>3</v>
      </c>
      <c r="O84" s="2" t="s">
        <v>281</v>
      </c>
      <c r="P84" s="2">
        <v>3</v>
      </c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14"/>
    </row>
    <row r="85" spans="1:40">
      <c r="A85" s="14" t="s">
        <v>264</v>
      </c>
      <c r="B85" s="7">
        <v>44753</v>
      </c>
      <c r="C85" s="38" t="s">
        <v>13</v>
      </c>
      <c r="D85" s="38" t="s">
        <v>219</v>
      </c>
      <c r="E85" s="24">
        <v>0.33333333333333331</v>
      </c>
      <c r="F85" s="24">
        <v>0.54166666666666663</v>
      </c>
      <c r="G85" s="26">
        <f>IF(AND(tb_Base[[#This Row],[Date]]=B84,tb_Base[[#This Row],[Riviere]]=C84,tb_Base[[#This Row],[Secteur]]=D84,tb_Base[[#This Row],[Heure_debut]]=E84,tb_Base[[#This Row],[Heure_fin]]=F84),"",(tb_Base[[#This Row],[Heure_fin]]-tb_Base[[#This Row],[Heure_debut]])*24)</f>
        <v>5</v>
      </c>
      <c r="H85" s="38" t="s">
        <v>4</v>
      </c>
      <c r="I85" s="38" t="s">
        <v>163</v>
      </c>
      <c r="J85" s="38" t="s">
        <v>164</v>
      </c>
      <c r="K85" s="7" t="s">
        <v>371</v>
      </c>
      <c r="L85" s="23" t="s">
        <v>238</v>
      </c>
      <c r="M85" s="50" t="s">
        <v>400</v>
      </c>
      <c r="N85" s="28">
        <f>SUM(tb_Base[[#This Row],[0 - 19 cm]:[240 - 249 cm]])</f>
        <v>1</v>
      </c>
      <c r="O85" s="2" t="s">
        <v>60</v>
      </c>
      <c r="T85" s="2">
        <v>1</v>
      </c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14"/>
    </row>
    <row r="86" spans="1:40">
      <c r="A86" s="14" t="s">
        <v>265</v>
      </c>
      <c r="B86" s="7">
        <v>44753</v>
      </c>
      <c r="C86" s="38" t="s">
        <v>13</v>
      </c>
      <c r="D86" s="38" t="s">
        <v>219</v>
      </c>
      <c r="E86" s="24">
        <v>0.33333333333333331</v>
      </c>
      <c r="F86" s="24">
        <v>0.54166666666666663</v>
      </c>
      <c r="G86" s="26" t="str">
        <f>IF(AND(tb_Base[[#This Row],[Date]]=B85,tb_Base[[#This Row],[Riviere]]=C85,tb_Base[[#This Row],[Secteur]]=D85,tb_Base[[#This Row],[Heure_debut]]=E85,tb_Base[[#This Row],[Heure_fin]]=F85),"",(tb_Base[[#This Row],[Heure_fin]]-tb_Base[[#This Row],[Heure_debut]])*24)</f>
        <v/>
      </c>
      <c r="H86" s="38" t="s">
        <v>4</v>
      </c>
      <c r="I86" s="38" t="s">
        <v>49</v>
      </c>
      <c r="J86" s="38" t="s">
        <v>26</v>
      </c>
      <c r="K86" s="38"/>
      <c r="L86" s="23" t="s">
        <v>238</v>
      </c>
      <c r="M86" s="50" t="s">
        <v>400</v>
      </c>
      <c r="N86" s="28">
        <f>SUM(tb_Base[[#This Row],[0 - 19 cm]:[240 - 249 cm]])</f>
        <v>2</v>
      </c>
      <c r="O86" s="2" t="s">
        <v>61</v>
      </c>
      <c r="P86" s="2">
        <v>2</v>
      </c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14"/>
    </row>
    <row r="87" spans="1:40">
      <c r="A87" s="14" t="s">
        <v>299</v>
      </c>
      <c r="B87" s="7">
        <v>44767</v>
      </c>
      <c r="C87" s="38" t="s">
        <v>13</v>
      </c>
      <c r="D87" s="38" t="s">
        <v>220</v>
      </c>
      <c r="E87" s="24">
        <v>0.35416666666666669</v>
      </c>
      <c r="F87" s="24">
        <v>0.41666666666666669</v>
      </c>
      <c r="G87" s="26">
        <f>IF(AND(tb_Base[[#This Row],[Date]]=B86,tb_Base[[#This Row],[Riviere]]=C86,tb_Base[[#This Row],[Secteur]]=D86,tb_Base[[#This Row],[Heure_debut]]=E86,tb_Base[[#This Row],[Heure_fin]]=F86),"",(tb_Base[[#This Row],[Heure_fin]]-tb_Base[[#This Row],[Heure_debut]])*24)</f>
        <v>1.5</v>
      </c>
      <c r="H87" s="38" t="s">
        <v>4</v>
      </c>
      <c r="I87" s="38" t="s">
        <v>49</v>
      </c>
      <c r="J87" s="38" t="s">
        <v>26</v>
      </c>
      <c r="K87" s="7" t="s">
        <v>365</v>
      </c>
      <c r="L87" s="23" t="s">
        <v>238</v>
      </c>
      <c r="M87" s="23"/>
      <c r="N87" s="28">
        <f>SUM(tb_Base[[#This Row],[0 - 19 cm]:[240 - 249 cm]])</f>
        <v>1</v>
      </c>
      <c r="O87" s="2" t="s">
        <v>61</v>
      </c>
      <c r="P87" s="2">
        <v>1</v>
      </c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14"/>
    </row>
    <row r="88" spans="1:40">
      <c r="A88" s="14" t="s">
        <v>299</v>
      </c>
      <c r="B88" s="7">
        <v>44767</v>
      </c>
      <c r="C88" s="38" t="s">
        <v>13</v>
      </c>
      <c r="D88" s="38" t="s">
        <v>220</v>
      </c>
      <c r="E88" s="24">
        <v>0.35416666666666669</v>
      </c>
      <c r="F88" s="24">
        <v>0.41666666666666669</v>
      </c>
      <c r="G88" s="26" t="str">
        <f>IF(AND(tb_Base[[#This Row],[Date]]=B87,tb_Base[[#This Row],[Riviere]]=C87,tb_Base[[#This Row],[Secteur]]=D87,tb_Base[[#This Row],[Heure_debut]]=E87,tb_Base[[#This Row],[Heure_fin]]=F87),"",(tb_Base[[#This Row],[Heure_fin]]-tb_Base[[#This Row],[Heure_debut]])*24)</f>
        <v/>
      </c>
      <c r="H88" s="38" t="s">
        <v>4</v>
      </c>
      <c r="I88" s="38" t="s">
        <v>49</v>
      </c>
      <c r="J88" s="38" t="s">
        <v>26</v>
      </c>
      <c r="K88" s="7" t="s">
        <v>365</v>
      </c>
      <c r="L88" s="23" t="s">
        <v>238</v>
      </c>
      <c r="M88" s="23"/>
      <c r="N88" s="28">
        <f>SUM(tb_Base[[#This Row],[0 - 19 cm]:[240 - 249 cm]])</f>
        <v>6</v>
      </c>
      <c r="O88" s="2" t="s">
        <v>63</v>
      </c>
      <c r="P88" s="2">
        <v>1</v>
      </c>
      <c r="Q88" s="2">
        <v>3</v>
      </c>
      <c r="R88" s="2">
        <v>1</v>
      </c>
      <c r="S88" s="2">
        <v>1</v>
      </c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14"/>
    </row>
    <row r="89" spans="1:40">
      <c r="A89" s="14" t="s">
        <v>287</v>
      </c>
      <c r="B89" s="7">
        <v>44768</v>
      </c>
      <c r="C89" s="38" t="s">
        <v>99</v>
      </c>
      <c r="D89" s="38" t="s">
        <v>282</v>
      </c>
      <c r="E89" s="24">
        <v>0.65625</v>
      </c>
      <c r="F89" s="24">
        <v>0.77083333333333337</v>
      </c>
      <c r="G89" s="26">
        <f>IF(AND(tb_Base[[#This Row],[Date]]=B88,tb_Base[[#This Row],[Riviere]]=C88,tb_Base[[#This Row],[Secteur]]=D88,tb_Base[[#This Row],[Heure_debut]]=E88,tb_Base[[#This Row],[Heure_fin]]=F88),"",(tb_Base[[#This Row],[Heure_fin]]-tb_Base[[#This Row],[Heure_debut]])*24)</f>
        <v>2.7500000000000009</v>
      </c>
      <c r="H89" s="38" t="s">
        <v>4</v>
      </c>
      <c r="I89" s="38" t="s">
        <v>122</v>
      </c>
      <c r="J89" s="38" t="s">
        <v>123</v>
      </c>
      <c r="K89" s="38" t="s">
        <v>383</v>
      </c>
      <c r="L89" s="23" t="s">
        <v>239</v>
      </c>
      <c r="M89" s="23" t="s">
        <v>245</v>
      </c>
      <c r="N89" s="28">
        <f>SUM(tb_Base[[#This Row],[0 - 19 cm]:[240 - 249 cm]])</f>
        <v>7</v>
      </c>
      <c r="O89" s="2" t="s">
        <v>281</v>
      </c>
      <c r="P89" s="2">
        <v>7</v>
      </c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14"/>
    </row>
    <row r="90" spans="1:40">
      <c r="A90" s="14" t="s">
        <v>300</v>
      </c>
      <c r="B90" s="7">
        <v>44770</v>
      </c>
      <c r="C90" s="38" t="s">
        <v>13</v>
      </c>
      <c r="D90" s="38" t="s">
        <v>220</v>
      </c>
      <c r="E90" s="24">
        <v>0.3125</v>
      </c>
      <c r="F90" s="24">
        <v>0.4375</v>
      </c>
      <c r="G90" s="26">
        <f>IF(AND(tb_Base[[#This Row],[Date]]=B89,tb_Base[[#This Row],[Riviere]]=C89,tb_Base[[#This Row],[Secteur]]=D89,tb_Base[[#This Row],[Heure_debut]]=E89,tb_Base[[#This Row],[Heure_fin]]=F89),"",(tb_Base[[#This Row],[Heure_fin]]-tb_Base[[#This Row],[Heure_debut]])*24)</f>
        <v>3</v>
      </c>
      <c r="H90" s="38" t="s">
        <v>4</v>
      </c>
      <c r="I90" s="38" t="s">
        <v>49</v>
      </c>
      <c r="J90" s="38" t="s">
        <v>26</v>
      </c>
      <c r="K90" s="38"/>
      <c r="L90" s="23" t="s">
        <v>238</v>
      </c>
      <c r="M90" s="23"/>
      <c r="N90" s="28">
        <f>SUM(tb_Base[[#This Row],[0 - 19 cm]:[240 - 249 cm]])</f>
        <v>4</v>
      </c>
      <c r="O90" s="2" t="s">
        <v>61</v>
      </c>
      <c r="P90" s="2">
        <v>4</v>
      </c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14"/>
    </row>
    <row r="91" spans="1:40">
      <c r="A91" s="14" t="s">
        <v>300</v>
      </c>
      <c r="B91" s="7">
        <v>44770</v>
      </c>
      <c r="C91" s="38" t="s">
        <v>13</v>
      </c>
      <c r="D91" s="38" t="s">
        <v>220</v>
      </c>
      <c r="E91" s="24">
        <v>0.3125</v>
      </c>
      <c r="F91" s="24">
        <v>0.4375</v>
      </c>
      <c r="G91" s="26" t="str">
        <f>IF(AND(tb_Base[[#This Row],[Date]]=B90,tb_Base[[#This Row],[Riviere]]=C90,tb_Base[[#This Row],[Secteur]]=D90,tb_Base[[#This Row],[Heure_debut]]=E90,tb_Base[[#This Row],[Heure_fin]]=F90),"",(tb_Base[[#This Row],[Heure_fin]]-tb_Base[[#This Row],[Heure_debut]])*24)</f>
        <v/>
      </c>
      <c r="H91" s="38" t="s">
        <v>4</v>
      </c>
      <c r="I91" s="38" t="s">
        <v>49</v>
      </c>
      <c r="J91" s="38" t="s">
        <v>26</v>
      </c>
      <c r="K91" s="38"/>
      <c r="L91" s="23" t="s">
        <v>238</v>
      </c>
      <c r="M91" s="23"/>
      <c r="N91" s="28">
        <f>SUM(tb_Base[[#This Row],[0 - 19 cm]:[240 - 249 cm]])</f>
        <v>1</v>
      </c>
      <c r="O91" s="2" t="s">
        <v>63</v>
      </c>
      <c r="P91" s="2">
        <v>1</v>
      </c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14"/>
    </row>
    <row r="92" spans="1:40">
      <c r="A92" s="14" t="s">
        <v>266</v>
      </c>
      <c r="B92" s="7">
        <v>44792</v>
      </c>
      <c r="C92" s="38" t="s">
        <v>13</v>
      </c>
      <c r="D92" s="38" t="s">
        <v>216</v>
      </c>
      <c r="E92" s="24">
        <v>0.34375</v>
      </c>
      <c r="F92" s="24">
        <v>0.42708333333333331</v>
      </c>
      <c r="G92" s="26">
        <f>IF(AND(tb_Base[[#This Row],[Date]]=B91,tb_Base[[#This Row],[Riviere]]=C91,tb_Base[[#This Row],[Secteur]]=D91,tb_Base[[#This Row],[Heure_debut]]=E91,tb_Base[[#This Row],[Heure_fin]]=F91),"",(tb_Base[[#This Row],[Heure_fin]]-tb_Base[[#This Row],[Heure_debut]])*24)</f>
        <v>1.9999999999999996</v>
      </c>
      <c r="H92" s="38" t="s">
        <v>3</v>
      </c>
      <c r="I92" s="38" t="s">
        <v>49</v>
      </c>
      <c r="J92" s="38" t="s">
        <v>26</v>
      </c>
      <c r="K92" s="38"/>
      <c r="L92" s="23" t="s">
        <v>238</v>
      </c>
      <c r="M92" s="23" t="s">
        <v>400</v>
      </c>
      <c r="N92" s="28">
        <f>SUM(tb_Base[[#This Row],[0 - 19 cm]:[240 - 249 cm]])</f>
        <v>1</v>
      </c>
      <c r="O92" s="2" t="s">
        <v>60</v>
      </c>
      <c r="R92" s="2">
        <v>1</v>
      </c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14"/>
    </row>
    <row r="93" spans="1:40">
      <c r="A93" s="14" t="s">
        <v>267</v>
      </c>
      <c r="B93" s="7">
        <v>44792</v>
      </c>
      <c r="C93" s="38" t="s">
        <v>13</v>
      </c>
      <c r="D93" s="38" t="s">
        <v>215</v>
      </c>
      <c r="E93" s="24">
        <v>0.42708333333333331</v>
      </c>
      <c r="F93" s="24">
        <v>0.55208333333333337</v>
      </c>
      <c r="G93" s="26">
        <f>IF(AND(tb_Base[[#This Row],[Date]]=B92,tb_Base[[#This Row],[Riviere]]=C92,tb_Base[[#This Row],[Secteur]]=D92,tb_Base[[#This Row],[Heure_debut]]=E92,tb_Base[[#This Row],[Heure_fin]]=F92),"",(tb_Base[[#This Row],[Heure_fin]]-tb_Base[[#This Row],[Heure_debut]])*24)</f>
        <v>3.0000000000000013</v>
      </c>
      <c r="H93" s="38" t="s">
        <v>3</v>
      </c>
      <c r="I93" s="38" t="s">
        <v>49</v>
      </c>
      <c r="J93" s="38" t="s">
        <v>26</v>
      </c>
      <c r="K93" s="38"/>
      <c r="L93" s="23" t="s">
        <v>238</v>
      </c>
      <c r="M93" s="23" t="s">
        <v>400</v>
      </c>
      <c r="N93" s="28">
        <f>SUM(tb_Base[[#This Row],[0 - 19 cm]:[240 - 249 cm]])</f>
        <v>1</v>
      </c>
      <c r="O93" s="2" t="s">
        <v>60</v>
      </c>
      <c r="S93" s="2">
        <v>1</v>
      </c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14"/>
    </row>
    <row r="94" spans="1:40">
      <c r="A94" s="14" t="s">
        <v>288</v>
      </c>
      <c r="B94" s="7">
        <v>44802</v>
      </c>
      <c r="C94" s="38" t="s">
        <v>99</v>
      </c>
      <c r="D94" s="38" t="s">
        <v>282</v>
      </c>
      <c r="E94" s="24">
        <v>0.29166666666666669</v>
      </c>
      <c r="F94" s="24">
        <v>0.45833333333333331</v>
      </c>
      <c r="G94" s="26">
        <f>IF(AND(tb_Base[[#This Row],[Date]]=B93,tb_Base[[#This Row],[Riviere]]=C93,tb_Base[[#This Row],[Secteur]]=D93,tb_Base[[#This Row],[Heure_debut]]=E93,tb_Base[[#This Row],[Heure_fin]]=F93),"",(tb_Base[[#This Row],[Heure_fin]]-tb_Base[[#This Row],[Heure_debut]])*24)</f>
        <v>3.9999999999999991</v>
      </c>
      <c r="H94" s="38" t="s">
        <v>4</v>
      </c>
      <c r="I94" s="38" t="s">
        <v>122</v>
      </c>
      <c r="J94" s="38" t="s">
        <v>123</v>
      </c>
      <c r="K94" s="38" t="s">
        <v>383</v>
      </c>
      <c r="L94" s="23" t="s">
        <v>239</v>
      </c>
      <c r="M94" s="23"/>
      <c r="N94" s="28">
        <f>SUM(tb_Base[[#This Row],[0 - 19 cm]:[240 - 249 cm]])</f>
        <v>7</v>
      </c>
      <c r="O94" s="2" t="s">
        <v>281</v>
      </c>
      <c r="P94" s="2">
        <v>7</v>
      </c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14"/>
    </row>
    <row r="95" spans="1:40">
      <c r="A95" s="14" t="s">
        <v>289</v>
      </c>
      <c r="B95" s="7">
        <v>44803</v>
      </c>
      <c r="C95" s="38" t="s">
        <v>12</v>
      </c>
      <c r="D95" s="38" t="s">
        <v>190</v>
      </c>
      <c r="E95" s="24">
        <v>0.29166666666666669</v>
      </c>
      <c r="F95" s="24">
        <v>0.41666666666666669</v>
      </c>
      <c r="G95" s="26">
        <f>IF(AND(tb_Base[[#This Row],[Date]]=B94,tb_Base[[#This Row],[Riviere]]=C94,tb_Base[[#This Row],[Secteur]]=D94,tb_Base[[#This Row],[Heure_debut]]=E94,tb_Base[[#This Row],[Heure_fin]]=F94),"",(tb_Base[[#This Row],[Heure_fin]]-tb_Base[[#This Row],[Heure_debut]])*24)</f>
        <v>3</v>
      </c>
      <c r="H95" s="38" t="s">
        <v>4</v>
      </c>
      <c r="I95" s="38" t="s">
        <v>49</v>
      </c>
      <c r="J95" s="38" t="s">
        <v>24</v>
      </c>
      <c r="K95" s="38" t="s">
        <v>367</v>
      </c>
      <c r="L95" s="23" t="s">
        <v>238</v>
      </c>
      <c r="M95" s="23"/>
      <c r="N95" s="28">
        <f>SUM(tb_Base[[#This Row],[0 - 19 cm]:[240 - 249 cm]])</f>
        <v>5</v>
      </c>
      <c r="O95" s="2" t="s">
        <v>61</v>
      </c>
      <c r="P95" s="2">
        <v>4</v>
      </c>
      <c r="Q95" s="2">
        <v>1</v>
      </c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14"/>
    </row>
    <row r="96" spans="1:40">
      <c r="A96" s="14" t="s">
        <v>289</v>
      </c>
      <c r="B96" s="7">
        <v>44803</v>
      </c>
      <c r="C96" s="38" t="s">
        <v>12</v>
      </c>
      <c r="D96" s="38" t="s">
        <v>190</v>
      </c>
      <c r="E96" s="24">
        <v>0.29166666666666669</v>
      </c>
      <c r="F96" s="24">
        <v>0.41666666666666669</v>
      </c>
      <c r="G96" s="26" t="str">
        <f>IF(AND(tb_Base[[#This Row],[Date]]=B95,tb_Base[[#This Row],[Riviere]]=C95,tb_Base[[#This Row],[Secteur]]=D95,tb_Base[[#This Row],[Heure_debut]]=E95,tb_Base[[#This Row],[Heure_fin]]=F95),"",(tb_Base[[#This Row],[Heure_fin]]-tb_Base[[#This Row],[Heure_debut]])*24)</f>
        <v/>
      </c>
      <c r="H96" s="38" t="s">
        <v>4</v>
      </c>
      <c r="I96" s="38" t="s">
        <v>49</v>
      </c>
      <c r="J96" s="38" t="s">
        <v>24</v>
      </c>
      <c r="K96" s="38" t="s">
        <v>367</v>
      </c>
      <c r="L96" s="23" t="s">
        <v>238</v>
      </c>
      <c r="M96" s="23"/>
      <c r="N96" s="28">
        <f>SUM(tb_Base[[#This Row],[0 - 19 cm]:[240 - 249 cm]])</f>
        <v>14</v>
      </c>
      <c r="O96" s="2" t="s">
        <v>63</v>
      </c>
      <c r="Q96" s="2">
        <v>14</v>
      </c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4"/>
    </row>
    <row r="97" spans="1:40">
      <c r="A97" s="14" t="s">
        <v>290</v>
      </c>
      <c r="B97" s="7">
        <v>44803</v>
      </c>
      <c r="C97" s="38" t="s">
        <v>12</v>
      </c>
      <c r="D97" s="38" t="s">
        <v>190</v>
      </c>
      <c r="E97" s="24">
        <v>0.29166666666666669</v>
      </c>
      <c r="F97" s="24">
        <v>0.41666666666666669</v>
      </c>
      <c r="G97" s="26" t="str">
        <f>IF(AND(tb_Base[[#This Row],[Date]]=B96,tb_Base[[#This Row],[Riviere]]=C96,tb_Base[[#This Row],[Secteur]]=D96,tb_Base[[#This Row],[Heure_debut]]=E96,tb_Base[[#This Row],[Heure_fin]]=F96),"",(tb_Base[[#This Row],[Heure_fin]]-tb_Base[[#This Row],[Heure_debut]])*24)</f>
        <v/>
      </c>
      <c r="H97" s="38" t="s">
        <v>4</v>
      </c>
      <c r="I97" s="38" t="s">
        <v>49</v>
      </c>
      <c r="J97" s="38" t="s">
        <v>26</v>
      </c>
      <c r="K97" s="7" t="s">
        <v>365</v>
      </c>
      <c r="L97" s="23" t="s">
        <v>238</v>
      </c>
      <c r="M97" s="23"/>
      <c r="N97" s="28">
        <f>SUM(tb_Base[[#This Row],[0 - 19 cm]:[240 - 249 cm]])</f>
        <v>1</v>
      </c>
      <c r="O97" s="2" t="s">
        <v>113</v>
      </c>
      <c r="R97" s="2">
        <v>1</v>
      </c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14"/>
    </row>
    <row r="98" spans="1:40">
      <c r="A98" s="14" t="s">
        <v>332</v>
      </c>
      <c r="B98" s="7">
        <v>44803</v>
      </c>
      <c r="C98" s="38" t="s">
        <v>12</v>
      </c>
      <c r="D98" s="38" t="s">
        <v>187</v>
      </c>
      <c r="E98" s="24">
        <v>0.83333333333333337</v>
      </c>
      <c r="F98" s="24">
        <v>0.875</v>
      </c>
      <c r="G98" s="26">
        <f>IF(AND(tb_Base[[#This Row],[Date]]=B97,tb_Base[[#This Row],[Riviere]]=C97,tb_Base[[#This Row],[Secteur]]=D97,tb_Base[[#This Row],[Heure_debut]]=E97,tb_Base[[#This Row],[Heure_fin]]=F97),"",(tb_Base[[#This Row],[Heure_fin]]-tb_Base[[#This Row],[Heure_debut]])*24)</f>
        <v>0.99999999999999911</v>
      </c>
      <c r="H98" s="38" t="s">
        <v>3</v>
      </c>
      <c r="I98" s="38"/>
      <c r="J98" s="38"/>
      <c r="K98" s="38"/>
      <c r="L98" s="40" t="s">
        <v>238</v>
      </c>
      <c r="M98" s="40" t="s">
        <v>244</v>
      </c>
      <c r="N98" s="28">
        <f>SUM(tb_Base[[#This Row],[0 - 19 cm]:[240 - 249 cm]])</f>
        <v>0</v>
      </c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14"/>
    </row>
    <row r="99" spans="1:40">
      <c r="A99" s="14" t="s">
        <v>291</v>
      </c>
      <c r="B99" s="7">
        <v>44804</v>
      </c>
      <c r="C99" s="38" t="s">
        <v>12</v>
      </c>
      <c r="D99" s="38" t="s">
        <v>189</v>
      </c>
      <c r="E99" s="24">
        <v>0.41666666666666669</v>
      </c>
      <c r="F99" s="24">
        <v>0.5</v>
      </c>
      <c r="G99" s="26">
        <f>IF(AND(tb_Base[[#This Row],[Date]]=B98,tb_Base[[#This Row],[Riviere]]=C98,tb_Base[[#This Row],[Secteur]]=D98,tb_Base[[#This Row],[Heure_debut]]=E98,tb_Base[[#This Row],[Heure_fin]]=F98),"",(tb_Base[[#This Row],[Heure_fin]]-tb_Base[[#This Row],[Heure_debut]])*24)</f>
        <v>1.9999999999999996</v>
      </c>
      <c r="H99" s="38" t="s">
        <v>4</v>
      </c>
      <c r="I99" s="38" t="s">
        <v>49</v>
      </c>
      <c r="J99" s="38" t="s">
        <v>24</v>
      </c>
      <c r="K99" s="38" t="s">
        <v>367</v>
      </c>
      <c r="L99" s="23" t="s">
        <v>238</v>
      </c>
      <c r="M99" s="23" t="s">
        <v>245</v>
      </c>
      <c r="N99" s="28">
        <f>SUM(tb_Base[[#This Row],[0 - 19 cm]:[240 - 249 cm]])</f>
        <v>3</v>
      </c>
      <c r="O99" s="2" t="s">
        <v>61</v>
      </c>
      <c r="P99" s="2">
        <v>2</v>
      </c>
      <c r="Q99" s="2">
        <v>1</v>
      </c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14"/>
    </row>
    <row r="100" spans="1:40">
      <c r="A100" s="14" t="s">
        <v>293</v>
      </c>
      <c r="B100" s="7">
        <v>44805</v>
      </c>
      <c r="C100" s="38" t="s">
        <v>14</v>
      </c>
      <c r="D100" s="38" t="s">
        <v>292</v>
      </c>
      <c r="E100" s="24">
        <v>0.46875</v>
      </c>
      <c r="F100" s="24">
        <v>0.63541666666666663</v>
      </c>
      <c r="G100" s="26">
        <f>IF(AND(tb_Base[[#This Row],[Date]]=B99,tb_Base[[#This Row],[Riviere]]=C99,tb_Base[[#This Row],[Secteur]]=D99,tb_Base[[#This Row],[Heure_debut]]=E99,tb_Base[[#This Row],[Heure_fin]]=F99),"",(tb_Base[[#This Row],[Heure_fin]]-tb_Base[[#This Row],[Heure_debut]])*24)</f>
        <v>3.9999999999999991</v>
      </c>
      <c r="H100" s="38" t="s">
        <v>3</v>
      </c>
      <c r="I100" s="38" t="s">
        <v>49</v>
      </c>
      <c r="J100" s="38" t="s">
        <v>26</v>
      </c>
      <c r="K100" s="38" t="s">
        <v>368</v>
      </c>
      <c r="L100" s="23" t="s">
        <v>239</v>
      </c>
      <c r="M100" s="23" t="s">
        <v>241</v>
      </c>
      <c r="N100" s="28">
        <f>SUM(tb_Base[[#This Row],[0 - 19 cm]:[240 - 249 cm]])</f>
        <v>4</v>
      </c>
      <c r="O100" s="2" t="s">
        <v>61</v>
      </c>
      <c r="P100" s="2">
        <v>2</v>
      </c>
      <c r="Q100" s="2">
        <v>2</v>
      </c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14"/>
    </row>
    <row r="101" spans="1:40">
      <c r="A101" s="14" t="s">
        <v>293</v>
      </c>
      <c r="B101" s="7">
        <v>44805</v>
      </c>
      <c r="C101" s="38" t="s">
        <v>14</v>
      </c>
      <c r="D101" s="38" t="s">
        <v>292</v>
      </c>
      <c r="E101" s="24">
        <v>0.46875</v>
      </c>
      <c r="F101" s="24">
        <v>0.63541666666666663</v>
      </c>
      <c r="G101" s="26" t="str">
        <f>IF(AND(tb_Base[[#This Row],[Date]]=B100,tb_Base[[#This Row],[Riviere]]=C100,tb_Base[[#This Row],[Secteur]]=D100,tb_Base[[#This Row],[Heure_debut]]=E100,tb_Base[[#This Row],[Heure_fin]]=F100),"",(tb_Base[[#This Row],[Heure_fin]]-tb_Base[[#This Row],[Heure_debut]])*24)</f>
        <v/>
      </c>
      <c r="H101" s="38" t="s">
        <v>3</v>
      </c>
      <c r="I101" s="38" t="s">
        <v>49</v>
      </c>
      <c r="J101" s="38" t="s">
        <v>26</v>
      </c>
      <c r="K101" s="38" t="s">
        <v>368</v>
      </c>
      <c r="L101" s="23" t="s">
        <v>239</v>
      </c>
      <c r="M101" s="23" t="s">
        <v>241</v>
      </c>
      <c r="N101" s="28">
        <f>SUM(tb_Base[[#This Row],[0 - 19 cm]:[240 - 249 cm]])</f>
        <v>1</v>
      </c>
      <c r="O101" s="2" t="s">
        <v>63</v>
      </c>
      <c r="Q101" s="2">
        <v>1</v>
      </c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14"/>
    </row>
    <row r="102" spans="1:40">
      <c r="A102" s="14" t="s">
        <v>294</v>
      </c>
      <c r="B102" s="7">
        <v>44807</v>
      </c>
      <c r="C102" s="38" t="s">
        <v>12</v>
      </c>
      <c r="D102" s="38" t="s">
        <v>188</v>
      </c>
      <c r="E102" s="24">
        <v>0.33333333333333331</v>
      </c>
      <c r="F102" s="24">
        <v>0.39583333333333331</v>
      </c>
      <c r="G102" s="26">
        <f>IF(AND(tb_Base[[#This Row],[Date]]=B101,tb_Base[[#This Row],[Riviere]]=C101,tb_Base[[#This Row],[Secteur]]=D101,tb_Base[[#This Row],[Heure_debut]]=E101,tb_Base[[#This Row],[Heure_fin]]=F101),"",(tb_Base[[#This Row],[Heure_fin]]-tb_Base[[#This Row],[Heure_debut]])*24)</f>
        <v>1.5</v>
      </c>
      <c r="H102" s="38" t="s">
        <v>3</v>
      </c>
      <c r="I102" s="38" t="s">
        <v>49</v>
      </c>
      <c r="J102" s="38" t="s">
        <v>24</v>
      </c>
      <c r="K102" s="7" t="s">
        <v>364</v>
      </c>
      <c r="L102" s="23" t="s">
        <v>238</v>
      </c>
      <c r="M102" s="23"/>
      <c r="N102" s="28">
        <f>SUM(tb_Base[[#This Row],[0 - 19 cm]:[240 - 249 cm]])</f>
        <v>2</v>
      </c>
      <c r="O102" s="2" t="s">
        <v>61</v>
      </c>
      <c r="P102" s="2">
        <v>1</v>
      </c>
      <c r="Q102" s="2">
        <v>1</v>
      </c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14"/>
    </row>
    <row r="103" spans="1:40">
      <c r="A103" s="14" t="s">
        <v>294</v>
      </c>
      <c r="B103" s="7">
        <v>44807</v>
      </c>
      <c r="C103" s="38" t="s">
        <v>12</v>
      </c>
      <c r="D103" s="38" t="s">
        <v>188</v>
      </c>
      <c r="E103" s="24">
        <v>0.33333333333333331</v>
      </c>
      <c r="F103" s="24">
        <v>0.39583333333333331</v>
      </c>
      <c r="G103" s="26" t="str">
        <f>IF(AND(tb_Base[[#This Row],[Date]]=B102,tb_Base[[#This Row],[Riviere]]=C102,tb_Base[[#This Row],[Secteur]]=D102,tb_Base[[#This Row],[Heure_debut]]=E102,tb_Base[[#This Row],[Heure_fin]]=F102),"",(tb_Base[[#This Row],[Heure_fin]]-tb_Base[[#This Row],[Heure_debut]])*24)</f>
        <v/>
      </c>
      <c r="H103" s="38" t="s">
        <v>3</v>
      </c>
      <c r="I103" s="38" t="s">
        <v>49</v>
      </c>
      <c r="J103" s="38" t="s">
        <v>24</v>
      </c>
      <c r="K103" s="7" t="s">
        <v>364</v>
      </c>
      <c r="L103" s="23" t="s">
        <v>238</v>
      </c>
      <c r="M103" s="23"/>
      <c r="N103" s="28">
        <f>SUM(tb_Base[[#This Row],[0 - 19 cm]:[240 - 249 cm]])</f>
        <v>4</v>
      </c>
      <c r="O103" s="2" t="s">
        <v>63</v>
      </c>
      <c r="Q103" s="2">
        <v>3</v>
      </c>
      <c r="R103" s="2">
        <v>1</v>
      </c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14"/>
    </row>
    <row r="104" spans="1:40">
      <c r="A104" s="14" t="s">
        <v>295</v>
      </c>
      <c r="B104" s="7">
        <v>44808</v>
      </c>
      <c r="C104" s="38" t="s">
        <v>12</v>
      </c>
      <c r="D104" s="38" t="s">
        <v>188</v>
      </c>
      <c r="E104" s="24">
        <v>0.33333333333333331</v>
      </c>
      <c r="F104" s="24">
        <v>0.41666666666666669</v>
      </c>
      <c r="G104" s="26">
        <f>IF(AND(tb_Base[[#This Row],[Date]]=B103,tb_Base[[#This Row],[Riviere]]=C103,tb_Base[[#This Row],[Secteur]]=D103,tb_Base[[#This Row],[Heure_debut]]=E103,tb_Base[[#This Row],[Heure_fin]]=F103),"",(tb_Base[[#This Row],[Heure_fin]]-tb_Base[[#This Row],[Heure_debut]])*24)</f>
        <v>2.0000000000000009</v>
      </c>
      <c r="H104" s="38" t="s">
        <v>3</v>
      </c>
      <c r="I104" s="38" t="s">
        <v>49</v>
      </c>
      <c r="J104" s="38" t="s">
        <v>24</v>
      </c>
      <c r="K104" s="38"/>
      <c r="L104" s="23" t="s">
        <v>238</v>
      </c>
      <c r="M104" s="23"/>
      <c r="N104" s="28">
        <f>SUM(tb_Base[[#This Row],[0 - 19 cm]:[240 - 249 cm]])</f>
        <v>6</v>
      </c>
      <c r="O104" s="2" t="s">
        <v>61</v>
      </c>
      <c r="P104" s="2">
        <v>6</v>
      </c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14"/>
    </row>
    <row r="105" spans="1:40">
      <c r="A105" s="14" t="s">
        <v>295</v>
      </c>
      <c r="B105" s="7">
        <v>44808</v>
      </c>
      <c r="C105" s="38" t="s">
        <v>12</v>
      </c>
      <c r="D105" s="38" t="s">
        <v>188</v>
      </c>
      <c r="E105" s="24">
        <v>0.33333333333333331</v>
      </c>
      <c r="F105" s="24">
        <v>0.41666666666666669</v>
      </c>
      <c r="G105" s="26" t="str">
        <f>IF(AND(tb_Base[[#This Row],[Date]]=B104,tb_Base[[#This Row],[Riviere]]=C104,tb_Base[[#This Row],[Secteur]]=D104,tb_Base[[#This Row],[Heure_debut]]=E104,tb_Base[[#This Row],[Heure_fin]]=F104),"",(tb_Base[[#This Row],[Heure_fin]]-tb_Base[[#This Row],[Heure_debut]])*24)</f>
        <v/>
      </c>
      <c r="H105" s="38" t="s">
        <v>3</v>
      </c>
      <c r="I105" s="38" t="s">
        <v>49</v>
      </c>
      <c r="J105" s="38" t="s">
        <v>24</v>
      </c>
      <c r="K105" s="38"/>
      <c r="L105" s="23" t="s">
        <v>238</v>
      </c>
      <c r="M105" s="23"/>
      <c r="N105" s="28">
        <f>SUM(tb_Base[[#This Row],[0 - 19 cm]:[240 - 249 cm]])</f>
        <v>2</v>
      </c>
      <c r="O105" s="2" t="s">
        <v>63</v>
      </c>
      <c r="P105" s="2">
        <v>1</v>
      </c>
      <c r="Q105" s="2">
        <v>1</v>
      </c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14"/>
    </row>
    <row r="106" spans="1:40">
      <c r="A106" s="14" t="s">
        <v>268</v>
      </c>
      <c r="B106" s="7">
        <v>44809</v>
      </c>
      <c r="C106" s="38" t="s">
        <v>13</v>
      </c>
      <c r="D106" s="38" t="s">
        <v>217</v>
      </c>
      <c r="E106" s="24">
        <v>0.33333333333333331</v>
      </c>
      <c r="F106" s="24">
        <v>0.375</v>
      </c>
      <c r="G106" s="26">
        <f>IF(AND(tb_Base[[#This Row],[Date]]=B105,tb_Base[[#This Row],[Riviere]]=C105,tb_Base[[#This Row],[Secteur]]=D105,tb_Base[[#This Row],[Heure_debut]]=E105,tb_Base[[#This Row],[Heure_fin]]=F105),"",(tb_Base[[#This Row],[Heure_fin]]-tb_Base[[#This Row],[Heure_debut]])*24)</f>
        <v>1.0000000000000004</v>
      </c>
      <c r="H106" s="38" t="s">
        <v>4</v>
      </c>
      <c r="I106" s="38" t="s">
        <v>52</v>
      </c>
      <c r="J106" s="38" t="s">
        <v>250</v>
      </c>
      <c r="K106" s="38" t="s">
        <v>384</v>
      </c>
      <c r="L106" s="23" t="s">
        <v>238</v>
      </c>
      <c r="M106" s="23" t="s">
        <v>243</v>
      </c>
      <c r="N106" s="28">
        <f>SUM(tb_Base[[#This Row],[0 - 19 cm]:[240 - 249 cm]])</f>
        <v>1</v>
      </c>
      <c r="O106" s="2" t="s">
        <v>60</v>
      </c>
      <c r="R106" s="2">
        <v>1</v>
      </c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14"/>
    </row>
    <row r="107" spans="1:40">
      <c r="A107" s="14" t="s">
        <v>269</v>
      </c>
      <c r="B107" s="7">
        <v>44809</v>
      </c>
      <c r="C107" s="38" t="s">
        <v>13</v>
      </c>
      <c r="D107" s="38" t="s">
        <v>216</v>
      </c>
      <c r="E107" s="24">
        <v>0.375</v>
      </c>
      <c r="F107" s="24">
        <v>0.41666666666666669</v>
      </c>
      <c r="G107" s="26">
        <f>IF(AND(tb_Base[[#This Row],[Date]]=B106,tb_Base[[#This Row],[Riviere]]=C106,tb_Base[[#This Row],[Secteur]]=D106,tb_Base[[#This Row],[Heure_debut]]=E106,tb_Base[[#This Row],[Heure_fin]]=F106),"",(tb_Base[[#This Row],[Heure_fin]]-tb_Base[[#This Row],[Heure_debut]])*24)</f>
        <v>1.0000000000000004</v>
      </c>
      <c r="H107" s="38" t="s">
        <v>4</v>
      </c>
      <c r="I107" s="38" t="s">
        <v>49</v>
      </c>
      <c r="J107" s="38" t="s">
        <v>26</v>
      </c>
      <c r="K107" s="38"/>
      <c r="L107" s="23" t="s">
        <v>238</v>
      </c>
      <c r="M107" s="23" t="s">
        <v>243</v>
      </c>
      <c r="N107" s="28">
        <f>SUM(tb_Base[[#This Row],[0 - 19 cm]:[240 - 249 cm]])</f>
        <v>2</v>
      </c>
      <c r="O107" s="2" t="s">
        <v>61</v>
      </c>
      <c r="P107" s="2">
        <v>2</v>
      </c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14"/>
    </row>
    <row r="108" spans="1:40">
      <c r="A108" s="14" t="s">
        <v>270</v>
      </c>
      <c r="B108" s="7">
        <v>44810</v>
      </c>
      <c r="C108" s="38" t="s">
        <v>13</v>
      </c>
      <c r="D108" s="38" t="s">
        <v>217</v>
      </c>
      <c r="E108" s="24">
        <v>0.66666666666666663</v>
      </c>
      <c r="F108" s="24">
        <v>0.75</v>
      </c>
      <c r="G108" s="26">
        <f>IF(AND(tb_Base[[#This Row],[Date]]=B107,tb_Base[[#This Row],[Riviere]]=C107,tb_Base[[#This Row],[Secteur]]=D107,tb_Base[[#This Row],[Heure_debut]]=E107,tb_Base[[#This Row],[Heure_fin]]=F107),"",(tb_Base[[#This Row],[Heure_fin]]-tb_Base[[#This Row],[Heure_debut]])*24)</f>
        <v>2.0000000000000009</v>
      </c>
      <c r="H108" s="38" t="s">
        <v>4</v>
      </c>
      <c r="I108" s="38" t="s">
        <v>52</v>
      </c>
      <c r="J108" s="38" t="s">
        <v>250</v>
      </c>
      <c r="K108" s="38" t="s">
        <v>384</v>
      </c>
      <c r="L108" s="23" t="s">
        <v>238</v>
      </c>
      <c r="M108" s="23"/>
      <c r="N108" s="28">
        <f>SUM(tb_Base[[#This Row],[0 - 19 cm]:[240 - 249 cm]])</f>
        <v>3</v>
      </c>
      <c r="O108" s="2" t="s">
        <v>60</v>
      </c>
      <c r="R108" s="2">
        <v>1</v>
      </c>
      <c r="S108" s="2">
        <v>2</v>
      </c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14"/>
    </row>
    <row r="109" spans="1:40">
      <c r="A109" s="14" t="s">
        <v>270</v>
      </c>
      <c r="B109" s="7">
        <v>44810</v>
      </c>
      <c r="C109" s="38" t="s">
        <v>13</v>
      </c>
      <c r="D109" s="38" t="s">
        <v>217</v>
      </c>
      <c r="E109" s="24">
        <v>0.66666666666666663</v>
      </c>
      <c r="F109" s="24">
        <v>0.75</v>
      </c>
      <c r="G109" s="26" t="str">
        <f>IF(AND(tb_Base[[#This Row],[Date]]=B108,tb_Base[[#This Row],[Riviere]]=C108,tb_Base[[#This Row],[Secteur]]=D108,tb_Base[[#This Row],[Heure_debut]]=E108,tb_Base[[#This Row],[Heure_fin]]=F108),"",(tb_Base[[#This Row],[Heure_fin]]-tb_Base[[#This Row],[Heure_debut]])*24)</f>
        <v/>
      </c>
      <c r="H109" s="38" t="s">
        <v>4</v>
      </c>
      <c r="I109" s="38" t="s">
        <v>52</v>
      </c>
      <c r="J109" s="38" t="s">
        <v>250</v>
      </c>
      <c r="K109" s="38" t="s">
        <v>384</v>
      </c>
      <c r="L109" s="23" t="s">
        <v>238</v>
      </c>
      <c r="M109" s="23"/>
      <c r="N109" s="28">
        <f>SUM(tb_Base[[#This Row],[0 - 19 cm]:[240 - 249 cm]])</f>
        <v>1</v>
      </c>
      <c r="O109" s="2" t="s">
        <v>61</v>
      </c>
      <c r="P109" s="2">
        <v>1</v>
      </c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14"/>
    </row>
    <row r="110" spans="1:40">
      <c r="A110" s="14" t="s">
        <v>271</v>
      </c>
      <c r="B110" s="7">
        <v>44815</v>
      </c>
      <c r="C110" s="38" t="s">
        <v>13</v>
      </c>
      <c r="D110" s="38" t="s">
        <v>215</v>
      </c>
      <c r="E110" s="24">
        <v>0.375</v>
      </c>
      <c r="F110" s="24">
        <v>0.45833333333333331</v>
      </c>
      <c r="G110" s="26">
        <f>IF(AND(tb_Base[[#This Row],[Date]]=B109,tb_Base[[#This Row],[Riviere]]=C109,tb_Base[[#This Row],[Secteur]]=D109,tb_Base[[#This Row],[Heure_debut]]=E109,tb_Base[[#This Row],[Heure_fin]]=F109),"",(tb_Base[[#This Row],[Heure_fin]]-tb_Base[[#This Row],[Heure_debut]])*24)</f>
        <v>1.9999999999999996</v>
      </c>
      <c r="H110" s="38" t="s">
        <v>4</v>
      </c>
      <c r="I110" s="38"/>
      <c r="J110" s="38"/>
      <c r="K110" s="38"/>
      <c r="L110" s="23" t="s">
        <v>238</v>
      </c>
      <c r="M110" s="23"/>
      <c r="N110" s="28">
        <f>SUM(tb_Base[[#This Row],[0 - 19 cm]:[240 - 249 cm]])</f>
        <v>2</v>
      </c>
      <c r="O110" s="2" t="s">
        <v>61</v>
      </c>
      <c r="P110" s="2">
        <v>2</v>
      </c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14"/>
    </row>
    <row r="111" spans="1:40">
      <c r="A111" s="14" t="s">
        <v>272</v>
      </c>
      <c r="B111" s="7">
        <v>44815</v>
      </c>
      <c r="C111" s="38" t="s">
        <v>13</v>
      </c>
      <c r="D111" s="38" t="s">
        <v>211</v>
      </c>
      <c r="E111" s="24">
        <v>0.64583333333333337</v>
      </c>
      <c r="F111" s="24">
        <v>0.6875</v>
      </c>
      <c r="G111" s="26">
        <f>IF(AND(tb_Base[[#This Row],[Date]]=B110,tb_Base[[#This Row],[Riviere]]=C110,tb_Base[[#This Row],[Secteur]]=D110,tb_Base[[#This Row],[Heure_debut]]=E110,tb_Base[[#This Row],[Heure_fin]]=F110),"",(tb_Base[[#This Row],[Heure_fin]]-tb_Base[[#This Row],[Heure_debut]])*24)</f>
        <v>0.99999999999999911</v>
      </c>
      <c r="H111" s="38" t="s">
        <v>4</v>
      </c>
      <c r="I111" s="38" t="s">
        <v>52</v>
      </c>
      <c r="J111" s="38" t="s">
        <v>250</v>
      </c>
      <c r="K111" s="38" t="s">
        <v>384</v>
      </c>
      <c r="L111" s="23" t="s">
        <v>238</v>
      </c>
      <c r="M111" s="23" t="s">
        <v>247</v>
      </c>
      <c r="N111" s="28">
        <f>SUM(tb_Base[[#This Row],[0 - 19 cm]:[240 - 249 cm]])</f>
        <v>1</v>
      </c>
      <c r="O111" s="2" t="s">
        <v>60</v>
      </c>
      <c r="R111" s="2">
        <v>1</v>
      </c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14"/>
    </row>
    <row r="112" spans="1:40">
      <c r="A112" s="14" t="s">
        <v>273</v>
      </c>
      <c r="B112" s="7">
        <v>44815</v>
      </c>
      <c r="C112" s="38" t="s">
        <v>13</v>
      </c>
      <c r="D112" s="38" t="s">
        <v>213</v>
      </c>
      <c r="E112" s="24">
        <v>0.6875</v>
      </c>
      <c r="F112" s="24">
        <v>0.72916666666666663</v>
      </c>
      <c r="G112" s="26">
        <f>IF(AND(tb_Base[[#This Row],[Date]]=B111,tb_Base[[#This Row],[Riviere]]=C111,tb_Base[[#This Row],[Secteur]]=D111,tb_Base[[#This Row],[Heure_debut]]=E111,tb_Base[[#This Row],[Heure_fin]]=F111),"",(tb_Base[[#This Row],[Heure_fin]]-tb_Base[[#This Row],[Heure_debut]])*24)</f>
        <v>0.99999999999999911</v>
      </c>
      <c r="H112" s="38" t="s">
        <v>4</v>
      </c>
      <c r="I112" s="38" t="s">
        <v>52</v>
      </c>
      <c r="J112" s="38" t="s">
        <v>250</v>
      </c>
      <c r="K112" s="38" t="s">
        <v>384</v>
      </c>
      <c r="L112" s="23" t="s">
        <v>238</v>
      </c>
      <c r="M112" s="23" t="s">
        <v>247</v>
      </c>
      <c r="N112" s="28">
        <f>SUM(tb_Base[[#This Row],[0 - 19 cm]:[240 - 249 cm]])</f>
        <v>1</v>
      </c>
      <c r="O112" s="2" t="s">
        <v>60</v>
      </c>
      <c r="R112" s="2">
        <v>1</v>
      </c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14"/>
    </row>
    <row r="113" spans="1:40">
      <c r="A113" s="14" t="s">
        <v>274</v>
      </c>
      <c r="B113" s="7">
        <v>44822</v>
      </c>
      <c r="C113" s="38" t="s">
        <v>12</v>
      </c>
      <c r="D113" s="38" t="s">
        <v>192</v>
      </c>
      <c r="E113" s="24">
        <v>0.33333333333333331</v>
      </c>
      <c r="F113" s="24">
        <v>0.375</v>
      </c>
      <c r="G113" s="26">
        <f>IF(AND(tb_Base[[#This Row],[Date]]=B112,tb_Base[[#This Row],[Riviere]]=C112,tb_Base[[#This Row],[Secteur]]=D112,tb_Base[[#This Row],[Heure_debut]]=E112,tb_Base[[#This Row],[Heure_fin]]=F112),"",(tb_Base[[#This Row],[Heure_fin]]-tb_Base[[#This Row],[Heure_debut]])*24)</f>
        <v>1.0000000000000004</v>
      </c>
      <c r="H113" s="38" t="s">
        <v>4</v>
      </c>
      <c r="I113" s="38"/>
      <c r="J113" s="38"/>
      <c r="K113" s="38"/>
      <c r="L113" s="23" t="s">
        <v>238</v>
      </c>
      <c r="M113" s="23"/>
      <c r="N113" s="28">
        <f>SUM(tb_Base[[#This Row],[0 - 19 cm]:[240 - 249 cm]])</f>
        <v>3</v>
      </c>
      <c r="O113" s="2" t="s">
        <v>61</v>
      </c>
      <c r="P113" s="2">
        <v>3</v>
      </c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14"/>
    </row>
    <row r="114" spans="1:40">
      <c r="A114" s="14" t="s">
        <v>275</v>
      </c>
      <c r="B114" s="7">
        <v>44822</v>
      </c>
      <c r="C114" s="38" t="s">
        <v>99</v>
      </c>
      <c r="D114" s="38" t="s">
        <v>20</v>
      </c>
      <c r="E114" s="24">
        <v>0.47916666666666669</v>
      </c>
      <c r="F114" s="24">
        <v>0.52083333333333337</v>
      </c>
      <c r="G114" s="26">
        <f>IF(AND(tb_Base[[#This Row],[Date]]=B113,tb_Base[[#This Row],[Riviere]]=C113,tb_Base[[#This Row],[Secteur]]=D113,tb_Base[[#This Row],[Heure_debut]]=E113,tb_Base[[#This Row],[Heure_fin]]=F113),"",(tb_Base[[#This Row],[Heure_fin]]-tb_Base[[#This Row],[Heure_debut]])*24)</f>
        <v>1.0000000000000004</v>
      </c>
      <c r="H114" s="38" t="s">
        <v>4</v>
      </c>
      <c r="I114" s="38"/>
      <c r="J114" s="38"/>
      <c r="K114" s="38"/>
      <c r="L114" s="23" t="s">
        <v>236</v>
      </c>
      <c r="M114" s="23"/>
      <c r="N114" s="28">
        <f>SUM(tb_Base[[#This Row],[0 - 19 cm]:[240 - 249 cm]])</f>
        <v>0</v>
      </c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14"/>
    </row>
    <row r="115" spans="1:40">
      <c r="A115" s="14" t="s">
        <v>276</v>
      </c>
      <c r="B115" s="7">
        <v>44823</v>
      </c>
      <c r="C115" s="38" t="s">
        <v>13</v>
      </c>
      <c r="D115" s="38" t="s">
        <v>211</v>
      </c>
      <c r="E115" s="24">
        <v>0.45833333333333331</v>
      </c>
      <c r="F115" s="24">
        <v>0.5625</v>
      </c>
      <c r="G115" s="26">
        <f>IF(AND(tb_Base[[#This Row],[Date]]=B114,tb_Base[[#This Row],[Riviere]]=C114,tb_Base[[#This Row],[Secteur]]=D114,tb_Base[[#This Row],[Heure_debut]]=E114,tb_Base[[#This Row],[Heure_fin]]=F114),"",(tb_Base[[#This Row],[Heure_fin]]-tb_Base[[#This Row],[Heure_debut]])*24)</f>
        <v>2.5000000000000004</v>
      </c>
      <c r="H115" s="38" t="s">
        <v>4</v>
      </c>
      <c r="I115" s="38" t="s">
        <v>50</v>
      </c>
      <c r="J115" s="38" t="s">
        <v>315</v>
      </c>
      <c r="K115" s="38" t="s">
        <v>385</v>
      </c>
      <c r="L115" s="23" t="s">
        <v>238</v>
      </c>
      <c r="M115" s="23"/>
      <c r="N115" s="28">
        <f>SUM(tb_Base[[#This Row],[0 - 19 cm]:[240 - 249 cm]])</f>
        <v>1</v>
      </c>
      <c r="O115" s="2" t="s">
        <v>60</v>
      </c>
      <c r="T115" s="2">
        <v>1</v>
      </c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14"/>
    </row>
    <row r="116" spans="1:40">
      <c r="A116" s="14" t="s">
        <v>277</v>
      </c>
      <c r="B116" s="7">
        <v>44823</v>
      </c>
      <c r="C116" s="38" t="s">
        <v>13</v>
      </c>
      <c r="D116" s="38" t="s">
        <v>211</v>
      </c>
      <c r="E116" s="24">
        <v>0.45833333333333331</v>
      </c>
      <c r="F116" s="24">
        <v>0.5625</v>
      </c>
      <c r="G116" s="26" t="str">
        <f>IF(AND(tb_Base[[#This Row],[Date]]=B115,tb_Base[[#This Row],[Riviere]]=C115,tb_Base[[#This Row],[Secteur]]=D115,tb_Base[[#This Row],[Heure_debut]]=E115,tb_Base[[#This Row],[Heure_fin]]=F115),"",(tb_Base[[#This Row],[Heure_fin]]-tb_Base[[#This Row],[Heure_debut]])*24)</f>
        <v/>
      </c>
      <c r="H116" s="38" t="s">
        <v>4</v>
      </c>
      <c r="I116" s="38" t="s">
        <v>49</v>
      </c>
      <c r="J116" s="38" t="s">
        <v>26</v>
      </c>
      <c r="K116" s="38" t="s">
        <v>368</v>
      </c>
      <c r="L116" s="23" t="s">
        <v>238</v>
      </c>
      <c r="M116" s="23"/>
      <c r="N116" s="28">
        <f>SUM(tb_Base[[#This Row],[0 - 19 cm]:[240 - 249 cm]])</f>
        <v>2</v>
      </c>
      <c r="O116" s="2" t="s">
        <v>61</v>
      </c>
      <c r="Q116" s="2">
        <v>1</v>
      </c>
      <c r="R116" s="2">
        <v>1</v>
      </c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14"/>
    </row>
    <row r="117" spans="1:40">
      <c r="A117" s="14" t="s">
        <v>277</v>
      </c>
      <c r="B117" s="7">
        <v>44823</v>
      </c>
      <c r="C117" s="38" t="s">
        <v>13</v>
      </c>
      <c r="D117" s="38" t="s">
        <v>211</v>
      </c>
      <c r="E117" s="24">
        <v>0.45833333333333331</v>
      </c>
      <c r="F117" s="24">
        <v>0.5625</v>
      </c>
      <c r="G117" s="26" t="str">
        <f>IF(AND(tb_Base[[#This Row],[Date]]=B116,tb_Base[[#This Row],[Riviere]]=C116,tb_Base[[#This Row],[Secteur]]=D116,tb_Base[[#This Row],[Heure_debut]]=E116,tb_Base[[#This Row],[Heure_fin]]=F116),"",(tb_Base[[#This Row],[Heure_fin]]-tb_Base[[#This Row],[Heure_debut]])*24)</f>
        <v/>
      </c>
      <c r="H117" s="38" t="s">
        <v>4</v>
      </c>
      <c r="I117" s="38" t="s">
        <v>49</v>
      </c>
      <c r="J117" s="38" t="s">
        <v>26</v>
      </c>
      <c r="K117" s="38" t="s">
        <v>368</v>
      </c>
      <c r="L117" s="23" t="s">
        <v>238</v>
      </c>
      <c r="M117" s="23"/>
      <c r="N117" s="28">
        <f>SUM(tb_Base[[#This Row],[0 - 19 cm]:[240 - 249 cm]])</f>
        <v>1</v>
      </c>
      <c r="O117" s="2" t="s">
        <v>63</v>
      </c>
      <c r="S117" s="2">
        <v>1</v>
      </c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14"/>
    </row>
    <row r="118" spans="1:40">
      <c r="A118" s="14" t="s">
        <v>278</v>
      </c>
      <c r="B118" s="7">
        <v>44823</v>
      </c>
      <c r="C118" s="38" t="s">
        <v>13</v>
      </c>
      <c r="D118" s="38" t="s">
        <v>212</v>
      </c>
      <c r="E118" s="24">
        <v>0.5625</v>
      </c>
      <c r="F118" s="24">
        <v>0.64583333333333337</v>
      </c>
      <c r="G118" s="26">
        <f>IF(AND(tb_Base[[#This Row],[Date]]=B117,tb_Base[[#This Row],[Riviere]]=C117,tb_Base[[#This Row],[Secteur]]=D117,tb_Base[[#This Row],[Heure_debut]]=E117,tb_Base[[#This Row],[Heure_fin]]=F117),"",(tb_Base[[#This Row],[Heure_fin]]-tb_Base[[#This Row],[Heure_debut]])*24)</f>
        <v>2.0000000000000009</v>
      </c>
      <c r="H118" s="38" t="s">
        <v>4</v>
      </c>
      <c r="I118" s="38" t="s">
        <v>49</v>
      </c>
      <c r="J118" s="38" t="s">
        <v>26</v>
      </c>
      <c r="K118" s="38" t="s">
        <v>368</v>
      </c>
      <c r="L118" s="23" t="s">
        <v>238</v>
      </c>
      <c r="M118" s="23"/>
      <c r="N118" s="28">
        <f>SUM(tb_Base[[#This Row],[0 - 19 cm]:[240 - 249 cm]])</f>
        <v>5</v>
      </c>
      <c r="O118" s="2" t="s">
        <v>60</v>
      </c>
      <c r="R118" s="2">
        <v>2</v>
      </c>
      <c r="S118" s="2">
        <v>2</v>
      </c>
      <c r="U118" s="2">
        <v>1</v>
      </c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14"/>
    </row>
    <row r="119" spans="1:40">
      <c r="A119" s="14" t="s">
        <v>278</v>
      </c>
      <c r="B119" s="7">
        <v>44823</v>
      </c>
      <c r="C119" s="38" t="s">
        <v>13</v>
      </c>
      <c r="D119" s="38" t="s">
        <v>212</v>
      </c>
      <c r="E119" s="24">
        <v>0.5625</v>
      </c>
      <c r="F119" s="24">
        <v>0.64583333333333337</v>
      </c>
      <c r="G119" s="26" t="str">
        <f>IF(AND(tb_Base[[#This Row],[Date]]=B118,tb_Base[[#This Row],[Riviere]]=C118,tb_Base[[#This Row],[Secteur]]=D118,tb_Base[[#This Row],[Heure_debut]]=E118,tb_Base[[#This Row],[Heure_fin]]=F118),"",(tb_Base[[#This Row],[Heure_fin]]-tb_Base[[#This Row],[Heure_debut]])*24)</f>
        <v/>
      </c>
      <c r="H119" s="38" t="s">
        <v>4</v>
      </c>
      <c r="I119" s="38" t="s">
        <v>49</v>
      </c>
      <c r="J119" s="38" t="s">
        <v>26</v>
      </c>
      <c r="K119" s="38" t="s">
        <v>368</v>
      </c>
      <c r="L119" s="23" t="s">
        <v>238</v>
      </c>
      <c r="M119" s="23"/>
      <c r="N119" s="28">
        <f>SUM(tb_Base[[#This Row],[0 - 19 cm]:[240 - 249 cm]])</f>
        <v>4</v>
      </c>
      <c r="O119" s="2" t="s">
        <v>61</v>
      </c>
      <c r="P119" s="2">
        <v>4</v>
      </c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14"/>
    </row>
    <row r="120" spans="1:40">
      <c r="A120" s="14" t="s">
        <v>278</v>
      </c>
      <c r="B120" s="7">
        <v>44823</v>
      </c>
      <c r="C120" s="38" t="s">
        <v>13</v>
      </c>
      <c r="D120" s="38" t="s">
        <v>212</v>
      </c>
      <c r="E120" s="24">
        <v>0.5625</v>
      </c>
      <c r="F120" s="24">
        <v>0.64583333333333337</v>
      </c>
      <c r="G120" s="26" t="str">
        <f>IF(AND(tb_Base[[#This Row],[Date]]=B119,tb_Base[[#This Row],[Riviere]]=C119,tb_Base[[#This Row],[Secteur]]=D119,tb_Base[[#This Row],[Heure_debut]]=E119,tb_Base[[#This Row],[Heure_fin]]=F119),"",(tb_Base[[#This Row],[Heure_fin]]-tb_Base[[#This Row],[Heure_debut]])*24)</f>
        <v/>
      </c>
      <c r="H120" s="38" t="s">
        <v>4</v>
      </c>
      <c r="I120" s="38" t="s">
        <v>49</v>
      </c>
      <c r="J120" s="38" t="s">
        <v>26</v>
      </c>
      <c r="K120" s="38" t="s">
        <v>368</v>
      </c>
      <c r="L120" s="23" t="s">
        <v>238</v>
      </c>
      <c r="M120" s="23"/>
      <c r="N120" s="28">
        <f>SUM(tb_Base[[#This Row],[0 - 19 cm]:[240 - 249 cm]])</f>
        <v>2</v>
      </c>
      <c r="O120" s="2" t="s">
        <v>63</v>
      </c>
      <c r="R120" s="2">
        <v>2</v>
      </c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14"/>
    </row>
    <row r="121" spans="1:40">
      <c r="A121" s="14" t="s">
        <v>279</v>
      </c>
      <c r="B121" s="7">
        <v>44825</v>
      </c>
      <c r="C121" s="38" t="s">
        <v>12</v>
      </c>
      <c r="D121" s="38" t="s">
        <v>202</v>
      </c>
      <c r="E121" s="24">
        <v>0.64583333333333337</v>
      </c>
      <c r="F121" s="24">
        <v>0.6875</v>
      </c>
      <c r="G121" s="26">
        <f>IF(AND(tb_Base[[#This Row],[Date]]=B120,tb_Base[[#This Row],[Riviere]]=C120,tb_Base[[#This Row],[Secteur]]=D120,tb_Base[[#This Row],[Heure_debut]]=E120,tb_Base[[#This Row],[Heure_fin]]=F120),"",(tb_Base[[#This Row],[Heure_fin]]-tb_Base[[#This Row],[Heure_debut]])*24)</f>
        <v>0.99999999999999911</v>
      </c>
      <c r="H121" s="38" t="s">
        <v>3</v>
      </c>
      <c r="I121" s="38" t="s">
        <v>122</v>
      </c>
      <c r="J121" s="38" t="s">
        <v>123</v>
      </c>
      <c r="K121" s="38" t="s">
        <v>383</v>
      </c>
      <c r="L121" s="23" t="s">
        <v>238</v>
      </c>
      <c r="M121" s="23"/>
      <c r="N121" s="28">
        <f>SUM(tb_Base[[#This Row],[0 - 19 cm]:[240 - 249 cm]])</f>
        <v>1</v>
      </c>
      <c r="O121" s="2" t="s">
        <v>60</v>
      </c>
      <c r="R121" s="2">
        <v>1</v>
      </c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14"/>
    </row>
    <row r="122" spans="1:40">
      <c r="A122" s="14" t="s">
        <v>279</v>
      </c>
      <c r="B122" s="7">
        <v>44825</v>
      </c>
      <c r="C122" s="38" t="s">
        <v>12</v>
      </c>
      <c r="D122" s="38" t="s">
        <v>202</v>
      </c>
      <c r="E122" s="24">
        <v>0.64583333333333337</v>
      </c>
      <c r="F122" s="24">
        <v>0.6875</v>
      </c>
      <c r="G122" s="26" t="str">
        <f>IF(AND(tb_Base[[#This Row],[Date]]=B121,tb_Base[[#This Row],[Riviere]]=C121,tb_Base[[#This Row],[Secteur]]=D121,tb_Base[[#This Row],[Heure_debut]]=E121,tb_Base[[#This Row],[Heure_fin]]=F121),"",(tb_Base[[#This Row],[Heure_fin]]-tb_Base[[#This Row],[Heure_debut]])*24)</f>
        <v/>
      </c>
      <c r="H122" s="38" t="s">
        <v>3</v>
      </c>
      <c r="I122" s="38" t="s">
        <v>122</v>
      </c>
      <c r="J122" s="38" t="s">
        <v>123</v>
      </c>
      <c r="K122" s="38" t="s">
        <v>383</v>
      </c>
      <c r="L122" s="23" t="s">
        <v>238</v>
      </c>
      <c r="M122" s="23"/>
      <c r="N122" s="28">
        <f>SUM(tb_Base[[#This Row],[0 - 19 cm]:[240 - 249 cm]])</f>
        <v>1</v>
      </c>
      <c r="O122" s="2" t="s">
        <v>61</v>
      </c>
      <c r="Q122" s="2">
        <v>1</v>
      </c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14"/>
    </row>
    <row r="123" spans="1:40">
      <c r="A123" s="14" t="s">
        <v>280</v>
      </c>
      <c r="B123" s="7">
        <v>44827</v>
      </c>
      <c r="C123" s="38" t="s">
        <v>13</v>
      </c>
      <c r="D123" s="38" t="s">
        <v>210</v>
      </c>
      <c r="E123" s="24">
        <v>0.58333333333333337</v>
      </c>
      <c r="F123" s="24">
        <v>0.66666666666666663</v>
      </c>
      <c r="G123" s="26">
        <f>IF(AND(tb_Base[[#This Row],[Date]]=B122,tb_Base[[#This Row],[Riviere]]=C122,tb_Base[[#This Row],[Secteur]]=D122,tb_Base[[#This Row],[Heure_debut]]=E122,tb_Base[[#This Row],[Heure_fin]]=F122),"",(tb_Base[[#This Row],[Heure_fin]]-tb_Base[[#This Row],[Heure_debut]])*24)</f>
        <v>1.9999999999999982</v>
      </c>
      <c r="H123" s="38" t="s">
        <v>2</v>
      </c>
      <c r="I123" s="38"/>
      <c r="J123" s="38"/>
      <c r="K123" s="38"/>
      <c r="L123" s="23" t="s">
        <v>238</v>
      </c>
      <c r="M123" s="23"/>
      <c r="N123" s="28">
        <f>SUM(tb_Base[[#This Row],[0 - 19 cm]:[240 - 249 cm]])</f>
        <v>0</v>
      </c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14"/>
    </row>
    <row r="124" spans="1:40">
      <c r="A124" s="14" t="s">
        <v>296</v>
      </c>
      <c r="B124" s="7">
        <v>44831</v>
      </c>
      <c r="C124" s="38" t="s">
        <v>12</v>
      </c>
      <c r="D124" s="38" t="s">
        <v>196</v>
      </c>
      <c r="E124" s="24">
        <v>0.375</v>
      </c>
      <c r="F124" s="24">
        <v>0.5</v>
      </c>
      <c r="G124" s="26">
        <f>IF(AND(tb_Base[[#This Row],[Date]]=B123,tb_Base[[#This Row],[Riviere]]=C123,tb_Base[[#This Row],[Secteur]]=D123,tb_Base[[#This Row],[Heure_debut]]=E123,tb_Base[[#This Row],[Heure_fin]]=F123),"",(tb_Base[[#This Row],[Heure_fin]]-tb_Base[[#This Row],[Heure_debut]])*24)</f>
        <v>3</v>
      </c>
      <c r="H124" s="38" t="s">
        <v>3</v>
      </c>
      <c r="I124" s="38" t="s">
        <v>49</v>
      </c>
      <c r="J124" s="38" t="s">
        <v>26</v>
      </c>
      <c r="K124" s="38"/>
      <c r="L124" s="23" t="s">
        <v>238</v>
      </c>
      <c r="M124" s="23"/>
      <c r="N124" s="28">
        <f>SUM(tb_Base[[#This Row],[0 - 19 cm]:[240 - 249 cm]])</f>
        <v>3</v>
      </c>
      <c r="O124" s="2" t="s">
        <v>60</v>
      </c>
      <c r="Q124" s="2">
        <v>1</v>
      </c>
      <c r="R124" s="2">
        <v>2</v>
      </c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14"/>
    </row>
    <row r="125" spans="1:40">
      <c r="A125" s="14" t="s">
        <v>296</v>
      </c>
      <c r="B125" s="7">
        <v>44831</v>
      </c>
      <c r="C125" s="38" t="s">
        <v>12</v>
      </c>
      <c r="D125" s="38" t="s">
        <v>196</v>
      </c>
      <c r="E125" s="24">
        <v>0.375</v>
      </c>
      <c r="F125" s="24">
        <v>0.5</v>
      </c>
      <c r="G125" s="26" t="str">
        <f>IF(AND(tb_Base[[#This Row],[Date]]=B124,tb_Base[[#This Row],[Riviere]]=C124,tb_Base[[#This Row],[Secteur]]=D124,tb_Base[[#This Row],[Heure_debut]]=E124,tb_Base[[#This Row],[Heure_fin]]=F124),"",(tb_Base[[#This Row],[Heure_fin]]-tb_Base[[#This Row],[Heure_debut]])*24)</f>
        <v/>
      </c>
      <c r="H125" s="38" t="s">
        <v>3</v>
      </c>
      <c r="I125" s="38" t="s">
        <v>49</v>
      </c>
      <c r="J125" s="38" t="s">
        <v>26</v>
      </c>
      <c r="K125" s="38"/>
      <c r="L125" s="23" t="s">
        <v>238</v>
      </c>
      <c r="M125" s="23"/>
      <c r="N125" s="28">
        <f>SUM(tb_Base[[#This Row],[0 - 19 cm]:[240 - 249 cm]])</f>
        <v>7</v>
      </c>
      <c r="O125" s="2" t="s">
        <v>61</v>
      </c>
      <c r="P125" s="2">
        <v>6</v>
      </c>
      <c r="Q125" s="2">
        <v>1</v>
      </c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14"/>
    </row>
    <row r="126" spans="1:40">
      <c r="A126" s="14" t="s">
        <v>297</v>
      </c>
      <c r="B126" s="7">
        <v>44831</v>
      </c>
      <c r="C126" s="38" t="s">
        <v>13</v>
      </c>
      <c r="D126" s="38" t="s">
        <v>211</v>
      </c>
      <c r="E126" s="24">
        <v>0.625</v>
      </c>
      <c r="F126" s="24">
        <v>0.75</v>
      </c>
      <c r="G126" s="26">
        <f>IF(AND(tb_Base[[#This Row],[Date]]=B125,tb_Base[[#This Row],[Riviere]]=C125,tb_Base[[#This Row],[Secteur]]=D125,tb_Base[[#This Row],[Heure_debut]]=E125,tb_Base[[#This Row],[Heure_fin]]=F125),"",(tb_Base[[#This Row],[Heure_fin]]-tb_Base[[#This Row],[Heure_debut]])*24)</f>
        <v>3</v>
      </c>
      <c r="H126" s="38" t="s">
        <v>1</v>
      </c>
      <c r="I126" s="38" t="s">
        <v>49</v>
      </c>
      <c r="J126" s="38" t="s">
        <v>26</v>
      </c>
      <c r="K126" s="7" t="s">
        <v>364</v>
      </c>
      <c r="L126" s="23" t="s">
        <v>238</v>
      </c>
      <c r="M126" s="23" t="s">
        <v>243</v>
      </c>
      <c r="N126" s="28">
        <f>SUM(tb_Base[[#This Row],[0 - 19 cm]:[240 - 249 cm]])</f>
        <v>2</v>
      </c>
      <c r="O126" s="2" t="s">
        <v>60</v>
      </c>
      <c r="R126" s="2">
        <v>2</v>
      </c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14"/>
    </row>
    <row r="127" spans="1:40">
      <c r="A127" s="14" t="s">
        <v>298</v>
      </c>
      <c r="B127" s="7">
        <v>44837</v>
      </c>
      <c r="C127" s="38" t="s">
        <v>99</v>
      </c>
      <c r="D127" s="38" t="s">
        <v>225</v>
      </c>
      <c r="E127" s="24">
        <v>0.45833333333333331</v>
      </c>
      <c r="F127" s="24">
        <v>0.625</v>
      </c>
      <c r="G127" s="26">
        <f>IF(AND(tb_Base[[#This Row],[Date]]=B126,tb_Base[[#This Row],[Riviere]]=C126,tb_Base[[#This Row],[Secteur]]=D126,tb_Base[[#This Row],[Heure_debut]]=E126,tb_Base[[#This Row],[Heure_fin]]=F126),"",(tb_Base[[#This Row],[Heure_fin]]-tb_Base[[#This Row],[Heure_debut]])*24)</f>
        <v>4</v>
      </c>
      <c r="H127" s="38" t="s">
        <v>19</v>
      </c>
      <c r="I127" s="38"/>
      <c r="J127" s="38"/>
      <c r="K127" s="38"/>
      <c r="L127" s="23" t="s">
        <v>239</v>
      </c>
      <c r="M127" s="23" t="s">
        <v>241</v>
      </c>
      <c r="N127" s="28">
        <f>SUM(tb_Base[[#This Row],[0 - 19 cm]:[240 - 249 cm]])</f>
        <v>1</v>
      </c>
      <c r="O127" s="2" t="s">
        <v>60</v>
      </c>
      <c r="T127" s="2">
        <v>1</v>
      </c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14"/>
    </row>
    <row r="128" spans="1:40">
      <c r="A128" s="14" t="s">
        <v>325</v>
      </c>
      <c r="B128" s="7">
        <v>44838</v>
      </c>
      <c r="C128" s="38" t="s">
        <v>12</v>
      </c>
      <c r="D128" s="38" t="s">
        <v>194</v>
      </c>
      <c r="E128" s="24">
        <v>0.375</v>
      </c>
      <c r="F128" s="24">
        <v>0.5</v>
      </c>
      <c r="G128" s="26">
        <f>IF(AND(tb_Base[[#This Row],[Date]]=B127,tb_Base[[#This Row],[Riviere]]=C127,tb_Base[[#This Row],[Secteur]]=D127,tb_Base[[#This Row],[Heure_debut]]=E127,tb_Base[[#This Row],[Heure_fin]]=F127),"",(tb_Base[[#This Row],[Heure_fin]]-tb_Base[[#This Row],[Heure_debut]])*24)</f>
        <v>3</v>
      </c>
      <c r="H128" s="38" t="s">
        <v>3</v>
      </c>
      <c r="I128" s="38" t="s">
        <v>49</v>
      </c>
      <c r="J128" s="38" t="s">
        <v>26</v>
      </c>
      <c r="K128" s="38"/>
      <c r="L128" s="40" t="s">
        <v>238</v>
      </c>
      <c r="M128" s="40"/>
      <c r="N128" s="28">
        <f>SUM(tb_Base[[#This Row],[0 - 19 cm]:[240 - 249 cm]])</f>
        <v>1</v>
      </c>
      <c r="O128" s="2" t="s">
        <v>60</v>
      </c>
      <c r="R128" s="2">
        <v>1</v>
      </c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4"/>
    </row>
    <row r="129" spans="1:40">
      <c r="A129" s="14" t="s">
        <v>325</v>
      </c>
      <c r="B129" s="7">
        <v>44838</v>
      </c>
      <c r="C129" s="38" t="s">
        <v>12</v>
      </c>
      <c r="D129" s="38" t="s">
        <v>194</v>
      </c>
      <c r="E129" s="24">
        <v>0.375</v>
      </c>
      <c r="F129" s="24">
        <v>0.5</v>
      </c>
      <c r="G129" s="26" t="str">
        <f>IF(AND(tb_Base[[#This Row],[Date]]=B128,tb_Base[[#This Row],[Riviere]]=C128,tb_Base[[#This Row],[Secteur]]=D128,tb_Base[[#This Row],[Heure_debut]]=E128,tb_Base[[#This Row],[Heure_fin]]=F128),"",(tb_Base[[#This Row],[Heure_fin]]-tb_Base[[#This Row],[Heure_debut]])*24)</f>
        <v/>
      </c>
      <c r="H129" s="38" t="s">
        <v>3</v>
      </c>
      <c r="I129" s="38" t="s">
        <v>49</v>
      </c>
      <c r="J129" s="38" t="s">
        <v>26</v>
      </c>
      <c r="K129" s="38"/>
      <c r="L129" s="40" t="s">
        <v>238</v>
      </c>
      <c r="M129" s="40"/>
      <c r="N129" s="28">
        <f>SUM(tb_Base[[#This Row],[0 - 19 cm]:[240 - 249 cm]])</f>
        <v>8</v>
      </c>
      <c r="O129" s="2" t="s">
        <v>61</v>
      </c>
      <c r="P129" s="2">
        <v>3</v>
      </c>
      <c r="Q129" s="2">
        <v>5</v>
      </c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4"/>
    </row>
    <row r="130" spans="1:40">
      <c r="A130" s="14" t="s">
        <v>326</v>
      </c>
      <c r="B130" s="7">
        <v>44840</v>
      </c>
      <c r="C130" s="38" t="s">
        <v>13</v>
      </c>
      <c r="D130" s="38" t="s">
        <v>217</v>
      </c>
      <c r="E130" s="24">
        <v>0.58333333333333337</v>
      </c>
      <c r="F130" s="24">
        <v>0.66666666666666663</v>
      </c>
      <c r="G130" s="26">
        <f>IF(AND(tb_Base[[#This Row],[Date]]=B129,tb_Base[[#This Row],[Riviere]]=C129,tb_Base[[#This Row],[Secteur]]=D129,tb_Base[[#This Row],[Heure_debut]]=E129,tb_Base[[#This Row],[Heure_fin]]=F129),"",(tb_Base[[#This Row],[Heure_fin]]-tb_Base[[#This Row],[Heure_debut]])*24)</f>
        <v>1.9999999999999982</v>
      </c>
      <c r="H130" s="38" t="s">
        <v>3</v>
      </c>
      <c r="I130" s="38"/>
      <c r="J130" s="38"/>
      <c r="K130" s="38"/>
      <c r="L130" s="40" t="s">
        <v>238</v>
      </c>
      <c r="M130" s="40"/>
      <c r="N130" s="28">
        <f>SUM(tb_Base[[#This Row],[0 - 19 cm]:[240 - 249 cm]])</f>
        <v>0</v>
      </c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4"/>
    </row>
    <row r="131" spans="1:40">
      <c r="A131" s="14" t="s">
        <v>327</v>
      </c>
      <c r="B131" s="7">
        <v>44840</v>
      </c>
      <c r="C131" s="38" t="s">
        <v>12</v>
      </c>
      <c r="D131" s="38" t="s">
        <v>197</v>
      </c>
      <c r="E131" s="24">
        <v>0.75</v>
      </c>
      <c r="F131" s="24">
        <v>0.79166666666666663</v>
      </c>
      <c r="G131" s="26">
        <f>IF(AND(tb_Base[[#This Row],[Date]]=B130,tb_Base[[#This Row],[Riviere]]=C130,tb_Base[[#This Row],[Secteur]]=D130,tb_Base[[#This Row],[Heure_debut]]=E130,tb_Base[[#This Row],[Heure_fin]]=F130),"",(tb_Base[[#This Row],[Heure_fin]]-tb_Base[[#This Row],[Heure_debut]])*24)</f>
        <v>0.99999999999999911</v>
      </c>
      <c r="H131" s="38" t="s">
        <v>3</v>
      </c>
      <c r="I131" s="38"/>
      <c r="J131" s="38"/>
      <c r="K131" s="38"/>
      <c r="L131" s="40" t="s">
        <v>238</v>
      </c>
      <c r="M131" s="40"/>
      <c r="N131" s="28">
        <f>SUM(tb_Base[[#This Row],[0 - 19 cm]:[240 - 249 cm]])</f>
        <v>0</v>
      </c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4"/>
    </row>
    <row r="132" spans="1:40">
      <c r="A132" s="14" t="s">
        <v>329</v>
      </c>
      <c r="B132" s="7">
        <v>44841</v>
      </c>
      <c r="C132" s="38" t="s">
        <v>99</v>
      </c>
      <c r="D132" s="38" t="s">
        <v>225</v>
      </c>
      <c r="E132" s="24">
        <v>0.35416666666666669</v>
      </c>
      <c r="F132" s="24">
        <v>0.6875</v>
      </c>
      <c r="G132" s="26">
        <f>IF(AND(tb_Base[[#This Row],[Date]]=B131,tb_Base[[#This Row],[Riviere]]=C131,tb_Base[[#This Row],[Secteur]]=D131,tb_Base[[#This Row],[Heure_debut]]=E131,tb_Base[[#This Row],[Heure_fin]]=F131),"",(tb_Base[[#This Row],[Heure_fin]]-tb_Base[[#This Row],[Heure_debut]])*24)</f>
        <v>8</v>
      </c>
      <c r="H132" s="38" t="s">
        <v>3</v>
      </c>
      <c r="I132" s="38" t="s">
        <v>50</v>
      </c>
      <c r="J132" s="38" t="s">
        <v>328</v>
      </c>
      <c r="K132" s="38" t="s">
        <v>381</v>
      </c>
      <c r="L132" s="40" t="s">
        <v>239</v>
      </c>
      <c r="M132" s="40"/>
      <c r="N132" s="28">
        <f>SUM(tb_Base[[#This Row],[0 - 19 cm]:[240 - 249 cm]])</f>
        <v>4</v>
      </c>
      <c r="O132" s="2" t="s">
        <v>60</v>
      </c>
      <c r="R132" s="2">
        <v>2</v>
      </c>
      <c r="S132" s="2">
        <v>2</v>
      </c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4"/>
    </row>
    <row r="133" spans="1:40">
      <c r="A133" s="14" t="s">
        <v>329</v>
      </c>
      <c r="B133" s="7">
        <v>44841</v>
      </c>
      <c r="C133" s="38" t="s">
        <v>99</v>
      </c>
      <c r="D133" s="38" t="s">
        <v>225</v>
      </c>
      <c r="E133" s="24">
        <v>0.35416666666666669</v>
      </c>
      <c r="F133" s="24">
        <v>0.6875</v>
      </c>
      <c r="G133" s="26" t="str">
        <f>IF(AND(tb_Base[[#This Row],[Date]]=B132,tb_Base[[#This Row],[Riviere]]=C132,tb_Base[[#This Row],[Secteur]]=D132,tb_Base[[#This Row],[Heure_debut]]=E132,tb_Base[[#This Row],[Heure_fin]]=F132),"",(tb_Base[[#This Row],[Heure_fin]]-tb_Base[[#This Row],[Heure_debut]])*24)</f>
        <v/>
      </c>
      <c r="H133" s="38" t="s">
        <v>3</v>
      </c>
      <c r="I133" s="38" t="s">
        <v>50</v>
      </c>
      <c r="J133" s="38" t="s">
        <v>328</v>
      </c>
      <c r="K133" s="38" t="s">
        <v>381</v>
      </c>
      <c r="L133" s="40" t="s">
        <v>239</v>
      </c>
      <c r="M133" s="40"/>
      <c r="N133" s="28">
        <f>SUM(tb_Base[[#This Row],[0 - 19 cm]:[240 - 249 cm]])</f>
        <v>1</v>
      </c>
      <c r="O133" s="2" t="s">
        <v>61</v>
      </c>
      <c r="R133" s="2">
        <v>1</v>
      </c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4"/>
    </row>
    <row r="134" spans="1:40">
      <c r="A134" s="14" t="s">
        <v>330</v>
      </c>
      <c r="B134" s="7">
        <v>44841</v>
      </c>
      <c r="C134" s="38" t="s">
        <v>99</v>
      </c>
      <c r="D134" s="38" t="s">
        <v>225</v>
      </c>
      <c r="E134" s="24">
        <v>0.35416666666666669</v>
      </c>
      <c r="F134" s="24">
        <v>0.6875</v>
      </c>
      <c r="G134" s="26" t="str">
        <f>IF(AND(tb_Base[[#This Row],[Date]]=B133,tb_Base[[#This Row],[Riviere]]=C133,tb_Base[[#This Row],[Secteur]]=D133,tb_Base[[#This Row],[Heure_debut]]=E133,tb_Base[[#This Row],[Heure_fin]]=F133),"",(tb_Base[[#This Row],[Heure_fin]]-tb_Base[[#This Row],[Heure_debut]])*24)</f>
        <v/>
      </c>
      <c r="H134" s="38" t="s">
        <v>3</v>
      </c>
      <c r="I134" s="38"/>
      <c r="J134" s="38"/>
      <c r="K134" s="38" t="s">
        <v>381</v>
      </c>
      <c r="L134" s="40" t="s">
        <v>239</v>
      </c>
      <c r="M134" s="40"/>
      <c r="N134" s="28">
        <f>SUM(tb_Base[[#This Row],[0 - 19 cm]:[240 - 249 cm]])</f>
        <v>3</v>
      </c>
      <c r="O134" s="2" t="s">
        <v>60</v>
      </c>
      <c r="R134" s="2">
        <v>1</v>
      </c>
      <c r="S134" s="2">
        <v>2</v>
      </c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4"/>
    </row>
    <row r="135" spans="1:40">
      <c r="A135" s="14" t="s">
        <v>331</v>
      </c>
      <c r="B135" s="7">
        <v>44842</v>
      </c>
      <c r="C135" s="38" t="s">
        <v>99</v>
      </c>
      <c r="D135" s="38" t="s">
        <v>225</v>
      </c>
      <c r="E135" s="24">
        <v>0.66666666666666663</v>
      </c>
      <c r="F135" s="24">
        <v>0.70833333333333337</v>
      </c>
      <c r="G135" s="26">
        <f>IF(AND(tb_Base[[#This Row],[Date]]=B134,tb_Base[[#This Row],[Riviere]]=C134,tb_Base[[#This Row],[Secteur]]=D134,tb_Base[[#This Row],[Heure_debut]]=E134,tb_Base[[#This Row],[Heure_fin]]=F134),"",(tb_Base[[#This Row],[Heure_fin]]-tb_Base[[#This Row],[Heure_debut]])*24)</f>
        <v>1.0000000000000018</v>
      </c>
      <c r="H135" s="38" t="s">
        <v>3</v>
      </c>
      <c r="I135" s="38"/>
      <c r="J135" s="38"/>
      <c r="K135" s="38" t="s">
        <v>381</v>
      </c>
      <c r="L135" s="40" t="s">
        <v>236</v>
      </c>
      <c r="M135" s="40" t="s">
        <v>247</v>
      </c>
      <c r="N135" s="28">
        <f>SUM(tb_Base[[#This Row],[0 - 19 cm]:[240 - 249 cm]])</f>
        <v>0</v>
      </c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4"/>
    </row>
    <row r="136" spans="1:40">
      <c r="A136" s="14" t="s">
        <v>333</v>
      </c>
      <c r="B136" s="7">
        <v>44846</v>
      </c>
      <c r="C136" s="38" t="s">
        <v>13</v>
      </c>
      <c r="D136" s="38" t="s">
        <v>210</v>
      </c>
      <c r="E136" s="24">
        <v>0.375</v>
      </c>
      <c r="F136" s="24">
        <v>0.45833333333333331</v>
      </c>
      <c r="G136" s="26">
        <f>IF(AND(tb_Base[[#This Row],[Date]]=B135,tb_Base[[#This Row],[Riviere]]=C135,tb_Base[[#This Row],[Secteur]]=D135,tb_Base[[#This Row],[Heure_debut]]=E135,tb_Base[[#This Row],[Heure_fin]]=F135),"",(tb_Base[[#This Row],[Heure_fin]]-tb_Base[[#This Row],[Heure_debut]])*24)</f>
        <v>1.9999999999999996</v>
      </c>
      <c r="H136" s="38" t="s">
        <v>2</v>
      </c>
      <c r="I136" s="38"/>
      <c r="J136" s="38"/>
      <c r="K136" s="38" t="s">
        <v>381</v>
      </c>
      <c r="L136" s="40" t="s">
        <v>238</v>
      </c>
      <c r="M136" s="40"/>
      <c r="N136" s="28">
        <f>SUM(tb_Base[[#This Row],[0 - 19 cm]:[240 - 249 cm]])</f>
        <v>0</v>
      </c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4"/>
    </row>
    <row r="137" spans="1:40">
      <c r="A137" s="14" t="s">
        <v>334</v>
      </c>
      <c r="B137" s="7">
        <v>44848</v>
      </c>
      <c r="C137" s="38" t="s">
        <v>99</v>
      </c>
      <c r="D137" s="38" t="s">
        <v>225</v>
      </c>
      <c r="E137" s="24">
        <v>0.54166666666666663</v>
      </c>
      <c r="F137" s="24">
        <v>0.75</v>
      </c>
      <c r="G137" s="26">
        <f>IF(AND(tb_Base[[#This Row],[Date]]=B136,tb_Base[[#This Row],[Riviere]]=C136,tb_Base[[#This Row],[Secteur]]=D136,tb_Base[[#This Row],[Heure_debut]]=E136,tb_Base[[#This Row],[Heure_fin]]=F136),"",(tb_Base[[#This Row],[Heure_fin]]-tb_Base[[#This Row],[Heure_debut]])*24)</f>
        <v>5.0000000000000009</v>
      </c>
      <c r="H137" s="38" t="s">
        <v>1</v>
      </c>
      <c r="I137" s="38"/>
      <c r="J137" s="38"/>
      <c r="K137" s="38" t="s">
        <v>381</v>
      </c>
      <c r="L137" s="40" t="s">
        <v>239</v>
      </c>
      <c r="M137" s="40"/>
      <c r="N137" s="28">
        <f>SUM(tb_Base[[#This Row],[0 - 19 cm]:[240 - 249 cm]])</f>
        <v>2</v>
      </c>
      <c r="O137" s="2" t="s">
        <v>60</v>
      </c>
      <c r="S137" s="2">
        <v>2</v>
      </c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4"/>
    </row>
    <row r="138" spans="1:40">
      <c r="A138" s="14" t="s">
        <v>335</v>
      </c>
      <c r="B138" s="7">
        <v>44848</v>
      </c>
      <c r="C138" s="38" t="s">
        <v>99</v>
      </c>
      <c r="D138" s="38" t="s">
        <v>225</v>
      </c>
      <c r="E138" s="24">
        <v>0.54166666666666663</v>
      </c>
      <c r="F138" s="24">
        <v>0.75</v>
      </c>
      <c r="G138" s="26" t="str">
        <f>IF(AND(tb_Base[[#This Row],[Date]]=B137,tb_Base[[#This Row],[Riviere]]=C137,tb_Base[[#This Row],[Secteur]]=D137,tb_Base[[#This Row],[Heure_debut]]=E137,tb_Base[[#This Row],[Heure_fin]]=F137),"",(tb_Base[[#This Row],[Heure_fin]]-tb_Base[[#This Row],[Heure_debut]])*24)</f>
        <v/>
      </c>
      <c r="H138" s="38" t="s">
        <v>1</v>
      </c>
      <c r="I138" s="38" t="s">
        <v>53</v>
      </c>
      <c r="J138" s="38" t="s">
        <v>319</v>
      </c>
      <c r="K138" s="38" t="s">
        <v>382</v>
      </c>
      <c r="L138" s="40" t="s">
        <v>239</v>
      </c>
      <c r="M138" s="40"/>
      <c r="N138" s="28">
        <f>SUM(tb_Base[[#This Row],[0 - 19 cm]:[240 - 249 cm]])</f>
        <v>2</v>
      </c>
      <c r="O138" s="2" t="s">
        <v>60</v>
      </c>
      <c r="S138" s="2">
        <v>2</v>
      </c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4"/>
    </row>
    <row r="139" spans="1:40">
      <c r="A139" s="14" t="s">
        <v>336</v>
      </c>
      <c r="B139" s="7">
        <v>44848</v>
      </c>
      <c r="C139" s="38" t="s">
        <v>99</v>
      </c>
      <c r="D139" s="38" t="s">
        <v>225</v>
      </c>
      <c r="E139" s="24">
        <v>0.54166666666666663</v>
      </c>
      <c r="F139" s="24">
        <v>0.75</v>
      </c>
      <c r="G139" s="26" t="str">
        <f>IF(AND(tb_Base[[#This Row],[Date]]=B138,tb_Base[[#This Row],[Riviere]]=C138,tb_Base[[#This Row],[Secteur]]=D138,tb_Base[[#This Row],[Heure_debut]]=E138,tb_Base[[#This Row],[Heure_fin]]=F138),"",(tb_Base[[#This Row],[Heure_fin]]-tb_Base[[#This Row],[Heure_debut]])*24)</f>
        <v/>
      </c>
      <c r="H139" s="38" t="s">
        <v>1</v>
      </c>
      <c r="I139" s="38" t="s">
        <v>50</v>
      </c>
      <c r="J139" s="38" t="s">
        <v>328</v>
      </c>
      <c r="K139" s="38" t="s">
        <v>381</v>
      </c>
      <c r="L139" s="40" t="s">
        <v>239</v>
      </c>
      <c r="M139" s="40"/>
      <c r="N139" s="28">
        <f>SUM(tb_Base[[#This Row],[0 - 19 cm]:[240 - 249 cm]])</f>
        <v>2</v>
      </c>
      <c r="O139" s="2" t="s">
        <v>60</v>
      </c>
      <c r="S139" s="2">
        <v>2</v>
      </c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4"/>
    </row>
    <row r="140" spans="1:40">
      <c r="A140" s="14" t="s">
        <v>337</v>
      </c>
      <c r="B140" s="7">
        <v>44849</v>
      </c>
      <c r="C140" s="38" t="s">
        <v>99</v>
      </c>
      <c r="D140" s="38" t="s">
        <v>6</v>
      </c>
      <c r="E140" s="24">
        <v>0.625</v>
      </c>
      <c r="F140" s="24">
        <v>0.66666666666666663</v>
      </c>
      <c r="G140" s="26">
        <f>IF(AND(tb_Base[[#This Row],[Date]]=B139,tb_Base[[#This Row],[Riviere]]=C139,tb_Base[[#This Row],[Secteur]]=D139,tb_Base[[#This Row],[Heure_debut]]=E139,tb_Base[[#This Row],[Heure_fin]]=F139),"",(tb_Base[[#This Row],[Heure_fin]]-tb_Base[[#This Row],[Heure_debut]])*24)</f>
        <v>0.99999999999999911</v>
      </c>
      <c r="H140" s="38" t="s">
        <v>3</v>
      </c>
      <c r="I140" s="38"/>
      <c r="J140" s="38"/>
      <c r="K140" s="38"/>
      <c r="L140" s="40" t="s">
        <v>236</v>
      </c>
      <c r="M140" s="40" t="s">
        <v>247</v>
      </c>
      <c r="N140" s="28">
        <f>SUM(tb_Base[[#This Row],[0 - 19 cm]:[240 - 249 cm]])</f>
        <v>0</v>
      </c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4"/>
    </row>
    <row r="141" spans="1:40">
      <c r="A141" s="14" t="s">
        <v>338</v>
      </c>
      <c r="B141" s="7">
        <v>44851</v>
      </c>
      <c r="C141" s="38" t="s">
        <v>99</v>
      </c>
      <c r="D141" s="38" t="s">
        <v>225</v>
      </c>
      <c r="E141" s="24">
        <v>0.41666666666666669</v>
      </c>
      <c r="F141" s="24">
        <v>0.625</v>
      </c>
      <c r="G141" s="26">
        <f>IF(AND(tb_Base[[#This Row],[Date]]=B140,tb_Base[[#This Row],[Riviere]]=C140,tb_Base[[#This Row],[Secteur]]=D140,tb_Base[[#This Row],[Heure_debut]]=E140,tb_Base[[#This Row],[Heure_fin]]=F140),"",(tb_Base[[#This Row],[Heure_fin]]-tb_Base[[#This Row],[Heure_debut]])*24)</f>
        <v>5</v>
      </c>
      <c r="H141" s="38" t="s">
        <v>3</v>
      </c>
      <c r="I141" s="38"/>
      <c r="J141" s="38"/>
      <c r="K141" s="46"/>
      <c r="L141" s="23" t="s">
        <v>239</v>
      </c>
      <c r="M141" s="40"/>
      <c r="N141" s="28">
        <f>SUM(tb_Base[[#This Row],[0 - 19 cm]:[240 - 249 cm]])</f>
        <v>1</v>
      </c>
      <c r="O141" s="2" t="s">
        <v>60</v>
      </c>
      <c r="S141" s="2">
        <v>1</v>
      </c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4"/>
    </row>
    <row r="142" spans="1:40">
      <c r="A142" s="14" t="s">
        <v>338</v>
      </c>
      <c r="B142" s="7">
        <v>44851</v>
      </c>
      <c r="C142" s="38" t="s">
        <v>99</v>
      </c>
      <c r="D142" s="38" t="s">
        <v>225</v>
      </c>
      <c r="E142" s="24">
        <v>0.41666666666666669</v>
      </c>
      <c r="F142" s="24">
        <v>0.625</v>
      </c>
      <c r="G142" s="26" t="str">
        <f>IF(AND(tb_Base[[#This Row],[Date]]=B141,tb_Base[[#This Row],[Riviere]]=C141,tb_Base[[#This Row],[Secteur]]=D141,tb_Base[[#This Row],[Heure_debut]]=E141,tb_Base[[#This Row],[Heure_fin]]=F141),"",(tb_Base[[#This Row],[Heure_fin]]-tb_Base[[#This Row],[Heure_debut]])*24)</f>
        <v/>
      </c>
      <c r="H142" s="38" t="s">
        <v>3</v>
      </c>
      <c r="I142" s="38"/>
      <c r="J142" s="38"/>
      <c r="K142" s="46"/>
      <c r="L142" s="23" t="s">
        <v>239</v>
      </c>
      <c r="M142" s="40"/>
      <c r="N142" s="28">
        <f>SUM(tb_Base[[#This Row],[0 - 19 cm]:[240 - 249 cm]])</f>
        <v>1</v>
      </c>
      <c r="O142" s="2" t="s">
        <v>61</v>
      </c>
      <c r="Q142" s="2">
        <v>1</v>
      </c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4"/>
    </row>
    <row r="143" spans="1:40">
      <c r="A143" s="14" t="s">
        <v>340</v>
      </c>
      <c r="B143" s="7">
        <v>44851</v>
      </c>
      <c r="C143" s="38" t="s">
        <v>99</v>
      </c>
      <c r="D143" s="38" t="s">
        <v>225</v>
      </c>
      <c r="E143" s="24">
        <v>0.41666666666666669</v>
      </c>
      <c r="F143" s="24">
        <v>0.625</v>
      </c>
      <c r="G143" s="26" t="str">
        <f>IF(AND(tb_Base[[#This Row],[Date]]=B142,tb_Base[[#This Row],[Riviere]]=C142,tb_Base[[#This Row],[Secteur]]=D142,tb_Base[[#This Row],[Heure_debut]]=E142,tb_Base[[#This Row],[Heure_fin]]=F142),"",(tb_Base[[#This Row],[Heure_fin]]-tb_Base[[#This Row],[Heure_debut]])*24)</f>
        <v/>
      </c>
      <c r="H143" s="38" t="s">
        <v>3</v>
      </c>
      <c r="I143" s="38" t="s">
        <v>50</v>
      </c>
      <c r="J143" s="38" t="s">
        <v>339</v>
      </c>
      <c r="K143" s="47" t="s">
        <v>374</v>
      </c>
      <c r="L143" s="23" t="s">
        <v>239</v>
      </c>
      <c r="M143" s="40"/>
      <c r="N143" s="28">
        <f>SUM(tb_Base[[#This Row],[0 - 19 cm]:[240 - 249 cm]])</f>
        <v>3</v>
      </c>
      <c r="O143" s="2" t="s">
        <v>60</v>
      </c>
      <c r="R143" s="2">
        <v>1</v>
      </c>
      <c r="S143" s="2">
        <v>1</v>
      </c>
      <c r="V143" s="2">
        <v>1</v>
      </c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4"/>
    </row>
    <row r="144" spans="1:40">
      <c r="A144" s="14" t="s">
        <v>342</v>
      </c>
      <c r="B144" s="7">
        <v>44851</v>
      </c>
      <c r="C144" s="38" t="s">
        <v>99</v>
      </c>
      <c r="D144" s="38" t="s">
        <v>225</v>
      </c>
      <c r="E144" s="24">
        <v>0.41666666666666669</v>
      </c>
      <c r="F144" s="24">
        <v>0.625</v>
      </c>
      <c r="G144" s="26" t="str">
        <f>IF(AND(tb_Base[[#This Row],[Date]]=B143,tb_Base[[#This Row],[Riviere]]=C143,tb_Base[[#This Row],[Secteur]]=D143,tb_Base[[#This Row],[Heure_debut]]=E143,tb_Base[[#This Row],[Heure_fin]]=F143),"",(tb_Base[[#This Row],[Heure_fin]]-tb_Base[[#This Row],[Heure_debut]])*24)</f>
        <v/>
      </c>
      <c r="H144" s="38" t="s">
        <v>3</v>
      </c>
      <c r="I144" s="38" t="s">
        <v>50</v>
      </c>
      <c r="J144" s="38" t="s">
        <v>341</v>
      </c>
      <c r="K144" s="46" t="s">
        <v>380</v>
      </c>
      <c r="L144" s="23" t="s">
        <v>239</v>
      </c>
      <c r="M144" s="40"/>
      <c r="N144" s="28">
        <f>SUM(tb_Base[[#This Row],[0 - 19 cm]:[240 - 249 cm]])</f>
        <v>1</v>
      </c>
      <c r="O144" s="2" t="s">
        <v>60</v>
      </c>
      <c r="R144" s="2">
        <v>1</v>
      </c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4"/>
    </row>
    <row r="145" spans="1:40">
      <c r="A145" s="14" t="s">
        <v>343</v>
      </c>
      <c r="B145" s="7">
        <v>44852</v>
      </c>
      <c r="C145" s="38" t="s">
        <v>99</v>
      </c>
      <c r="D145" s="38" t="s">
        <v>225</v>
      </c>
      <c r="E145" s="24">
        <v>0.34375</v>
      </c>
      <c r="F145" s="24">
        <v>0.71875</v>
      </c>
      <c r="G145" s="26">
        <f>IF(AND(tb_Base[[#This Row],[Date]]=B144,tb_Base[[#This Row],[Riviere]]=C144,tb_Base[[#This Row],[Secteur]]=D144,tb_Base[[#This Row],[Heure_debut]]=E144,tb_Base[[#This Row],[Heure_fin]]=F144),"",(tb_Base[[#This Row],[Heure_fin]]-tb_Base[[#This Row],[Heure_debut]])*24)</f>
        <v>9</v>
      </c>
      <c r="H145" s="38" t="s">
        <v>106</v>
      </c>
      <c r="I145" s="38" t="s">
        <v>50</v>
      </c>
      <c r="J145" s="38" t="s">
        <v>339</v>
      </c>
      <c r="K145" s="47" t="s">
        <v>374</v>
      </c>
      <c r="L145" s="40" t="s">
        <v>239</v>
      </c>
      <c r="M145" s="40"/>
      <c r="N145" s="28">
        <f>SUM(tb_Base[[#This Row],[0 - 19 cm]:[240 - 249 cm]])</f>
        <v>4</v>
      </c>
      <c r="O145" s="2" t="s">
        <v>60</v>
      </c>
      <c r="S145" s="2">
        <v>3</v>
      </c>
      <c r="T145" s="2">
        <v>1</v>
      </c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4"/>
    </row>
    <row r="146" spans="1:40">
      <c r="A146" s="14" t="s">
        <v>343</v>
      </c>
      <c r="B146" s="7">
        <v>44852</v>
      </c>
      <c r="C146" s="38" t="s">
        <v>99</v>
      </c>
      <c r="D146" s="38" t="s">
        <v>225</v>
      </c>
      <c r="E146" s="24">
        <v>0.34375</v>
      </c>
      <c r="F146" s="24">
        <v>0.71875</v>
      </c>
      <c r="G146" s="26" t="str">
        <f>IF(AND(tb_Base[[#This Row],[Date]]=B145,tb_Base[[#This Row],[Riviere]]=C145,tb_Base[[#This Row],[Secteur]]=D145,tb_Base[[#This Row],[Heure_debut]]=E145,tb_Base[[#This Row],[Heure_fin]]=F145),"",(tb_Base[[#This Row],[Heure_fin]]-tb_Base[[#This Row],[Heure_debut]])*24)</f>
        <v/>
      </c>
      <c r="H146" s="38" t="s">
        <v>106</v>
      </c>
      <c r="I146" s="38" t="s">
        <v>50</v>
      </c>
      <c r="J146" s="38" t="s">
        <v>339</v>
      </c>
      <c r="K146" s="47" t="s">
        <v>374</v>
      </c>
      <c r="L146" s="40" t="s">
        <v>239</v>
      </c>
      <c r="M146" s="40"/>
      <c r="N146" s="28">
        <f>SUM(tb_Base[[#This Row],[0 - 19 cm]:[240 - 249 cm]])</f>
        <v>3</v>
      </c>
      <c r="O146" s="2" t="s">
        <v>61</v>
      </c>
      <c r="Q146" s="2">
        <v>3</v>
      </c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4"/>
    </row>
    <row r="147" spans="1:40">
      <c r="A147" s="14" t="s">
        <v>344</v>
      </c>
      <c r="B147" s="7">
        <v>44852</v>
      </c>
      <c r="C147" s="38" t="s">
        <v>99</v>
      </c>
      <c r="D147" s="38" t="s">
        <v>225</v>
      </c>
      <c r="E147" s="24">
        <v>0.34375</v>
      </c>
      <c r="F147" s="24">
        <v>0.71875</v>
      </c>
      <c r="G147" s="26" t="str">
        <f>IF(AND(tb_Base[[#This Row],[Date]]=B146,tb_Base[[#This Row],[Riviere]]=C146,tb_Base[[#This Row],[Secteur]]=D146,tb_Base[[#This Row],[Heure_debut]]=E146,tb_Base[[#This Row],[Heure_fin]]=F146),"",(tb_Base[[#This Row],[Heure_fin]]-tb_Base[[#This Row],[Heure_debut]])*24)</f>
        <v/>
      </c>
      <c r="H147" s="38" t="s">
        <v>106</v>
      </c>
      <c r="I147" s="38"/>
      <c r="J147" s="38"/>
      <c r="K147" s="46"/>
      <c r="L147" s="40" t="s">
        <v>239</v>
      </c>
      <c r="M147" s="40"/>
      <c r="N147" s="28">
        <f>SUM(tb_Base[[#This Row],[0 - 19 cm]:[240 - 249 cm]])</f>
        <v>3</v>
      </c>
      <c r="O147" s="2" t="s">
        <v>60</v>
      </c>
      <c r="S147" s="2">
        <v>2</v>
      </c>
      <c r="U147" s="2">
        <v>1</v>
      </c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4"/>
    </row>
    <row r="148" spans="1:40">
      <c r="A148" s="14" t="s">
        <v>344</v>
      </c>
      <c r="B148" s="7">
        <v>44852</v>
      </c>
      <c r="C148" s="38" t="s">
        <v>99</v>
      </c>
      <c r="D148" s="38" t="s">
        <v>225</v>
      </c>
      <c r="E148" s="24">
        <v>0.34375</v>
      </c>
      <c r="F148" s="24">
        <v>0.71875</v>
      </c>
      <c r="G148" s="26" t="str">
        <f>IF(AND(tb_Base[[#This Row],[Date]]=B147,tb_Base[[#This Row],[Riviere]]=C147,tb_Base[[#This Row],[Secteur]]=D147,tb_Base[[#This Row],[Heure_debut]]=E147,tb_Base[[#This Row],[Heure_fin]]=F147),"",(tb_Base[[#This Row],[Heure_fin]]-tb_Base[[#This Row],[Heure_debut]])*24)</f>
        <v/>
      </c>
      <c r="H148" s="38" t="s">
        <v>106</v>
      </c>
      <c r="I148" s="38"/>
      <c r="J148" s="38"/>
      <c r="K148" s="46"/>
      <c r="L148" s="40" t="s">
        <v>239</v>
      </c>
      <c r="M148" s="40"/>
      <c r="N148" s="28">
        <f>SUM(tb_Base[[#This Row],[0 - 19 cm]:[240 - 249 cm]])</f>
        <v>3</v>
      </c>
      <c r="O148" s="2" t="s">
        <v>61</v>
      </c>
      <c r="P148" s="2">
        <v>1</v>
      </c>
      <c r="Q148" s="2">
        <v>2</v>
      </c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4"/>
    </row>
    <row r="149" spans="1:40">
      <c r="A149" s="14" t="s">
        <v>345</v>
      </c>
      <c r="B149" s="7">
        <v>44852</v>
      </c>
      <c r="C149" s="38" t="s">
        <v>99</v>
      </c>
      <c r="D149" s="38" t="s">
        <v>225</v>
      </c>
      <c r="E149" s="24">
        <v>0.34375</v>
      </c>
      <c r="F149" s="24">
        <v>0.71875</v>
      </c>
      <c r="G149" s="26" t="str">
        <f>IF(AND(tb_Base[[#This Row],[Date]]=B148,tb_Base[[#This Row],[Riviere]]=C148,tb_Base[[#This Row],[Secteur]]=D148,tb_Base[[#This Row],[Heure_debut]]=E148,tb_Base[[#This Row],[Heure_fin]]=F148),"",(tb_Base[[#This Row],[Heure_fin]]-tb_Base[[#This Row],[Heure_debut]])*24)</f>
        <v/>
      </c>
      <c r="H149" s="38" t="s">
        <v>106</v>
      </c>
      <c r="I149" s="38" t="s">
        <v>49</v>
      </c>
      <c r="J149" s="38" t="s">
        <v>28</v>
      </c>
      <c r="K149" s="46" t="s">
        <v>369</v>
      </c>
      <c r="L149" s="40" t="s">
        <v>239</v>
      </c>
      <c r="M149" s="40"/>
      <c r="N149" s="28">
        <f>SUM(tb_Base[[#This Row],[0 - 19 cm]:[240 - 249 cm]])</f>
        <v>4</v>
      </c>
      <c r="O149" s="2" t="s">
        <v>60</v>
      </c>
      <c r="S149" s="2">
        <v>3</v>
      </c>
      <c r="U149" s="2">
        <v>1</v>
      </c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4"/>
    </row>
    <row r="150" spans="1:40">
      <c r="A150" s="14" t="s">
        <v>345</v>
      </c>
      <c r="B150" s="7">
        <v>44852</v>
      </c>
      <c r="C150" s="38" t="s">
        <v>99</v>
      </c>
      <c r="D150" s="38" t="s">
        <v>225</v>
      </c>
      <c r="E150" s="24">
        <v>0.34375</v>
      </c>
      <c r="F150" s="24">
        <v>0.71875</v>
      </c>
      <c r="G150" s="26" t="str">
        <f>IF(AND(tb_Base[[#This Row],[Date]]=B149,tb_Base[[#This Row],[Riviere]]=C149,tb_Base[[#This Row],[Secteur]]=D149,tb_Base[[#This Row],[Heure_debut]]=E149,tb_Base[[#This Row],[Heure_fin]]=F149),"",(tb_Base[[#This Row],[Heure_fin]]-tb_Base[[#This Row],[Heure_debut]])*24)</f>
        <v/>
      </c>
      <c r="H150" s="38" t="s">
        <v>106</v>
      </c>
      <c r="I150" s="38" t="s">
        <v>49</v>
      </c>
      <c r="J150" s="38" t="s">
        <v>28</v>
      </c>
      <c r="K150" s="46" t="s">
        <v>369</v>
      </c>
      <c r="L150" s="40" t="s">
        <v>239</v>
      </c>
      <c r="M150" s="40"/>
      <c r="N150" s="28">
        <f>SUM(tb_Base[[#This Row],[0 - 19 cm]:[240 - 249 cm]])</f>
        <v>2</v>
      </c>
      <c r="O150" s="2" t="s">
        <v>61</v>
      </c>
      <c r="Q150" s="2">
        <v>2</v>
      </c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4"/>
    </row>
    <row r="151" spans="1:40">
      <c r="A151" s="14" t="s">
        <v>346</v>
      </c>
      <c r="B151" s="7">
        <v>44852</v>
      </c>
      <c r="C151" s="38" t="s">
        <v>99</v>
      </c>
      <c r="D151" s="38" t="s">
        <v>225</v>
      </c>
      <c r="E151" s="24">
        <v>0.34375</v>
      </c>
      <c r="F151" s="24">
        <v>0.71875</v>
      </c>
      <c r="G151" s="26" t="str">
        <f>IF(AND(tb_Base[[#This Row],[Date]]=B150,tb_Base[[#This Row],[Riviere]]=C150,tb_Base[[#This Row],[Secteur]]=D150,tb_Base[[#This Row],[Heure_debut]]=E150,tb_Base[[#This Row],[Heure_fin]]=F150),"",(tb_Base[[#This Row],[Heure_fin]]-tb_Base[[#This Row],[Heure_debut]])*24)</f>
        <v/>
      </c>
      <c r="H151" s="38" t="s">
        <v>106</v>
      </c>
      <c r="I151" s="38" t="s">
        <v>53</v>
      </c>
      <c r="J151" s="38" t="s">
        <v>319</v>
      </c>
      <c r="K151" s="46" t="s">
        <v>382</v>
      </c>
      <c r="L151" s="40" t="s">
        <v>239</v>
      </c>
      <c r="M151" s="40"/>
      <c r="N151" s="28">
        <f>SUM(tb_Base[[#This Row],[0 - 19 cm]:[240 - 249 cm]])</f>
        <v>3</v>
      </c>
      <c r="O151" s="2" t="s">
        <v>60</v>
      </c>
      <c r="S151" s="2">
        <v>2</v>
      </c>
      <c r="U151" s="2">
        <v>1</v>
      </c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4"/>
    </row>
    <row r="152" spans="1:40">
      <c r="A152" s="14" t="s">
        <v>347</v>
      </c>
      <c r="B152" s="7">
        <v>44852</v>
      </c>
      <c r="C152" s="38" t="s">
        <v>99</v>
      </c>
      <c r="D152" s="38" t="s">
        <v>225</v>
      </c>
      <c r="E152" s="24">
        <v>0.34375</v>
      </c>
      <c r="F152" s="24">
        <v>0.71875</v>
      </c>
      <c r="G152" s="26" t="str">
        <f>IF(AND(tb_Base[[#This Row],[Date]]=B151,tb_Base[[#This Row],[Riviere]]=C151,tb_Base[[#This Row],[Secteur]]=D151,tb_Base[[#This Row],[Heure_debut]]=E151,tb_Base[[#This Row],[Heure_fin]]=F151),"",(tb_Base[[#This Row],[Heure_fin]]-tb_Base[[#This Row],[Heure_debut]])*24)</f>
        <v/>
      </c>
      <c r="H152" s="38" t="s">
        <v>106</v>
      </c>
      <c r="I152" s="38" t="s">
        <v>50</v>
      </c>
      <c r="J152" s="38" t="s">
        <v>323</v>
      </c>
      <c r="K152" s="47" t="s">
        <v>372</v>
      </c>
      <c r="L152" s="40" t="s">
        <v>239</v>
      </c>
      <c r="M152" s="40"/>
      <c r="N152" s="28">
        <f>SUM(tb_Base[[#This Row],[0 - 19 cm]:[240 - 249 cm]])</f>
        <v>3</v>
      </c>
      <c r="O152" s="2" t="s">
        <v>60</v>
      </c>
      <c r="S152" s="2">
        <v>3</v>
      </c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4"/>
    </row>
    <row r="153" spans="1:40">
      <c r="A153" s="14" t="s">
        <v>348</v>
      </c>
      <c r="B153" s="7">
        <v>44855</v>
      </c>
      <c r="C153" s="38" t="s">
        <v>99</v>
      </c>
      <c r="D153" s="38" t="s">
        <v>225</v>
      </c>
      <c r="E153" s="24">
        <v>0.39583333333333331</v>
      </c>
      <c r="F153" s="24">
        <v>0.57291666666666663</v>
      </c>
      <c r="G153" s="26">
        <f>IF(AND(tb_Base[[#This Row],[Date]]=B152,tb_Base[[#This Row],[Riviere]]=C152,tb_Base[[#This Row],[Secteur]]=D152,tb_Base[[#This Row],[Heure_debut]]=E152,tb_Base[[#This Row],[Heure_fin]]=F152),"",(tb_Base[[#This Row],[Heure_fin]]-tb_Base[[#This Row],[Heure_debut]])*24)</f>
        <v>4.25</v>
      </c>
      <c r="H153" s="38" t="s">
        <v>106</v>
      </c>
      <c r="I153" s="38"/>
      <c r="J153" s="38"/>
      <c r="K153" s="46"/>
      <c r="L153" s="40" t="s">
        <v>239</v>
      </c>
      <c r="M153" s="40"/>
      <c r="N153" s="28">
        <f>SUM(tb_Base[[#This Row],[0 - 19 cm]:[240 - 249 cm]])</f>
        <v>1</v>
      </c>
      <c r="O153" s="2" t="s">
        <v>60</v>
      </c>
      <c r="S153" s="2">
        <v>1</v>
      </c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4"/>
    </row>
    <row r="154" spans="1:40">
      <c r="A154" s="14" t="s">
        <v>349</v>
      </c>
      <c r="B154" s="7">
        <v>44855</v>
      </c>
      <c r="C154" s="38" t="s">
        <v>99</v>
      </c>
      <c r="D154" s="38" t="s">
        <v>225</v>
      </c>
      <c r="E154" s="24">
        <v>0.39583333333333331</v>
      </c>
      <c r="F154" s="24">
        <v>0.57291666666666663</v>
      </c>
      <c r="G154" s="26" t="str">
        <f>IF(AND(tb_Base[[#This Row],[Date]]=B153,tb_Base[[#This Row],[Riviere]]=C153,tb_Base[[#This Row],[Secteur]]=D153,tb_Base[[#This Row],[Heure_debut]]=E153,tb_Base[[#This Row],[Heure_fin]]=F153),"",(tb_Base[[#This Row],[Heure_fin]]-tb_Base[[#This Row],[Heure_debut]])*24)</f>
        <v/>
      </c>
      <c r="H154" s="38" t="s">
        <v>106</v>
      </c>
      <c r="I154" s="38" t="s">
        <v>163</v>
      </c>
      <c r="J154" s="38" t="s">
        <v>320</v>
      </c>
      <c r="K154" s="46" t="s">
        <v>118</v>
      </c>
      <c r="L154" s="40" t="s">
        <v>239</v>
      </c>
      <c r="M154" s="40"/>
      <c r="N154" s="28">
        <f>SUM(tb_Base[[#This Row],[0 - 19 cm]:[240 - 249 cm]])</f>
        <v>2</v>
      </c>
      <c r="O154" s="2" t="s">
        <v>60</v>
      </c>
      <c r="S154" s="2">
        <v>2</v>
      </c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4"/>
    </row>
    <row r="155" spans="1:40">
      <c r="A155" s="14" t="s">
        <v>352</v>
      </c>
      <c r="B155" s="7">
        <v>44855</v>
      </c>
      <c r="C155" s="38" t="s">
        <v>99</v>
      </c>
      <c r="D155" s="38" t="s">
        <v>225</v>
      </c>
      <c r="E155" s="24">
        <v>0.39583333333333331</v>
      </c>
      <c r="F155" s="24">
        <v>0.57291666666666663</v>
      </c>
      <c r="G155" s="26" t="str">
        <f>IF(AND(tb_Base[[#This Row],[Date]]=B154,tb_Base[[#This Row],[Riviere]]=C154,tb_Base[[#This Row],[Secteur]]=D154,tb_Base[[#This Row],[Heure_debut]]=E154,tb_Base[[#This Row],[Heure_fin]]=F154),"",(tb_Base[[#This Row],[Heure_fin]]-tb_Base[[#This Row],[Heure_debut]])*24)</f>
        <v/>
      </c>
      <c r="H155" s="38" t="s">
        <v>106</v>
      </c>
      <c r="I155" s="38" t="s">
        <v>50</v>
      </c>
      <c r="J155" s="38" t="s">
        <v>350</v>
      </c>
      <c r="K155" s="46" t="s">
        <v>351</v>
      </c>
      <c r="L155" s="40" t="s">
        <v>239</v>
      </c>
      <c r="M155" s="40"/>
      <c r="N155" s="28">
        <f>SUM(tb_Base[[#This Row],[0 - 19 cm]:[240 - 249 cm]])</f>
        <v>1</v>
      </c>
      <c r="O155" s="2" t="s">
        <v>60</v>
      </c>
      <c r="R155" s="2">
        <v>1</v>
      </c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4"/>
    </row>
    <row r="156" spans="1:40">
      <c r="A156" s="14" t="s">
        <v>353</v>
      </c>
      <c r="B156" s="7">
        <v>44855</v>
      </c>
      <c r="C156" s="38" t="s">
        <v>99</v>
      </c>
      <c r="D156" s="38" t="s">
        <v>225</v>
      </c>
      <c r="E156" s="24">
        <v>0.39583333333333331</v>
      </c>
      <c r="F156" s="24">
        <v>0.57291666666666663</v>
      </c>
      <c r="G156" s="26" t="str">
        <f>IF(AND(tb_Base[[#This Row],[Date]]=B155,tb_Base[[#This Row],[Riviere]]=C155,tb_Base[[#This Row],[Secteur]]=D155,tb_Base[[#This Row],[Heure_debut]]=E155,tb_Base[[#This Row],[Heure_fin]]=F155),"",(tb_Base[[#This Row],[Heure_fin]]-tb_Base[[#This Row],[Heure_debut]])*24)</f>
        <v/>
      </c>
      <c r="H156" s="38" t="s">
        <v>106</v>
      </c>
      <c r="I156" s="38" t="s">
        <v>49</v>
      </c>
      <c r="J156" s="38" t="s">
        <v>28</v>
      </c>
      <c r="K156" s="46" t="s">
        <v>362</v>
      </c>
      <c r="L156" s="40" t="s">
        <v>239</v>
      </c>
      <c r="M156" s="40"/>
      <c r="N156" s="28">
        <f>SUM(tb_Base[[#This Row],[0 - 19 cm]:[240 - 249 cm]])</f>
        <v>1</v>
      </c>
      <c r="O156" s="2" t="s">
        <v>60</v>
      </c>
      <c r="S156" s="2">
        <v>1</v>
      </c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4"/>
    </row>
    <row r="157" spans="1:40">
      <c r="A157" s="14" t="s">
        <v>353</v>
      </c>
      <c r="B157" s="7">
        <v>44855</v>
      </c>
      <c r="C157" s="38" t="s">
        <v>99</v>
      </c>
      <c r="D157" s="38" t="s">
        <v>225</v>
      </c>
      <c r="E157" s="24">
        <v>0.39583333333333331</v>
      </c>
      <c r="F157" s="24">
        <v>0.57291666666666663</v>
      </c>
      <c r="G157" s="26" t="str">
        <f>IF(AND(tb_Base[[#This Row],[Date]]=B156,tb_Base[[#This Row],[Riviere]]=C156,tb_Base[[#This Row],[Secteur]]=D156,tb_Base[[#This Row],[Heure_debut]]=E156,tb_Base[[#This Row],[Heure_fin]]=F156),"",(tb_Base[[#This Row],[Heure_fin]]-tb_Base[[#This Row],[Heure_debut]])*24)</f>
        <v/>
      </c>
      <c r="H157" s="38" t="s">
        <v>106</v>
      </c>
      <c r="I157" s="38" t="s">
        <v>49</v>
      </c>
      <c r="J157" s="38" t="s">
        <v>28</v>
      </c>
      <c r="K157" s="46" t="s">
        <v>362</v>
      </c>
      <c r="L157" s="40" t="s">
        <v>239</v>
      </c>
      <c r="M157" s="40"/>
      <c r="N157" s="28">
        <f>SUM(tb_Base[[#This Row],[0 - 19 cm]:[240 - 249 cm]])</f>
        <v>1</v>
      </c>
      <c r="O157" s="2" t="s">
        <v>61</v>
      </c>
      <c r="Q157" s="2">
        <v>1</v>
      </c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4"/>
    </row>
    <row r="158" spans="1:40">
      <c r="A158" s="14" t="s">
        <v>354</v>
      </c>
      <c r="B158" s="7">
        <v>44855</v>
      </c>
      <c r="C158" s="38" t="s">
        <v>99</v>
      </c>
      <c r="D158" s="38" t="s">
        <v>225</v>
      </c>
      <c r="E158" s="24">
        <v>0.39583333333333331</v>
      </c>
      <c r="F158" s="24">
        <v>0.57291666666666663</v>
      </c>
      <c r="G158" s="26" t="str">
        <f>IF(AND(tb_Base[[#This Row],[Date]]=B157,tb_Base[[#This Row],[Riviere]]=C157,tb_Base[[#This Row],[Secteur]]=D157,tb_Base[[#This Row],[Heure_debut]]=E157,tb_Base[[#This Row],[Heure_fin]]=F157),"",(tb_Base[[#This Row],[Heure_fin]]-tb_Base[[#This Row],[Heure_debut]])*24)</f>
        <v/>
      </c>
      <c r="H158" s="38" t="s">
        <v>106</v>
      </c>
      <c r="I158" s="38" t="s">
        <v>50</v>
      </c>
      <c r="J158" s="38" t="s">
        <v>324</v>
      </c>
      <c r="K158" s="41" t="s">
        <v>372</v>
      </c>
      <c r="L158" s="40" t="s">
        <v>239</v>
      </c>
      <c r="M158" s="40"/>
      <c r="N158" s="28">
        <f>SUM(tb_Base[[#This Row],[0 - 19 cm]:[240 - 249 cm]])</f>
        <v>2</v>
      </c>
      <c r="O158" s="2" t="s">
        <v>60</v>
      </c>
      <c r="R158" s="2">
        <v>1</v>
      </c>
      <c r="S158" s="2">
        <v>1</v>
      </c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4"/>
    </row>
    <row r="159" spans="1:40">
      <c r="A159" s="14" t="s">
        <v>355</v>
      </c>
      <c r="B159" s="7">
        <v>44855</v>
      </c>
      <c r="C159" s="38" t="s">
        <v>99</v>
      </c>
      <c r="D159" s="38" t="s">
        <v>225</v>
      </c>
      <c r="E159" s="24">
        <v>0.39583333333333331</v>
      </c>
      <c r="F159" s="24">
        <v>0.57291666666666663</v>
      </c>
      <c r="G159" s="26" t="str">
        <f>IF(AND(tb_Base[[#This Row],[Date]]=B158,tb_Base[[#This Row],[Riviere]]=C158,tb_Base[[#This Row],[Secteur]]=D158,tb_Base[[#This Row],[Heure_debut]]=E158,tb_Base[[#This Row],[Heure_fin]]=F158),"",(tb_Base[[#This Row],[Heure_fin]]-tb_Base[[#This Row],[Heure_debut]])*24)</f>
        <v/>
      </c>
      <c r="H159" s="38" t="s">
        <v>106</v>
      </c>
      <c r="I159" s="38" t="s">
        <v>50</v>
      </c>
      <c r="J159" s="38" t="s">
        <v>339</v>
      </c>
      <c r="K159" s="45" t="s">
        <v>351</v>
      </c>
      <c r="L159" s="40" t="s">
        <v>239</v>
      </c>
      <c r="M159" s="40"/>
      <c r="N159" s="28">
        <f>SUM(tb_Base[[#This Row],[0 - 19 cm]:[240 - 249 cm]])</f>
        <v>2</v>
      </c>
      <c r="O159" s="2" t="s">
        <v>61</v>
      </c>
      <c r="Q159" s="2">
        <v>2</v>
      </c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4"/>
    </row>
    <row r="160" spans="1:40">
      <c r="A160" s="14" t="s">
        <v>356</v>
      </c>
      <c r="B160" s="7">
        <v>44855</v>
      </c>
      <c r="C160" s="38" t="s">
        <v>99</v>
      </c>
      <c r="D160" s="38" t="s">
        <v>225</v>
      </c>
      <c r="E160" s="24">
        <v>0.39583333333333331</v>
      </c>
      <c r="F160" s="24">
        <v>0.57291666666666663</v>
      </c>
      <c r="G160" s="26" t="str">
        <f>IF(AND(tb_Base[[#This Row],[Date]]=B159,tb_Base[[#This Row],[Riviere]]=C159,tb_Base[[#This Row],[Secteur]]=D159,tb_Base[[#This Row],[Heure_debut]]=E159,tb_Base[[#This Row],[Heure_fin]]=F159),"",(tb_Base[[#This Row],[Heure_fin]]-tb_Base[[#This Row],[Heure_debut]])*24)</f>
        <v/>
      </c>
      <c r="H160" s="38" t="s">
        <v>106</v>
      </c>
      <c r="I160" s="38" t="s">
        <v>50</v>
      </c>
      <c r="J160" s="38" t="s">
        <v>339</v>
      </c>
      <c r="K160" s="32" t="s">
        <v>374</v>
      </c>
      <c r="L160" s="40" t="s">
        <v>239</v>
      </c>
      <c r="M160" s="40"/>
      <c r="N160" s="28">
        <f>SUM(tb_Base[[#This Row],[0 - 19 cm]:[240 - 249 cm]])</f>
        <v>1</v>
      </c>
      <c r="O160" s="2" t="s">
        <v>60</v>
      </c>
      <c r="R160" s="2">
        <v>1</v>
      </c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4"/>
    </row>
    <row r="161" spans="1:40">
      <c r="A161" s="14" t="s">
        <v>301</v>
      </c>
      <c r="B161" s="7">
        <v>44858</v>
      </c>
      <c r="C161" s="38" t="s">
        <v>99</v>
      </c>
      <c r="D161" s="38" t="s">
        <v>225</v>
      </c>
      <c r="E161" s="24">
        <v>0.60416666666666663</v>
      </c>
      <c r="F161" s="24">
        <v>0.77083333333333337</v>
      </c>
      <c r="G161" s="26">
        <f>IF(AND(tb_Base[[#This Row],[Date]]=B160,tb_Base[[#This Row],[Riviere]]=C160,tb_Base[[#This Row],[Secteur]]=D160,tb_Base[[#This Row],[Heure_debut]]=E160,tb_Base[[#This Row],[Heure_fin]]=F160),"",(tb_Base[[#This Row],[Heure_fin]]-tb_Base[[#This Row],[Heure_debut]])*24)</f>
        <v>4.0000000000000018</v>
      </c>
      <c r="H161" s="38" t="s">
        <v>186</v>
      </c>
      <c r="I161" s="38" t="s">
        <v>50</v>
      </c>
      <c r="J161" s="38" t="s">
        <v>316</v>
      </c>
      <c r="K161" s="45" t="s">
        <v>374</v>
      </c>
      <c r="L161" s="23" t="s">
        <v>239</v>
      </c>
      <c r="M161" s="23" t="s">
        <v>244</v>
      </c>
      <c r="N161" s="28">
        <f>SUM(tb_Base[[#This Row],[0 - 19 cm]:[240 - 249 cm]])</f>
        <v>1</v>
      </c>
      <c r="O161" s="2" t="s">
        <v>60</v>
      </c>
      <c r="S161" s="2">
        <v>1</v>
      </c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4"/>
    </row>
    <row r="162" spans="1:40">
      <c r="A162" s="14" t="s">
        <v>303</v>
      </c>
      <c r="B162" s="7">
        <v>44858</v>
      </c>
      <c r="C162" s="38" t="s">
        <v>99</v>
      </c>
      <c r="D162" s="38" t="s">
        <v>225</v>
      </c>
      <c r="E162" s="24">
        <v>0.60416666666666663</v>
      </c>
      <c r="F162" s="24">
        <v>0.77083333333333337</v>
      </c>
      <c r="G162" s="26" t="str">
        <f>IF(AND(tb_Base[[#This Row],[Date]]=B161,tb_Base[[#This Row],[Riviere]]=C161,tb_Base[[#This Row],[Secteur]]=D161,tb_Base[[#This Row],[Heure_debut]]=E161,tb_Base[[#This Row],[Heure_fin]]=F161),"",(tb_Base[[#This Row],[Heure_fin]]-tb_Base[[#This Row],[Heure_debut]])*24)</f>
        <v/>
      </c>
      <c r="H162" s="38" t="s">
        <v>186</v>
      </c>
      <c r="I162" s="38" t="s">
        <v>51</v>
      </c>
      <c r="J162" s="38" t="s">
        <v>302</v>
      </c>
      <c r="K162" s="45" t="s">
        <v>108</v>
      </c>
      <c r="L162" s="23" t="s">
        <v>239</v>
      </c>
      <c r="M162" s="23" t="s">
        <v>244</v>
      </c>
      <c r="N162" s="28">
        <f>SUM(tb_Base[[#This Row],[0 - 19 cm]:[240 - 249 cm]])</f>
        <v>2</v>
      </c>
      <c r="O162" s="2" t="s">
        <v>60</v>
      </c>
      <c r="R162" s="2">
        <v>1</v>
      </c>
      <c r="S162" s="2">
        <v>1</v>
      </c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4"/>
    </row>
    <row r="163" spans="1:40">
      <c r="A163" s="14" t="s">
        <v>304</v>
      </c>
      <c r="B163" s="7">
        <v>44859</v>
      </c>
      <c r="C163" s="38" t="s">
        <v>99</v>
      </c>
      <c r="D163" s="38" t="s">
        <v>225</v>
      </c>
      <c r="E163" s="24">
        <v>0.5625</v>
      </c>
      <c r="F163" s="24">
        <v>0.77083333333333337</v>
      </c>
      <c r="G163" s="26">
        <f>IF(AND(tb_Base[[#This Row],[Date]]=B162,tb_Base[[#This Row],[Riviere]]=C162,tb_Base[[#This Row],[Secteur]]=D162,tb_Base[[#This Row],[Heure_debut]]=E162,tb_Base[[#This Row],[Heure_fin]]=F162),"",(tb_Base[[#This Row],[Heure_fin]]-tb_Base[[#This Row],[Heure_debut]])*24)</f>
        <v>5.0000000000000009</v>
      </c>
      <c r="H163" s="38" t="s">
        <v>19</v>
      </c>
      <c r="I163" s="38" t="s">
        <v>51</v>
      </c>
      <c r="J163" s="38" t="s">
        <v>302</v>
      </c>
      <c r="K163" s="45" t="s">
        <v>108</v>
      </c>
      <c r="L163" s="23" t="s">
        <v>239</v>
      </c>
      <c r="M163" s="23" t="s">
        <v>244</v>
      </c>
      <c r="N163" s="28">
        <f>SUM(tb_Base[[#This Row],[0 - 19 cm]:[240 - 249 cm]])</f>
        <v>4</v>
      </c>
      <c r="O163" s="2" t="s">
        <v>60</v>
      </c>
      <c r="R163" s="2">
        <v>2</v>
      </c>
      <c r="S163" s="2">
        <v>2</v>
      </c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4"/>
    </row>
    <row r="164" spans="1:40">
      <c r="A164" s="14" t="s">
        <v>308</v>
      </c>
      <c r="B164" s="7">
        <v>44859</v>
      </c>
      <c r="C164" s="38" t="s">
        <v>99</v>
      </c>
      <c r="D164" s="38" t="s">
        <v>225</v>
      </c>
      <c r="E164" s="24">
        <v>0.5625</v>
      </c>
      <c r="F164" s="24">
        <v>0.77083333333333337</v>
      </c>
      <c r="G164" s="26" t="str">
        <f>IF(AND(tb_Base[[#This Row],[Date]]=B163,tb_Base[[#This Row],[Riviere]]=C163,tb_Base[[#This Row],[Secteur]]=D163,tb_Base[[#This Row],[Heure_debut]]=E163,tb_Base[[#This Row],[Heure_fin]]=F163),"",(tb_Base[[#This Row],[Heure_fin]]-tb_Base[[#This Row],[Heure_debut]])*24)</f>
        <v/>
      </c>
      <c r="H164" s="38" t="s">
        <v>19</v>
      </c>
      <c r="I164" s="38" t="s">
        <v>51</v>
      </c>
      <c r="J164" s="38" t="s">
        <v>305</v>
      </c>
      <c r="K164" s="38" t="s">
        <v>306</v>
      </c>
      <c r="L164" s="23" t="s">
        <v>239</v>
      </c>
      <c r="M164" s="23"/>
      <c r="N164" s="28">
        <f>SUM(tb_Base[[#This Row],[0 - 19 cm]:[240 - 249 cm]])</f>
        <v>3</v>
      </c>
      <c r="O164" s="2" t="s">
        <v>60</v>
      </c>
      <c r="R164" s="2">
        <v>1</v>
      </c>
      <c r="S164" s="2">
        <v>2</v>
      </c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4"/>
    </row>
    <row r="165" spans="1:40">
      <c r="A165" s="14" t="s">
        <v>309</v>
      </c>
      <c r="B165" s="7">
        <v>44859</v>
      </c>
      <c r="C165" s="38" t="s">
        <v>99</v>
      </c>
      <c r="D165" s="38" t="s">
        <v>225</v>
      </c>
      <c r="E165" s="24">
        <v>0.5625</v>
      </c>
      <c r="F165" s="24">
        <v>0.77083333333333337</v>
      </c>
      <c r="G165" s="26" t="str">
        <f>IF(AND(tb_Base[[#This Row],[Date]]=B164,tb_Base[[#This Row],[Riviere]]=C164,tb_Base[[#This Row],[Secteur]]=D164,tb_Base[[#This Row],[Heure_debut]]=E164,tb_Base[[#This Row],[Heure_fin]]=F164),"",(tb_Base[[#This Row],[Heure_fin]]-tb_Base[[#This Row],[Heure_debut]])*24)</f>
        <v/>
      </c>
      <c r="H165" s="38" t="s">
        <v>19</v>
      </c>
      <c r="I165" s="38" t="s">
        <v>50</v>
      </c>
      <c r="J165" s="38" t="s">
        <v>322</v>
      </c>
      <c r="K165" s="38" t="s">
        <v>378</v>
      </c>
      <c r="L165" s="23" t="s">
        <v>239</v>
      </c>
      <c r="M165" s="23"/>
      <c r="N165" s="28">
        <f>SUM(tb_Base[[#This Row],[0 - 19 cm]:[240 - 249 cm]])</f>
        <v>1</v>
      </c>
      <c r="O165" s="2" t="s">
        <v>60</v>
      </c>
      <c r="S165" s="2">
        <v>1</v>
      </c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4"/>
    </row>
    <row r="166" spans="1:40">
      <c r="A166" s="14" t="s">
        <v>310</v>
      </c>
      <c r="B166" s="7">
        <v>44859</v>
      </c>
      <c r="C166" s="38" t="s">
        <v>99</v>
      </c>
      <c r="D166" s="38" t="s">
        <v>225</v>
      </c>
      <c r="E166" s="24">
        <v>0.5625</v>
      </c>
      <c r="F166" s="24">
        <v>0.77083333333333337</v>
      </c>
      <c r="G166" s="26" t="str">
        <f>IF(AND(tb_Base[[#This Row],[Date]]=B165,tb_Base[[#This Row],[Riviere]]=C165,tb_Base[[#This Row],[Secteur]]=D165,tb_Base[[#This Row],[Heure_debut]]=E165,tb_Base[[#This Row],[Heure_fin]]=F165),"",(tb_Base[[#This Row],[Heure_fin]]-tb_Base[[#This Row],[Heure_debut]])*24)</f>
        <v/>
      </c>
      <c r="H166" s="38" t="s">
        <v>19</v>
      </c>
      <c r="I166" s="38" t="s">
        <v>51</v>
      </c>
      <c r="J166" s="38" t="s">
        <v>307</v>
      </c>
      <c r="K166" s="38" t="s">
        <v>376</v>
      </c>
      <c r="L166" s="23" t="s">
        <v>239</v>
      </c>
      <c r="M166" s="23"/>
      <c r="N166" s="28">
        <f>SUM(tb_Base[[#This Row],[0 - 19 cm]:[240 - 249 cm]])</f>
        <v>2</v>
      </c>
      <c r="O166" s="2" t="s">
        <v>60</v>
      </c>
      <c r="R166" s="2">
        <v>1</v>
      </c>
      <c r="S166" s="2">
        <v>1</v>
      </c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4"/>
    </row>
    <row r="167" spans="1:40">
      <c r="A167" s="14" t="s">
        <v>311</v>
      </c>
      <c r="B167" s="7">
        <v>44859</v>
      </c>
      <c r="C167" s="38" t="s">
        <v>99</v>
      </c>
      <c r="D167" s="38" t="s">
        <v>225</v>
      </c>
      <c r="E167" s="24">
        <v>0.5625</v>
      </c>
      <c r="F167" s="24">
        <v>0.77083333333333337</v>
      </c>
      <c r="G167" s="26" t="str">
        <f>IF(AND(tb_Base[[#This Row],[Date]]=B166,tb_Base[[#This Row],[Riviere]]=C166,tb_Base[[#This Row],[Secteur]]=D166,tb_Base[[#This Row],[Heure_debut]]=E166,tb_Base[[#This Row],[Heure_fin]]=F166),"",(tb_Base[[#This Row],[Heure_fin]]-tb_Base[[#This Row],[Heure_debut]])*24)</f>
        <v/>
      </c>
      <c r="H167" s="38" t="s">
        <v>19</v>
      </c>
      <c r="I167" s="38" t="s">
        <v>163</v>
      </c>
      <c r="J167" s="38" t="s">
        <v>164</v>
      </c>
      <c r="K167" s="7" t="s">
        <v>371</v>
      </c>
      <c r="L167" s="23" t="s">
        <v>239</v>
      </c>
      <c r="M167" s="23"/>
      <c r="N167" s="28">
        <f>SUM(tb_Base[[#This Row],[0 - 19 cm]:[240 - 249 cm]])</f>
        <v>12</v>
      </c>
      <c r="O167" s="2" t="s">
        <v>60</v>
      </c>
      <c r="R167" s="2">
        <v>4</v>
      </c>
      <c r="S167" s="2">
        <v>8</v>
      </c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4"/>
    </row>
    <row r="168" spans="1:40">
      <c r="A168" s="14" t="s">
        <v>312</v>
      </c>
      <c r="B168" s="7">
        <v>44878</v>
      </c>
      <c r="C168" s="38" t="s">
        <v>99</v>
      </c>
      <c r="D168" s="38" t="s">
        <v>282</v>
      </c>
      <c r="E168" s="24">
        <v>0.32291666666666669</v>
      </c>
      <c r="F168" s="24">
        <v>0.41666666666666669</v>
      </c>
      <c r="G168" s="26">
        <f>IF(AND(tb_Base[[#This Row],[Date]]=B167,tb_Base[[#This Row],[Riviere]]=C167,tb_Base[[#This Row],[Secteur]]=D167,tb_Base[[#This Row],[Heure_debut]]=E167,tb_Base[[#This Row],[Heure_fin]]=F167),"",(tb_Base[[#This Row],[Heure_fin]]-tb_Base[[#This Row],[Heure_debut]])*24)</f>
        <v>2.25</v>
      </c>
      <c r="H168" s="38" t="s">
        <v>2</v>
      </c>
      <c r="I168" s="38"/>
      <c r="J168" s="38"/>
      <c r="K168" s="38"/>
      <c r="L168" s="23" t="s">
        <v>239</v>
      </c>
      <c r="M168" s="23"/>
      <c r="N168" s="28">
        <f>SUM(tb_Base[[#This Row],[0 - 19 cm]:[240 - 249 cm]])</f>
        <v>0</v>
      </c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14"/>
    </row>
    <row r="169" spans="1:40">
      <c r="A169" s="14" t="s">
        <v>359</v>
      </c>
      <c r="B169" s="7">
        <v>44886</v>
      </c>
      <c r="C169" s="38" t="s">
        <v>99</v>
      </c>
      <c r="D169" s="38" t="s">
        <v>225</v>
      </c>
      <c r="E169" s="24">
        <v>0.45833333333333331</v>
      </c>
      <c r="F169" s="24">
        <v>0.58333333333333337</v>
      </c>
      <c r="G169" s="26">
        <f>IF(AND(tb_Base[[#This Row],[Date]]=B168,tb_Base[[#This Row],[Riviere]]=C168,tb_Base[[#This Row],[Secteur]]=D168,tb_Base[[#This Row],[Heure_debut]]=E168,tb_Base[[#This Row],[Heure_fin]]=F168),"",(tb_Base[[#This Row],[Heure_fin]]-tb_Base[[#This Row],[Heure_debut]])*24)</f>
        <v>3.0000000000000013</v>
      </c>
      <c r="H169" s="38" t="s">
        <v>358</v>
      </c>
      <c r="I169" s="38" t="s">
        <v>49</v>
      </c>
      <c r="J169" s="38" t="s">
        <v>28</v>
      </c>
      <c r="K169" s="38" t="s">
        <v>369</v>
      </c>
      <c r="L169" s="40" t="s">
        <v>239</v>
      </c>
      <c r="M169" s="40"/>
      <c r="N169" s="28">
        <f>SUM(tb_Base[[#This Row],[0 - 19 cm]:[240 - 249 cm]])</f>
        <v>2</v>
      </c>
      <c r="O169" s="2" t="s">
        <v>60</v>
      </c>
      <c r="R169" s="2">
        <v>2</v>
      </c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14"/>
    </row>
    <row r="170" spans="1:40">
      <c r="A170" s="14" t="s">
        <v>360</v>
      </c>
      <c r="B170" s="7">
        <v>44886</v>
      </c>
      <c r="C170" s="38" t="s">
        <v>99</v>
      </c>
      <c r="D170" s="38" t="s">
        <v>225</v>
      </c>
      <c r="E170" s="24">
        <v>0.45833333333333331</v>
      </c>
      <c r="F170" s="24">
        <v>0.58333333333333337</v>
      </c>
      <c r="G170" s="26" t="str">
        <f>IF(AND(tb_Base[[#This Row],[Date]]=B169,tb_Base[[#This Row],[Riviere]]=C169,tb_Base[[#This Row],[Secteur]]=D169,tb_Base[[#This Row],[Heure_debut]]=E169,tb_Base[[#This Row],[Heure_fin]]=F169),"",(tb_Base[[#This Row],[Heure_fin]]-tb_Base[[#This Row],[Heure_debut]])*24)</f>
        <v/>
      </c>
      <c r="H170" s="38" t="s">
        <v>358</v>
      </c>
      <c r="I170" s="38" t="s">
        <v>163</v>
      </c>
      <c r="J170" s="38" t="s">
        <v>164</v>
      </c>
      <c r="K170" s="7" t="s">
        <v>371</v>
      </c>
      <c r="L170" s="40" t="s">
        <v>239</v>
      </c>
      <c r="M170" s="40"/>
      <c r="N170" s="28">
        <f>SUM(tb_Base[[#This Row],[0 - 19 cm]:[240 - 249 cm]])</f>
        <v>1</v>
      </c>
      <c r="O170" s="2" t="s">
        <v>60</v>
      </c>
      <c r="R170" s="2">
        <v>1</v>
      </c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14"/>
    </row>
    <row r="171" spans="1:40">
      <c r="A171" s="14" t="s">
        <v>387</v>
      </c>
      <c r="B171" s="7">
        <v>44889</v>
      </c>
      <c r="C171" s="38" t="s">
        <v>13</v>
      </c>
      <c r="D171" s="38" t="s">
        <v>211</v>
      </c>
      <c r="E171" s="24">
        <v>0.42708333333333331</v>
      </c>
      <c r="F171" s="24">
        <v>0.48958333333333331</v>
      </c>
      <c r="G171" s="26">
        <f>IF(AND(tb_Base[[#This Row],[Date]]=B170,tb_Base[[#This Row],[Riviere]]=C170,tb_Base[[#This Row],[Secteur]]=D170,tb_Base[[#This Row],[Heure_debut]]=E170,tb_Base[[#This Row],[Heure_fin]]=F170),"",(tb_Base[[#This Row],[Heure_fin]]-tb_Base[[#This Row],[Heure_debut]])*24)</f>
        <v>1.5</v>
      </c>
      <c r="H171" s="38" t="s">
        <v>2</v>
      </c>
      <c r="I171" s="38"/>
      <c r="J171" s="38"/>
      <c r="K171" s="38"/>
      <c r="L171" s="40" t="s">
        <v>238</v>
      </c>
      <c r="M171" s="40"/>
      <c r="N171" s="28">
        <f>SUM(tb_Base[[#This Row],[0 - 19 cm]:[240 - 249 cm]])</f>
        <v>0</v>
      </c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14"/>
    </row>
    <row r="172" spans="1:40">
      <c r="A172" s="14" t="s">
        <v>388</v>
      </c>
      <c r="B172" s="7">
        <v>44890</v>
      </c>
      <c r="C172" s="38" t="s">
        <v>99</v>
      </c>
      <c r="D172" s="38" t="s">
        <v>225</v>
      </c>
      <c r="E172" s="24">
        <v>0.45833333333333331</v>
      </c>
      <c r="F172" s="24">
        <v>0.64583333333333337</v>
      </c>
      <c r="G172" s="26">
        <f>IF(AND(tb_Base[[#This Row],[Date]]=B171,tb_Base[[#This Row],[Riviere]]=C171,tb_Base[[#This Row],[Secteur]]=D171,tb_Base[[#This Row],[Heure_debut]]=E171,tb_Base[[#This Row],[Heure_fin]]=F171),"",(tb_Base[[#This Row],[Heure_fin]]-tb_Base[[#This Row],[Heure_debut]])*24)</f>
        <v>4.5000000000000018</v>
      </c>
      <c r="H172" s="38" t="s">
        <v>3</v>
      </c>
      <c r="I172" s="38" t="s">
        <v>49</v>
      </c>
      <c r="J172" s="38" t="s">
        <v>28</v>
      </c>
      <c r="K172" s="38" t="s">
        <v>362</v>
      </c>
      <c r="L172" s="40" t="s">
        <v>239</v>
      </c>
      <c r="M172" s="40"/>
      <c r="N172" s="28">
        <f>SUM(tb_Base[[#This Row],[0 - 19 cm]:[240 - 249 cm]])</f>
        <v>2</v>
      </c>
      <c r="O172" s="2" t="s">
        <v>60</v>
      </c>
      <c r="R172" s="2">
        <v>1</v>
      </c>
      <c r="U172" s="2">
        <v>1</v>
      </c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14"/>
    </row>
    <row r="173" spans="1:40">
      <c r="A173" s="14" t="s">
        <v>389</v>
      </c>
      <c r="B173" s="7">
        <v>44890</v>
      </c>
      <c r="C173" s="38" t="s">
        <v>99</v>
      </c>
      <c r="D173" s="38" t="s">
        <v>225</v>
      </c>
      <c r="E173" s="24">
        <v>0.45833333333333331</v>
      </c>
      <c r="F173" s="24">
        <v>0.64583333333333337</v>
      </c>
      <c r="G173" s="26" t="str">
        <f>IF(AND(tb_Base[[#This Row],[Date]]=B172,tb_Base[[#This Row],[Riviere]]=C172,tb_Base[[#This Row],[Secteur]]=D172,tb_Base[[#This Row],[Heure_debut]]=E172,tb_Base[[#This Row],[Heure_fin]]=F172),"",(tb_Base[[#This Row],[Heure_fin]]-tb_Base[[#This Row],[Heure_debut]])*24)</f>
        <v/>
      </c>
      <c r="H173" s="38" t="s">
        <v>3</v>
      </c>
      <c r="I173" s="38" t="s">
        <v>49</v>
      </c>
      <c r="J173" s="38" t="s">
        <v>28</v>
      </c>
      <c r="K173" s="38" t="s">
        <v>369</v>
      </c>
      <c r="L173" s="40" t="s">
        <v>239</v>
      </c>
      <c r="M173" s="40"/>
      <c r="N173" s="28">
        <f>SUM(tb_Base[[#This Row],[0 - 19 cm]:[240 - 249 cm]])</f>
        <v>2</v>
      </c>
      <c r="O173" s="2" t="s">
        <v>60</v>
      </c>
      <c r="R173" s="2">
        <v>2</v>
      </c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14"/>
    </row>
    <row r="174" spans="1:40">
      <c r="A174" s="14" t="s">
        <v>390</v>
      </c>
      <c r="B174" s="7">
        <v>44890</v>
      </c>
      <c r="C174" s="38" t="s">
        <v>99</v>
      </c>
      <c r="D174" s="38" t="s">
        <v>225</v>
      </c>
      <c r="E174" s="24">
        <v>0.45833333333333331</v>
      </c>
      <c r="F174" s="24">
        <v>0.64583333333333337</v>
      </c>
      <c r="G174" s="26" t="str">
        <f>IF(AND(tb_Base[[#This Row],[Date]]=B173,tb_Base[[#This Row],[Riviere]]=C173,tb_Base[[#This Row],[Secteur]]=D173,tb_Base[[#This Row],[Heure_debut]]=E173,tb_Base[[#This Row],[Heure_fin]]=F173),"",(tb_Base[[#This Row],[Heure_fin]]-tb_Base[[#This Row],[Heure_debut]])*24)</f>
        <v/>
      </c>
      <c r="H174" s="38" t="s">
        <v>3</v>
      </c>
      <c r="I174" s="38" t="s">
        <v>163</v>
      </c>
      <c r="J174" s="38" t="s">
        <v>320</v>
      </c>
      <c r="K174" s="38" t="s">
        <v>118</v>
      </c>
      <c r="L174" s="40" t="s">
        <v>239</v>
      </c>
      <c r="M174" s="40"/>
      <c r="N174" s="28">
        <f>SUM(tb_Base[[#This Row],[0 - 19 cm]:[240 - 249 cm]])</f>
        <v>1</v>
      </c>
      <c r="O174" s="2" t="s">
        <v>60</v>
      </c>
      <c r="S174" s="2">
        <v>1</v>
      </c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14"/>
    </row>
    <row r="175" spans="1:40">
      <c r="A175" s="14" t="s">
        <v>392</v>
      </c>
      <c r="B175" s="7">
        <v>44893</v>
      </c>
      <c r="C175" s="38" t="s">
        <v>99</v>
      </c>
      <c r="D175" s="38" t="s">
        <v>225</v>
      </c>
      <c r="E175" s="24">
        <v>0.4375</v>
      </c>
      <c r="F175" s="24">
        <v>0.64583333333333337</v>
      </c>
      <c r="G175" s="26">
        <f>IF(AND(tb_Base[[#This Row],[Date]]=B174,tb_Base[[#This Row],[Riviere]]=C174,tb_Base[[#This Row],[Secteur]]=D174,tb_Base[[#This Row],[Heure_debut]]=E174,tb_Base[[#This Row],[Heure_fin]]=F174),"",(tb_Base[[#This Row],[Heure_fin]]-tb_Base[[#This Row],[Heure_debut]])*24)</f>
        <v>5.0000000000000009</v>
      </c>
      <c r="H175" s="38" t="s">
        <v>391</v>
      </c>
      <c r="I175" s="38" t="s">
        <v>53</v>
      </c>
      <c r="J175" s="38" t="s">
        <v>30</v>
      </c>
      <c r="K175" s="38" t="s">
        <v>118</v>
      </c>
      <c r="L175" s="40" t="s">
        <v>239</v>
      </c>
      <c r="M175" s="40"/>
      <c r="N175" s="28">
        <f>SUM(tb_Base[[#This Row],[0 - 19 cm]:[240 - 249 cm]])</f>
        <v>1</v>
      </c>
      <c r="O175" s="2" t="s">
        <v>60</v>
      </c>
      <c r="S175" s="2">
        <v>1</v>
      </c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14"/>
    </row>
    <row r="176" spans="1:40">
      <c r="A176" s="14" t="s">
        <v>393</v>
      </c>
      <c r="B176" s="7">
        <v>44897</v>
      </c>
      <c r="C176" s="38" t="s">
        <v>99</v>
      </c>
      <c r="D176" s="38" t="s">
        <v>225</v>
      </c>
      <c r="E176" s="24">
        <v>0.47916666666666669</v>
      </c>
      <c r="F176" s="24">
        <v>0.6875</v>
      </c>
      <c r="G176" s="26">
        <f>IF(AND(tb_Base[[#This Row],[Date]]=B175,tb_Base[[#This Row],[Riviere]]=C175,tb_Base[[#This Row],[Secteur]]=D175,tb_Base[[#This Row],[Heure_debut]]=E175,tb_Base[[#This Row],[Heure_fin]]=F175),"",(tb_Base[[#This Row],[Heure_fin]]-tb_Base[[#This Row],[Heure_debut]])*24)</f>
        <v>5</v>
      </c>
      <c r="H176" s="38" t="s">
        <v>391</v>
      </c>
      <c r="I176" s="38" t="s">
        <v>163</v>
      </c>
      <c r="J176" s="38" t="s">
        <v>320</v>
      </c>
      <c r="K176" s="38" t="s">
        <v>118</v>
      </c>
      <c r="L176" s="40" t="s">
        <v>239</v>
      </c>
      <c r="M176" s="40" t="s">
        <v>241</v>
      </c>
      <c r="N176" s="28">
        <f>SUM(tb_Base[[#This Row],[0 - 19 cm]:[240 - 249 cm]])</f>
        <v>1</v>
      </c>
      <c r="O176" s="2" t="s">
        <v>60</v>
      </c>
      <c r="S176" s="2">
        <v>1</v>
      </c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14"/>
    </row>
    <row r="177" spans="1:40">
      <c r="A177" s="14" t="s">
        <v>401</v>
      </c>
      <c r="B177" s="7">
        <v>44910</v>
      </c>
      <c r="C177" s="38" t="s">
        <v>12</v>
      </c>
      <c r="D177" s="38" t="s">
        <v>202</v>
      </c>
      <c r="E177" s="24">
        <v>0.46875</v>
      </c>
      <c r="F177" s="24">
        <v>0.51041666666666663</v>
      </c>
      <c r="G177" s="26">
        <f>IF(AND(tb_Base[[#This Row],[Date]]=B176,tb_Base[[#This Row],[Riviere]]=C176,tb_Base[[#This Row],[Secteur]]=D176,tb_Base[[#This Row],[Heure_debut]]=E176,tb_Base[[#This Row],[Heure_fin]]=F176),"",(tb_Base[[#This Row],[Heure_fin]]-tb_Base[[#This Row],[Heure_debut]])*24)</f>
        <v>0.99999999999999911</v>
      </c>
      <c r="H177" s="38" t="s">
        <v>391</v>
      </c>
      <c r="I177" s="38" t="s">
        <v>163</v>
      </c>
      <c r="J177" s="38" t="s">
        <v>320</v>
      </c>
      <c r="K177" s="38" t="s">
        <v>118</v>
      </c>
      <c r="L177" s="40" t="s">
        <v>238</v>
      </c>
      <c r="M177" s="40"/>
      <c r="N177" s="28">
        <f>SUM(tb_Base[[#This Row],[0 - 19 cm]:[240 - 249 cm]])</f>
        <v>1</v>
      </c>
      <c r="O177" s="2" t="s">
        <v>60</v>
      </c>
      <c r="S177" s="2">
        <v>1</v>
      </c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14"/>
    </row>
    <row r="178" spans="1:40">
      <c r="A178" s="14" t="s">
        <v>403</v>
      </c>
      <c r="B178" s="7">
        <v>44924</v>
      </c>
      <c r="C178" s="38" t="s">
        <v>14</v>
      </c>
      <c r="D178" s="38" t="s">
        <v>402</v>
      </c>
      <c r="E178" s="24">
        <v>0.67708333333333337</v>
      </c>
      <c r="F178" s="24">
        <v>0.72916666666666663</v>
      </c>
      <c r="G178" s="26">
        <f>IF(AND(tb_Base[[#This Row],[Date]]=B177,tb_Base[[#This Row],[Riviere]]=C177,tb_Base[[#This Row],[Secteur]]=D177,tb_Base[[#This Row],[Heure_debut]]=E177,tb_Base[[#This Row],[Heure_fin]]=F177),"",(tb_Base[[#This Row],[Heure_fin]]-tb_Base[[#This Row],[Heure_debut]])*24)</f>
        <v>1.2499999999999982</v>
      </c>
      <c r="H178" s="38" t="s">
        <v>2</v>
      </c>
      <c r="I178" s="38"/>
      <c r="J178" s="38"/>
      <c r="K178" s="38"/>
      <c r="L178" s="40" t="s">
        <v>236</v>
      </c>
      <c r="M178" s="40" t="s">
        <v>399</v>
      </c>
      <c r="N178" s="28">
        <f>SUM(tb_Base[[#This Row],[0 - 19 cm]:[240 - 249 cm]])</f>
        <v>0</v>
      </c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14"/>
    </row>
    <row r="179" spans="1:40">
      <c r="A179" s="14" t="s">
        <v>404</v>
      </c>
      <c r="B179" s="7">
        <v>44926</v>
      </c>
      <c r="C179" s="38" t="s">
        <v>99</v>
      </c>
      <c r="D179" s="38" t="s">
        <v>222</v>
      </c>
      <c r="E179" s="24">
        <v>0.65625</v>
      </c>
      <c r="F179" s="24">
        <v>0.72916666666666663</v>
      </c>
      <c r="G179" s="26">
        <f>IF(AND(tb_Base[[#This Row],[Date]]=B178,tb_Base[[#This Row],[Riviere]]=C178,tb_Base[[#This Row],[Secteur]]=D178,tb_Base[[#This Row],[Heure_debut]]=E178,tb_Base[[#This Row],[Heure_fin]]=F178),"",(tb_Base[[#This Row],[Heure_fin]]-tb_Base[[#This Row],[Heure_debut]])*24)</f>
        <v>1.7499999999999991</v>
      </c>
      <c r="H179" s="38" t="s">
        <v>2</v>
      </c>
      <c r="I179" s="38"/>
      <c r="J179" s="38"/>
      <c r="K179" s="38"/>
      <c r="L179" s="40" t="s">
        <v>236</v>
      </c>
      <c r="M179" s="40" t="s">
        <v>399</v>
      </c>
      <c r="N179" s="28">
        <f>SUM(tb_Base[[#This Row],[0 - 19 cm]:[240 - 249 cm]])</f>
        <v>0</v>
      </c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14"/>
    </row>
    <row r="180" spans="1:40">
      <c r="A180" s="14" t="s">
        <v>405</v>
      </c>
      <c r="B180" s="7">
        <v>44928</v>
      </c>
      <c r="C180" s="38" t="s">
        <v>99</v>
      </c>
      <c r="D180" s="38" t="s">
        <v>225</v>
      </c>
      <c r="E180" s="24">
        <v>0.64583333333333337</v>
      </c>
      <c r="F180" s="24">
        <v>0.72916666666666663</v>
      </c>
      <c r="G180" s="26">
        <f>IF(AND(tb_Base[[#This Row],[Date]]=B179,tb_Base[[#This Row],[Riviere]]=C179,tb_Base[[#This Row],[Secteur]]=D179,tb_Base[[#This Row],[Heure_debut]]=E179,tb_Base[[#This Row],[Heure_fin]]=F179),"",(tb_Base[[#This Row],[Heure_fin]]-tb_Base[[#This Row],[Heure_debut]])*24)</f>
        <v>1.9999999999999982</v>
      </c>
      <c r="H180" s="38" t="s">
        <v>3</v>
      </c>
      <c r="I180" s="38"/>
      <c r="J180" s="38"/>
      <c r="K180" s="38"/>
      <c r="L180" s="40" t="s">
        <v>236</v>
      </c>
      <c r="M180" s="40" t="s">
        <v>399</v>
      </c>
      <c r="N180" s="28">
        <f>SUM(tb_Base[[#This Row],[0 - 19 cm]:[240 - 249 cm]])</f>
        <v>0</v>
      </c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14"/>
    </row>
    <row r="181" spans="1:40">
      <c r="A181" s="14" t="s">
        <v>406</v>
      </c>
      <c r="B181" s="7">
        <v>44929</v>
      </c>
      <c r="C181" s="38" t="s">
        <v>99</v>
      </c>
      <c r="D181" s="38" t="s">
        <v>222</v>
      </c>
      <c r="E181" s="24">
        <v>0.64583333333333337</v>
      </c>
      <c r="F181" s="24">
        <v>0.70833333333333337</v>
      </c>
      <c r="G181" s="26">
        <f>IF(AND(tb_Base[[#This Row],[Date]]=B180,tb_Base[[#This Row],[Riviere]]=C180,tb_Base[[#This Row],[Secteur]]=D180,tb_Base[[#This Row],[Heure_debut]]=E180,tb_Base[[#This Row],[Heure_fin]]=F180),"",(tb_Base[[#This Row],[Heure_fin]]-tb_Base[[#This Row],[Heure_debut]])*24)</f>
        <v>1.5</v>
      </c>
      <c r="H181" s="38" t="s">
        <v>2</v>
      </c>
      <c r="I181" s="38"/>
      <c r="J181" s="38"/>
      <c r="K181" s="38"/>
      <c r="L181" s="40" t="s">
        <v>236</v>
      </c>
      <c r="M181" s="40" t="s">
        <v>399</v>
      </c>
      <c r="N181" s="28">
        <f>SUM(tb_Base[[#This Row],[0 - 19 cm]:[240 - 249 cm]])</f>
        <v>0</v>
      </c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14"/>
    </row>
    <row r="182" spans="1:40">
      <c r="A182" s="8"/>
      <c r="B182" s="48" t="s">
        <v>70</v>
      </c>
      <c r="C182" s="8"/>
      <c r="D182" s="8"/>
      <c r="E182" s="35"/>
      <c r="F182" s="35"/>
      <c r="G182" s="39">
        <f>SUBTOTAL(109,[Duree])</f>
        <v>271.25</v>
      </c>
      <c r="H182" s="8"/>
      <c r="I182" s="8"/>
      <c r="J182" s="8"/>
      <c r="K182" s="8"/>
      <c r="L182" s="8"/>
      <c r="M182" s="8"/>
      <c r="N182" s="8">
        <f>SUBTOTAL(109,[Total_espece])</f>
        <v>376</v>
      </c>
      <c r="O182" s="8"/>
      <c r="P182" s="8">
        <f>SUBTOTAL(109,[0 - 19 cm])</f>
        <v>127</v>
      </c>
      <c r="Q182" s="8">
        <f>SUBTOTAL(109,[20 - 29 cm])</f>
        <v>80</v>
      </c>
      <c r="R182" s="8">
        <f>SUBTOTAL(109,[30 - 39 cm])</f>
        <v>64</v>
      </c>
      <c r="S182" s="8">
        <f>SUBTOTAL(109,[40 - 49 cm])</f>
        <v>80</v>
      </c>
      <c r="T182" s="8">
        <f>SUBTOTAL(109,[50 - 59 cm])</f>
        <v>14</v>
      </c>
      <c r="U182" s="8">
        <f>SUBTOTAL(109,[60 - 69 cm])</f>
        <v>9</v>
      </c>
      <c r="V182" s="8">
        <f>SUBTOTAL(109,[70 - 79 cm])</f>
        <v>2</v>
      </c>
      <c r="W182" s="8">
        <f>SUBTOTAL(109,[80 - 89 cm])</f>
        <v>0</v>
      </c>
      <c r="X182" s="8">
        <f>SUBTOTAL(109,[90 - 99 cm])</f>
        <v>0</v>
      </c>
      <c r="Y182" s="8">
        <f>SUBTOTAL(109,[100 - 109 cm])</f>
        <v>0</v>
      </c>
      <c r="Z182" s="8">
        <f>SUBTOTAL(109,[110 - 119 cm])</f>
        <v>0</v>
      </c>
      <c r="AA182" s="8">
        <f>SUBTOTAL(109,[120 - 129 cm])</f>
        <v>0</v>
      </c>
      <c r="AB182" s="8">
        <f>SUBTOTAL(109,[130 - 139 cm])</f>
        <v>0</v>
      </c>
      <c r="AC182" s="8">
        <f>SUBTOTAL(109,[140 - 149 cm])</f>
        <v>0</v>
      </c>
      <c r="AD182" s="8">
        <f>SUBTOTAL(109,[150 - 159 cm])</f>
        <v>0</v>
      </c>
      <c r="AE182" s="8">
        <f>SUBTOTAL(109,[160 - 169 cm])</f>
        <v>0</v>
      </c>
      <c r="AF182" s="8">
        <f>SUBTOTAL(109,[170 - 179 cm])</f>
        <v>0</v>
      </c>
      <c r="AG182" s="8">
        <f>SUBTOTAL(109,[180 - 189 cm])</f>
        <v>0</v>
      </c>
      <c r="AH182" s="8">
        <f>SUBTOTAL(109,[190 - 199 cm])</f>
        <v>0</v>
      </c>
      <c r="AI182" s="8">
        <f>SUBTOTAL(109,[200 - 209 cm])</f>
        <v>0</v>
      </c>
      <c r="AJ182" s="8">
        <f>SUBTOTAL(109,[210 - 219 cm])</f>
        <v>0</v>
      </c>
      <c r="AK182" s="8">
        <f>SUBTOTAL(109,[220 - 229 cm])</f>
        <v>0</v>
      </c>
      <c r="AL182" s="8">
        <f>SUBTOTAL(109,[230 - 239 cm])</f>
        <v>0</v>
      </c>
      <c r="AM182" s="8">
        <f>SUBTOTAL(109,[240 - 249 cm])</f>
        <v>0</v>
      </c>
      <c r="AN182" s="8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23"/>
  <sheetViews>
    <sheetView showGridLines="0" workbookViewId="0"/>
  </sheetViews>
  <sheetFormatPr baseColWidth="10" defaultRowHeight="15.75"/>
  <cols>
    <col min="1" max="1" width="8.625" bestFit="1" customWidth="1"/>
    <col min="2" max="2" width="41.5" customWidth="1"/>
    <col min="3" max="3" width="42.625" customWidth="1"/>
    <col min="4" max="4" width="42.875" bestFit="1" customWidth="1"/>
    <col min="5" max="5" width="41.625" customWidth="1"/>
    <col min="6" max="6" width="23.5" bestFit="1" customWidth="1"/>
    <col min="7" max="7" width="30.5" bestFit="1" customWidth="1"/>
    <col min="8" max="8" width="18.875" bestFit="1" customWidth="1"/>
    <col min="9" max="9" width="39.625" bestFit="1" customWidth="1"/>
    <col min="10" max="10" width="25" bestFit="1" customWidth="1"/>
    <col min="11" max="11" width="23.125" bestFit="1" customWidth="1"/>
    <col min="12" max="12" width="49.125" bestFit="1" customWidth="1"/>
    <col min="13" max="13" width="20.625" bestFit="1" customWidth="1"/>
    <col min="14" max="14" width="17.125" bestFit="1" customWidth="1"/>
    <col min="15" max="15" width="14.625" bestFit="1" customWidth="1"/>
  </cols>
  <sheetData>
    <row r="1" spans="1:12">
      <c r="A1" s="4" t="s">
        <v>41</v>
      </c>
      <c r="B1" s="4" t="s">
        <v>112</v>
      </c>
      <c r="C1" s="4" t="s">
        <v>12</v>
      </c>
      <c r="D1" s="4" t="s">
        <v>13</v>
      </c>
      <c r="E1" s="4" t="s">
        <v>14</v>
      </c>
      <c r="F1" s="4" t="s">
        <v>99</v>
      </c>
      <c r="G1" s="4" t="s">
        <v>43</v>
      </c>
      <c r="H1" s="4" t="s">
        <v>15</v>
      </c>
      <c r="I1" s="4" t="s">
        <v>16</v>
      </c>
      <c r="J1" s="4" t="s">
        <v>44</v>
      </c>
      <c r="K1" s="4" t="s">
        <v>17</v>
      </c>
      <c r="L1" s="5" t="s">
        <v>18</v>
      </c>
    </row>
    <row r="2" spans="1:12">
      <c r="A2" s="1" t="s">
        <v>12</v>
      </c>
      <c r="B2" s="1" t="s">
        <v>185</v>
      </c>
      <c r="C2" s="1" t="s">
        <v>187</v>
      </c>
      <c r="D2" s="1" t="s">
        <v>206</v>
      </c>
      <c r="E2" s="1" t="s">
        <v>221</v>
      </c>
      <c r="F2" s="1" t="s">
        <v>6</v>
      </c>
      <c r="G2" s="1" t="s">
        <v>226</v>
      </c>
      <c r="H2" s="1" t="s">
        <v>227</v>
      </c>
      <c r="I2" s="1" t="s">
        <v>45</v>
      </c>
      <c r="J2" s="1" t="s">
        <v>228</v>
      </c>
      <c r="K2" s="1" t="s">
        <v>229</v>
      </c>
      <c r="L2" s="3" t="s">
        <v>230</v>
      </c>
    </row>
    <row r="3" spans="1:12">
      <c r="A3" s="1" t="s">
        <v>13</v>
      </c>
      <c r="B3" s="1"/>
      <c r="C3" s="1" t="s">
        <v>188</v>
      </c>
      <c r="D3" s="1" t="s">
        <v>207</v>
      </c>
      <c r="E3" s="1" t="s">
        <v>292</v>
      </c>
      <c r="F3" s="1" t="s">
        <v>282</v>
      </c>
      <c r="G3" s="1"/>
      <c r="H3" s="1"/>
      <c r="I3" s="1" t="s">
        <v>9</v>
      </c>
      <c r="J3" s="1"/>
      <c r="K3" s="1"/>
      <c r="L3" s="1"/>
    </row>
    <row r="4" spans="1:12">
      <c r="A4" s="1" t="s">
        <v>14</v>
      </c>
      <c r="B4" s="1"/>
      <c r="C4" s="1" t="s">
        <v>189</v>
      </c>
      <c r="D4" s="1" t="s">
        <v>208</v>
      </c>
      <c r="E4" s="1" t="s">
        <v>402</v>
      </c>
      <c r="F4" s="1" t="s">
        <v>222</v>
      </c>
      <c r="G4" s="1"/>
      <c r="H4" s="1"/>
      <c r="I4" s="1" t="s">
        <v>10</v>
      </c>
      <c r="J4" s="1"/>
      <c r="K4" s="1"/>
      <c r="L4" s="3"/>
    </row>
    <row r="5" spans="1:12">
      <c r="A5" s="1" t="s">
        <v>17</v>
      </c>
      <c r="B5" s="1"/>
      <c r="C5" s="1" t="s">
        <v>190</v>
      </c>
      <c r="D5" s="1" t="s">
        <v>209</v>
      </c>
      <c r="E5" s="1"/>
      <c r="F5" s="1" t="s">
        <v>7</v>
      </c>
      <c r="G5" s="1"/>
      <c r="H5" s="1"/>
      <c r="I5" s="1" t="s">
        <v>11</v>
      </c>
      <c r="J5" s="1"/>
      <c r="K5" s="1"/>
      <c r="L5" s="3"/>
    </row>
    <row r="6" spans="1:12">
      <c r="A6" s="1" t="s">
        <v>43</v>
      </c>
      <c r="B6" s="1"/>
      <c r="C6" s="1" t="s">
        <v>191</v>
      </c>
      <c r="D6" s="1" t="s">
        <v>210</v>
      </c>
      <c r="E6" s="1"/>
      <c r="F6" s="1" t="s">
        <v>8</v>
      </c>
      <c r="G6" s="1"/>
      <c r="H6" s="1"/>
      <c r="I6" s="1" t="s">
        <v>46</v>
      </c>
      <c r="J6" s="1"/>
      <c r="K6" s="1"/>
      <c r="L6" s="3"/>
    </row>
    <row r="7" spans="1:12">
      <c r="A7" s="1" t="s">
        <v>15</v>
      </c>
      <c r="B7" s="1"/>
      <c r="C7" s="1" t="s">
        <v>192</v>
      </c>
      <c r="D7" s="1" t="s">
        <v>211</v>
      </c>
      <c r="E7" s="1"/>
      <c r="F7" s="1" t="s">
        <v>47</v>
      </c>
      <c r="G7" s="1"/>
      <c r="H7" s="1"/>
      <c r="I7" s="1" t="s">
        <v>40</v>
      </c>
      <c r="J7" s="1"/>
      <c r="K7" s="1"/>
      <c r="L7" s="3"/>
    </row>
    <row r="8" spans="1:12">
      <c r="A8" s="1" t="s">
        <v>18</v>
      </c>
      <c r="B8" s="1"/>
      <c r="C8" s="1" t="s">
        <v>193</v>
      </c>
      <c r="D8" s="1" t="s">
        <v>212</v>
      </c>
      <c r="E8" s="1"/>
      <c r="F8" s="1" t="s">
        <v>223</v>
      </c>
      <c r="G8" s="1"/>
      <c r="H8" s="1"/>
      <c r="I8" s="1"/>
      <c r="J8" s="1"/>
      <c r="K8" s="1"/>
      <c r="L8" s="3"/>
    </row>
    <row r="9" spans="1:12">
      <c r="A9" s="1" t="s">
        <v>99</v>
      </c>
      <c r="B9" s="1"/>
      <c r="C9" s="1" t="s">
        <v>194</v>
      </c>
      <c r="D9" s="1" t="s">
        <v>213</v>
      </c>
      <c r="E9" s="1"/>
      <c r="F9" s="1" t="s">
        <v>224</v>
      </c>
      <c r="G9" s="1"/>
      <c r="H9" s="1"/>
      <c r="I9" s="1"/>
      <c r="J9" s="1"/>
      <c r="K9" s="1"/>
      <c r="L9" s="3"/>
    </row>
    <row r="10" spans="1:12">
      <c r="A10" s="1" t="s">
        <v>16</v>
      </c>
      <c r="B10" s="1"/>
      <c r="C10" s="1" t="s">
        <v>195</v>
      </c>
      <c r="D10" s="1" t="s">
        <v>214</v>
      </c>
      <c r="E10" s="1"/>
      <c r="F10" s="1" t="s">
        <v>20</v>
      </c>
      <c r="G10" s="1"/>
      <c r="H10" s="1"/>
      <c r="I10" s="1"/>
      <c r="J10" s="1"/>
      <c r="K10" s="1"/>
      <c r="L10" s="3"/>
    </row>
    <row r="11" spans="1:12">
      <c r="A11" s="1" t="s">
        <v>44</v>
      </c>
      <c r="B11" s="1"/>
      <c r="C11" s="1" t="s">
        <v>196</v>
      </c>
      <c r="D11" s="1" t="s">
        <v>215</v>
      </c>
      <c r="E11" s="1"/>
      <c r="F11" s="1" t="s">
        <v>225</v>
      </c>
      <c r="G11" s="1"/>
      <c r="H11" s="1"/>
      <c r="I11" s="1"/>
      <c r="J11" s="1"/>
      <c r="K11" s="1"/>
      <c r="L11" s="3"/>
    </row>
    <row r="12" spans="1:12">
      <c r="A12" s="1" t="s">
        <v>112</v>
      </c>
      <c r="B12" s="1"/>
      <c r="C12" s="1" t="s">
        <v>197</v>
      </c>
      <c r="D12" s="1" t="s">
        <v>216</v>
      </c>
      <c r="E12" s="1"/>
      <c r="F12" s="1"/>
      <c r="G12" s="1"/>
      <c r="H12" s="1"/>
      <c r="I12" s="1"/>
      <c r="J12" s="1"/>
      <c r="K12" s="1"/>
      <c r="L12" s="3"/>
    </row>
    <row r="13" spans="1:12">
      <c r="A13" s="1"/>
      <c r="B13" s="1"/>
      <c r="C13" s="1" t="s">
        <v>232</v>
      </c>
      <c r="D13" s="1" t="s">
        <v>217</v>
      </c>
      <c r="E13" s="1"/>
      <c r="F13" s="1"/>
      <c r="G13" s="1"/>
      <c r="H13" s="1"/>
      <c r="I13" s="1"/>
      <c r="J13" s="1"/>
      <c r="K13" s="1"/>
      <c r="L13" s="3"/>
    </row>
    <row r="14" spans="1:12">
      <c r="A14" s="1"/>
      <c r="B14" s="1"/>
      <c r="C14" s="1" t="s">
        <v>198</v>
      </c>
      <c r="D14" s="1" t="s">
        <v>248</v>
      </c>
      <c r="E14" s="1"/>
      <c r="F14" s="1"/>
      <c r="G14" s="1"/>
      <c r="H14" s="1"/>
      <c r="I14" s="1"/>
      <c r="J14" s="1"/>
      <c r="K14" s="1"/>
      <c r="L14" s="3"/>
    </row>
    <row r="15" spans="1:12">
      <c r="A15" s="1"/>
      <c r="B15" s="1"/>
      <c r="C15" s="1" t="s">
        <v>283</v>
      </c>
      <c r="D15" s="1" t="s">
        <v>218</v>
      </c>
      <c r="E15" s="1"/>
      <c r="F15" s="1"/>
      <c r="G15" s="1"/>
      <c r="H15" s="1"/>
      <c r="I15" s="1"/>
      <c r="J15" s="1"/>
      <c r="K15" s="1"/>
      <c r="L15" s="3"/>
    </row>
    <row r="16" spans="1:12">
      <c r="A16" s="1"/>
      <c r="B16" s="1"/>
      <c r="C16" s="1" t="s">
        <v>199</v>
      </c>
      <c r="D16" s="1" t="s">
        <v>219</v>
      </c>
      <c r="E16" s="1"/>
      <c r="F16" s="1"/>
      <c r="G16" s="1"/>
      <c r="H16" s="1"/>
      <c r="I16" s="1"/>
      <c r="J16" s="1"/>
      <c r="K16" s="1"/>
      <c r="L16" s="3"/>
    </row>
    <row r="17" spans="1:12">
      <c r="A17" s="1"/>
      <c r="B17" s="1"/>
      <c r="C17" s="1" t="s">
        <v>200</v>
      </c>
      <c r="D17" s="1" t="s">
        <v>220</v>
      </c>
      <c r="E17" s="1"/>
      <c r="F17" s="1"/>
      <c r="G17" s="1"/>
      <c r="H17" s="1"/>
      <c r="I17" s="1"/>
      <c r="J17" s="1"/>
      <c r="K17" s="1"/>
      <c r="L17" s="3"/>
    </row>
    <row r="18" spans="1:12">
      <c r="A18" s="1"/>
      <c r="B18" s="1"/>
      <c r="C18" s="1" t="s">
        <v>201</v>
      </c>
      <c r="D18" s="1"/>
      <c r="E18" s="1"/>
      <c r="F18" s="1"/>
      <c r="G18" s="1"/>
      <c r="H18" s="1"/>
      <c r="I18" s="1"/>
      <c r="J18" s="1"/>
      <c r="K18" s="1"/>
      <c r="L18" s="3"/>
    </row>
    <row r="19" spans="1:12">
      <c r="A19" s="1"/>
      <c r="B19" s="1"/>
      <c r="C19" s="1" t="s">
        <v>202</v>
      </c>
      <c r="D19" s="1"/>
      <c r="E19" s="1"/>
      <c r="F19" s="1"/>
      <c r="G19" s="1"/>
      <c r="H19" s="1"/>
      <c r="I19" s="1"/>
      <c r="J19" s="1"/>
      <c r="K19" s="1"/>
      <c r="L19" s="3"/>
    </row>
    <row r="20" spans="1:12">
      <c r="A20" s="1"/>
      <c r="B20" s="1"/>
      <c r="C20" s="1" t="s">
        <v>231</v>
      </c>
      <c r="D20" s="1"/>
      <c r="E20" s="1"/>
      <c r="F20" s="1"/>
      <c r="G20" s="1"/>
      <c r="H20" s="1"/>
      <c r="I20" s="1"/>
      <c r="J20" s="1"/>
      <c r="K20" s="1"/>
      <c r="L20" s="3"/>
    </row>
    <row r="21" spans="1:12">
      <c r="A21" s="1"/>
      <c r="B21" s="1"/>
      <c r="C21" s="1" t="s">
        <v>203</v>
      </c>
      <c r="D21" s="1"/>
      <c r="E21" s="1"/>
      <c r="F21" s="1"/>
      <c r="G21" s="1"/>
      <c r="H21" s="1"/>
      <c r="I21" s="1"/>
      <c r="J21" s="1"/>
      <c r="K21" s="1"/>
      <c r="L21" s="3"/>
    </row>
    <row r="22" spans="1:12">
      <c r="A22" s="1"/>
      <c r="B22" s="1"/>
      <c r="C22" s="1" t="s">
        <v>204</v>
      </c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B23" s="1"/>
      <c r="C23" s="1" t="s">
        <v>205</v>
      </c>
      <c r="D23" s="1"/>
      <c r="E23" s="1"/>
      <c r="F23" s="1"/>
      <c r="G23" s="1"/>
      <c r="H23" s="1"/>
      <c r="I23" s="1"/>
      <c r="J23" s="1"/>
      <c r="K23" s="1"/>
      <c r="L23" s="3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46"/>
  <sheetViews>
    <sheetView showGridLines="0" workbookViewId="0">
      <selection activeCell="A3" sqref="A3"/>
    </sheetView>
  </sheetViews>
  <sheetFormatPr baseColWidth="10" defaultRowHeight="15.75"/>
  <cols>
    <col min="1" max="1" width="39" bestFit="1" customWidth="1"/>
    <col min="2" max="2" width="17.5" customWidth="1"/>
    <col min="3" max="3" width="10.625" bestFit="1" customWidth="1"/>
    <col min="4" max="4" width="14.875" bestFit="1" customWidth="1"/>
    <col min="5" max="5" width="20.125" bestFit="1" customWidth="1"/>
    <col min="6" max="6" width="33.875" customWidth="1"/>
    <col min="7" max="7" width="19.125" bestFit="1" customWidth="1"/>
    <col min="8" max="8" width="26.375" bestFit="1" customWidth="1"/>
    <col min="9" max="9" width="15.125" bestFit="1" customWidth="1"/>
    <col min="10" max="10" width="27.125" customWidth="1"/>
  </cols>
  <sheetData>
    <row r="1" spans="1:10">
      <c r="B1" t="s">
        <v>105</v>
      </c>
    </row>
    <row r="3" spans="1:10">
      <c r="A3" t="s">
        <v>55</v>
      </c>
      <c r="B3" t="s">
        <v>163</v>
      </c>
      <c r="C3" t="s">
        <v>122</v>
      </c>
      <c r="D3" t="s">
        <v>49</v>
      </c>
      <c r="E3" t="s">
        <v>50</v>
      </c>
      <c r="F3" t="s">
        <v>51</v>
      </c>
      <c r="G3" t="s">
        <v>52</v>
      </c>
      <c r="H3" t="s">
        <v>53</v>
      </c>
      <c r="I3" t="s">
        <v>54</v>
      </c>
      <c r="J3" t="s">
        <v>100</v>
      </c>
    </row>
    <row r="4" spans="1:10">
      <c r="A4" t="s">
        <v>49</v>
      </c>
      <c r="B4" t="s">
        <v>164</v>
      </c>
      <c r="C4" t="s">
        <v>249</v>
      </c>
      <c r="D4" t="s">
        <v>21</v>
      </c>
      <c r="E4" t="s">
        <v>119</v>
      </c>
      <c r="F4" t="s">
        <v>302</v>
      </c>
      <c r="G4" t="s">
        <v>127</v>
      </c>
      <c r="H4" t="s">
        <v>22</v>
      </c>
      <c r="I4" t="s">
        <v>23</v>
      </c>
      <c r="J4" s="42" t="s">
        <v>109</v>
      </c>
    </row>
    <row r="5" spans="1:10">
      <c r="A5" t="s">
        <v>50</v>
      </c>
      <c r="B5" t="s">
        <v>320</v>
      </c>
      <c r="C5" t="s">
        <v>123</v>
      </c>
      <c r="D5" t="s">
        <v>24</v>
      </c>
      <c r="E5" t="s">
        <v>120</v>
      </c>
      <c r="F5" t="s">
        <v>305</v>
      </c>
      <c r="G5" t="s">
        <v>250</v>
      </c>
      <c r="H5" t="s">
        <v>357</v>
      </c>
      <c r="I5" t="s">
        <v>25</v>
      </c>
      <c r="J5" s="42" t="s">
        <v>317</v>
      </c>
    </row>
    <row r="6" spans="1:10">
      <c r="A6" t="s">
        <v>51</v>
      </c>
      <c r="D6" t="s">
        <v>26</v>
      </c>
      <c r="E6" t="s">
        <v>313</v>
      </c>
      <c r="F6" t="s">
        <v>307</v>
      </c>
      <c r="G6" t="s">
        <v>125</v>
      </c>
      <c r="H6" t="s">
        <v>319</v>
      </c>
      <c r="I6" t="s">
        <v>27</v>
      </c>
      <c r="J6" s="42" t="s">
        <v>108</v>
      </c>
    </row>
    <row r="7" spans="1:10">
      <c r="A7" t="s">
        <v>52</v>
      </c>
      <c r="D7" t="s">
        <v>28</v>
      </c>
      <c r="E7" t="s">
        <v>129</v>
      </c>
      <c r="F7" t="s">
        <v>40</v>
      </c>
      <c r="G7" t="s">
        <v>29</v>
      </c>
      <c r="H7" t="s">
        <v>30</v>
      </c>
      <c r="I7" t="s">
        <v>31</v>
      </c>
      <c r="J7" s="42" t="s">
        <v>103</v>
      </c>
    </row>
    <row r="8" spans="1:10">
      <c r="A8" t="s">
        <v>53</v>
      </c>
      <c r="D8" t="s">
        <v>32</v>
      </c>
      <c r="E8" t="s">
        <v>314</v>
      </c>
      <c r="F8" t="s">
        <v>361</v>
      </c>
      <c r="G8" t="s">
        <v>40</v>
      </c>
      <c r="I8" t="s">
        <v>33</v>
      </c>
      <c r="J8" s="42" t="s">
        <v>362</v>
      </c>
    </row>
    <row r="9" spans="1:10">
      <c r="A9" t="s">
        <v>54</v>
      </c>
      <c r="D9" t="s">
        <v>34</v>
      </c>
      <c r="E9" t="s">
        <v>128</v>
      </c>
      <c r="G9" t="s">
        <v>126</v>
      </c>
      <c r="J9" s="42" t="s">
        <v>363</v>
      </c>
    </row>
    <row r="10" spans="1:10">
      <c r="A10" t="s">
        <v>122</v>
      </c>
      <c r="D10" t="s">
        <v>35</v>
      </c>
      <c r="E10" t="s">
        <v>315</v>
      </c>
      <c r="J10" s="42" t="s">
        <v>364</v>
      </c>
    </row>
    <row r="11" spans="1:10">
      <c r="A11" t="s">
        <v>163</v>
      </c>
      <c r="D11" t="s">
        <v>40</v>
      </c>
      <c r="E11" t="s">
        <v>339</v>
      </c>
      <c r="J11" s="42" t="s">
        <v>365</v>
      </c>
    </row>
    <row r="12" spans="1:10">
      <c r="E12" t="s">
        <v>322</v>
      </c>
      <c r="J12" s="42" t="s">
        <v>366</v>
      </c>
    </row>
    <row r="13" spans="1:10">
      <c r="E13" t="s">
        <v>318</v>
      </c>
      <c r="J13" s="42" t="s">
        <v>367</v>
      </c>
    </row>
    <row r="14" spans="1:10">
      <c r="E14" t="s">
        <v>323</v>
      </c>
      <c r="J14" s="42" t="s">
        <v>368</v>
      </c>
    </row>
    <row r="15" spans="1:10">
      <c r="E15" t="s">
        <v>324</v>
      </c>
      <c r="J15" s="42" t="s">
        <v>369</v>
      </c>
    </row>
    <row r="16" spans="1:10">
      <c r="E16" t="s">
        <v>328</v>
      </c>
      <c r="J16" s="42" t="s">
        <v>118</v>
      </c>
    </row>
    <row r="17" spans="5:10">
      <c r="E17" t="s">
        <v>341</v>
      </c>
      <c r="J17" s="42" t="s">
        <v>370</v>
      </c>
    </row>
    <row r="18" spans="5:10">
      <c r="E18" t="s">
        <v>350</v>
      </c>
      <c r="J18" s="42" t="s">
        <v>371</v>
      </c>
    </row>
    <row r="19" spans="5:10">
      <c r="E19" t="s">
        <v>397</v>
      </c>
      <c r="J19" s="42" t="s">
        <v>19</v>
      </c>
    </row>
    <row r="20" spans="5:10">
      <c r="J20" s="42" t="s">
        <v>372</v>
      </c>
    </row>
    <row r="21" spans="5:10">
      <c r="J21" s="42" t="s">
        <v>101</v>
      </c>
    </row>
    <row r="22" spans="5:10">
      <c r="J22" s="42" t="s">
        <v>124</v>
      </c>
    </row>
    <row r="23" spans="5:10">
      <c r="J23" s="42" t="s">
        <v>373</v>
      </c>
    </row>
    <row r="24" spans="5:10">
      <c r="J24" s="42" t="s">
        <v>374</v>
      </c>
    </row>
    <row r="25" spans="5:10">
      <c r="J25" s="42" t="s">
        <v>375</v>
      </c>
    </row>
    <row r="26" spans="5:10">
      <c r="J26" s="42" t="s">
        <v>376</v>
      </c>
    </row>
    <row r="27" spans="5:10">
      <c r="J27" s="42" t="s">
        <v>377</v>
      </c>
    </row>
    <row r="28" spans="5:10">
      <c r="J28" s="42" t="s">
        <v>117</v>
      </c>
    </row>
    <row r="29" spans="5:10">
      <c r="J29" s="42" t="s">
        <v>251</v>
      </c>
    </row>
    <row r="30" spans="5:10">
      <c r="J30" s="42" t="s">
        <v>351</v>
      </c>
    </row>
    <row r="31" spans="5:10">
      <c r="J31" s="42" t="s">
        <v>378</v>
      </c>
    </row>
    <row r="32" spans="5:10">
      <c r="J32" s="42" t="s">
        <v>321</v>
      </c>
    </row>
    <row r="33" spans="10:10">
      <c r="J33" s="42" t="s">
        <v>110</v>
      </c>
    </row>
    <row r="34" spans="10:10">
      <c r="J34" s="42" t="s">
        <v>379</v>
      </c>
    </row>
    <row r="35" spans="10:10">
      <c r="J35" s="42" t="s">
        <v>107</v>
      </c>
    </row>
    <row r="36" spans="10:10">
      <c r="J36" s="42" t="s">
        <v>121</v>
      </c>
    </row>
    <row r="37" spans="10:10">
      <c r="J37" s="42" t="s">
        <v>102</v>
      </c>
    </row>
    <row r="38" spans="10:10">
      <c r="J38" s="42" t="s">
        <v>380</v>
      </c>
    </row>
    <row r="39" spans="10:10">
      <c r="J39" s="42" t="s">
        <v>381</v>
      </c>
    </row>
    <row r="40" spans="10:10">
      <c r="J40" s="42" t="s">
        <v>382</v>
      </c>
    </row>
    <row r="41" spans="10:10">
      <c r="J41" s="42" t="s">
        <v>383</v>
      </c>
    </row>
    <row r="42" spans="10:10">
      <c r="J42" s="42" t="s">
        <v>384</v>
      </c>
    </row>
    <row r="43" spans="10:10">
      <c r="J43" s="43" t="s">
        <v>385</v>
      </c>
    </row>
    <row r="44" spans="10:10">
      <c r="J44" s="42" t="s">
        <v>386</v>
      </c>
    </row>
    <row r="45" spans="10:10">
      <c r="J45" s="44" t="s">
        <v>111</v>
      </c>
    </row>
    <row r="46" spans="10:10">
      <c r="J46" s="42" t="s">
        <v>396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workbookViewId="0"/>
  </sheetViews>
  <sheetFormatPr baseColWidth="10" defaultRowHeight="15.75"/>
  <cols>
    <col min="2" max="2" width="18.125" bestFit="1" customWidth="1"/>
    <col min="3" max="3" width="19.5" bestFit="1" customWidth="1"/>
  </cols>
  <sheetData>
    <row r="1" spans="1:3">
      <c r="A1" s="30" t="s">
        <v>42</v>
      </c>
      <c r="B1" s="37" t="s">
        <v>234</v>
      </c>
      <c r="C1" s="37" t="s">
        <v>235</v>
      </c>
    </row>
    <row r="2" spans="1:3">
      <c r="A2" s="29" t="s">
        <v>2</v>
      </c>
      <c r="B2" t="s">
        <v>236</v>
      </c>
      <c r="C2" t="s">
        <v>243</v>
      </c>
    </row>
    <row r="3" spans="1:3">
      <c r="A3" s="29" t="s">
        <v>1</v>
      </c>
      <c r="B3" t="s">
        <v>237</v>
      </c>
      <c r="C3" t="s">
        <v>244</v>
      </c>
    </row>
    <row r="4" spans="1:3">
      <c r="A4" s="29" t="s">
        <v>19</v>
      </c>
      <c r="B4" t="s">
        <v>238</v>
      </c>
      <c r="C4" t="s">
        <v>245</v>
      </c>
    </row>
    <row r="5" spans="1:3">
      <c r="A5" s="29" t="s">
        <v>3</v>
      </c>
      <c r="B5" t="s">
        <v>239</v>
      </c>
      <c r="C5" s="7" t="s">
        <v>241</v>
      </c>
    </row>
    <row r="6" spans="1:3">
      <c r="A6" s="29" t="s">
        <v>4</v>
      </c>
      <c r="B6" t="s">
        <v>240</v>
      </c>
      <c r="C6" s="36" t="s">
        <v>242</v>
      </c>
    </row>
    <row r="7" spans="1:3">
      <c r="A7" s="29" t="s">
        <v>48</v>
      </c>
      <c r="B7" s="36"/>
      <c r="C7" s="36" t="s">
        <v>246</v>
      </c>
    </row>
    <row r="8" spans="1:3">
      <c r="A8" s="29" t="s">
        <v>106</v>
      </c>
      <c r="B8" s="36"/>
      <c r="C8" s="36" t="s">
        <v>247</v>
      </c>
    </row>
    <row r="9" spans="1:3">
      <c r="A9" s="29" t="s">
        <v>391</v>
      </c>
      <c r="B9" s="36"/>
      <c r="C9" s="36" t="s">
        <v>399</v>
      </c>
    </row>
    <row r="10" spans="1:3">
      <c r="A10" s="29" t="s">
        <v>186</v>
      </c>
      <c r="B10" s="29"/>
      <c r="C10" s="29" t="s">
        <v>400</v>
      </c>
    </row>
    <row r="11" spans="1:3">
      <c r="A11" s="29" t="s">
        <v>358</v>
      </c>
      <c r="B11" s="29"/>
      <c r="C11" s="29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Saisie</vt:lpstr>
      <vt:lpstr>Base</vt:lpstr>
      <vt:lpstr>Listes</vt:lpstr>
      <vt:lpstr>Leurres</vt:lpstr>
      <vt:lpstr>Meteo</vt:lpstr>
      <vt:lpstr>Accompagnateur</vt:lpstr>
      <vt:lpstr>Date</vt:lpstr>
      <vt:lpstr>Heure_debut</vt:lpstr>
      <vt:lpstr>Heure_fin</vt:lpstr>
      <vt:lpstr>Leurre_categorie</vt:lpstr>
      <vt:lpstr>Leurre_couleur</vt:lpstr>
      <vt:lpstr>Leurre_type</vt:lpstr>
      <vt:lpstr>Meteo</vt:lpstr>
      <vt:lpstr>pl_categorieLeurre</vt:lpstr>
      <vt:lpstr>pl_couleurLeurre</vt:lpstr>
      <vt:lpstr>pl_leurres</vt:lpstr>
      <vt:lpstr>pl_riviere</vt:lpstr>
      <vt:lpstr>pl_secteur</vt:lpstr>
      <vt:lpstr>Remarque</vt:lpstr>
      <vt:lpstr>Riviere</vt:lpstr>
      <vt:lpstr>Secteur</vt:lpstr>
      <vt:lpstr>Type_approche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</dc:creator>
  <dc:description>à garder</dc:description>
  <cp:lastModifiedBy>FRANCIS</cp:lastModifiedBy>
  <cp:lastPrinted>2022-11-18T06:00:32Z</cp:lastPrinted>
  <dcterms:created xsi:type="dcterms:W3CDTF">2022-09-26T04:59:44Z</dcterms:created>
  <dcterms:modified xsi:type="dcterms:W3CDTF">2023-01-04T17:48:12Z</dcterms:modified>
</cp:coreProperties>
</file>