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495" windowWidth="44805" windowHeight="16440" activeTab="1"/>
  </bookViews>
  <sheets>
    <sheet name="Synthèse de scénarios 9" sheetId="11" r:id="rId1"/>
    <sheet name="Essai 1" sheetId="1" r:id="rId2"/>
    <sheet name="Essai 2" sheetId="14" r:id="rId3"/>
    <sheet name="Feuil13" sheetId="13" r:id="rId4"/>
    <sheet name="BD" sheetId="2" r:id="rId5"/>
  </sheets>
  <definedNames>
    <definedName name="DMT">'Essai 1'!$F$3</definedName>
    <definedName name="Duree">'Essai 1'!$M$6</definedName>
    <definedName name="ETP">'Essai 1'!$M$8</definedName>
    <definedName name="Nb_jrs_presta">'Essai 1'!$M$7</definedName>
    <definedName name="NBJRS">'Essai 1'!$F$5</definedName>
    <definedName name="solver_eng" localSheetId="1" hidden="1">1</definedName>
    <definedName name="solver_lin" localSheetId="1" hidden="1">2</definedName>
    <definedName name="solver_neg" localSheetId="1" hidden="1">1</definedName>
    <definedName name="solver_num" localSheetId="1" hidden="1">0</definedName>
    <definedName name="solver_opt" localSheetId="1" hidden="1">'Essai 1'!$B$4</definedName>
    <definedName name="solver_typ" localSheetId="1" hidden="1">1</definedName>
    <definedName name="solver_val" localSheetId="1" hidden="1">0</definedName>
    <definedName name="solver_ver" localSheetId="1" hidden="1">2</definedName>
    <definedName name="TPSJOURNALIER">'Essai 1'!$B$6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/>
  <c r="B3"/>
  <c r="B6"/>
  <c r="B10"/>
  <c r="C16" i="14" l="1"/>
  <c r="J24"/>
  <c r="J25"/>
  <c r="J16"/>
  <c r="E33"/>
  <c r="E16"/>
  <c r="F16" s="1"/>
  <c r="C36"/>
  <c r="F24"/>
  <c r="F25"/>
  <c r="G24"/>
  <c r="G25"/>
  <c r="G16"/>
  <c r="G32"/>
  <c r="D25"/>
  <c r="D24"/>
  <c r="D16"/>
  <c r="F13"/>
  <c r="E13"/>
  <c r="D13"/>
  <c r="L24"/>
  <c r="G27"/>
  <c r="E25"/>
  <c r="E24"/>
  <c r="C17"/>
  <c r="C18" s="1"/>
  <c r="C19" s="1"/>
  <c r="C20" s="1"/>
  <c r="C21" s="1"/>
  <c r="C22" s="1"/>
  <c r="C23" s="1"/>
  <c r="E23" s="1"/>
  <c r="F23" s="1"/>
  <c r="F25" i="13"/>
  <c r="E25"/>
  <c r="D25"/>
  <c r="F24"/>
  <c r="E24"/>
  <c r="D24"/>
  <c r="F23"/>
  <c r="E23"/>
  <c r="D23"/>
  <c r="F22"/>
  <c r="F16"/>
  <c r="E16"/>
  <c r="D16"/>
  <c r="F15"/>
  <c r="E15"/>
  <c r="D15"/>
  <c r="F14"/>
  <c r="E14"/>
  <c r="F13"/>
  <c r="D8"/>
  <c r="E8"/>
  <c r="F8"/>
  <c r="C8"/>
  <c r="D6"/>
  <c r="E6"/>
  <c r="F6"/>
  <c r="D7"/>
  <c r="E7"/>
  <c r="F7"/>
  <c r="E5"/>
  <c r="F5"/>
  <c r="D5"/>
  <c r="F4"/>
  <c r="H25" i="14"/>
  <c r="C16" i="1"/>
  <c r="H12"/>
  <c r="A4" i="2"/>
  <c r="A5" s="1"/>
  <c r="A6" s="1"/>
  <c r="A7" s="1"/>
  <c r="A8" s="1"/>
  <c r="D15" i="1"/>
  <c r="E23" l="1"/>
  <c r="E26"/>
  <c r="E24"/>
  <c r="E25"/>
  <c r="E27"/>
  <c r="E20"/>
  <c r="E21"/>
  <c r="E22"/>
  <c r="E15"/>
  <c r="H24" i="14"/>
  <c r="G13"/>
  <c r="H16"/>
  <c r="I16" s="1"/>
  <c r="D18"/>
  <c r="H22"/>
  <c r="J23"/>
  <c r="D23"/>
  <c r="G22"/>
  <c r="G20"/>
  <c r="G18"/>
  <c r="J20"/>
  <c r="D20"/>
  <c r="D21"/>
  <c r="D22"/>
  <c r="G23"/>
  <c r="E22"/>
  <c r="F22" s="1"/>
  <c r="H20"/>
  <c r="J22"/>
  <c r="E21"/>
  <c r="I21" s="1"/>
  <c r="H19"/>
  <c r="J21"/>
  <c r="E20"/>
  <c r="F20" s="1"/>
  <c r="H18"/>
  <c r="E18"/>
  <c r="F18" s="1"/>
  <c r="G17"/>
  <c r="H17"/>
  <c r="I17" s="1"/>
  <c r="J19"/>
  <c r="D17"/>
  <c r="G21"/>
  <c r="H23"/>
  <c r="J18"/>
  <c r="J17"/>
  <c r="D19"/>
  <c r="G19"/>
  <c r="H21"/>
  <c r="E17"/>
  <c r="F17" s="1"/>
  <c r="E19"/>
  <c r="F19" s="1"/>
  <c r="H15" i="1"/>
  <c r="D14"/>
  <c r="B15"/>
  <c r="B14"/>
  <c r="F15"/>
  <c r="G15"/>
  <c r="D23" l="1"/>
  <c r="D25"/>
  <c r="D24"/>
  <c r="D26"/>
  <c r="D27"/>
  <c r="D20"/>
  <c r="D22"/>
  <c r="D21"/>
  <c r="F21" i="14"/>
  <c r="I18"/>
  <c r="I19"/>
  <c r="E14" i="1"/>
  <c r="H14"/>
  <c r="G14"/>
  <c r="F14"/>
  <c r="D13"/>
  <c r="B13"/>
  <c r="A16" s="1"/>
  <c r="C23" l="1"/>
  <c r="C24"/>
  <c r="C25"/>
  <c r="C26"/>
  <c r="C27"/>
  <c r="C20"/>
  <c r="C21"/>
  <c r="C22"/>
  <c r="D16"/>
  <c r="H13"/>
  <c r="E13"/>
  <c r="F13"/>
  <c r="G13"/>
  <c r="F21" l="1"/>
  <c r="F22"/>
  <c r="F23"/>
  <c r="F25"/>
  <c r="G27" s="1"/>
  <c r="F24"/>
  <c r="F27"/>
  <c r="F20"/>
  <c r="G22" s="1"/>
  <c r="F26"/>
  <c r="G23"/>
  <c r="G24"/>
  <c r="G25"/>
  <c r="E16"/>
  <c r="G26"/>
  <c r="G16"/>
  <c r="F16"/>
  <c r="H16"/>
</calcChain>
</file>

<file path=xl/sharedStrings.xml><?xml version="1.0" encoding="utf-8"?>
<sst xmlns="http://schemas.openxmlformats.org/spreadsheetml/2006/main" count="47" uniqueCount="40">
  <si>
    <t>Appels</t>
  </si>
  <si>
    <t>Appels
(+30% rappel)</t>
  </si>
  <si>
    <t>DMT
(appel + post-appel)</t>
  </si>
  <si>
    <t>Durée totale (min)</t>
  </si>
  <si>
    <t>Durée totale (h)</t>
  </si>
  <si>
    <t>Durée totale (Centième)</t>
  </si>
  <si>
    <t>Durée totale (jrs, h, min))</t>
  </si>
  <si>
    <t>Rappel : 24 heures = 1440 minutes</t>
  </si>
  <si>
    <t>Durée estimée opération</t>
  </si>
  <si>
    <t>Nombre de jours alloué à la prestation</t>
  </si>
  <si>
    <t>Nombre d'ETP estimé</t>
  </si>
  <si>
    <t>Temps travail journalier (7,50) - en min</t>
  </si>
  <si>
    <t>Tps_travail</t>
  </si>
  <si>
    <t>Nb-ETP</t>
  </si>
  <si>
    <t>Nb appels</t>
  </si>
  <si>
    <t>Nb appels (+30% rappel)</t>
  </si>
  <si>
    <t>Moyenne Nb appels</t>
  </si>
  <si>
    <t>Nb ETP à prévoir</t>
  </si>
  <si>
    <t>Temps travail journalier pour 1ETP (7,50) - en min</t>
  </si>
  <si>
    <t>NB ETP à prévoir</t>
  </si>
  <si>
    <t>NB ETP</t>
  </si>
  <si>
    <t>DMT</t>
  </si>
  <si>
    <t>Synthèse de scénarios</t>
  </si>
  <si>
    <t>Cellules variables :</t>
  </si>
  <si>
    <t>Valeurs actuelles :</t>
  </si>
  <si>
    <t>Cellules résultantes :</t>
  </si>
  <si>
    <t>La colonne Valeurs actuelles affiche les valeurs des cellules variables</t>
  </si>
  <si>
    <t>au moment de la création du rapport de synthèse. Les cellules variables</t>
  </si>
  <si>
    <t>de chaque scénario se situent dans les colonnes grisées.</t>
  </si>
  <si>
    <t>Créé par lola X le 11/11/2022
Modifié par: lola X le 11/11/2022</t>
  </si>
  <si>
    <t>ETP</t>
  </si>
  <si>
    <t>Duree</t>
  </si>
  <si>
    <t>DMT 10</t>
  </si>
  <si>
    <t>DMT 12</t>
  </si>
  <si>
    <t>Nb_jrs_presta</t>
  </si>
  <si>
    <t>Nb jrs alloué</t>
  </si>
  <si>
    <t>Nb ETP</t>
  </si>
  <si>
    <t>DUREE ESTIMEE OPERATION</t>
  </si>
  <si>
    <t>DUREE TOTALE ETP (min)</t>
  </si>
  <si>
    <t>DUREE TOTALE ETP (h)</t>
  </si>
</sst>
</file>

<file path=xl/styles.xml><?xml version="1.0" encoding="utf-8"?>
<styleSheet xmlns="http://schemas.openxmlformats.org/spreadsheetml/2006/main">
  <numFmts count="5">
    <numFmt numFmtId="164" formatCode="#,##0&quot; min&quot;"/>
    <numFmt numFmtId="165" formatCode="0.0"/>
    <numFmt numFmtId="166" formatCode="#,##0.00&quot; appels/pers.&quot;"/>
    <numFmt numFmtId="167" formatCode="0&quot; jr(s)&quot;"/>
    <numFmt numFmtId="168" formatCode="[$-F400]h:mm:ss\ AM/PM"/>
  </numFmts>
  <fonts count="17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rgb="FF4F595F"/>
      <name val="Courier New"/>
      <family val="1"/>
    </font>
    <font>
      <b/>
      <sz val="12"/>
      <color theme="4"/>
      <name val="Calibri"/>
      <family val="2"/>
      <scheme val="minor"/>
    </font>
    <font>
      <sz val="12"/>
      <color theme="4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indexed="9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2"/>
      <color indexed="18"/>
      <name val="Calibri"/>
      <family val="2"/>
      <scheme val="minor"/>
    </font>
    <font>
      <sz val="11"/>
      <color indexed="9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9" tint="-0.249977111117893"/>
      <name val="Calibri"/>
      <family val="2"/>
      <scheme val="minor"/>
    </font>
    <font>
      <sz val="12"/>
      <color theme="5" tint="-0.249977111117893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20"/>
        <bgColor indexed="24"/>
      </patternFill>
    </fill>
    <fill>
      <patternFill patternType="solid">
        <fgColor indexed="22"/>
        <bgColor indexed="24"/>
      </patternFill>
    </fill>
    <fill>
      <patternFill patternType="solid">
        <fgColor indexed="22"/>
        <bgColor indexed="7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5">
    <xf numFmtId="0" fontId="0" fillId="0" borderId="0" xfId="0"/>
    <xf numFmtId="2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2" fillId="0" borderId="0" xfId="0" applyFont="1"/>
    <xf numFmtId="46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46" fontId="0" fillId="0" borderId="0" xfId="0" applyNumberFormat="1"/>
    <xf numFmtId="0" fontId="5" fillId="0" borderId="0" xfId="0" applyFont="1"/>
    <xf numFmtId="0" fontId="1" fillId="0" borderId="0" xfId="0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" fontId="0" fillId="0" borderId="0" xfId="0" applyNumberFormat="1"/>
    <xf numFmtId="0" fontId="0" fillId="3" borderId="0" xfId="0" applyFill="1"/>
    <xf numFmtId="46" fontId="0" fillId="0" borderId="0" xfId="0" applyNumberFormat="1" applyAlignment="1">
      <alignment horizontal="right" vertical="center"/>
    </xf>
    <xf numFmtId="0" fontId="6" fillId="4" borderId="2" xfId="0" applyFont="1" applyFill="1" applyBorder="1" applyAlignment="1">
      <alignment horizontal="left"/>
    </xf>
    <xf numFmtId="0" fontId="6" fillId="4" borderId="3" xfId="0" applyFont="1" applyFill="1" applyBorder="1" applyAlignment="1">
      <alignment horizontal="left"/>
    </xf>
    <xf numFmtId="0" fontId="0" fillId="0" borderId="1" xfId="0" applyBorder="1"/>
    <xf numFmtId="0" fontId="7" fillId="5" borderId="0" xfId="0" applyFont="1" applyFill="1" applyAlignment="1">
      <alignment horizontal="left"/>
    </xf>
    <xf numFmtId="0" fontId="8" fillId="5" borderId="1" xfId="0" applyFont="1" applyFill="1" applyBorder="1" applyAlignment="1">
      <alignment horizontal="left"/>
    </xf>
    <xf numFmtId="0" fontId="7" fillId="5" borderId="4" xfId="0" applyFont="1" applyFill="1" applyBorder="1" applyAlignment="1">
      <alignment horizontal="left"/>
    </xf>
    <xf numFmtId="0" fontId="9" fillId="4" borderId="3" xfId="0" applyFont="1" applyFill="1" applyBorder="1" applyAlignment="1">
      <alignment horizontal="right"/>
    </xf>
    <xf numFmtId="0" fontId="9" fillId="4" borderId="2" xfId="0" applyFont="1" applyFill="1" applyBorder="1" applyAlignment="1">
      <alignment horizontal="right"/>
    </xf>
    <xf numFmtId="0" fontId="0" fillId="6" borderId="0" xfId="0" applyFill="1"/>
    <xf numFmtId="0" fontId="10" fillId="0" borderId="0" xfId="0" applyFont="1" applyAlignment="1">
      <alignment vertical="top" wrapText="1"/>
    </xf>
    <xf numFmtId="165" fontId="0" fillId="0" borderId="0" xfId="0" applyNumberFormat="1"/>
    <xf numFmtId="2" fontId="0" fillId="0" borderId="4" xfId="0" applyNumberFormat="1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 wrapText="1"/>
    </xf>
    <xf numFmtId="164" fontId="4" fillId="0" borderId="6" xfId="0" applyNumberFormat="1" applyFont="1" applyBorder="1" applyAlignment="1">
      <alignment horizontal="center" vertical="center"/>
    </xf>
    <xf numFmtId="0" fontId="4" fillId="0" borderId="6" xfId="0" applyFont="1" applyBorder="1" applyAlignment="1">
      <alignment horizontal="center"/>
    </xf>
    <xf numFmtId="0" fontId="3" fillId="0" borderId="6" xfId="0" applyFont="1" applyBorder="1" applyAlignment="1">
      <alignment horizontal="center" vertical="center"/>
    </xf>
    <xf numFmtId="164" fontId="11" fillId="0" borderId="6" xfId="0" applyNumberFormat="1" applyFont="1" applyBorder="1" applyAlignment="1">
      <alignment horizontal="center" vertical="center"/>
    </xf>
    <xf numFmtId="0" fontId="11" fillId="0" borderId="6" xfId="0" applyFont="1" applyBorder="1" applyAlignment="1">
      <alignment horizontal="center"/>
    </xf>
    <xf numFmtId="0" fontId="13" fillId="0" borderId="6" xfId="0" applyFont="1" applyBorder="1" applyAlignment="1">
      <alignment horizontal="center" vertical="center"/>
    </xf>
    <xf numFmtId="164" fontId="12" fillId="0" borderId="6" xfId="0" applyNumberFormat="1" applyFont="1" applyBorder="1" applyAlignment="1">
      <alignment horizontal="center" vertical="center"/>
    </xf>
    <xf numFmtId="0" fontId="12" fillId="0" borderId="6" xfId="0" applyFont="1" applyBorder="1" applyAlignment="1">
      <alignment horizontal="center"/>
    </xf>
    <xf numFmtId="0" fontId="14" fillId="0" borderId="6" xfId="0" applyFont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164" fontId="0" fillId="0" borderId="0" xfId="0" applyNumberFormat="1"/>
    <xf numFmtId="164" fontId="0" fillId="0" borderId="6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164" fontId="0" fillId="7" borderId="6" xfId="0" applyNumberFormat="1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6" xfId="0" applyFill="1" applyBorder="1"/>
    <xf numFmtId="46" fontId="0" fillId="0" borderId="6" xfId="0" applyNumberFormat="1" applyBorder="1" applyAlignment="1">
      <alignment horizontal="center" vertical="center"/>
    </xf>
    <xf numFmtId="168" fontId="0" fillId="0" borderId="6" xfId="0" applyNumberForma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1" fontId="16" fillId="2" borderId="1" xfId="0" applyNumberFormat="1" applyFont="1" applyFill="1" applyBorder="1" applyAlignment="1">
      <alignment horizontal="center" vertical="center" wrapText="1"/>
    </xf>
    <xf numFmtId="164" fontId="16" fillId="2" borderId="1" xfId="0" applyNumberFormat="1" applyFont="1" applyFill="1" applyBorder="1" applyAlignment="1">
      <alignment horizontal="center" vertical="center" wrapText="1"/>
    </xf>
    <xf numFmtId="46" fontId="16" fillId="2" borderId="1" xfId="0" applyNumberFormat="1" applyFont="1" applyFill="1" applyBorder="1" applyAlignment="1">
      <alignment horizontal="center" vertical="center" wrapText="1"/>
    </xf>
    <xf numFmtId="2" fontId="16" fillId="2" borderId="1" xfId="0" applyNumberFormat="1" applyFont="1" applyFill="1" applyBorder="1" applyAlignment="1">
      <alignment horizontal="center" vertical="center" wrapText="1"/>
    </xf>
    <xf numFmtId="0" fontId="16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right" vertical="center" wrapText="1"/>
    </xf>
    <xf numFmtId="0" fontId="0" fillId="0" borderId="0" xfId="0" applyFill="1"/>
    <xf numFmtId="1" fontId="0" fillId="0" borderId="0" xfId="0" applyNumberFormat="1" applyFill="1"/>
    <xf numFmtId="2" fontId="0" fillId="0" borderId="0" xfId="0" applyNumberFormat="1" applyFill="1"/>
    <xf numFmtId="167" fontId="1" fillId="2" borderId="6" xfId="0" applyNumberFormat="1" applyFont="1" applyFill="1" applyBorder="1" applyAlignment="1">
      <alignment horizontal="center" vertical="center" wrapText="1"/>
    </xf>
    <xf numFmtId="2" fontId="16" fillId="2" borderId="6" xfId="0" applyNumberFormat="1" applyFont="1" applyFill="1" applyBorder="1" applyAlignment="1">
      <alignment horizontal="center" vertical="center" wrapText="1"/>
    </xf>
    <xf numFmtId="0" fontId="0" fillId="0" borderId="6" xfId="0" applyBorder="1"/>
    <xf numFmtId="166" fontId="0" fillId="0" borderId="6" xfId="0" applyNumberFormat="1" applyBorder="1"/>
    <xf numFmtId="0" fontId="3" fillId="2" borderId="7" xfId="0" applyFont="1" applyFill="1" applyBorder="1" applyAlignment="1">
      <alignment horizontal="center" vertical="center" wrapText="1"/>
    </xf>
    <xf numFmtId="0" fontId="4" fillId="0" borderId="8" xfId="0" applyFont="1" applyBorder="1" applyAlignment="1">
      <alignment horizontal="left" vertical="center"/>
    </xf>
    <xf numFmtId="0" fontId="16" fillId="2" borderId="7" xfId="0" applyFont="1" applyFill="1" applyBorder="1" applyAlignment="1">
      <alignment horizontal="center" vertical="center" wrapText="1"/>
    </xf>
    <xf numFmtId="0" fontId="1" fillId="0" borderId="6" xfId="0" applyFont="1" applyBorder="1"/>
    <xf numFmtId="0" fontId="1" fillId="2" borderId="6" xfId="0" applyFont="1" applyFill="1" applyBorder="1" applyAlignment="1">
      <alignment horizontal="center"/>
    </xf>
    <xf numFmtId="164" fontId="1" fillId="0" borderId="6" xfId="0" applyNumberFormat="1" applyFont="1" applyBorder="1" applyAlignment="1">
      <alignment horizontal="center" vertical="center"/>
    </xf>
    <xf numFmtId="0" fontId="1" fillId="7" borderId="6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242455</xdr:colOff>
      <xdr:row>2</xdr:row>
      <xdr:rowOff>0</xdr:rowOff>
    </xdr:from>
    <xdr:to>
      <xdr:col>6</xdr:col>
      <xdr:colOff>69273</xdr:colOff>
      <xdr:row>8</xdr:row>
      <xdr:rowOff>103909</xdr:rowOff>
    </xdr:to>
    <xdr:sp macro="" textlink="">
      <xdr:nvSpPr>
        <xdr:cNvPr id="2" name="Rectangle 1"/>
        <xdr:cNvSpPr/>
      </xdr:nvSpPr>
      <xdr:spPr>
        <a:xfrm>
          <a:off x="5221432" y="398318"/>
          <a:ext cx="3688773" cy="1298864"/>
        </a:xfrm>
        <a:prstGeom prst="wedgeRectCallout">
          <a:avLst>
            <a:gd name="adj1" fmla="val -95349"/>
            <a:gd name="adj2" fmla="val 491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Les formules du tableau  "</a:t>
          </a:r>
          <a:r>
            <a:rPr lang="fr-FR" sz="1100">
              <a:solidFill>
                <a:srgbClr val="FFFF00"/>
              </a:solidFill>
            </a:rPr>
            <a:t>NB ETP à prévoir</a:t>
          </a:r>
          <a:r>
            <a:rPr lang="fr-FR" sz="1100"/>
            <a:t>" font références à cette</a:t>
          </a:r>
          <a:r>
            <a:rPr lang="fr-FR" sz="1100" baseline="0"/>
            <a:t> cellule et intègrent le nombre de lignes  de la position dudit tableau comme multiplicateur pour les jours.</a:t>
          </a:r>
        </a:p>
        <a:p>
          <a:pPr algn="ctr"/>
          <a:r>
            <a:rPr lang="fr-FR" sz="1100" baseline="0"/>
            <a:t>Exemple: =$D13/($B$9*(LIGNE()-19)) pour le calcul </a:t>
          </a:r>
        </a:p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C000"/>
    <outlinePr summaryBelow="0"/>
  </sheetPr>
  <dimension ref="B1:G12"/>
  <sheetViews>
    <sheetView showGridLines="0" workbookViewId="0">
      <selection activeCell="E6" sqref="E6"/>
    </sheetView>
  </sheetViews>
  <sheetFormatPr baseColWidth="10" defaultRowHeight="15.75" outlineLevelRow="1" outlineLevelCol="1"/>
  <cols>
    <col min="3" max="3" width="12.625" bestFit="1" customWidth="1"/>
    <col min="4" max="7" width="14.625" bestFit="1" customWidth="1" outlineLevel="1"/>
  </cols>
  <sheetData>
    <row r="1" spans="2:7" ht="16.5" thickBot="1"/>
    <row r="2" spans="2:7" ht="18.75">
      <c r="B2" s="18" t="s">
        <v>22</v>
      </c>
      <c r="C2" s="18"/>
      <c r="D2" s="23"/>
      <c r="E2" s="23"/>
      <c r="F2" s="23"/>
      <c r="G2" s="23"/>
    </row>
    <row r="3" spans="2:7" ht="18.75" collapsed="1">
      <c r="B3" s="17"/>
      <c r="C3" s="17"/>
      <c r="D3" s="24" t="s">
        <v>24</v>
      </c>
      <c r="E3" s="24" t="s">
        <v>21</v>
      </c>
      <c r="F3" s="24" t="s">
        <v>32</v>
      </c>
      <c r="G3" s="24" t="s">
        <v>33</v>
      </c>
    </row>
    <row r="4" spans="2:7" ht="45" hidden="1" outlineLevel="1">
      <c r="B4" s="20"/>
      <c r="C4" s="20"/>
      <c r="E4" s="26" t="s">
        <v>29</v>
      </c>
      <c r="F4" s="26" t="s">
        <v>29</v>
      </c>
      <c r="G4" s="26" t="s">
        <v>29</v>
      </c>
    </row>
    <row r="5" spans="2:7">
      <c r="B5" s="21" t="s">
        <v>23</v>
      </c>
      <c r="C5" s="21"/>
      <c r="D5" s="19"/>
      <c r="E5" s="19"/>
      <c r="F5" s="19"/>
      <c r="G5" s="19"/>
    </row>
    <row r="6" spans="2:7" outlineLevel="1">
      <c r="B6" s="20"/>
      <c r="C6" s="20" t="s">
        <v>31</v>
      </c>
      <c r="D6">
        <v>8</v>
      </c>
      <c r="E6" s="25">
        <v>9</v>
      </c>
      <c r="F6" s="25">
        <v>10</v>
      </c>
      <c r="G6" s="25">
        <v>12</v>
      </c>
    </row>
    <row r="7" spans="2:7" outlineLevel="1">
      <c r="B7" s="20"/>
      <c r="C7" s="20" t="s">
        <v>34</v>
      </c>
      <c r="D7">
        <v>3</v>
      </c>
      <c r="E7" s="25">
        <v>4</v>
      </c>
      <c r="F7" s="25">
        <v>5</v>
      </c>
      <c r="G7" s="25">
        <v>6</v>
      </c>
    </row>
    <row r="8" spans="2:7">
      <c r="B8" s="21" t="s">
        <v>25</v>
      </c>
      <c r="C8" s="21"/>
      <c r="D8" s="19"/>
      <c r="E8" s="19"/>
      <c r="F8" s="19"/>
      <c r="G8" s="19"/>
    </row>
    <row r="9" spans="2:7" ht="16.5" outlineLevel="1" thickBot="1">
      <c r="B9" s="22"/>
      <c r="C9" s="22" t="s">
        <v>30</v>
      </c>
      <c r="D9" s="28">
        <v>2.35792592592593</v>
      </c>
      <c r="E9" s="28">
        <v>1.9895</v>
      </c>
      <c r="F9" s="28">
        <v>1.76844444444444</v>
      </c>
      <c r="G9" s="28">
        <v>1.76844444444444</v>
      </c>
    </row>
    <row r="10" spans="2:7">
      <c r="B10" t="s">
        <v>26</v>
      </c>
    </row>
    <row r="11" spans="2:7">
      <c r="B11" t="s">
        <v>27</v>
      </c>
    </row>
    <row r="12" spans="2:7">
      <c r="B12" t="s">
        <v>28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92D050"/>
  </sheetPr>
  <dimension ref="A1:S46"/>
  <sheetViews>
    <sheetView tabSelected="1" zoomScale="110" zoomScaleNormal="110" workbookViewId="0">
      <selection activeCell="H8" sqref="H8"/>
    </sheetView>
  </sheetViews>
  <sheetFormatPr baseColWidth="10" defaultRowHeight="15.75"/>
  <cols>
    <col min="1" max="1" width="33.875" customWidth="1"/>
    <col min="3" max="3" width="20.5" customWidth="1"/>
    <col min="4" max="4" width="19.125" customWidth="1"/>
    <col min="5" max="5" width="19.5" customWidth="1"/>
    <col min="6" max="6" width="12" bestFit="1" customWidth="1"/>
    <col min="7" max="7" width="16.25" bestFit="1" customWidth="1"/>
    <col min="8" max="8" width="28.5" bestFit="1" customWidth="1"/>
    <col min="9" max="10" width="12" customWidth="1"/>
    <col min="11" max="16" width="16.25" bestFit="1" customWidth="1"/>
    <col min="17" max="18" width="17.5" bestFit="1" customWidth="1"/>
  </cols>
  <sheetData>
    <row r="1" spans="1:17">
      <c r="A1" t="s">
        <v>14</v>
      </c>
      <c r="B1">
        <v>346</v>
      </c>
      <c r="L1" s="61"/>
      <c r="M1" s="62"/>
      <c r="N1" s="63"/>
      <c r="O1" s="63"/>
      <c r="P1" s="63"/>
      <c r="Q1" s="63"/>
    </row>
    <row r="2" spans="1:17">
      <c r="A2" t="s">
        <v>15</v>
      </c>
      <c r="B2" s="14">
        <f>B1+(B1*30%)</f>
        <v>449.8</v>
      </c>
      <c r="L2" s="61"/>
      <c r="M2" s="61"/>
      <c r="N2" s="61"/>
      <c r="O2" s="61"/>
      <c r="P2" s="61"/>
      <c r="Q2" s="63"/>
    </row>
    <row r="3" spans="1:17">
      <c r="A3" t="s">
        <v>16</v>
      </c>
      <c r="B3" s="14">
        <f>AVERAGE(B1:B2)</f>
        <v>397.9</v>
      </c>
      <c r="L3" s="61"/>
      <c r="M3" s="61"/>
      <c r="N3" s="61"/>
      <c r="O3" s="61"/>
      <c r="P3" s="61"/>
      <c r="Q3" s="61"/>
    </row>
    <row r="4" spans="1:17">
      <c r="A4" t="s">
        <v>8</v>
      </c>
      <c r="B4">
        <v>3051</v>
      </c>
      <c r="F4" s="16"/>
      <c r="L4" s="61"/>
      <c r="M4" s="61"/>
      <c r="N4" s="61"/>
      <c r="O4" s="61"/>
      <c r="P4" s="61"/>
      <c r="Q4" s="61"/>
    </row>
    <row r="5" spans="1:17">
      <c r="A5" t="s">
        <v>10</v>
      </c>
      <c r="B5" s="15">
        <v>3</v>
      </c>
      <c r="L5" s="61"/>
      <c r="M5" s="61"/>
      <c r="N5" s="61"/>
      <c r="O5" s="61"/>
      <c r="P5" s="61"/>
      <c r="Q5" s="61"/>
    </row>
    <row r="6" spans="1:17">
      <c r="A6" t="s">
        <v>11</v>
      </c>
      <c r="B6" s="15">
        <f>IF($B$5=1,BD!$A$3,IF($B$5=2,BD!$A$4,IF($B$5=3,BD!$A$5,IF($B$5=4,BD!$A$6,IF($B$5=5,BD!$A$7,IF($B$5=6,BD!$A$8,""))))))</f>
        <v>1260</v>
      </c>
      <c r="F6" s="27"/>
      <c r="L6" s="61"/>
      <c r="M6" s="61"/>
      <c r="N6" s="61"/>
      <c r="O6" s="61"/>
      <c r="P6" s="61"/>
      <c r="Q6" s="61"/>
    </row>
    <row r="7" spans="1:17">
      <c r="A7" s="11" t="s">
        <v>7</v>
      </c>
      <c r="B7">
        <v>1440</v>
      </c>
      <c r="L7" s="61"/>
      <c r="M7" s="61"/>
      <c r="N7" s="61"/>
      <c r="O7" s="61"/>
      <c r="P7" s="61"/>
      <c r="Q7" s="61"/>
    </row>
    <row r="8" spans="1:17">
      <c r="A8" t="s">
        <v>9</v>
      </c>
      <c r="L8" s="61"/>
      <c r="M8" s="63"/>
      <c r="N8" s="63"/>
      <c r="O8" s="63"/>
      <c r="P8" s="63"/>
      <c r="Q8" s="63"/>
    </row>
    <row r="9" spans="1:17">
      <c r="A9" t="s">
        <v>18</v>
      </c>
      <c r="B9" s="74">
        <v>420</v>
      </c>
      <c r="L9" s="61"/>
      <c r="M9" s="61"/>
      <c r="N9" s="63"/>
      <c r="O9" s="63"/>
      <c r="P9" s="63"/>
      <c r="Q9" s="63"/>
    </row>
    <row r="10" spans="1:17">
      <c r="A10" t="s">
        <v>17</v>
      </c>
      <c r="B10" s="1">
        <f>B4/B9</f>
        <v>7.2642857142857142</v>
      </c>
    </row>
    <row r="12" spans="1:17" s="2" customFormat="1" ht="30.95" customHeight="1">
      <c r="A12" s="5" t="s">
        <v>0</v>
      </c>
      <c r="B12" s="5" t="s">
        <v>1</v>
      </c>
      <c r="C12" s="5" t="s">
        <v>2</v>
      </c>
      <c r="D12" s="5" t="s">
        <v>3</v>
      </c>
      <c r="E12" s="5" t="s">
        <v>4</v>
      </c>
      <c r="F12" s="5" t="s">
        <v>5</v>
      </c>
      <c r="G12" s="5" t="s">
        <v>6</v>
      </c>
      <c r="H12" s="68" t="str">
        <f>"Durée si Nb ETP - "&amp;B5</f>
        <v>Durée si Nb ETP - 3</v>
      </c>
    </row>
    <row r="13" spans="1:17" s="3" customFormat="1">
      <c r="A13" s="3">
        <v>346</v>
      </c>
      <c r="B13" s="4">
        <f>(A13*30%)+A13</f>
        <v>449.8</v>
      </c>
      <c r="C13" s="6">
        <v>5</v>
      </c>
      <c r="D13" s="6">
        <f>(A13*C13)</f>
        <v>1730</v>
      </c>
      <c r="E13" s="8">
        <f>D13/(24*60)</f>
        <v>1.2013888888888888</v>
      </c>
      <c r="F13" s="13">
        <f>D13/60</f>
        <v>28.833333333333332</v>
      </c>
      <c r="G13" s="9" t="str">
        <f>INT(ROUND(D13,0)/1440)&amp;" jours "&amp;INT(MOD(ROUND(D13,0),1440)/60)&amp;" heures "&amp;INT(MOD(ROUND(D13,0),60)/1)&amp;" minutes "</f>
        <v xml:space="preserve">1 jours 4 heures 50 minutes </v>
      </c>
      <c r="H13" s="69" t="str">
        <f>INT(D13/TPSJOURNALIER)&amp;" jour(s) " &amp; HOUR((D13-(INT(D13/TPSJOURNALIER)*TPSJOURNALIER))/1440) &amp; " heure(s) " &amp; MINUTE((D13-(INT(D13/TPSJOURNALIER)*TPSJOURNALIER))/1440) &amp; " minute(s)"</f>
        <v>1 jour(s) 7 heure(s) 50 minute(s)</v>
      </c>
    </row>
    <row r="14" spans="1:17">
      <c r="A14" s="3">
        <v>346</v>
      </c>
      <c r="B14" s="4">
        <f t="shared" ref="B14:B15" si="0">(A14*30%)+A14</f>
        <v>449.8</v>
      </c>
      <c r="C14" s="6">
        <v>8</v>
      </c>
      <c r="D14" s="6">
        <f>(A14*C14)</f>
        <v>2768</v>
      </c>
      <c r="E14" s="8">
        <f>D14/(24*60)</f>
        <v>1.9222222222222223</v>
      </c>
      <c r="F14" s="13">
        <f>D14/60</f>
        <v>46.133333333333333</v>
      </c>
      <c r="G14" s="9" t="str">
        <f>INT(ROUND(D14,0)/1440)&amp;" jours "&amp;INT(MOD(ROUND(D14,0),1440)/60)&amp;" heures "&amp;INT(MOD(ROUND(D14,0),60)/1)&amp;" minutes "</f>
        <v xml:space="preserve">1 jours 22 heures 8 minutes </v>
      </c>
      <c r="H14" s="69" t="str">
        <f>INT(D14/TPSJOURNALIER)&amp;" jour(s) " &amp; HOUR((D14-(INT(D14/TPSJOURNALIER)*TPSJOURNALIER))/1440) &amp; " heure(s) " &amp; MINUTE((D14-(INT(D14/TPSJOURNALIER)*TPSJOURNALIER))/1440) &amp; " minute(s)"</f>
        <v>2 jour(s) 4 heure(s) 8 minute(s)</v>
      </c>
    </row>
    <row r="15" spans="1:17">
      <c r="A15" s="3">
        <v>346</v>
      </c>
      <c r="B15" s="4">
        <f t="shared" si="0"/>
        <v>449.8</v>
      </c>
      <c r="C15" s="6">
        <v>10</v>
      </c>
      <c r="D15" s="6">
        <f>(A15*C15)</f>
        <v>3460</v>
      </c>
      <c r="E15" s="8">
        <f>D15/(24*60)</f>
        <v>2.4027777777777777</v>
      </c>
      <c r="F15" s="13">
        <f>D15/60</f>
        <v>57.666666666666664</v>
      </c>
      <c r="G15" s="9" t="str">
        <f>INT(ROUND(D15,0)/1440)&amp;" jours "&amp;INT(MOD(ROUND(D15,0),1440)/60)&amp;" heures "&amp;INT(MOD(ROUND(D15,0),60)/1)&amp;" minutes "</f>
        <v xml:space="preserve">2 jours 9 heures 40 minutes </v>
      </c>
      <c r="H15" s="69" t="str">
        <f>INT(D15/TPSJOURNALIER)&amp;" jour(s) " &amp; HOUR((D15-(INT(D15/TPSJOURNALIER)*TPSJOURNALIER))/1440) &amp; " heure(s) " &amp; MINUTE((D15-(INT(D15/TPSJOURNALIER)*TPSJOURNALIER))/1440) &amp; " minute(s)"</f>
        <v>2 jour(s) 15 heure(s) 40 minute(s)</v>
      </c>
    </row>
    <row r="16" spans="1:17" s="60" customFormat="1" ht="47.25">
      <c r="A16" s="55">
        <f>AVERAGE(A13:B15)</f>
        <v>397.90000000000003</v>
      </c>
      <c r="B16" s="55"/>
      <c r="C16" s="56">
        <f>AVERAGE(C13:C15)</f>
        <v>7.666666666666667</v>
      </c>
      <c r="D16" s="56">
        <f>(A16*C16)</f>
        <v>3050.5666666666671</v>
      </c>
      <c r="E16" s="57">
        <f>D16/(24*60)</f>
        <v>2.1184490740740745</v>
      </c>
      <c r="F16" s="58">
        <f>D16/60</f>
        <v>50.842777777777783</v>
      </c>
      <c r="G16" s="59" t="str">
        <f>INT(ROUND(D16,0)/1440)&amp;" jours "&amp;INT(MOD(ROUND(D16,0),1440)/60)&amp;" heures "&amp;INT(MOD(ROUND(D16,0),60)/1)&amp;" minutes "</f>
        <v xml:space="preserve">2 jours 2 heures 51 minutes </v>
      </c>
      <c r="H16" s="70" t="str">
        <f>INT(D16/TPSJOURNALIER)&amp;" jour(s) " &amp; HOUR((D16-(INT(D16/TPSJOURNALIER)*TPSJOURNALIER))/1440) &amp; " heure(s) " &amp; MINUTE((D16-(INT(D16/TPSJOURNALIER)*TPSJOURNALIER))/1440) &amp; " minute(s)"</f>
        <v>2 jour(s) 8 heure(s) 50 minute(s)</v>
      </c>
    </row>
    <row r="18" spans="2:19">
      <c r="B18" s="72" t="s">
        <v>19</v>
      </c>
      <c r="C18" s="72"/>
      <c r="D18" s="72"/>
      <c r="E18" s="72"/>
      <c r="F18" s="72"/>
      <c r="G18" s="72"/>
    </row>
    <row r="19" spans="2:19" ht="47.25">
      <c r="B19" s="43" t="s">
        <v>2</v>
      </c>
      <c r="C19" s="73">
        <v>5</v>
      </c>
      <c r="D19" s="73">
        <v>8</v>
      </c>
      <c r="E19" s="73">
        <v>10</v>
      </c>
      <c r="F19" s="71"/>
      <c r="G19" s="71"/>
    </row>
    <row r="20" spans="2:19">
      <c r="B20" s="64">
        <v>1</v>
      </c>
      <c r="C20" s="46">
        <f>$D13/($B$9*(ROW()-19))</f>
        <v>4.1190476190476186</v>
      </c>
      <c r="D20" s="46">
        <f>$D14/($B$9*(ROW()-19))</f>
        <v>6.5904761904761902</v>
      </c>
      <c r="E20" s="46">
        <f>$D15/($B$9*(ROW()-19))</f>
        <v>8.2380952380952372</v>
      </c>
      <c r="F20" s="65">
        <f>$D16/($B$9*(ROW()-19))</f>
        <v>7.2632539682539692</v>
      </c>
      <c r="G20" s="66"/>
    </row>
    <row r="21" spans="2:19">
      <c r="B21" s="64">
        <v>2</v>
      </c>
      <c r="C21" s="46">
        <f>$D13/($B$9*(ROW()-19))</f>
        <v>2.0595238095238093</v>
      </c>
      <c r="D21" s="46">
        <f>$D14/($B$9*(ROW()-19))</f>
        <v>3.2952380952380951</v>
      </c>
      <c r="E21" s="46">
        <f>$D15/($B$9*(ROW()-19))</f>
        <v>4.1190476190476186</v>
      </c>
      <c r="F21" s="65">
        <f>$D16/($B$9*(ROW()-19))</f>
        <v>3.6316269841269846</v>
      </c>
      <c r="G21" s="66"/>
    </row>
    <row r="22" spans="2:19">
      <c r="B22" s="64">
        <v>3</v>
      </c>
      <c r="C22" s="46">
        <f>$D13/($B$9*(ROW()-19))</f>
        <v>1.373015873015873</v>
      </c>
      <c r="D22" s="46">
        <f>$D14/($B$9*(ROW()-19))</f>
        <v>2.196825396825397</v>
      </c>
      <c r="E22" s="46">
        <f>$D15/($B$9*(ROW()-19))</f>
        <v>2.746031746031746</v>
      </c>
      <c r="F22" s="65">
        <f>$D16/($B$9*(ROW()-19))</f>
        <v>2.4210846560846564</v>
      </c>
      <c r="G22" s="67">
        <f>($A$16/$F20)/$B20</f>
        <v>54.782608695652172</v>
      </c>
    </row>
    <row r="23" spans="2:19">
      <c r="B23" s="64">
        <v>4</v>
      </c>
      <c r="C23" s="46">
        <f>$D13/($B$9*(ROW()-19))</f>
        <v>1.0297619047619047</v>
      </c>
      <c r="D23" s="46">
        <f>$D14/($B$9*(ROW()-19))</f>
        <v>1.6476190476190475</v>
      </c>
      <c r="E23" s="46">
        <f>$D15/($B$9*(ROW()-19))</f>
        <v>2.0595238095238093</v>
      </c>
      <c r="F23" s="65">
        <f>$D16/($B$9*(ROW()-19))</f>
        <v>1.8158134920634923</v>
      </c>
      <c r="G23" s="67">
        <f>($A$16/$F21)/$B21</f>
        <v>54.782608695652172</v>
      </c>
    </row>
    <row r="24" spans="2:19">
      <c r="B24" s="64">
        <v>5</v>
      </c>
      <c r="C24" s="46">
        <f>$D13/($B$9*(ROW()-19))</f>
        <v>0.82380952380952377</v>
      </c>
      <c r="D24" s="46">
        <f>$D14/($B$9*(ROW()-19))</f>
        <v>1.318095238095238</v>
      </c>
      <c r="E24" s="46">
        <f>$D15/($B$9*(ROW()-19))</f>
        <v>1.6476190476190475</v>
      </c>
      <c r="F24" s="65">
        <f>$D16/($B$9*(ROW()-19))</f>
        <v>1.4526507936507937</v>
      </c>
      <c r="G24" s="67">
        <f>($A$16/$F22)/$B22</f>
        <v>54.782608695652165</v>
      </c>
    </row>
    <row r="25" spans="2:19">
      <c r="B25" s="64">
        <v>6</v>
      </c>
      <c r="C25" s="46">
        <f>$D13/($B$9*(ROW()-19))</f>
        <v>0.68650793650793651</v>
      </c>
      <c r="D25" s="46">
        <f>$D14/($B$9*(ROW()-19))</f>
        <v>1.0984126984126985</v>
      </c>
      <c r="E25" s="46">
        <f>$D15/($B$9*(ROW()-19))</f>
        <v>1.373015873015873</v>
      </c>
      <c r="F25" s="65">
        <f>$D16/($B$9*(ROW()-19))</f>
        <v>1.2105423280423282</v>
      </c>
      <c r="G25" s="67">
        <f>($A$16/$F23)/$B23</f>
        <v>54.782608695652172</v>
      </c>
    </row>
    <row r="26" spans="2:19">
      <c r="B26" s="64">
        <v>7</v>
      </c>
      <c r="C26" s="46">
        <f>$D13/($B$9*(ROW()-19))</f>
        <v>0.58843537414965985</v>
      </c>
      <c r="D26" s="46">
        <f>$D14/($B$9*(ROW()-19))</f>
        <v>0.94149659863945578</v>
      </c>
      <c r="E26" s="46">
        <f>$D15/($B$9*(ROW()-19))</f>
        <v>1.1768707482993197</v>
      </c>
      <c r="F26" s="65">
        <f>$D16/($B$9*(ROW()-19))</f>
        <v>1.0376077097505669</v>
      </c>
      <c r="G26" s="67">
        <f>($A$16/$F24)/$B24</f>
        <v>54.782608695652172</v>
      </c>
      <c r="S26" s="10"/>
    </row>
    <row r="27" spans="2:19">
      <c r="B27" s="64">
        <v>8</v>
      </c>
      <c r="C27" s="46">
        <f>$D13/($B$9*(ROW()-19))</f>
        <v>0.51488095238095233</v>
      </c>
      <c r="D27" s="46">
        <f>$D14/($B$9*(ROW()-19))</f>
        <v>0.82380952380952377</v>
      </c>
      <c r="E27" s="46">
        <f>$D15/($B$9*(ROW()-19))</f>
        <v>1.0297619047619047</v>
      </c>
      <c r="F27" s="65">
        <f>$D16/($B$9*(ROW()-19))</f>
        <v>0.90790674603174615</v>
      </c>
      <c r="G27" s="67">
        <f>($A$16/$F25)/$B25</f>
        <v>54.782608695652165</v>
      </c>
      <c r="S27" s="10"/>
    </row>
    <row r="28" spans="2:19">
      <c r="B28" s="2"/>
      <c r="C28" s="3"/>
      <c r="F28" s="60"/>
      <c r="S28" s="10"/>
    </row>
    <row r="30" spans="2:19" ht="18.75">
      <c r="I30" s="7"/>
    </row>
    <row r="38" spans="7:18">
      <c r="G38" s="8"/>
      <c r="H38" s="1"/>
      <c r="I38" s="9"/>
      <c r="J38" s="9"/>
    </row>
    <row r="39" spans="7:18">
      <c r="G39" s="8"/>
      <c r="H39" s="1"/>
      <c r="I39" s="9"/>
      <c r="J39" s="9"/>
    </row>
    <row r="46" spans="7:18">
      <c r="R46" s="1"/>
    </row>
  </sheetData>
  <scenarios current="2" sqref="M8">
    <scenario name="DMT" locked="1" count="2" user="lola X" comment="Créé par lola X le 11/11/2022&#10;Modifié par: lola X le 11/11/2022">
      <inputCells r="M7" undone="1" val="4"/>
      <inputCells r="M6" undone="1" val="9"/>
    </scenario>
    <scenario name="DMT 10" locked="1" count="2" user="lola X" comment="Créé par lola X le 11/11/2022&#10;Modifié par: lola X le 11/11/2022">
      <inputCells r="M7" undone="1" val="5"/>
      <inputCells r="M6" undone="1" val="10"/>
    </scenario>
    <scenario name="DMT 12" locked="1" count="2" user="lola X" comment="Créé par lola X le 11/11/2022&#10;Modifié par: lola X le 11/11/2022">
      <inputCells r="M7" undone="1" val="6"/>
      <inputCells r="M6" undone="1" val="12"/>
    </scenario>
  </scenarios>
  <mergeCells count="2">
    <mergeCell ref="A16:B16"/>
    <mergeCell ref="B18:G18"/>
  </mergeCells>
  <phoneticPr fontId="15" type="noConversion"/>
  <dataValidations count="1">
    <dataValidation type="list" allowBlank="1" showInputMessage="1" showErrorMessage="1" sqref="B5">
      <formula1>"0,1,2,3,4,5,6"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theme="8" tint="-0.249977111117893"/>
  </sheetPr>
  <dimension ref="B12:L36"/>
  <sheetViews>
    <sheetView topLeftCell="A8" workbookViewId="0">
      <selection activeCell="C13" sqref="C13"/>
    </sheetView>
  </sheetViews>
  <sheetFormatPr baseColWidth="10" defaultRowHeight="15.75"/>
  <cols>
    <col min="2" max="2" width="28" customWidth="1"/>
    <col min="3" max="3" width="22.5" bestFit="1" customWidth="1"/>
    <col min="4" max="4" width="20.125" bestFit="1" customWidth="1"/>
    <col min="5" max="5" width="22.125" customWidth="1"/>
    <col min="6" max="6" width="25.625" bestFit="1" customWidth="1"/>
    <col min="7" max="7" width="29.375" bestFit="1" customWidth="1"/>
    <col min="8" max="8" width="51.5" customWidth="1"/>
  </cols>
  <sheetData>
    <row r="12" spans="2:10">
      <c r="C12">
        <v>450</v>
      </c>
    </row>
    <row r="13" spans="2:10">
      <c r="B13" s="49" t="s">
        <v>37</v>
      </c>
      <c r="C13" s="47">
        <v>3979</v>
      </c>
      <c r="D13" s="50">
        <f>C13/(24*60)</f>
        <v>2.7631944444444443</v>
      </c>
      <c r="E13" s="46">
        <f>C13/60</f>
        <v>66.316666666666663</v>
      </c>
      <c r="F13" s="42" t="str">
        <f>INT(ROUND(C13,0)/1440)&amp;" jours "&amp;INT(MOD(ROUND(C13,0),1440)/60)&amp;" heures "&amp;INT(MOD(ROUND(C13,0),60)/1)&amp;" minutes "</f>
        <v xml:space="preserve">2 jours 18 heures 19 minutes </v>
      </c>
      <c r="G13" s="42" t="str">
        <f>INT(C13/TPSJOURNALIER)&amp;" jour(s) " &amp; HOUR((C13-(INT(C13/TPSJOURNALIER)*TPSJOURNALIER))/1440) &amp; " heure(s) " &amp; MINUTE((C13-(INT(C13/TPSJOURNALIER)*TPSJOURNALIER))/1440) &amp; " minute(s)"</f>
        <v>3 jour(s) 3 heure(s) 19 minute(s)</v>
      </c>
    </row>
    <row r="14" spans="2:10">
      <c r="E14" s="3"/>
    </row>
    <row r="15" spans="2:10">
      <c r="B15" s="48" t="s">
        <v>30</v>
      </c>
      <c r="C15" s="48" t="s">
        <v>38</v>
      </c>
      <c r="D15" s="48" t="s">
        <v>39</v>
      </c>
      <c r="E15" s="48" t="s">
        <v>20</v>
      </c>
    </row>
    <row r="16" spans="2:10">
      <c r="B16" s="42">
        <v>1</v>
      </c>
      <c r="C16" s="45">
        <f>C12</f>
        <v>450</v>
      </c>
      <c r="D16" s="51">
        <f t="shared" ref="D16:D25" si="0">C16/(24*60)</f>
        <v>0.3125</v>
      </c>
      <c r="E16" s="46">
        <f t="shared" ref="E16:E25" si="1">$C$13/$C16</f>
        <v>8.8422222222222224</v>
      </c>
      <c r="F16" s="46">
        <f>(E16*C16)/60</f>
        <v>66.316666666666663</v>
      </c>
      <c r="G16" s="44" t="str">
        <f>INT(ROUND(C16,0)/1440)&amp;" jours "&amp;INT(MOD(ROUND(C16,0),1440)/60)&amp;" heures "&amp;INT(MOD(ROUND(C16,0),60)/1)&amp;" minutes "</f>
        <v xml:space="preserve">0 jours 7 heures 30 minutes </v>
      </c>
      <c r="H16" t="str">
        <f t="shared" ref="H16:H25" si="2">INT(C16/TPSJOURNALIER)&amp;" jour(s) " &amp; HOUR((C16-(INT(C16/TPSJOURNALIER)*TPSJOURNALIER))/1440) &amp; " heure(s) " &amp; MINUTE((C16-(INT(C16/TPSJOURNALIER)*TPSJOURNALIER))/1440) &amp; " minute(s)"</f>
        <v>0 jour(s) 7 heure(s) 30 minute(s)</v>
      </c>
      <c r="I16" s="44" t="e">
        <f>H16-G16</f>
        <v>#VALUE!</v>
      </c>
      <c r="J16" s="44">
        <f>$C$13-C16</f>
        <v>3529</v>
      </c>
    </row>
    <row r="17" spans="2:12">
      <c r="B17" s="42">
        <v>2</v>
      </c>
      <c r="C17" s="45">
        <f t="shared" ref="C17:C23" si="3">$C$16+C16</f>
        <v>900</v>
      </c>
      <c r="D17" s="51">
        <f t="shared" si="0"/>
        <v>0.625</v>
      </c>
      <c r="E17" s="46">
        <f t="shared" si="1"/>
        <v>4.4211111111111112</v>
      </c>
      <c r="F17" s="46">
        <f t="shared" ref="F17:F25" si="4">(E17*C17)/60</f>
        <v>66.316666666666663</v>
      </c>
      <c r="G17" s="44" t="str">
        <f t="shared" ref="G17:G25" si="5">INT(ROUND(C17,0)/1440)&amp;" jours "&amp;INT(MOD(ROUND(C17,0),1440)/60)&amp;" heures "&amp;INT(MOD(ROUND(C17,0),60)/1)&amp;" minutes "</f>
        <v xml:space="preserve">0 jours 15 heures 0 minutes </v>
      </c>
      <c r="H17" t="str">
        <f t="shared" si="2"/>
        <v>0 jour(s) 15 heure(s) 0 minute(s)</v>
      </c>
      <c r="I17" s="44" t="e">
        <f t="shared" ref="I17:I19" si="6">H17-G17</f>
        <v>#VALUE!</v>
      </c>
      <c r="J17" s="44">
        <f t="shared" ref="J17:J25" si="7">$C$13-C17</f>
        <v>3079</v>
      </c>
    </row>
    <row r="18" spans="2:12">
      <c r="B18" s="42">
        <v>3</v>
      </c>
      <c r="C18" s="45">
        <f t="shared" si="3"/>
        <v>1350</v>
      </c>
      <c r="D18" s="50">
        <f t="shared" si="0"/>
        <v>0.9375</v>
      </c>
      <c r="E18" s="46">
        <f t="shared" si="1"/>
        <v>2.9474074074074075</v>
      </c>
      <c r="F18" s="46">
        <f t="shared" si="4"/>
        <v>66.316666666666663</v>
      </c>
      <c r="G18" s="44" t="str">
        <f t="shared" si="5"/>
        <v xml:space="preserve">0 jours 22 heures 30 minutes </v>
      </c>
      <c r="H18" t="str">
        <f t="shared" si="2"/>
        <v>1 jour(s) 1 heure(s) 30 minute(s)</v>
      </c>
      <c r="I18" s="44" t="e">
        <f t="shared" si="6"/>
        <v>#VALUE!</v>
      </c>
      <c r="J18" s="44">
        <f t="shared" si="7"/>
        <v>2629</v>
      </c>
    </row>
    <row r="19" spans="2:12">
      <c r="B19" s="42">
        <v>4</v>
      </c>
      <c r="C19" s="45">
        <f t="shared" si="3"/>
        <v>1800</v>
      </c>
      <c r="D19" s="50">
        <f t="shared" si="0"/>
        <v>1.25</v>
      </c>
      <c r="E19" s="46">
        <f t="shared" si="1"/>
        <v>2.2105555555555556</v>
      </c>
      <c r="F19" s="46">
        <f t="shared" si="4"/>
        <v>66.316666666666663</v>
      </c>
      <c r="G19" s="44" t="str">
        <f t="shared" si="5"/>
        <v xml:space="preserve">1 jours 6 heures 0 minutes </v>
      </c>
      <c r="H19" t="str">
        <f t="shared" si="2"/>
        <v>1 jour(s) 9 heure(s) 0 minute(s)</v>
      </c>
      <c r="I19" s="44" t="e">
        <f t="shared" si="6"/>
        <v>#VALUE!</v>
      </c>
      <c r="J19" s="44">
        <f t="shared" si="7"/>
        <v>2179</v>
      </c>
    </row>
    <row r="20" spans="2:12">
      <c r="B20" s="42">
        <v>5</v>
      </c>
      <c r="C20" s="45">
        <f t="shared" si="3"/>
        <v>2250</v>
      </c>
      <c r="D20" s="50">
        <f t="shared" si="0"/>
        <v>1.5625</v>
      </c>
      <c r="E20" s="46">
        <f t="shared" si="1"/>
        <v>1.7684444444444445</v>
      </c>
      <c r="F20" s="46">
        <f t="shared" si="4"/>
        <v>66.316666666666663</v>
      </c>
      <c r="G20" s="44" t="str">
        <f t="shared" si="5"/>
        <v xml:space="preserve">1 jours 13 heures 30 minutes </v>
      </c>
      <c r="H20" t="str">
        <f t="shared" si="2"/>
        <v>1 jour(s) 16 heure(s) 30 minute(s)</v>
      </c>
      <c r="J20" s="44">
        <f t="shared" si="7"/>
        <v>1729</v>
      </c>
    </row>
    <row r="21" spans="2:12">
      <c r="B21" s="42">
        <v>6</v>
      </c>
      <c r="C21" s="45">
        <f t="shared" si="3"/>
        <v>2700</v>
      </c>
      <c r="D21" s="50">
        <f t="shared" si="0"/>
        <v>1.875</v>
      </c>
      <c r="E21" s="46">
        <f t="shared" si="1"/>
        <v>1.4737037037037037</v>
      </c>
      <c r="F21" s="46">
        <f t="shared" si="4"/>
        <v>66.316666666666663</v>
      </c>
      <c r="G21" s="44" t="str">
        <f t="shared" si="5"/>
        <v xml:space="preserve">1 jours 21 heures 0 minutes </v>
      </c>
      <c r="H21" t="str">
        <f t="shared" si="2"/>
        <v>2 jour(s) 3 heure(s) 0 minute(s)</v>
      </c>
      <c r="I21">
        <f>E21*420*6</f>
        <v>3713.7333333333331</v>
      </c>
      <c r="J21" s="44">
        <f t="shared" si="7"/>
        <v>1279</v>
      </c>
    </row>
    <row r="22" spans="2:12">
      <c r="B22" s="42">
        <v>7</v>
      </c>
      <c r="C22" s="45">
        <f t="shared" si="3"/>
        <v>3150</v>
      </c>
      <c r="D22" s="50">
        <f t="shared" si="0"/>
        <v>2.1875</v>
      </c>
      <c r="E22" s="46">
        <f t="shared" si="1"/>
        <v>1.2631746031746032</v>
      </c>
      <c r="F22" s="46">
        <f t="shared" si="4"/>
        <v>66.316666666666663</v>
      </c>
      <c r="G22" s="44" t="str">
        <f t="shared" si="5"/>
        <v xml:space="preserve">2 jours 4 heures 30 minutes </v>
      </c>
      <c r="H22" t="str">
        <f t="shared" si="2"/>
        <v>2 jour(s) 10 heure(s) 30 minute(s)</v>
      </c>
      <c r="J22" s="44">
        <f t="shared" si="7"/>
        <v>829</v>
      </c>
    </row>
    <row r="23" spans="2:12">
      <c r="B23" s="42">
        <v>8</v>
      </c>
      <c r="C23" s="45">
        <f t="shared" si="3"/>
        <v>3600</v>
      </c>
      <c r="D23" s="50">
        <f t="shared" si="0"/>
        <v>2.5</v>
      </c>
      <c r="E23" s="46">
        <f t="shared" si="1"/>
        <v>1.1052777777777778</v>
      </c>
      <c r="F23" s="46">
        <f t="shared" si="4"/>
        <v>66.316666666666663</v>
      </c>
      <c r="G23" s="44" t="str">
        <f t="shared" si="5"/>
        <v xml:space="preserve">2 jours 12 heures 0 minutes </v>
      </c>
      <c r="H23" t="str">
        <f t="shared" si="2"/>
        <v>2 jour(s) 18 heure(s) 0 minute(s)</v>
      </c>
      <c r="J23" s="44">
        <f t="shared" si="7"/>
        <v>379</v>
      </c>
    </row>
    <row r="24" spans="2:12">
      <c r="B24" s="42">
        <v>9</v>
      </c>
      <c r="C24" s="45">
        <v>3780</v>
      </c>
      <c r="D24" s="50">
        <f t="shared" si="0"/>
        <v>2.625</v>
      </c>
      <c r="E24" s="46">
        <f t="shared" si="1"/>
        <v>1.0526455026455026</v>
      </c>
      <c r="F24" s="46">
        <f t="shared" si="4"/>
        <v>66.316666666666663</v>
      </c>
      <c r="G24" s="44" t="str">
        <f t="shared" si="5"/>
        <v xml:space="preserve">2 jours 15 heures 0 minutes </v>
      </c>
      <c r="H24" t="str">
        <f t="shared" si="2"/>
        <v>3 jour(s) 0 heure(s) 0 minute(s)</v>
      </c>
      <c r="J24" s="44">
        <f t="shared" si="7"/>
        <v>199</v>
      </c>
      <c r="L24">
        <f>2.368*1680</f>
        <v>3978.24</v>
      </c>
    </row>
    <row r="25" spans="2:12">
      <c r="B25" s="42">
        <v>10</v>
      </c>
      <c r="C25" s="45">
        <v>4200</v>
      </c>
      <c r="D25" s="50">
        <f t="shared" si="0"/>
        <v>2.9166666666666665</v>
      </c>
      <c r="E25" s="46">
        <f t="shared" si="1"/>
        <v>0.94738095238095243</v>
      </c>
      <c r="F25" s="46">
        <f t="shared" si="4"/>
        <v>66.316666666666663</v>
      </c>
      <c r="G25" s="44" t="str">
        <f t="shared" si="5"/>
        <v xml:space="preserve">2 jours 22 heures 0 minutes </v>
      </c>
      <c r="H25" t="str">
        <f t="shared" si="2"/>
        <v>3 jour(s) 7 heure(s) 0 minute(s)</v>
      </c>
      <c r="J25" s="44">
        <f t="shared" si="7"/>
        <v>-221</v>
      </c>
    </row>
    <row r="27" spans="2:12">
      <c r="G27" s="44">
        <f>C25-C13</f>
        <v>221</v>
      </c>
    </row>
    <row r="32" spans="2:12">
      <c r="G32">
        <f>((3979/420)*3)*3</f>
        <v>85.264285714285705</v>
      </c>
    </row>
    <row r="33" spans="3:5">
      <c r="E33">
        <f>E25*420*10</f>
        <v>3979.0000000000005</v>
      </c>
    </row>
    <row r="36" spans="3:5">
      <c r="C36">
        <f>3979/4</f>
        <v>994.75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7030A0"/>
  </sheetPr>
  <dimension ref="B3:F27"/>
  <sheetViews>
    <sheetView topLeftCell="B1" workbookViewId="0">
      <selection activeCell="D5" sqref="D5"/>
    </sheetView>
  </sheetViews>
  <sheetFormatPr baseColWidth="10" defaultRowHeight="15.75"/>
  <cols>
    <col min="2" max="2" width="27" customWidth="1"/>
    <col min="4" max="5" width="15.875" style="29" customWidth="1"/>
    <col min="6" max="6" width="10.875" style="3"/>
  </cols>
  <sheetData>
    <row r="3" spans="2:6" ht="63.95" customHeight="1">
      <c r="D3" s="5" t="s">
        <v>0</v>
      </c>
      <c r="E3" s="5" t="s">
        <v>1</v>
      </c>
    </row>
    <row r="4" spans="2:6">
      <c r="D4" s="30">
        <v>346</v>
      </c>
      <c r="E4" s="30">
        <v>450</v>
      </c>
      <c r="F4" s="12">
        <f>AVERAGE(D4:E4)</f>
        <v>398</v>
      </c>
    </row>
    <row r="5" spans="2:6">
      <c r="B5" s="52" t="s">
        <v>2</v>
      </c>
      <c r="C5" s="31">
        <v>8</v>
      </c>
      <c r="D5" s="32">
        <f>$C5*D$4</f>
        <v>2768</v>
      </c>
      <c r="E5" s="32">
        <f t="shared" ref="E5:F7" si="0">$C5*E$4</f>
        <v>3600</v>
      </c>
      <c r="F5" s="33">
        <f t="shared" si="0"/>
        <v>3184</v>
      </c>
    </row>
    <row r="6" spans="2:6">
      <c r="B6" s="52"/>
      <c r="C6" s="34">
        <v>10</v>
      </c>
      <c r="D6" s="35">
        <f t="shared" ref="D6:D7" si="1">$C6*D$4</f>
        <v>3460</v>
      </c>
      <c r="E6" s="35">
        <f t="shared" si="0"/>
        <v>4500</v>
      </c>
      <c r="F6" s="36">
        <f t="shared" si="0"/>
        <v>3980</v>
      </c>
    </row>
    <row r="7" spans="2:6">
      <c r="B7" s="52"/>
      <c r="C7" s="37">
        <v>12</v>
      </c>
      <c r="D7" s="38">
        <f t="shared" si="1"/>
        <v>4152</v>
      </c>
      <c r="E7" s="38">
        <f t="shared" si="0"/>
        <v>5400</v>
      </c>
      <c r="F7" s="39">
        <f t="shared" si="0"/>
        <v>4776</v>
      </c>
    </row>
    <row r="8" spans="2:6">
      <c r="C8" s="40">
        <f>AVERAGE(C5:C7)</f>
        <v>10</v>
      </c>
      <c r="D8" s="40">
        <f t="shared" ref="D8:F8" si="2">AVERAGE(D5:D7)</f>
        <v>3460</v>
      </c>
      <c r="E8" s="40">
        <f t="shared" si="2"/>
        <v>4500</v>
      </c>
      <c r="F8" s="40">
        <f t="shared" si="2"/>
        <v>3980</v>
      </c>
    </row>
    <row r="13" spans="2:6">
      <c r="D13" s="30">
        <v>346</v>
      </c>
      <c r="E13" s="30">
        <v>450</v>
      </c>
      <c r="F13" s="12">
        <f>AVERAGE(D13:E13)</f>
        <v>398</v>
      </c>
    </row>
    <row r="14" spans="2:6" ht="15.95" customHeight="1">
      <c r="B14" s="53" t="s">
        <v>35</v>
      </c>
      <c r="C14" s="41">
        <v>1</v>
      </c>
      <c r="D14" s="32"/>
      <c r="E14" s="32">
        <f t="shared" ref="E14:F16" si="3">$C14*E$4</f>
        <v>450</v>
      </c>
      <c r="F14" s="33">
        <f t="shared" si="3"/>
        <v>398</v>
      </c>
    </row>
    <row r="15" spans="2:6">
      <c r="B15" s="54"/>
      <c r="C15" s="41">
        <v>2</v>
      </c>
      <c r="D15" s="35">
        <f t="shared" ref="D15:D16" si="4">$C15*D$4</f>
        <v>692</v>
      </c>
      <c r="E15" s="35">
        <f t="shared" si="3"/>
        <v>900</v>
      </c>
      <c r="F15" s="36">
        <f t="shared" si="3"/>
        <v>796</v>
      </c>
    </row>
    <row r="16" spans="2:6">
      <c r="B16" s="54"/>
      <c r="C16" s="41">
        <v>3</v>
      </c>
      <c r="D16" s="38">
        <f t="shared" si="4"/>
        <v>1038</v>
      </c>
      <c r="E16" s="38">
        <f t="shared" si="3"/>
        <v>1350</v>
      </c>
      <c r="F16" s="39">
        <f t="shared" si="3"/>
        <v>1194</v>
      </c>
    </row>
    <row r="17" spans="2:6">
      <c r="B17" s="54"/>
      <c r="C17" s="41">
        <v>4</v>
      </c>
      <c r="D17" s="41"/>
      <c r="E17" s="41"/>
      <c r="F17" s="42"/>
    </row>
    <row r="18" spans="2:6">
      <c r="B18" s="54"/>
      <c r="C18" s="41">
        <v>5</v>
      </c>
      <c r="D18" s="41"/>
      <c r="E18" s="41"/>
      <c r="F18" s="42"/>
    </row>
    <row r="22" spans="2:6">
      <c r="D22" s="30">
        <v>346</v>
      </c>
      <c r="E22" s="30">
        <v>450</v>
      </c>
      <c r="F22" s="12">
        <f>AVERAGE(D22:E22)</f>
        <v>398</v>
      </c>
    </row>
    <row r="23" spans="2:6">
      <c r="B23" s="53" t="s">
        <v>36</v>
      </c>
      <c r="C23" s="41">
        <v>1</v>
      </c>
      <c r="D23" s="32">
        <f>$C23*D$4</f>
        <v>346</v>
      </c>
      <c r="E23" s="32">
        <f t="shared" ref="E23:F25" si="5">$C23*E$4</f>
        <v>450</v>
      </c>
      <c r="F23" s="33">
        <f t="shared" si="5"/>
        <v>398</v>
      </c>
    </row>
    <row r="24" spans="2:6">
      <c r="B24" s="54"/>
      <c r="C24" s="41">
        <v>2</v>
      </c>
      <c r="D24" s="35">
        <f t="shared" ref="D24:D25" si="6">$C24*D$4</f>
        <v>692</v>
      </c>
      <c r="E24" s="35">
        <f t="shared" si="5"/>
        <v>900</v>
      </c>
      <c r="F24" s="36">
        <f t="shared" si="5"/>
        <v>796</v>
      </c>
    </row>
    <row r="25" spans="2:6">
      <c r="B25" s="54"/>
      <c r="C25" s="41">
        <v>3</v>
      </c>
      <c r="D25" s="38">
        <f t="shared" si="6"/>
        <v>1038</v>
      </c>
      <c r="E25" s="38">
        <f t="shared" si="5"/>
        <v>1350</v>
      </c>
      <c r="F25" s="39">
        <f t="shared" si="5"/>
        <v>1194</v>
      </c>
    </row>
    <row r="26" spans="2:6">
      <c r="B26" s="54"/>
      <c r="C26" s="41">
        <v>4</v>
      </c>
      <c r="D26" s="41"/>
      <c r="E26" s="41"/>
      <c r="F26" s="42"/>
    </row>
    <row r="27" spans="2:6">
      <c r="B27" s="54"/>
      <c r="C27" s="41">
        <v>5</v>
      </c>
      <c r="D27" s="41"/>
      <c r="E27" s="41"/>
      <c r="F27" s="42"/>
    </row>
  </sheetData>
  <mergeCells count="3">
    <mergeCell ref="B5:B7"/>
    <mergeCell ref="B14:B18"/>
    <mergeCell ref="B23:B2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FF0000"/>
  </sheetPr>
  <dimension ref="A1:B8"/>
  <sheetViews>
    <sheetView workbookViewId="0">
      <selection activeCell="G57" sqref="G57"/>
    </sheetView>
  </sheetViews>
  <sheetFormatPr baseColWidth="10" defaultRowHeight="15.75"/>
  <cols>
    <col min="1" max="2" width="13.875" customWidth="1"/>
  </cols>
  <sheetData>
    <row r="1" spans="1:2" ht="21.95" customHeight="1">
      <c r="A1" t="s">
        <v>12</v>
      </c>
      <c r="B1" t="s">
        <v>13</v>
      </c>
    </row>
    <row r="2" spans="1:2" ht="21.95" customHeight="1"/>
    <row r="3" spans="1:2">
      <c r="A3">
        <v>420</v>
      </c>
      <c r="B3">
        <v>1</v>
      </c>
    </row>
    <row r="4" spans="1:2">
      <c r="A4">
        <f>A3+A3</f>
        <v>840</v>
      </c>
      <c r="B4">
        <v>2</v>
      </c>
    </row>
    <row r="5" spans="1:2">
      <c r="A5">
        <f>A4+A3</f>
        <v>1260</v>
      </c>
      <c r="B5">
        <v>3</v>
      </c>
    </row>
    <row r="6" spans="1:2">
      <c r="A6">
        <f>A5+A3</f>
        <v>1680</v>
      </c>
      <c r="B6">
        <v>4</v>
      </c>
    </row>
    <row r="7" spans="1:2">
      <c r="A7">
        <f>A6+A3</f>
        <v>2100</v>
      </c>
      <c r="B7">
        <v>5</v>
      </c>
    </row>
    <row r="8" spans="1:2">
      <c r="A8">
        <f>A7+A3</f>
        <v>2520</v>
      </c>
      <c r="B8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Synthèse de scénarios 9</vt:lpstr>
      <vt:lpstr>Essai 1</vt:lpstr>
      <vt:lpstr>Essai 2</vt:lpstr>
      <vt:lpstr>Feuil13</vt:lpstr>
      <vt:lpstr>BD</vt:lpstr>
      <vt:lpstr>DMT</vt:lpstr>
      <vt:lpstr>Duree</vt:lpstr>
      <vt:lpstr>ETP</vt:lpstr>
      <vt:lpstr>Nb_jrs_presta</vt:lpstr>
      <vt:lpstr>NBJRS</vt:lpstr>
      <vt:lpstr>TPSJOURNALIER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lola X</dc:creator>
  <cp:lastModifiedBy>FRANCIS</cp:lastModifiedBy>
  <dcterms:created xsi:type="dcterms:W3CDTF">2022-11-10T20:55:22Z</dcterms:created>
  <dcterms:modified xsi:type="dcterms:W3CDTF">2022-11-13T05:20:32Z</dcterms:modified>
</cp:coreProperties>
</file>