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activeX/activeX7.xml" ContentType="application/vnd.ms-office.activeX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drawings/drawing3.xml" ContentType="application/vnd.openxmlformats-officedocument.drawing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worksheets/sheet14.xml" ContentType="application/vnd.openxmlformats-officedocument.spreadsheetml.worksheet+xml"/>
  <Override PartName="/xl/tables/table1.xml" ContentType="application/vnd.openxmlformats-officedocument.spreadsheetml.table+xml"/>
  <Override PartName="/xl/drawings/drawing7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20490" windowHeight="7650" activeTab="13"/>
  </bookViews>
  <sheets>
    <sheet name="home" sheetId="1" r:id="rId1"/>
    <sheet name="login" sheetId="14" r:id="rId2"/>
    <sheet name="menu" sheetId="13" r:id="rId3"/>
    <sheet name="article" sheetId="4" r:id="rId4"/>
    <sheet name="client" sheetId="5" r:id="rId5"/>
    <sheet name="reception" sheetId="12" r:id="rId6"/>
    <sheet name="panier" sheetId="6" r:id="rId7"/>
    <sheet name="facture" sheetId="10" r:id="rId8"/>
    <sheet name="historique_vente" sheetId="7" r:id="rId9"/>
    <sheet name="suivi_facture" sheetId="8" r:id="rId10"/>
    <sheet name="payement" sheetId="11" r:id="rId11"/>
    <sheet name="fidélisation" sheetId="9" r:id="rId12"/>
    <sheet name="layout" sheetId="2" r:id="rId13"/>
    <sheet name="ExtractionFormules" sheetId="3" r:id="rId14"/>
  </sheets>
  <externalReferences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____TOT43">#REF!</definedName>
    <definedName name="_____TOT43">#REF!</definedName>
    <definedName name="____imp571">#REF!</definedName>
    <definedName name="____imp572">#REF!</definedName>
    <definedName name="____TOT43">#REF!</definedName>
    <definedName name="___imp571">#REF!</definedName>
    <definedName name="___imp572">#REF!</definedName>
    <definedName name="__imp571">#REF!</definedName>
    <definedName name="__imp572">#REF!</definedName>
    <definedName name="__TOT43">#REF!</definedName>
    <definedName name="_xlnm._FilterDatabase" localSheetId="5" hidden="1">reception!$B$3:$D$4</definedName>
    <definedName name="_imp571">#REF!</definedName>
    <definedName name="_imp572">#REF!</definedName>
    <definedName name="affogbe">'[1]impaye du jour '!#REF!</definedName>
    <definedName name="afogbe">#REF!</definedName>
    <definedName name="came">'[1]impaye du jour '!#REF!</definedName>
    <definedName name="cemer">#REF!</definedName>
    <definedName name="crite">#REF!</definedName>
    <definedName name="_xlnm.Criteria">#REF!</definedName>
    <definedName name="debu">#REF!</definedName>
    <definedName name="debut">#REF!</definedName>
    <definedName name="description_lot">#REF!</definedName>
    <definedName name="_xlnm.Extract">#REF!</definedName>
    <definedName name="FileNameList">FILES([2]Feuil1!#REF!)</definedName>
    <definedName name="fret">[3]P2167REO!#REF!</definedName>
    <definedName name="image">INDIRECT(INDEX(article!$F$4:$F$59,MATCH(panier!$C$13,article!$B$4:$B$59,0)))</definedName>
    <definedName name="listeconform">[4]!tconforme[Conform]</definedName>
    <definedName name="listefabricant">[4]!tfabricant[Nom du Fabriquant]</definedName>
    <definedName name="listefournisseur">[4]!tfournisseur[Nom du Fournisseur]</definedName>
    <definedName name="listeproduit">[4]!tproduit[Nom général du produit]</definedName>
    <definedName name="listetype">[4]!ttype[Type]</definedName>
    <definedName name="nom_article">#REF!</definedName>
    <definedName name="nr_art_reception">Tableau8[Nr article]</definedName>
    <definedName name="nr_article" localSheetId="7">Tableau1[Nr article]</definedName>
    <definedName name="nr_article" localSheetId="11">Tableau1[Nr article]</definedName>
    <definedName name="nr_article" localSheetId="8">Tableau1[Nr article]</definedName>
    <definedName name="nr_article" localSheetId="10">Tableau1[Nr article]</definedName>
    <definedName name="nr_article" localSheetId="5">Tableau1[Nr article]</definedName>
    <definedName name="nr_article" localSheetId="9">Tableau1[Nr article]</definedName>
    <definedName name="nr_article">Tableau1[Nr article]</definedName>
    <definedName name="nr_client" localSheetId="7">Tableau2[Nr client]</definedName>
    <definedName name="nr_client" localSheetId="11">Tableau2[Nr client]</definedName>
    <definedName name="nr_client" localSheetId="8">Tableau2[Nr client]</definedName>
    <definedName name="nr_client" localSheetId="10">Tableau2[Nr client]</definedName>
    <definedName name="nr_client" localSheetId="5">Tableau2[Nr client]</definedName>
    <definedName name="nr_client" localSheetId="9">Tableau2[Nr client]</definedName>
    <definedName name="nr_client">Tableau2[Nr client]</definedName>
    <definedName name="nr_fac">suivi_facture!$B$4:$B$10</definedName>
    <definedName name="nr_lot">#REF!</definedName>
    <definedName name="nr_produit">#REF!</definedName>
    <definedName name="paiement">#REF!</definedName>
    <definedName name="produits">#REF!</definedName>
    <definedName name="ref_article">[5]source!$B$4:$B$26</definedName>
    <definedName name="remise4">'[6]4943 GBEKO'!#REF!</definedName>
    <definedName name="SZASACSAXS">'[1]impaye du jour '!#REF!</definedName>
    <definedName name="tot43.2">#REF!</definedName>
    <definedName name="total">'[7]9338BASE7'!$F$33</definedName>
    <definedName name="totpharmed">#REF!</definedName>
  </definedNames>
  <calcPr calcId="124519"/>
</workbook>
</file>

<file path=xl/calcChain.xml><?xml version="1.0" encoding="utf-8"?>
<calcChain xmlns="http://schemas.openxmlformats.org/spreadsheetml/2006/main">
  <c r="B10" i="8"/>
  <c r="E10" s="1"/>
  <c r="F10" l="1"/>
  <c r="G10" s="1"/>
  <c r="D10"/>
  <c r="H10"/>
  <c r="I10"/>
  <c r="C10"/>
  <c r="J10" l="1"/>
  <c r="K10" s="1"/>
  <c r="B9"/>
  <c r="E9" s="1"/>
  <c r="F9" l="1"/>
  <c r="G9" s="1"/>
  <c r="H9"/>
  <c r="I9"/>
  <c r="D9"/>
  <c r="C9"/>
  <c r="B8"/>
  <c r="C8" s="1"/>
  <c r="J9" l="1"/>
  <c r="K9" s="1"/>
  <c r="D8"/>
  <c r="H8"/>
  <c r="I8"/>
  <c r="E8"/>
  <c r="I33" i="12"/>
  <c r="F8" i="8" l="1"/>
  <c r="G8" s="1"/>
  <c r="J8" s="1"/>
  <c r="K8" s="1"/>
  <c r="G15" i="6"/>
  <c r="C15" l="1"/>
  <c r="J20" i="4"/>
  <c r="B7" i="8"/>
  <c r="C7" s="1"/>
  <c r="H7" l="1"/>
  <c r="D7"/>
  <c r="I7"/>
  <c r="E7"/>
  <c r="B6"/>
  <c r="C6" s="1"/>
  <c r="F7" l="1"/>
  <c r="G7" s="1"/>
  <c r="J7" s="1"/>
  <c r="K7" s="1"/>
  <c r="H6"/>
  <c r="D6"/>
  <c r="I6"/>
  <c r="E6"/>
  <c r="I25" i="12"/>
  <c r="I26"/>
  <c r="I29"/>
  <c r="I30"/>
  <c r="F6" i="8" l="1"/>
  <c r="G6" s="1"/>
  <c r="J6" s="1"/>
  <c r="K6" s="1"/>
  <c r="I1" i="12"/>
  <c r="I28" s="1"/>
  <c r="I32" l="1"/>
  <c r="I27"/>
  <c r="I11"/>
  <c r="I13"/>
  <c r="I31"/>
  <c r="I12"/>
  <c r="I9"/>
  <c r="I10"/>
  <c r="I15"/>
  <c r="I17"/>
  <c r="I19"/>
  <c r="I21"/>
  <c r="I23"/>
  <c r="I14"/>
  <c r="I16"/>
  <c r="I18"/>
  <c r="I20"/>
  <c r="I22"/>
  <c r="I24"/>
  <c r="B5" i="8"/>
  <c r="C5" s="1"/>
  <c r="E16" i="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15" a="1"/>
  <c r="E15" s="1"/>
  <c r="F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F16" l="1"/>
  <c r="F17" s="1"/>
  <c r="E14"/>
  <c r="G14" s="1"/>
  <c r="H5" i="8"/>
  <c r="D5"/>
  <c r="I5"/>
  <c r="E5"/>
  <c r="D9" i="12"/>
  <c r="D10"/>
  <c r="D11"/>
  <c r="D12"/>
  <c r="D13"/>
  <c r="D14"/>
  <c r="E13" i="6" s="1"/>
  <c r="D15" i="12"/>
  <c r="D16"/>
  <c r="D17"/>
  <c r="D18"/>
  <c r="D19"/>
  <c r="D20"/>
  <c r="D21"/>
  <c r="D22"/>
  <c r="D23"/>
  <c r="D24"/>
  <c r="D25"/>
  <c r="D26"/>
  <c r="D27"/>
  <c r="D28"/>
  <c r="D29"/>
  <c r="D30"/>
  <c r="K4" i="5"/>
  <c r="J51" i="4"/>
  <c r="F18" i="6" l="1"/>
  <c r="F19" s="1"/>
  <c r="F5" i="8"/>
  <c r="G5" s="1"/>
  <c r="J5" s="1"/>
  <c r="K5" s="1"/>
  <c r="B4"/>
  <c r="F3" i="10" s="1"/>
  <c r="C7" i="6"/>
  <c r="I4" i="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Q10" i="5"/>
  <c r="K10"/>
  <c r="O10" s="1"/>
  <c r="J10"/>
  <c r="Q9"/>
  <c r="K9"/>
  <c r="O9" s="1"/>
  <c r="J9"/>
  <c r="Q8"/>
  <c r="K8"/>
  <c r="O8" s="1"/>
  <c r="J8"/>
  <c r="Q7"/>
  <c r="K7"/>
  <c r="O7" s="1"/>
  <c r="J7"/>
  <c r="Q6"/>
  <c r="K6"/>
  <c r="P6" s="1"/>
  <c r="J6"/>
  <c r="Q5"/>
  <c r="K5"/>
  <c r="O5" s="1"/>
  <c r="J5"/>
  <c r="Q4"/>
  <c r="P4"/>
  <c r="J4"/>
  <c r="F55" i="4"/>
  <c r="J55"/>
  <c r="F54"/>
  <c r="J54"/>
  <c r="F39"/>
  <c r="J39"/>
  <c r="F14"/>
  <c r="J14"/>
  <c r="F10"/>
  <c r="F11"/>
  <c r="F12"/>
  <c r="F13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40"/>
  <c r="F41"/>
  <c r="F42"/>
  <c r="F43"/>
  <c r="F44"/>
  <c r="F45"/>
  <c r="F46"/>
  <c r="F47"/>
  <c r="F48"/>
  <c r="F49"/>
  <c r="F50"/>
  <c r="F51"/>
  <c r="F52"/>
  <c r="F53"/>
  <c r="F56"/>
  <c r="F57"/>
  <c r="F58"/>
  <c r="F59"/>
  <c r="J10"/>
  <c r="J11"/>
  <c r="J12"/>
  <c r="J13"/>
  <c r="J15"/>
  <c r="J16"/>
  <c r="J17"/>
  <c r="J18"/>
  <c r="J19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40"/>
  <c r="J41"/>
  <c r="J42"/>
  <c r="J43"/>
  <c r="J44"/>
  <c r="J45"/>
  <c r="J46"/>
  <c r="J47"/>
  <c r="J48"/>
  <c r="J49"/>
  <c r="J50"/>
  <c r="J52"/>
  <c r="J53"/>
  <c r="J56"/>
  <c r="J57"/>
  <c r="J58"/>
  <c r="J59"/>
  <c r="C14" i="6" l="1"/>
  <c r="F20"/>
  <c r="D4" i="8"/>
  <c r="F3" i="6"/>
  <c r="H4" i="8"/>
  <c r="I4"/>
  <c r="E4"/>
  <c r="C4"/>
  <c r="M4" i="5"/>
  <c r="O4"/>
  <c r="M6"/>
  <c r="O6"/>
  <c r="M9"/>
  <c r="L4"/>
  <c r="N4"/>
  <c r="L5"/>
  <c r="N5"/>
  <c r="P5"/>
  <c r="L6"/>
  <c r="N6"/>
  <c r="L7"/>
  <c r="N7"/>
  <c r="P7"/>
  <c r="L8"/>
  <c r="N8"/>
  <c r="P8"/>
  <c r="L9"/>
  <c r="N9"/>
  <c r="P9"/>
  <c r="L10"/>
  <c r="N10"/>
  <c r="P10"/>
  <c r="M5"/>
  <c r="M7"/>
  <c r="M8"/>
  <c r="M10"/>
  <c r="F21" i="6" l="1"/>
  <c r="F22" s="1"/>
  <c r="F23" s="1"/>
  <c r="F4" i="8"/>
  <c r="G4" s="1"/>
  <c r="J4" s="1"/>
  <c r="K4" s="1"/>
  <c r="F24" i="6" l="1"/>
  <c r="F25" s="1"/>
  <c r="F26" s="1"/>
  <c r="F27" s="1"/>
  <c r="F28" s="1"/>
  <c r="F29" s="1"/>
  <c r="F30" s="1"/>
  <c r="F31" s="1"/>
  <c r="F32" s="1"/>
  <c r="F33" s="1"/>
  <c r="F34" s="1"/>
  <c r="F35" s="1"/>
  <c r="D6"/>
  <c r="C6" s="1"/>
  <c r="J5" i="4" l="1"/>
  <c r="J6"/>
  <c r="J7"/>
  <c r="J8"/>
  <c r="J9"/>
  <c r="J4"/>
  <c r="C4" i="12" l="1"/>
  <c r="E43" i="10" l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15" a="1"/>
  <c r="E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D15" a="1"/>
  <c r="D15" s="1"/>
  <c r="C15" a="1"/>
  <c r="C15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16" a="1"/>
  <c r="B16" s="1"/>
  <c r="B17" a="1"/>
  <c r="B17" s="1"/>
  <c r="B18" a="1"/>
  <c r="B18" s="1"/>
  <c r="B15" a="1"/>
  <c r="B15" s="1"/>
  <c r="F39" l="1"/>
  <c r="F37"/>
  <c r="F35"/>
  <c r="F33"/>
  <c r="F31"/>
  <c r="F29"/>
  <c r="F27"/>
  <c r="F25"/>
  <c r="F23"/>
  <c r="F21"/>
  <c r="F19"/>
  <c r="F17"/>
  <c r="F15"/>
  <c r="F38"/>
  <c r="F36"/>
  <c r="F34"/>
  <c r="F32"/>
  <c r="F30"/>
  <c r="F28"/>
  <c r="F26"/>
  <c r="F24"/>
  <c r="F22"/>
  <c r="F20"/>
  <c r="F18"/>
  <c r="F16"/>
  <c r="F42" l="1"/>
  <c r="O4" i="6"/>
  <c r="K4"/>
  <c r="M4" s="1"/>
  <c r="F9" i="4"/>
  <c r="F4"/>
  <c r="F5"/>
  <c r="F6"/>
  <c r="F7"/>
  <c r="F8"/>
  <c r="F36" i="6"/>
  <c r="N4" l="1"/>
  <c r="E11" i="10" l="1"/>
  <c r="B42" s="1"/>
  <c r="F4"/>
  <c r="A1" i="8"/>
  <c r="I3" i="10" l="1"/>
  <c r="F45"/>
  <c r="F48" s="1"/>
</calcChain>
</file>

<file path=xl/sharedStrings.xml><?xml version="1.0" encoding="utf-8"?>
<sst xmlns="http://schemas.openxmlformats.org/spreadsheetml/2006/main" count="2082" uniqueCount="1045">
  <si>
    <t>Nr article</t>
  </si>
  <si>
    <t>Nom</t>
  </si>
  <si>
    <t>Image</t>
  </si>
  <si>
    <t>Description</t>
  </si>
  <si>
    <t>Adresse image</t>
  </si>
  <si>
    <t>Stock</t>
  </si>
  <si>
    <t>Nr client</t>
  </si>
  <si>
    <t>Code postal</t>
  </si>
  <si>
    <t>Ville</t>
  </si>
  <si>
    <t>Pays</t>
  </si>
  <si>
    <t>Mail</t>
  </si>
  <si>
    <t>Tél</t>
  </si>
  <si>
    <t>Niv fidélité</t>
  </si>
  <si>
    <t>info texte</t>
  </si>
  <si>
    <t>1</t>
  </si>
  <si>
    <t>2</t>
  </si>
  <si>
    <t>3</t>
  </si>
  <si>
    <t>4</t>
  </si>
  <si>
    <t>5</t>
  </si>
  <si>
    <t>Societe Togolaise de Medicaments SA</t>
  </si>
  <si>
    <t>OCDI</t>
  </si>
  <si>
    <t>Pharmacie ACI</t>
  </si>
  <si>
    <t>Bénin</t>
  </si>
  <si>
    <t>Cotonou</t>
  </si>
  <si>
    <t>vmarcus@came-benin.bj</t>
  </si>
  <si>
    <t>+22921333674 - +22996864672</t>
  </si>
  <si>
    <t>Nr de facture :</t>
  </si>
  <si>
    <t>Nr de client :</t>
  </si>
  <si>
    <t>Remise :</t>
  </si>
  <si>
    <t>Info client :</t>
  </si>
  <si>
    <t>Prix HTVA</t>
  </si>
  <si>
    <t>Article :</t>
  </si>
  <si>
    <t>Nombre :</t>
  </si>
  <si>
    <t>Date</t>
  </si>
  <si>
    <t>Nr facture</t>
  </si>
  <si>
    <t>article</t>
  </si>
  <si>
    <t>Prix htv</t>
  </si>
  <si>
    <t>Nombre</t>
  </si>
  <si>
    <t>remise</t>
  </si>
  <si>
    <t>Total</t>
  </si>
  <si>
    <t>Total HTVA</t>
  </si>
  <si>
    <t>Total remise</t>
  </si>
  <si>
    <t>Total TTC</t>
  </si>
  <si>
    <t>NB. Article</t>
  </si>
  <si>
    <t>Remise</t>
  </si>
  <si>
    <t>Acompte</t>
  </si>
  <si>
    <t>Versement</t>
  </si>
  <si>
    <t>Reste</t>
  </si>
  <si>
    <t>Status</t>
  </si>
  <si>
    <t>Prix htva</t>
  </si>
  <si>
    <t>Ministère de la Santé</t>
  </si>
  <si>
    <t>Réduction</t>
  </si>
  <si>
    <t>Level</t>
  </si>
  <si>
    <t>Conditions</t>
  </si>
  <si>
    <t>nb</t>
  </si>
  <si>
    <t>Nr client :</t>
  </si>
  <si>
    <t>Nom :</t>
  </si>
  <si>
    <t>Rue :</t>
  </si>
  <si>
    <t>CP + ville :</t>
  </si>
  <si>
    <t>Pays :</t>
  </si>
  <si>
    <t>Mail :</t>
  </si>
  <si>
    <t>Tél. :</t>
  </si>
  <si>
    <t>Nr de Facture :</t>
  </si>
  <si>
    <t>Date :</t>
  </si>
  <si>
    <t>Nr Article</t>
  </si>
  <si>
    <t>Article</t>
  </si>
  <si>
    <t>Prix unitaire</t>
  </si>
  <si>
    <t>Qté</t>
  </si>
  <si>
    <t>Montant HTVA</t>
  </si>
  <si>
    <t>Facture d'achat :</t>
  </si>
  <si>
    <t>Total HTVA :</t>
  </si>
  <si>
    <t>TVA 21% :</t>
  </si>
  <si>
    <t>TTC :</t>
  </si>
  <si>
    <t>Acompte :</t>
  </si>
  <si>
    <t>Somme dû :</t>
  </si>
  <si>
    <t>Total à payer :</t>
  </si>
  <si>
    <t>Type de payement :</t>
  </si>
  <si>
    <t xml:space="preserve">Montant : </t>
  </si>
  <si>
    <t>Client</t>
  </si>
  <si>
    <t>Type</t>
  </si>
  <si>
    <t>Montant</t>
  </si>
  <si>
    <t>versement</t>
  </si>
  <si>
    <t>Nr article :</t>
  </si>
  <si>
    <t>Quantité :</t>
  </si>
  <si>
    <t/>
  </si>
  <si>
    <t>GESTION CERTIFICATS D'ANALYSE KABS</t>
  </si>
  <si>
    <t>PF_ASPI1002</t>
  </si>
  <si>
    <t>PF_ASPI1001</t>
  </si>
  <si>
    <t>PF_ASPI5002</t>
  </si>
  <si>
    <t>PF_ASPI5001</t>
  </si>
  <si>
    <t>PF_ALBE4002</t>
  </si>
  <si>
    <t>PF_ALBE4001</t>
  </si>
  <si>
    <t>PF_AMOX5002</t>
  </si>
  <si>
    <t>PF_AMOX5001</t>
  </si>
  <si>
    <t>PF_CHLR5002</t>
  </si>
  <si>
    <t>PF_CHLR5001</t>
  </si>
  <si>
    <t>PF_CIPR5002</t>
  </si>
  <si>
    <t>PF_CIPR5001</t>
  </si>
  <si>
    <t>PF_CLOX2502</t>
  </si>
  <si>
    <t>PF_CLOX2501</t>
  </si>
  <si>
    <t>PF_COTR4802</t>
  </si>
  <si>
    <t>PF_COTR4801</t>
  </si>
  <si>
    <t>PF_DIAZ0052</t>
  </si>
  <si>
    <t>PF_DIAZ0051</t>
  </si>
  <si>
    <t>PF_DICL0502</t>
  </si>
  <si>
    <t>PF_DICL0501</t>
  </si>
  <si>
    <t>PF_FERR2002</t>
  </si>
  <si>
    <t>PF_FERR2001</t>
  </si>
  <si>
    <t>PF_FOLI0052</t>
  </si>
  <si>
    <t>PF_FOLI0051</t>
  </si>
  <si>
    <t>PF_FEFO3502</t>
  </si>
  <si>
    <t>PF_FEFO3501</t>
  </si>
  <si>
    <t>PF_HCTH0502</t>
  </si>
  <si>
    <t>PF_HCTH0501</t>
  </si>
  <si>
    <t>PF_IBUP4002</t>
  </si>
  <si>
    <t>PF_IBUP4001</t>
  </si>
  <si>
    <t>PF_INDO0252</t>
  </si>
  <si>
    <t>PF_INDO0251</t>
  </si>
  <si>
    <t>PF_MEBE1002</t>
  </si>
  <si>
    <t>PF_MEBE1001</t>
  </si>
  <si>
    <t>PF_METR2502</t>
  </si>
  <si>
    <t>PF_METR2501</t>
  </si>
  <si>
    <t>PF_NYST5002</t>
  </si>
  <si>
    <t>PF_NYST5001</t>
  </si>
  <si>
    <t>PF_PARA5002</t>
  </si>
  <si>
    <t>PF_PARA5001</t>
  </si>
  <si>
    <t>PF_PHEB1002</t>
  </si>
  <si>
    <t>PF_PHEB1001</t>
  </si>
  <si>
    <t>PF_PHEB0502</t>
  </si>
  <si>
    <t>PF_PHEB0501</t>
  </si>
  <si>
    <t>PF_POTA5002</t>
  </si>
  <si>
    <t>PF_POTA5001</t>
  </si>
  <si>
    <t>PF_PROM0252</t>
  </si>
  <si>
    <t>PF_PROM0251</t>
  </si>
  <si>
    <t>PF_SUPY5252</t>
  </si>
  <si>
    <t>PF_SUPY5251</t>
  </si>
  <si>
    <t>PF_THIA5002</t>
  </si>
  <si>
    <t>PF_THIA5001</t>
  </si>
  <si>
    <t>Acetylsalicylic Acid 100 mg, Blister, 10 × 10</t>
  </si>
  <si>
    <t>Acetylsalicylic Acid 100 mg, Blister, 100 × 10</t>
  </si>
  <si>
    <t>Acetylsalicylic Acid 500 mg, Blister, 10 × 10</t>
  </si>
  <si>
    <t>Acetylsalicylic Acid 500 mg, Blister, 100 × 10</t>
  </si>
  <si>
    <t>Albendazole 400 mg, Blister, 50 × 4*</t>
  </si>
  <si>
    <t>Albendazole 400 mg, Vrac, 500</t>
  </si>
  <si>
    <t>Amoxicillin 500 mg, Blister, 10 × 10</t>
  </si>
  <si>
    <t>Amoxicillin 500 mg, Blister, 100 × 10</t>
  </si>
  <si>
    <t>Chlorpromazine 100 mg, Blister, 10 × 10</t>
  </si>
  <si>
    <t>Chlorpromazine 100 mg, Blister, 100 × 10</t>
  </si>
  <si>
    <t>Ciprofloxacin 500 mg, Blister, 10 × 10</t>
  </si>
  <si>
    <t>Ciprofloxacin 500 mg, Blister, 100 × 10</t>
  </si>
  <si>
    <t>Cloxacillin Sodium 250 mg, Blister, 10 × 10</t>
  </si>
  <si>
    <t>Cloxacillin Sodium 250 mg, Blister, 100 × 10</t>
  </si>
  <si>
    <t>Cotrimoxazole 480 mg, Blister, 10 × 10</t>
  </si>
  <si>
    <t>Cotrimoxazole 480 mg, Blister, 100 × 10</t>
  </si>
  <si>
    <t>Diazepam 5 mg, Blister, 10 × 10</t>
  </si>
  <si>
    <t>Diazepam 5 mg, Blister, 100 × 10</t>
  </si>
  <si>
    <t>Diclofenac Sodium 50 mg, Blister, 10 × 10</t>
  </si>
  <si>
    <t>Diclofenac Sodium 50 mg, Blister, 100 × 10</t>
  </si>
  <si>
    <t>Ferrous Fumarate 200 mg, Blister, 10 × 10</t>
  </si>
  <si>
    <t>Ferrous Fumarate 200 mg, Blister, 100 × 10</t>
  </si>
  <si>
    <t>Folic Acid 5 mg, Blister, 10 × 10</t>
  </si>
  <si>
    <t>Folic Acid 5 mg, Blister, 100 × 10</t>
  </si>
  <si>
    <t>Folic Acid/Iron 0.35 mg / 50 mg, Blister, 10 × 10</t>
  </si>
  <si>
    <t>Folic Acid/Iron 0.35 mg / 50 mg, Blister, 100 × 10</t>
  </si>
  <si>
    <t>Hydrochlorothiazide 50 mg, Blister, 10 × 10</t>
  </si>
  <si>
    <t>Hydrochlorothiazide 50 mg, Blister, 100 × 10</t>
  </si>
  <si>
    <t>Ibuprofen 400 mg, Blister, 10 × 10</t>
  </si>
  <si>
    <t>Ibuprofen 400 mg, Blister, 100 × 10</t>
  </si>
  <si>
    <t>Indometacin 25 mg, Blister, 10 × 10</t>
  </si>
  <si>
    <t>Indometacin 25 mg, Blister, 100 × 10</t>
  </si>
  <si>
    <t>Mebendazole 100 mg, Blister, 10 × 10</t>
  </si>
  <si>
    <t>Mebendazole 100 mg, Blister, 100 × 10</t>
  </si>
  <si>
    <t>Metronidazole 250 mg, Blister, 10 × 10</t>
  </si>
  <si>
    <t>Metronidazole 250 mg, Blister, 100 × 10</t>
  </si>
  <si>
    <t>Nystatin 500 000 IU, Blister, 10 × 10</t>
  </si>
  <si>
    <t>Nystatin 500 000 IU, Blister, 100 × 10</t>
  </si>
  <si>
    <t>Paracetamol 500 mg, Blister, 10 × 10</t>
  </si>
  <si>
    <t>Paracetamol 500 mg, Blister, 100 × 10</t>
  </si>
  <si>
    <t>Phenobarbital 100 mg, Blister, 10 × 10</t>
  </si>
  <si>
    <t>Phenobarbital 100 mg, Blister, 100 × 10</t>
  </si>
  <si>
    <t>Phenobarbital 50 mg, Blister, 10 × 10</t>
  </si>
  <si>
    <t>Phenobarbital 50 mg, Blister, 100 × 10</t>
  </si>
  <si>
    <t>Potassium Permaganate 500 mg, Blister, 10 × 10</t>
  </si>
  <si>
    <t>Potassium Permaganate 500 mg, Vrac, 100*</t>
  </si>
  <si>
    <t xml:space="preserve">Promethazine 25 mg, Blister, 10 × 10 </t>
  </si>
  <si>
    <t xml:space="preserve">Promethazine 25 mg, Blister, 100 × 10 </t>
  </si>
  <si>
    <t>Sulfadoxine/Pyrimethamine 500 mg / 25 mg, Blister, 40 × 3</t>
  </si>
  <si>
    <t>Sulfadoxine/Pyrimethamine 500 mg / 25 mg, Blister, 100 × 10</t>
  </si>
  <si>
    <t>Thiabendazole 500 mg, Blister, 10 × 10</t>
  </si>
  <si>
    <t>Thiabendazole 500 mg, Blister, 100 × 10</t>
  </si>
  <si>
    <t>Blister, 10 × 10</t>
  </si>
  <si>
    <t>Blister, 100 × 10</t>
  </si>
  <si>
    <t>Vrac, 100*</t>
  </si>
  <si>
    <t>Blister, 40 × 3</t>
  </si>
  <si>
    <t>Blister, 50 × 4*</t>
  </si>
  <si>
    <t>Vrac, 500</t>
  </si>
  <si>
    <t>PF-CIME2001</t>
  </si>
  <si>
    <t>PF_MEBE5001</t>
  </si>
  <si>
    <t>PF_QUIN1001</t>
  </si>
  <si>
    <t>PF_QUIN3001</t>
  </si>
  <si>
    <t>PHARMASTORE S.A.R.L.</t>
  </si>
  <si>
    <t xml:space="preserve">BP : 300 </t>
  </si>
  <si>
    <t>Docteur LATIF Sani</t>
  </si>
  <si>
    <t>Maradi</t>
  </si>
  <si>
    <t>Niger</t>
  </si>
  <si>
    <t>Tél. : 20 410 257  -  Cel : 96 59 24 54</t>
  </si>
  <si>
    <t>BP 80263</t>
  </si>
  <si>
    <t>Dr GNASSINGBE Bawizibadi ép. WALLA-AZOUMARO</t>
  </si>
  <si>
    <t>Lomé, quartier Tokoin Cassablanca, 1978, Boulevard de la Victoire</t>
  </si>
  <si>
    <t>Togo</t>
  </si>
  <si>
    <t>Tél. : (228) 22 21 35 01  -  Fax : (228) 22 21 35 28</t>
  </si>
  <si>
    <t>B.P. : 10346</t>
  </si>
  <si>
    <t>Docteur FANTOHOU</t>
  </si>
  <si>
    <t>Lomé</t>
  </si>
  <si>
    <t>Tél : (228) 22 25 94 29 - Fax : (228) 22 26 12 38</t>
  </si>
  <si>
    <t xml:space="preserve">Hôpital Saint Camille </t>
  </si>
  <si>
    <t>M. AHONGBONON Grégoire</t>
  </si>
  <si>
    <t>Avrankou</t>
  </si>
  <si>
    <t>e-mail : associationsaintcamille@gmail.com</t>
  </si>
  <si>
    <t>Tél. : 97 72 79 10 - 94 01 03 57</t>
  </si>
  <si>
    <t>Qunine sulfate 100 mg, Blister, 100 x 10</t>
  </si>
  <si>
    <t>Qunine sulfate 300 mg, Blister, 100 x 10</t>
  </si>
  <si>
    <t>Mebendazole 500 mg, Blister, 100 × 10</t>
  </si>
  <si>
    <t>Nr Fiche d'entrée :</t>
  </si>
  <si>
    <t>Nr fiche d'entrée :</t>
  </si>
  <si>
    <t>Lot</t>
  </si>
  <si>
    <t>Péremption</t>
  </si>
  <si>
    <t>8538 01</t>
  </si>
  <si>
    <t>9610 00</t>
  </si>
  <si>
    <t>A042 00</t>
  </si>
  <si>
    <t>A209 00</t>
  </si>
  <si>
    <t>A185 00</t>
  </si>
  <si>
    <t>A186 00</t>
  </si>
  <si>
    <t>A192 00</t>
  </si>
  <si>
    <t>A193 00</t>
  </si>
  <si>
    <t>A218 00</t>
  </si>
  <si>
    <t>A222 00</t>
  </si>
  <si>
    <t>A223 00</t>
  </si>
  <si>
    <t>A228 00</t>
  </si>
  <si>
    <t>A232 00</t>
  </si>
  <si>
    <t>A234 00</t>
  </si>
  <si>
    <t>A235 00</t>
  </si>
  <si>
    <t>A248 00</t>
  </si>
  <si>
    <t>9987 00</t>
  </si>
  <si>
    <t>A323 00</t>
  </si>
  <si>
    <t>A319 00</t>
  </si>
  <si>
    <t>A268 00</t>
  </si>
  <si>
    <t>A317 00</t>
  </si>
  <si>
    <t>Statut :</t>
  </si>
  <si>
    <t>Statut</t>
  </si>
  <si>
    <t>Centrale d'Achat</t>
  </si>
  <si>
    <t>Grossiste</t>
  </si>
  <si>
    <t>Extérieur</t>
  </si>
  <si>
    <t>PAASR</t>
  </si>
  <si>
    <t>Cimétidine 200 mg, Blister, 100 x 10</t>
  </si>
  <si>
    <t>Lots</t>
  </si>
  <si>
    <t>Stock/lot :</t>
  </si>
  <si>
    <t>stock total</t>
  </si>
  <si>
    <t>Quantité</t>
  </si>
  <si>
    <t>Qté sortie</t>
  </si>
  <si>
    <t>lot1</t>
  </si>
  <si>
    <t>Secteur</t>
  </si>
  <si>
    <t>Diallo ali</t>
  </si>
  <si>
    <t>Abidjan</t>
  </si>
  <si>
    <t>gesco</t>
  </si>
  <si>
    <t>yop</t>
  </si>
  <si>
    <t>Hotel</t>
  </si>
  <si>
    <t>1 unité</t>
  </si>
  <si>
    <t>LOT 1</t>
  </si>
  <si>
    <t>$H$4</t>
  </si>
  <si>
    <t>$I$4</t>
  </si>
  <si>
    <t>$J$4</t>
  </si>
  <si>
    <t>$H$5</t>
  </si>
  <si>
    <t>$I$5</t>
  </si>
  <si>
    <t>$J$5</t>
  </si>
  <si>
    <t>$H$6</t>
  </si>
  <si>
    <t>$I$6</t>
  </si>
  <si>
    <t>$J$6</t>
  </si>
  <si>
    <t>$H$7</t>
  </si>
  <si>
    <t>$I$7</t>
  </si>
  <si>
    <t>$J$7</t>
  </si>
  <si>
    <t>$H$8</t>
  </si>
  <si>
    <t>$I$8</t>
  </si>
  <si>
    <t>$J$8</t>
  </si>
  <si>
    <t>$H$9</t>
  </si>
  <si>
    <t>$I$9</t>
  </si>
  <si>
    <t>$J$9</t>
  </si>
  <si>
    <t>$H$10</t>
  </si>
  <si>
    <t>$I$10</t>
  </si>
  <si>
    <t>$J$10</t>
  </si>
  <si>
    <t>$H$11</t>
  </si>
  <si>
    <t>$I$11</t>
  </si>
  <si>
    <t>$J$11</t>
  </si>
  <si>
    <t>$H$12</t>
  </si>
  <si>
    <t>$I$12</t>
  </si>
  <si>
    <t>$J$12</t>
  </si>
  <si>
    <t>$H$13</t>
  </si>
  <si>
    <t>$I$13</t>
  </si>
  <si>
    <t>$J$13</t>
  </si>
  <si>
    <t>$H$14</t>
  </si>
  <si>
    <t>$I$14</t>
  </si>
  <si>
    <t>$J$14</t>
  </si>
  <si>
    <t>$H$15</t>
  </si>
  <si>
    <t>$I$15</t>
  </si>
  <si>
    <t>$J$15</t>
  </si>
  <si>
    <t>$H$16</t>
  </si>
  <si>
    <t>$I$16</t>
  </si>
  <si>
    <t>$J$16</t>
  </si>
  <si>
    <t>$H$17</t>
  </si>
  <si>
    <t>$I$17</t>
  </si>
  <si>
    <t>$J$17</t>
  </si>
  <si>
    <t>$H$18</t>
  </si>
  <si>
    <t>$I$18</t>
  </si>
  <si>
    <t>$J$18</t>
  </si>
  <si>
    <t>$H$19</t>
  </si>
  <si>
    <t>$I$19</t>
  </si>
  <si>
    <t>$J$19</t>
  </si>
  <si>
    <t>$H$20</t>
  </si>
  <si>
    <t>$I$20</t>
  </si>
  <si>
    <t>$J$20</t>
  </si>
  <si>
    <t>$H$21</t>
  </si>
  <si>
    <t>$I$21</t>
  </si>
  <si>
    <t>$J$21</t>
  </si>
  <si>
    <t>$H$22</t>
  </si>
  <si>
    <t>$I$22</t>
  </si>
  <si>
    <t>$J$22</t>
  </si>
  <si>
    <t>$H$23</t>
  </si>
  <si>
    <t>$I$23</t>
  </si>
  <si>
    <t>$J$23</t>
  </si>
  <si>
    <t>$H$24</t>
  </si>
  <si>
    <t>$I$24</t>
  </si>
  <si>
    <t>$J$24</t>
  </si>
  <si>
    <t>$H$25</t>
  </si>
  <si>
    <t>$I$25</t>
  </si>
  <si>
    <t>$J$25</t>
  </si>
  <si>
    <t>$H$26</t>
  </si>
  <si>
    <t>$I$26</t>
  </si>
  <si>
    <t>$J$26</t>
  </si>
  <si>
    <t>$H$27</t>
  </si>
  <si>
    <t>$I$27</t>
  </si>
  <si>
    <t>$J$27</t>
  </si>
  <si>
    <t>$H$28</t>
  </si>
  <si>
    <t>$I$28</t>
  </si>
  <si>
    <t>$J$28</t>
  </si>
  <si>
    <t>$H$29</t>
  </si>
  <si>
    <t>$I$29</t>
  </si>
  <si>
    <t>$J$29</t>
  </si>
  <si>
    <t>$H$30</t>
  </si>
  <si>
    <t>$I$30</t>
  </si>
  <si>
    <t>$J$30</t>
  </si>
  <si>
    <t>$H$31</t>
  </si>
  <si>
    <t>$I$31</t>
  </si>
  <si>
    <t>$J$31</t>
  </si>
  <si>
    <t>$H$32</t>
  </si>
  <si>
    <t>$I$32</t>
  </si>
  <si>
    <t>$J$32</t>
  </si>
  <si>
    <t>$H$33</t>
  </si>
  <si>
    <t>$I$33</t>
  </si>
  <si>
    <t>$J$33</t>
  </si>
  <si>
    <t>$H$34</t>
  </si>
  <si>
    <t>$I$34</t>
  </si>
  <si>
    <t>$J$34</t>
  </si>
  <si>
    <t>$H$35</t>
  </si>
  <si>
    <t>$I$35</t>
  </si>
  <si>
    <t>$J$35</t>
  </si>
  <si>
    <t>$H$36</t>
  </si>
  <si>
    <t>$I$36</t>
  </si>
  <si>
    <t>$J$36</t>
  </si>
  <si>
    <t>$H$37</t>
  </si>
  <si>
    <t>$I$37</t>
  </si>
  <si>
    <t>$J$37</t>
  </si>
  <si>
    <t>$H$38</t>
  </si>
  <si>
    <t>$I$38</t>
  </si>
  <si>
    <t>$J$38</t>
  </si>
  <si>
    <t>$H$39</t>
  </si>
  <si>
    <t>$I$39</t>
  </si>
  <si>
    <t>$J$39</t>
  </si>
  <si>
    <t>$H$40</t>
  </si>
  <si>
    <t>$I$40</t>
  </si>
  <si>
    <t>$J$40</t>
  </si>
  <si>
    <t>$H$41</t>
  </si>
  <si>
    <t>$I$41</t>
  </si>
  <si>
    <t>$J$41</t>
  </si>
  <si>
    <t>$H$42</t>
  </si>
  <si>
    <t>$I$42</t>
  </si>
  <si>
    <t>$J$42</t>
  </si>
  <si>
    <t>$H$43</t>
  </si>
  <si>
    <t>$I$43</t>
  </si>
  <si>
    <t>$J$43</t>
  </si>
  <si>
    <t>$H$44</t>
  </si>
  <si>
    <t>$I$44</t>
  </si>
  <si>
    <t>$J$44</t>
  </si>
  <si>
    <t>$H$45</t>
  </si>
  <si>
    <t>$I$45</t>
  </si>
  <si>
    <t>$J$45</t>
  </si>
  <si>
    <t>$H$46</t>
  </si>
  <si>
    <t>$I$46</t>
  </si>
  <si>
    <t>$J$46</t>
  </si>
  <si>
    <t>$H$47</t>
  </si>
  <si>
    <t>$I$47</t>
  </si>
  <si>
    <t>$J$47</t>
  </si>
  <si>
    <t>$H$48</t>
  </si>
  <si>
    <t>$I$48</t>
  </si>
  <si>
    <t>$J$48</t>
  </si>
  <si>
    <t>$H$49</t>
  </si>
  <si>
    <t>$I$49</t>
  </si>
  <si>
    <t>$J$49</t>
  </si>
  <si>
    <t>$H$50</t>
  </si>
  <si>
    <t>$I$50</t>
  </si>
  <si>
    <t>$J$50</t>
  </si>
  <si>
    <t>$H$51</t>
  </si>
  <si>
    <t>$I$51</t>
  </si>
  <si>
    <t>$J$51</t>
  </si>
  <si>
    <t>$H$52</t>
  </si>
  <si>
    <t>$I$52</t>
  </si>
  <si>
    <t>$J$52</t>
  </si>
  <si>
    <t>$H$53</t>
  </si>
  <si>
    <t>$I$53</t>
  </si>
  <si>
    <t>$J$53</t>
  </si>
  <si>
    <t>$H$54</t>
  </si>
  <si>
    <t>$I$54</t>
  </si>
  <si>
    <t>$J$54</t>
  </si>
  <si>
    <t>$H$55</t>
  </si>
  <si>
    <t>$I$55</t>
  </si>
  <si>
    <t>$J$55</t>
  </si>
  <si>
    <t>$H$56</t>
  </si>
  <si>
    <t>$I$56</t>
  </si>
  <si>
    <t>$J$56</t>
  </si>
  <si>
    <t>$H$57</t>
  </si>
  <si>
    <t>$I$57</t>
  </si>
  <si>
    <t>$J$57</t>
  </si>
  <si>
    <t>$H$58</t>
  </si>
  <si>
    <t>$I$58</t>
  </si>
  <si>
    <t>$J$58</t>
  </si>
  <si>
    <t>$H$59</t>
  </si>
  <si>
    <t>$I$59</t>
  </si>
  <si>
    <t>$J$59</t>
  </si>
  <si>
    <t>$F$4</t>
  </si>
  <si>
    <t>$F$5</t>
  </si>
  <si>
    <t>$F$6</t>
  </si>
  <si>
    <t>$F$7</t>
  </si>
  <si>
    <t>$F$8</t>
  </si>
  <si>
    <t>$F$9</t>
  </si>
  <si>
    <t>$F$10</t>
  </si>
  <si>
    <t>$F$11</t>
  </si>
  <si>
    <t>$F$12</t>
  </si>
  <si>
    <t>$F$13</t>
  </si>
  <si>
    <t>$F$14</t>
  </si>
  <si>
    <t>$F$15</t>
  </si>
  <si>
    <t>$F$16</t>
  </si>
  <si>
    <t>$F$17</t>
  </si>
  <si>
    <t>$F$18</t>
  </si>
  <si>
    <t>$F$19</t>
  </si>
  <si>
    <t>$F$20</t>
  </si>
  <si>
    <t>$F$21</t>
  </si>
  <si>
    <t>$F$22</t>
  </si>
  <si>
    <t>$F$23</t>
  </si>
  <si>
    <t>$F$24</t>
  </si>
  <si>
    <t>$F$25</t>
  </si>
  <si>
    <t>$F$26</t>
  </si>
  <si>
    <t>$F$27</t>
  </si>
  <si>
    <t>$F$28</t>
  </si>
  <si>
    <t>$F$29</t>
  </si>
  <si>
    <t>$F$30</t>
  </si>
  <si>
    <t>$F$31</t>
  </si>
  <si>
    <t>$F$32</t>
  </si>
  <si>
    <t>$F$33</t>
  </si>
  <si>
    <t>$F$34</t>
  </si>
  <si>
    <t>$F$35</t>
  </si>
  <si>
    <t>$F$36</t>
  </si>
  <si>
    <t>$F$37</t>
  </si>
  <si>
    <t>$F$38</t>
  </si>
  <si>
    <t>$F$39</t>
  </si>
  <si>
    <t>$F$40</t>
  </si>
  <si>
    <t>$F$41</t>
  </si>
  <si>
    <t>$F$42</t>
  </si>
  <si>
    <t>$F$43</t>
  </si>
  <si>
    <t>$F$44</t>
  </si>
  <si>
    <t>$F$45</t>
  </si>
  <si>
    <t>$F$46</t>
  </si>
  <si>
    <t>$F$47</t>
  </si>
  <si>
    <t>$F$48</t>
  </si>
  <si>
    <t>$F$49</t>
  </si>
  <si>
    <t>$F$50</t>
  </si>
  <si>
    <t>$F$51</t>
  </si>
  <si>
    <t>$F$52</t>
  </si>
  <si>
    <t>$F$53</t>
  </si>
  <si>
    <t>$F$54</t>
  </si>
  <si>
    <t>$F$55</t>
  </si>
  <si>
    <t>$F$56</t>
  </si>
  <si>
    <t>$F$57</t>
  </si>
  <si>
    <t>$F$58</t>
  </si>
  <si>
    <t>$F$59</t>
  </si>
  <si>
    <t>client</t>
  </si>
  <si>
    <t>$K$4</t>
  </si>
  <si>
    <t>$L$4</t>
  </si>
  <si>
    <t>$M$4</t>
  </si>
  <si>
    <t>$N$4</t>
  </si>
  <si>
    <t>$O$4</t>
  </si>
  <si>
    <t>$P$4</t>
  </si>
  <si>
    <t>$Q$4</t>
  </si>
  <si>
    <t>$K$5</t>
  </si>
  <si>
    <t>$L$5</t>
  </si>
  <si>
    <t>$M$5</t>
  </si>
  <si>
    <t>$N$5</t>
  </si>
  <si>
    <t>$O$5</t>
  </si>
  <si>
    <t>$P$5</t>
  </si>
  <si>
    <t>$Q$5</t>
  </si>
  <si>
    <t>$K$6</t>
  </si>
  <si>
    <t>$L$6</t>
  </si>
  <si>
    <t>$M$6</t>
  </si>
  <si>
    <t>$N$6</t>
  </si>
  <si>
    <t>$O$6</t>
  </si>
  <si>
    <t>$P$6</t>
  </si>
  <si>
    <t>$Q$6</t>
  </si>
  <si>
    <t>$K$7</t>
  </si>
  <si>
    <t>$L$7</t>
  </si>
  <si>
    <t>$M$7</t>
  </si>
  <si>
    <t>$N$7</t>
  </si>
  <si>
    <t>$O$7</t>
  </si>
  <si>
    <t>$P$7</t>
  </si>
  <si>
    <t>$Q$7</t>
  </si>
  <si>
    <t>$K$8</t>
  </si>
  <si>
    <t>$L$8</t>
  </si>
  <si>
    <t>$M$8</t>
  </si>
  <si>
    <t>$N$8</t>
  </si>
  <si>
    <t>$O$8</t>
  </si>
  <si>
    <t>$P$8</t>
  </si>
  <si>
    <t>$Q$8</t>
  </si>
  <si>
    <t>$K$9</t>
  </si>
  <si>
    <t>$L$9</t>
  </si>
  <si>
    <t>$M$9</t>
  </si>
  <si>
    <t>$N$9</t>
  </si>
  <si>
    <t>$O$9</t>
  </si>
  <si>
    <t>$P$9</t>
  </si>
  <si>
    <t>$Q$9</t>
  </si>
  <si>
    <t>$K$10</t>
  </si>
  <si>
    <t>$L$10</t>
  </si>
  <si>
    <t>$M$10</t>
  </si>
  <si>
    <t>$N$10</t>
  </si>
  <si>
    <t>$O$10</t>
  </si>
  <si>
    <t>$P$10</t>
  </si>
  <si>
    <t>$Q$10</t>
  </si>
  <si>
    <t>reception</t>
  </si>
  <si>
    <t>$I$1</t>
  </si>
  <si>
    <t>$C$4</t>
  </si>
  <si>
    <t>$D$9</t>
  </si>
  <si>
    <t>$D$10</t>
  </si>
  <si>
    <t>$D$11</t>
  </si>
  <si>
    <t>$D$12</t>
  </si>
  <si>
    <t>$D$13</t>
  </si>
  <si>
    <t>$D$14</t>
  </si>
  <si>
    <t>$D$15</t>
  </si>
  <si>
    <t>$D$16</t>
  </si>
  <si>
    <t>$D$17</t>
  </si>
  <si>
    <t>$D$18</t>
  </si>
  <si>
    <t>$D$19</t>
  </si>
  <si>
    <t>$D$20</t>
  </si>
  <si>
    <t>$D$21</t>
  </si>
  <si>
    <t>$D$22</t>
  </si>
  <si>
    <t>$D$23</t>
  </si>
  <si>
    <t>$D$24</t>
  </si>
  <si>
    <t>$D$25</t>
  </si>
  <si>
    <t>$D$26</t>
  </si>
  <si>
    <t>$D$27</t>
  </si>
  <si>
    <t>$D$28</t>
  </si>
  <si>
    <t>$D$29</t>
  </si>
  <si>
    <t>$D$30</t>
  </si>
  <si>
    <t>facture</t>
  </si>
  <si>
    <t>$I$3</t>
  </si>
  <si>
    <t>$F$3</t>
  </si>
  <si>
    <t>$E$11</t>
  </si>
  <si>
    <t>$B$15</t>
  </si>
  <si>
    <t>$C$15</t>
  </si>
  <si>
    <t>$E$15</t>
  </si>
  <si>
    <t>$B$16</t>
  </si>
  <si>
    <t>$C$16</t>
  </si>
  <si>
    <t>$E$16</t>
  </si>
  <si>
    <t>$B$17</t>
  </si>
  <si>
    <t>$C$17</t>
  </si>
  <si>
    <t>$E$17</t>
  </si>
  <si>
    <t>$B$18</t>
  </si>
  <si>
    <t>$C$18</t>
  </si>
  <si>
    <t>$E$18</t>
  </si>
  <si>
    <t>$B$19</t>
  </si>
  <si>
    <t>$C$19</t>
  </si>
  <si>
    <t>$E$19</t>
  </si>
  <si>
    <t>$B$20</t>
  </si>
  <si>
    <t>$C$20</t>
  </si>
  <si>
    <t>$E$20</t>
  </si>
  <si>
    <t>$B$21</t>
  </si>
  <si>
    <t>$C$21</t>
  </si>
  <si>
    <t>$E$21</t>
  </si>
  <si>
    <t>$B$22</t>
  </si>
  <si>
    <t>$C$22</t>
  </si>
  <si>
    <t>$E$22</t>
  </si>
  <si>
    <t>$B$23</t>
  </si>
  <si>
    <t>$C$23</t>
  </si>
  <si>
    <t>$E$23</t>
  </si>
  <si>
    <t>$B$24</t>
  </si>
  <si>
    <t>$C$24</t>
  </si>
  <si>
    <t>$E$24</t>
  </si>
  <si>
    <t>$B$25</t>
  </si>
  <si>
    <t>$C$25</t>
  </si>
  <si>
    <t>$E$25</t>
  </si>
  <si>
    <t>$B$26</t>
  </si>
  <si>
    <t>$C$26</t>
  </si>
  <si>
    <t>$E$26</t>
  </si>
  <si>
    <t>$B$27</t>
  </si>
  <si>
    <t>$C$27</t>
  </si>
  <si>
    <t>$E$27</t>
  </si>
  <si>
    <t>$B$28</t>
  </si>
  <si>
    <t>$C$28</t>
  </si>
  <si>
    <t>$E$28</t>
  </si>
  <si>
    <t>$B$29</t>
  </si>
  <si>
    <t>$C$29</t>
  </si>
  <si>
    <t>$E$29</t>
  </si>
  <si>
    <t>$B$30</t>
  </si>
  <si>
    <t>$C$30</t>
  </si>
  <si>
    <t>$E$30</t>
  </si>
  <si>
    <t>$B$31</t>
  </si>
  <si>
    <t>$C$31</t>
  </si>
  <si>
    <t>$D$31</t>
  </si>
  <si>
    <t>$E$31</t>
  </si>
  <si>
    <t>$B$32</t>
  </si>
  <si>
    <t>$C$32</t>
  </si>
  <si>
    <t>$D$32</t>
  </si>
  <si>
    <t>$E$32</t>
  </si>
  <si>
    <t>$B$33</t>
  </si>
  <si>
    <t>$C$33</t>
  </si>
  <si>
    <t>$D$33</t>
  </si>
  <si>
    <t>$E$33</t>
  </si>
  <si>
    <t>$B$34</t>
  </si>
  <si>
    <t>$C$34</t>
  </si>
  <si>
    <t>$D$34</t>
  </si>
  <si>
    <t>$E$34</t>
  </si>
  <si>
    <t>$B$35</t>
  </si>
  <si>
    <t>$C$35</t>
  </si>
  <si>
    <t>$D$35</t>
  </si>
  <si>
    <t>$E$35</t>
  </si>
  <si>
    <t>$B$36</t>
  </si>
  <si>
    <t>$C$36</t>
  </si>
  <si>
    <t>$D$36</t>
  </si>
  <si>
    <t>$E$36</t>
  </si>
  <si>
    <t>$B$37</t>
  </si>
  <si>
    <t>$C$37</t>
  </si>
  <si>
    <t>$D$37</t>
  </si>
  <si>
    <t>$E$37</t>
  </si>
  <si>
    <t>$B$38</t>
  </si>
  <si>
    <t>$C$38</t>
  </si>
  <si>
    <t>$D$38</t>
  </si>
  <si>
    <t>$E$38</t>
  </si>
  <si>
    <t>$B$39</t>
  </si>
  <si>
    <t>$C$39</t>
  </si>
  <si>
    <t>$D$39</t>
  </si>
  <si>
    <t>$E$39</t>
  </si>
  <si>
    <t>$B$42</t>
  </si>
  <si>
    <t>$C$42</t>
  </si>
  <si>
    <t>$D$42</t>
  </si>
  <si>
    <t>$B$43</t>
  </si>
  <si>
    <t>$C$43</t>
  </si>
  <si>
    <t>$D$43</t>
  </si>
  <si>
    <t>$B$44</t>
  </si>
  <si>
    <t>$C$44</t>
  </si>
  <si>
    <t>$D$44</t>
  </si>
  <si>
    <t>$B$45</t>
  </si>
  <si>
    <t>$C$45</t>
  </si>
  <si>
    <t>$D$45</t>
  </si>
  <si>
    <t>$B$46</t>
  </si>
  <si>
    <t>$C$46</t>
  </si>
  <si>
    <t>$D$46</t>
  </si>
  <si>
    <t>$B$47</t>
  </si>
  <si>
    <t>$C$47</t>
  </si>
  <si>
    <t>$D$47</t>
  </si>
  <si>
    <t>$B$48</t>
  </si>
  <si>
    <t>$C$48</t>
  </si>
  <si>
    <t>$D$48</t>
  </si>
  <si>
    <t>$E$43</t>
  </si>
  <si>
    <t>suivi_facture</t>
  </si>
  <si>
    <t>$A$1</t>
  </si>
  <si>
    <t>$B$4</t>
  </si>
  <si>
    <t>$D$4</t>
  </si>
  <si>
    <t>$E$4</t>
  </si>
  <si>
    <t>$G$4</t>
  </si>
  <si>
    <t>$B$5</t>
  </si>
  <si>
    <t>$C$5</t>
  </si>
  <si>
    <t>$D$5</t>
  </si>
  <si>
    <t>$E$5</t>
  </si>
  <si>
    <t>$G$5</t>
  </si>
  <si>
    <t>$B$6</t>
  </si>
  <si>
    <t>$C$6</t>
  </si>
  <si>
    <t>$D$6</t>
  </si>
  <si>
    <t>$E$6</t>
  </si>
  <si>
    <t>$G$6</t>
  </si>
  <si>
    <t>$B$7</t>
  </si>
  <si>
    <t>$C$7</t>
  </si>
  <si>
    <t>$D$7</t>
  </si>
  <si>
    <t>$E$7</t>
  </si>
  <si>
    <t>$G$7</t>
  </si>
  <si>
    <t>$B$8</t>
  </si>
  <si>
    <t>$C$8</t>
  </si>
  <si>
    <t>$D$8</t>
  </si>
  <si>
    <t>$E$8</t>
  </si>
  <si>
    <t>$G$8</t>
  </si>
  <si>
    <t>$B$9</t>
  </si>
  <si>
    <t>$C$9</t>
  </si>
  <si>
    <t>$E$9</t>
  </si>
  <si>
    <t>$G$9</t>
  </si>
  <si>
    <t>$B$10</t>
  </si>
  <si>
    <t>$C$10</t>
  </si>
  <si>
    <t>$E$10</t>
  </si>
  <si>
    <t>$G$10</t>
  </si>
  <si>
    <t>Feuilles</t>
  </si>
  <si>
    <t>Adresses</t>
  </si>
  <si>
    <t>Formules</t>
  </si>
  <si>
    <t>=Tableau1[[#Cette ligne];[Centrale d''Achat]]*(1+5%)</t>
  </si>
  <si>
    <t>=Tableau1[[#Cette ligne];[Centrale d''Achat]]*(1+20%)</t>
  </si>
  <si>
    <t>=SOMME.SI(Tableau8[Nr article];Tableau1[[#Cette ligne];[Nr article]];Tableau8[Quantité :])-SOMME.SI(Tableau4[Nr article];Tableau1[[#Cette ligne];[Nr article]];Tableau4[Nombre])</t>
  </si>
  <si>
    <t>="article!"&amp;ADRESSE(LIGNE(E4);COLONNE(E4))</t>
  </si>
  <si>
    <t>="article!"&amp;ADRESSE(LIGNE(E5);COLONNE(E5))</t>
  </si>
  <si>
    <t>="article!"&amp;ADRESSE(LIGNE(E6);COLONNE(E6))</t>
  </si>
  <si>
    <t>="article!"&amp;ADRESSE(LIGNE(E7);COLONNE(E7))</t>
  </si>
  <si>
    <t>="article!"&amp;ADRESSE(LIGNE(E8);COLONNE(E8))</t>
  </si>
  <si>
    <t>="article!"&amp;ADRESSE(LIGNE(E9);COLONNE(E9))</t>
  </si>
  <si>
    <t>="article!"&amp;ADRESSE(LIGNE(E10);COLONNE(E10))</t>
  </si>
  <si>
    <t>="article!"&amp;ADRESSE(LIGNE(E11);COLONNE(E11))</t>
  </si>
  <si>
    <t>="article!"&amp;ADRESSE(LIGNE(E12);COLONNE(E12))</t>
  </si>
  <si>
    <t>="article!"&amp;ADRESSE(LIGNE(E13);COLONNE(E13))</t>
  </si>
  <si>
    <t>="article!"&amp;ADRESSE(LIGNE(E14);COLONNE(E14))</t>
  </si>
  <si>
    <t>="article!"&amp;ADRESSE(LIGNE(E15);COLONNE(E15))</t>
  </si>
  <si>
    <t>="article!"&amp;ADRESSE(LIGNE(E16);COLONNE(E16))</t>
  </si>
  <si>
    <t>="article!"&amp;ADRESSE(LIGNE(E17);COLONNE(E17))</t>
  </si>
  <si>
    <t>="article!"&amp;ADRESSE(LIGNE(E18);COLONNE(E18))</t>
  </si>
  <si>
    <t>="article!"&amp;ADRESSE(LIGNE(E19);COLONNE(E19))</t>
  </si>
  <si>
    <t>="article!"&amp;ADRESSE(LIGNE(E20);COLONNE(E20))</t>
  </si>
  <si>
    <t>="article!"&amp;ADRESSE(LIGNE(E21);COLONNE(E21))</t>
  </si>
  <si>
    <t>="article!"&amp;ADRESSE(LIGNE(E22);COLONNE(E22))</t>
  </si>
  <si>
    <t>="article!"&amp;ADRESSE(LIGNE(E23);COLONNE(E23))</t>
  </si>
  <si>
    <t>="article!"&amp;ADRESSE(LIGNE(E24);COLONNE(E24))</t>
  </si>
  <si>
    <t>="article!"&amp;ADRESSE(LIGNE(E25);COLONNE(E25))</t>
  </si>
  <si>
    <t>="article!"&amp;ADRESSE(LIGNE(E26);COLONNE(E26))</t>
  </si>
  <si>
    <t>="article!"&amp;ADRESSE(LIGNE(E27);COLONNE(E27))</t>
  </si>
  <si>
    <t>="article!"&amp;ADRESSE(LIGNE(E28);COLONNE(E28))</t>
  </si>
  <si>
    <t>="article!"&amp;ADRESSE(LIGNE(E29);COLONNE(E29))</t>
  </si>
  <si>
    <t>="article!"&amp;ADRESSE(LIGNE(E30);COLONNE(E30))</t>
  </si>
  <si>
    <t>="article!"&amp;ADRESSE(LIGNE(E31);COLONNE(E31))</t>
  </si>
  <si>
    <t>="article!"&amp;ADRESSE(LIGNE(E32);COLONNE(E32))</t>
  </si>
  <si>
    <t>="article!"&amp;ADRESSE(LIGNE(E33);COLONNE(E33))</t>
  </si>
  <si>
    <t>="article!"&amp;ADRESSE(LIGNE(E34);COLONNE(E34))</t>
  </si>
  <si>
    <t>="article!"&amp;ADRESSE(LIGNE(E35);COLONNE(E35))</t>
  </si>
  <si>
    <t>="article!"&amp;ADRESSE(LIGNE(E36);COLONNE(E36))</t>
  </si>
  <si>
    <t>="article!"&amp;ADRESSE(LIGNE(E37);COLONNE(E37))</t>
  </si>
  <si>
    <t>="article!"&amp;ADRESSE(LIGNE(E38);COLONNE(E38))</t>
  </si>
  <si>
    <t>="article!"&amp;ADRESSE(LIGNE(E39);COLONNE(E39))</t>
  </si>
  <si>
    <t>="article!"&amp;ADRESSE(LIGNE(E40);COLONNE(E40))</t>
  </si>
  <si>
    <t>="article!"&amp;ADRESSE(LIGNE(E41);COLONNE(E41))</t>
  </si>
  <si>
    <t>="article!"&amp;ADRESSE(LIGNE(E42);COLONNE(E42))</t>
  </si>
  <si>
    <t>="article!"&amp;ADRESSE(LIGNE(E43);COLONNE(E43))</t>
  </si>
  <si>
    <t>="article!"&amp;ADRESSE(LIGNE(E44);COLONNE(E44))</t>
  </si>
  <si>
    <t>="article!"&amp;ADRESSE(LIGNE(E45);COLONNE(E45))</t>
  </si>
  <si>
    <t>="article!"&amp;ADRESSE(LIGNE(E46);COLONNE(E46))</t>
  </si>
  <si>
    <t>="article!"&amp;ADRESSE(LIGNE(E47);COLONNE(E47))</t>
  </si>
  <si>
    <t>="article!"&amp;ADRESSE(LIGNE(E48);COLONNE(E48))</t>
  </si>
  <si>
    <t>="article!"&amp;ADRESSE(LIGNE(E49);COLONNE(E49))</t>
  </si>
  <si>
    <t>="article!"&amp;ADRESSE(LIGNE(E50);COLONNE(E50))</t>
  </si>
  <si>
    <t>="article!"&amp;ADRESSE(LIGNE(E51);COLONNE(E51))</t>
  </si>
  <si>
    <t>="article!"&amp;ADRESSE(LIGNE(E52);COLONNE(E52))</t>
  </si>
  <si>
    <t>="article!"&amp;ADRESSE(LIGNE(E53);COLONNE(E53))</t>
  </si>
  <si>
    <t>="article!"&amp;ADRESSE(LIGNE(E54);COLONNE(E54))</t>
  </si>
  <si>
    <t>="article!"&amp;ADRESSE(LIGNE(E55);COLONNE(E55))</t>
  </si>
  <si>
    <t>="article!"&amp;ADRESSE(LIGNE(E56);COLONNE(E56))</t>
  </si>
  <si>
    <t>="article!"&amp;ADRESSE(LIGNE(E57);COLONNE(E57))</t>
  </si>
  <si>
    <t>="article!"&amp;ADRESSE(LIGNE(E58);COLONNE(E58))</t>
  </si>
  <si>
    <t>="article!"&amp;ADRESSE(LIGNE(E59);COLONNE(E59))</t>
  </si>
  <si>
    <t>=SIERREUR(NB.SI.ENS('C:\Users\Laurent\Downloads\[gestion entreprise essai1.xlsm]suivi_facture'!C4:C4;'C:\Users\Laurent\Downloads\gestion entreprise essai1.xlsm'!Tableau2[[#Cette ligne];[Nr client]];'C:\Users\Laurent\Downloads\[gestion entreprise essai1.xlsm]suivi_facture'!J4:J4;0);"")</t>
  </si>
  <si>
    <t>=SI(ET('C:\Users\Laurent\Downloads\gestion entreprise essai1.xlsm'!Tableau2[[#Cette ligne];[nb]]&gt;='C:\Users\Laurent\Downloads\[gestion entreprise essai1.xlsm]fidélisation'!$C$4;'C:\Users\Laurent\Downloads\gestion entreprise essai1.xlsm'!Tableau2[[#Cette ligne];[nb]]&lt;'C:\Users\Laurent\Downloads\[gestion entreprise essai1.xlsm]fidélisation'!$C$5);'C:\Users\Laurent\Downloads\[gestion entreprise essai1.xlsm]fidélisation'!$B$4;SI(ET('C:\Users\Laurent\Downloads\gestion entreprise essai1.xlsm'!Tableau2[[#Cette ligne];[nb]]&gt;='C:\Users\Laurent\Downloads\[gestion entreprise essai1.xlsm]fidélisation'!$C$5;'C:\Users\Laurent\Downloads\gestion entreprise essai1.xlsm'!Tableau2[[#Cette ligne];[nb]]&lt;'C:\Users\Laurent\Downloads\[gestion entreprise essai1.xlsm]fidélisation'!$C$6);'C:\Users\Laurent\Downloads\[gestion entreprise essai1.xlsm]fidélisation'!$B$5;SI(ET('C:\Users\Laurent\Downloads\gestion entreprise essai1.xlsm'!Tableau2[[#Cette ligne];[nb]]&gt;='C:\Users\Laurent\Downloads\[gestion entreprise essai1.xlsm]fidélisation'!$C$6;'C:\Users\Laurent\Downloads\gestion entreprise essai1.xlsm'!Tableau2[[#Cette ligne];[nb]]&lt;'C:\Users\Laurent\Downloads\[gestion entreprise essai1.xlsm]fidélisation'!$C$7);'C:\Users\Laurent\Downloads\[gestion entreprise essai1.xlsm]fidélisation'!$B$6;SI(ET('C:\Users\Laurent\Downloads\gestion entreprise essai1.xlsm'!Tableau2[[#Cette ligne];[nb]]&gt;='C:\Users\Laurent\Downloads\[gestion entreprise essai1.xlsm]fidélisation'!$C$7;'C:\Users\Laurent\Downloads\gestion entreprise essai1.xlsm'!Tableau2[[#Cette ligne];[nb]]&lt;'C:\Users\Laurent\Downloads\[gestion entreprise essai1.xlsm]fidélisation'!$C$8);'C:\Users\Laurent\Downloads\[gestion entreprise essai1.xlsm]fidélisation'!$B$7;SI('C:\Users\Laurent\Downloads\gestion entreprise essai1.xlsm'!Tableau2[[#Cette ligne];[nb]]&gt;='C:\Users\Laurent\Downloads\[gestion entreprise essai1.xlsm]fidélisation'!$C$8;'C:\Users\Laurent\Downloads\[gestion entreprise essai1.xlsm]fidélisation'!$B$8;0)))))</t>
  </si>
  <si>
    <t>=SIERREUR(SI($K4&gt;=1;1;"");"")</t>
  </si>
  <si>
    <t>=SIERREUR(SI($K4&gt;=2;1;"");"")</t>
  </si>
  <si>
    <t>=SIERREUR(SI($K4&gt;=3;1;"");"")</t>
  </si>
  <si>
    <t>=SIERREUR(SI($K4&gt;=4;1;"");"")</t>
  </si>
  <si>
    <t>=SIERREUR(SI($K4&gt;=5;1;"");"")</t>
  </si>
  <si>
    <t>=CONCATENER(C4;CAR(10);D4;CAR(10);E4;" - ";F4;CAR(10);G4;CAR(10);H4;CAR(10);I4)</t>
  </si>
  <si>
    <t>=SIERREUR(NB.SI.ENS('C:\Users\Laurent\Downloads\[gestion entreprise essai1.xlsm]suivi_facture'!C5:C5;'C:\Users\Laurent\Downloads\gestion entreprise essai1.xlsm'!Tableau2[[#Cette ligne];[Nr client]];'C:\Users\Laurent\Downloads\[gestion entreprise essai1.xlsm]suivi_facture'!J5:J5;0);"")</t>
  </si>
  <si>
    <t>=SIERREUR(SI($K5&gt;=1;1;"");"")</t>
  </si>
  <si>
    <t>=SIERREUR(SI($K5&gt;=2;1;"");"")</t>
  </si>
  <si>
    <t>=SIERREUR(SI($K5&gt;=3;1;"");"")</t>
  </si>
  <si>
    <t>=SIERREUR(SI($K5&gt;=4;1;"");"")</t>
  </si>
  <si>
    <t>=SIERREUR(SI($K5&gt;=5;1;"");"")</t>
  </si>
  <si>
    <t>=CONCATENER(C5;CAR(10);D5;CAR(10);E5;" - ";F5;CAR(10);G5;CAR(10);H5;CAR(10);I5)</t>
  </si>
  <si>
    <t>=SIERREUR(NB.SI.ENS('C:\Users\Laurent\Downloads\[gestion entreprise essai1.xlsm]suivi_facture'!C6:C6;'C:\Users\Laurent\Downloads\gestion entreprise essai1.xlsm'!Tableau2[[#Cette ligne];[Nr client]];'C:\Users\Laurent\Downloads\[gestion entreprise essai1.xlsm]suivi_facture'!J6:J6;0);"")</t>
  </si>
  <si>
    <t>=SIERREUR(SI($K6&gt;=1;1;"");"")</t>
  </si>
  <si>
    <t>=SIERREUR(SI($K6&gt;=2;1;"");"")</t>
  </si>
  <si>
    <t>=SIERREUR(SI($K6&gt;=3;1;"");"")</t>
  </si>
  <si>
    <t>=SIERREUR(SI($K6&gt;=4;1;"");"")</t>
  </si>
  <si>
    <t>=SIERREUR(SI($K6&gt;=5;1;"");"")</t>
  </si>
  <si>
    <t>=CONCATENER(C6;CAR(10);D6;CAR(10);E6;" - ";F6;CAR(10);G6;CAR(10);H6;CAR(10);I6)</t>
  </si>
  <si>
    <t>=SIERREUR(NB.SI.ENS('C:\Users\Laurent\Downloads\[gestion entreprise essai1.xlsm]suivi_facture'!C7:C7;'C:\Users\Laurent\Downloads\gestion entreprise essai1.xlsm'!Tableau2[[#Cette ligne];[Nr client]];'C:\Users\Laurent\Downloads\[gestion entreprise essai1.xlsm]suivi_facture'!J7:J7;0);"")</t>
  </si>
  <si>
    <t>=SIERREUR(SI($K7&gt;=1;1;"");"")</t>
  </si>
  <si>
    <t>=SIERREUR(SI($K7&gt;=2;1;"");"")</t>
  </si>
  <si>
    <t>=SIERREUR(SI($K7&gt;=3;1;"");"")</t>
  </si>
  <si>
    <t>=SIERREUR(SI($K7&gt;=4;1;"");"")</t>
  </si>
  <si>
    <t>=SIERREUR(SI($K7&gt;=5;1;"");"")</t>
  </si>
  <si>
    <t>=CONCATENER(C7;CAR(10);D7;CAR(10);E7;" - ";F7;CAR(10);G7;CAR(10);H7;CAR(10);I7)</t>
  </si>
  <si>
    <t>=SIERREUR(NB.SI.ENS('C:\Users\Laurent\Downloads\[gestion entreprise essai1.xlsm]suivi_facture'!C8:C8;'C:\Users\Laurent\Downloads\gestion entreprise essai1.xlsm'!Tableau2[[#Cette ligne];[Nr client]];'C:\Users\Laurent\Downloads\[gestion entreprise essai1.xlsm]suivi_facture'!J8:J8;0);"")</t>
  </si>
  <si>
    <t>=SIERREUR(SI($K8&gt;=1;1;"");"")</t>
  </si>
  <si>
    <t>=SIERREUR(SI($K8&gt;=2;1;"");"")</t>
  </si>
  <si>
    <t>=SIERREUR(SI($K8&gt;=3;1;"");"")</t>
  </si>
  <si>
    <t>=SIERREUR(SI($K8&gt;=4;1;"");"")</t>
  </si>
  <si>
    <t>=SIERREUR(SI($K8&gt;=5;1;"");"")</t>
  </si>
  <si>
    <t>=CONCATENER(C8;CAR(10);D8;CAR(10);E8;" - ";F8;CAR(10);G8;CAR(10);H8;CAR(10);I8)</t>
  </si>
  <si>
    <t>=SIERREUR(NB.SI.ENS('C:\Users\Laurent\Downloads\[gestion entreprise essai1.xlsm]suivi_facture'!C9:C9;'C:\Users\Laurent\Downloads\gestion entreprise essai1.xlsm'!Tableau2[[#Cette ligne];[Nr client]];'C:\Users\Laurent\Downloads\[gestion entreprise essai1.xlsm]suivi_facture'!J9:J9;0);"")</t>
  </si>
  <si>
    <t>=SIERREUR(SI($K9&gt;=1;1;"");"")</t>
  </si>
  <si>
    <t>=SIERREUR(SI($K9&gt;=2;1;"");"")</t>
  </si>
  <si>
    <t>=SIERREUR(SI($K9&gt;=3;1;"");"")</t>
  </si>
  <si>
    <t>=SIERREUR(SI($K9&gt;=4;1;"");"")</t>
  </si>
  <si>
    <t>=SIERREUR(SI($K9&gt;=5;1;"");"")</t>
  </si>
  <si>
    <t>=CONCATENER(C9;CAR(10);D9;CAR(10);E9;" - ";F9;CAR(10);G9;CAR(10);H9;CAR(10);I9)</t>
  </si>
  <si>
    <t>=SIERREUR(NB.SI.ENS('C:\Users\Laurent\Downloads\[gestion entreprise essai1.xlsm]suivi_facture'!C10:C10;'C:\Users\Laurent\Downloads\gestion entreprise essai1.xlsm'!Tableau2[[#Cette ligne];[Nr client]];'C:\Users\Laurent\Downloads\[gestion entreprise essai1.xlsm]suivi_facture'!J10:J10;0);"")</t>
  </si>
  <si>
    <t>=SIERREUR(SI($K10&gt;=1;1;"");"")</t>
  </si>
  <si>
    <t>=SIERREUR(SI($K10&gt;=2;1;"");"")</t>
  </si>
  <si>
    <t>=SIERREUR(SI($K10&gt;=3;1;"");"")</t>
  </si>
  <si>
    <t>=SIERREUR(SI($K10&gt;=4;1;"");"")</t>
  </si>
  <si>
    <t>=SIERREUR(SI($K10&gt;=5;1;"");"")</t>
  </si>
  <si>
    <t>=CONCATENER(C10;CAR(10);D10;CAR(10);E10;" - ";F10;CAR(10);G10;CAR(10);H10;CAR(10);I10)</t>
  </si>
  <si>
    <t>=EQUIV(panier!$C$13;Tableau8[Nr article];0)</t>
  </si>
  <si>
    <t>=SIERREUR(INDEX(Tableau1[Nom];EQUIV(reception!C3;Tableau1[Nr article];0));"")</t>
  </si>
  <si>
    <t>=INDEX(Tableau1[Nom];EQUIV(Tableau8[[#Cette ligne];[Nr article]];Tableau1[Nr article];0))</t>
  </si>
  <si>
    <t>=SI(Tableau8[[#Cette ligne];[Nr article]]=panier!$C$13;SI(SOMME(DECALER($E$9;$I$1-1;0;LIGNE()-$I$1-7;1))&lt;=panier!$G$13;$E9;SI(LIGNE()=$I$1+8;$E9-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</si>
  <si>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10;SI(LIGNE()=$I$1+8;$E10-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</si>
  <si>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11;SI(LIGNE()=$I$1+8;$E11-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</si>
  <si>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12;SI(LIGNE()=$I$1+8;$E12-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</si>
  <si>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13;SI(LIGNE()=$I$1+8;$E13-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</si>
  <si>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14;SI(LIGNE()=$I$1+8;$E14-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</si>
  <si>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15;SI(LIGNE()=$I$1+8;$E15-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</si>
  <si>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16;SI(LIGNE()=$I$1+8;$E16-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</si>
  <si>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17;SI(LIGNE()=$I$1+8;$E17-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</si>
  <si>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18;SI(LIGNE()=$I$1+8;$E18-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</si>
  <si>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19;SI(LIGNE()=$I$1+8;$E19-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</si>
  <si>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20;SI(LIGNE()=$I$1+8;$E20-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</si>
  <si>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21;SI(LIGNE()=$I$1+8;$E21-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</si>
  <si>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22;SI(LIGNE()=$I$1+8;$E22-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</si>
  <si>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23;SI(LIGNE()=$I$1+8;$E23-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</si>
  <si>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24;SI(LIGNE()=$I$1+8;$E24-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</si>
  <si>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25;SI(LIGNE()=$I$1+8;$E25-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</si>
  <si>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26;SI(LIGNE()=$I$1+8;$E26-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</si>
  <si>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27;SI(LIGNE()=$I$1+8;$E27-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</si>
  <si>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28;SI(LIGNE()=$I$1+8;$E28-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</si>
  <si>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29;SI(LIGNE()=$I$1+8;$E29-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</si>
  <si>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30;SI(LIGNE()=$I$1+8;$E30-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</si>
  <si>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31;SI(LIGNE()=$I$1+8;$E31-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</si>
  <si>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32;SI(LIGNE()=$I$1+8;$E32-(SOMME(DECALER($E$9;$I$1-1;0;1))-panier!$G$13);SI(SOMME(DECALER($E$9;$I$1-1;0;LIGNE()-$I$1-7))&lt;=panier!$G$13;panier!$G$13-SOMME(DECALER($E$9;$I$1-1;0;LIGNE()-$I$1-8));"")));"")</t>
  </si>
  <si>
    <t>=SI(Tableau8[[#Cette ligne];[Nr article]]=panier!$C$13;SI(SOMME(DECALER($E$9;$I$1-1;0;LIGNE()-$I$1-7;1))&lt;=panier!$G$13;$E33;SI(LIGNE()=$I$1+8;$E33-(SOMME(DECALER($E$9;$I$1-1;0;1))-panier!$G$13);SI(SOMME(DECALER($E$9;$I$1-1;0;LIGNE()-$I$1-7))&lt;=panier!$G$13;panier!$G$13-SOMME(DECALER($E$9;$I$1-1;0;LIGNE()-$I$1-8));"")));"")</t>
  </si>
  <si>
    <t>=SIERREUR(INDEX(Tableau5[Reste];EQUIV(facture!C11;Tableau5[Nr facture];0));"")</t>
  </si>
  <si>
    <t>=SIERREUR(INDEX(suivi_facture!C4:C10;EQUIV(facture!C11;suivi_facture!B4:B10;0));"")</t>
  </si>
  <si>
    <t>=SIERREUR(INDEX(client!Q4:Q8;EQUIV(facture!F3;client!B4:B8;0));"")</t>
  </si>
  <si>
    <t>=SIERREUR(INDEX(Tableau5[Date];EQUIV(facture!C11;Tableau5[Nr facture];0));"")</t>
  </si>
  <si>
    <t>=SIERREUR(INDEX(Tableau4[Nr article];PETITE.VALEUR(SI(Tableau4[Nr facture]=facture!$C$11;LIGNE(Tableau4[Nr facture])-LIGNE(historique_vente!$C$4)+1;"");LIGNES($B$15:B15)));"")</t>
  </si>
  <si>
    <t>=SIERREUR(INDEX(Tableau4[article];PETITE.VALEUR(SI(Tableau4[Nr facture]=facture!$C$11;LIGNE(Tableau4[Nr facture])-LIGNE(historique_vente!$C$4)+1;"");LIGNES($B$15:C15)));"")</t>
  </si>
  <si>
    <t>=SIERREUR(INDEX(Tableau4[Prix htva];PETITE.VALEUR(SI(Tableau4[Nr facture]=facture!$C$11;LIGNE(Tableau4[Nr facture])-LIGNE(historique_vente!$C$4)+1;"");LIGNES($B$15:D15)));"")</t>
  </si>
  <si>
    <t>=SIERREUR(INDEX(Tableau4[Nombre];PETITE.VALEUR(SI(Tableau4[Nr facture]=facture!$C$11;LIGNE(Tableau4[Nr facture])-LIGNE(historique_vente!$C$4)+1;"");LIGNES($B$15:E15)));"")</t>
  </si>
  <si>
    <t>=SIERREUR((E15*D15);"")</t>
  </si>
  <si>
    <t>=SIERREUR(INDEX(Tableau4[Nr article];PETITE.VALEUR(SI(Tableau4[Nr facture]=facture!$C$11;LIGNE(Tableau4[Nr facture])-LIGNE(historique_vente!$C$4)+1;"");LIGNES($B$15:B16)));"")</t>
  </si>
  <si>
    <t>=SIERREUR(INDEX(Tableau4[article];PETITE.VALEUR(SI(Tableau4[Nr facture]=facture!$C$11;LIGNE(Tableau4[Nr facture])-LIGNE(historique_vente!$C$4)+1;"");LIGNES($B$15:C16)));"")</t>
  </si>
  <si>
    <t>=SIERREUR(INDEX(Tableau4[Prix htva];PETITE.VALEUR(SI(Tableau4[Nr facture]=facture!$C$11;LIGNE(Tableau4[Nr facture])-LIGNE(historique_vente!$C$4)+1;"");LIGNES($B$15:D16)));"")</t>
  </si>
  <si>
    <t>=SIERREUR(INDEX(Tableau4[Nombre];PETITE.VALEUR(SI(Tableau4[Nr facture]=facture!$C$11;LIGNE(Tableau4[Nr facture])-LIGNE(historique_vente!$C$4)+1;"");LIGNES($B$15:E16)));"")</t>
  </si>
  <si>
    <t>=SIERREUR((E16*D16);"")</t>
  </si>
  <si>
    <t>=SIERREUR(INDEX(Tableau4[Nr article];PETITE.VALEUR(SI(Tableau4[Nr facture]=facture!$C$11;LIGNE(Tableau4[Nr facture])-LIGNE(historique_vente!$C$4)+1;"");LIGNES($B$15:B17)));"")</t>
  </si>
  <si>
    <t>=SIERREUR(INDEX(Tableau4[article];PETITE.VALEUR(SI(Tableau4[Nr facture]=facture!$C$11;LIGNE(Tableau4[Nr facture])-LIGNE(historique_vente!$C$4)+1;"");LIGNES($B$15:C17)));"")</t>
  </si>
  <si>
    <t>=SIERREUR(INDEX(Tableau4[Prix htva];PETITE.VALEUR(SI(Tableau4[Nr facture]=facture!$C$11;LIGNE(Tableau4[Nr facture])-LIGNE(historique_vente!$C$4)+1;"");LIGNES($B$15:D17)));"")</t>
  </si>
  <si>
    <t>=SIERREUR(INDEX(Tableau4[Nombre];PETITE.VALEUR(SI(Tableau4[Nr facture]=facture!$C$11;LIGNE(Tableau4[Nr facture])-LIGNE(historique_vente!$C$4)+1;"");LIGNES($B$15:E17)));"")</t>
  </si>
  <si>
    <t>=SIERREUR((E17*D17);"")</t>
  </si>
  <si>
    <t>=SIERREUR(INDEX(Tableau4[Nr article];PETITE.VALEUR(SI(Tableau4[Nr facture]=facture!$C$11;LIGNE(Tableau4[Nr facture])-LIGNE(historique_vente!$C$4)+1;"");LIGNES($B$15:B18)));"")</t>
  </si>
  <si>
    <t>=SIERREUR(INDEX(Tableau4[article];PETITE.VALEUR(SI(Tableau4[Nr facture]=facture!$C$11;LIGNE(Tableau4[Nr facture])-LIGNE(historique_vente!$C$4)+1;"");LIGNES($B$15:C18)));"")</t>
  </si>
  <si>
    <t>=SIERREUR(INDEX(Tableau4[Prix htva];PETITE.VALEUR(SI(Tableau4[Nr facture]=facture!$C$11;LIGNE(Tableau4[Nr facture])-LIGNE(historique_vente!$C$4)+1;"");LIGNES($B$15:D18)));"")</t>
  </si>
  <si>
    <t>=SIERREUR(INDEX(Tableau4[Nombre];PETITE.VALEUR(SI(Tableau4[Nr facture]=facture!$C$11;LIGNE(Tableau4[Nr facture])-LIGNE(historique_vente!$C$4)+1;"");LIGNES($B$15:E18)));"")</t>
  </si>
  <si>
    <t>=SIERREUR((E18*D18);"")</t>
  </si>
  <si>
    <t>=SIERREUR(INDEX(Tableau4[Nr article];PETITE.VALEUR(SI(Tableau4[Nr facture]=facture!$C$11;LIGNE(Tableau4[Nr facture])-LIGNE(historique_vente!$C$4)+1;"");LIGNES($B$15:B19)));"")</t>
  </si>
  <si>
    <t>=SIERREUR(INDEX(Tableau4[article];PETITE.VALEUR(SI(Tableau4[Nr facture]=facture!$C$11;LIGNE(Tableau4[Nr facture])-LIGNE(historique_vente!$C$4)+1;"");LIGNES($B$15:C19)));"")</t>
  </si>
  <si>
    <t>=SIERREUR(INDEX(Tableau4[Prix htva];PETITE.VALEUR(SI(Tableau4[Nr facture]=facture!$C$11;LIGNE(Tableau4[Nr facture])-LIGNE(historique_vente!$C$4)+1;"");LIGNES($B$15:D19)));"")</t>
  </si>
  <si>
    <t>=SIERREUR(INDEX(Tableau4[Nombre];PETITE.VALEUR(SI(Tableau4[Nr facture]=facture!$C$11;LIGNE(Tableau4[Nr facture])-LIGNE(historique_vente!$C$4)+1;"");LIGNES($B$15:E19)));"")</t>
  </si>
  <si>
    <t>=SIERREUR((E19*D19);"")</t>
  </si>
  <si>
    <t>=SIERREUR(INDEX(Tableau4[Nr article];PETITE.VALEUR(SI(Tableau4[Nr facture]=facture!$C$11;LIGNE(Tableau4[Nr facture])-LIGNE(historique_vente!$C$4)+1;"");LIGNES($B$15:B20)));"")</t>
  </si>
  <si>
    <t>=SIERREUR(INDEX(Tableau4[article];PETITE.VALEUR(SI(Tableau4[Nr facture]=facture!$C$11;LIGNE(Tableau4[Nr facture])-LIGNE(historique_vente!$C$4)+1;"");LIGNES($B$15:C20)));"")</t>
  </si>
  <si>
    <t>=SIERREUR(INDEX(Tableau4[Prix htva];PETITE.VALEUR(SI(Tableau4[Nr facture]=facture!$C$11;LIGNE(Tableau4[Nr facture])-LIGNE(historique_vente!$C$4)+1;"");LIGNES($B$15:D20)));"")</t>
  </si>
  <si>
    <t>=SIERREUR(INDEX(Tableau4[Nombre];PETITE.VALEUR(SI(Tableau4[Nr facture]=facture!$C$11;LIGNE(Tableau4[Nr facture])-LIGNE(historique_vente!$C$4)+1;"");LIGNES($B$15:E20)));"")</t>
  </si>
  <si>
    <t>=SIERREUR((E20*D20);"")</t>
  </si>
  <si>
    <t>=SIERREUR(INDEX(Tableau4[Nr article];PETITE.VALEUR(SI(Tableau4[Nr facture]=facture!$C$11;LIGNE(Tableau4[Nr facture])-LIGNE(historique_vente!$C$4)+1;"");LIGNES($B$15:B21)));"")</t>
  </si>
  <si>
    <t>=SIERREUR(INDEX(Tableau4[article];PETITE.VALEUR(SI(Tableau4[Nr facture]=facture!$C$11;LIGNE(Tableau4[Nr facture])-LIGNE(historique_vente!$C$4)+1;"");LIGNES($B$15:C21)));"")</t>
  </si>
  <si>
    <t>=SIERREUR(INDEX(Tableau4[Prix htva];PETITE.VALEUR(SI(Tableau4[Nr facture]=facture!$C$11;LIGNE(Tableau4[Nr facture])-LIGNE(historique_vente!$C$4)+1;"");LIGNES($B$15:D21)));"")</t>
  </si>
  <si>
    <t>=SIERREUR(INDEX(Tableau4[Nombre];PETITE.VALEUR(SI(Tableau4[Nr facture]=facture!$C$11;LIGNE(Tableau4[Nr facture])-LIGNE(historique_vente!$C$4)+1;"");LIGNES($B$15:E21)));"")</t>
  </si>
  <si>
    <t>=SIERREUR((E21*D21);"")</t>
  </si>
  <si>
    <t>=SIERREUR(INDEX(Tableau4[Nr article];PETITE.VALEUR(SI(Tableau4[Nr facture]=facture!$C$11;LIGNE(Tableau4[Nr facture])-LIGNE(historique_vente!$C$4)+1;"");LIGNES($B$15:B22)));"")</t>
  </si>
  <si>
    <t>=SIERREUR(INDEX(Tableau4[article];PETITE.VALEUR(SI(Tableau4[Nr facture]=facture!$C$11;LIGNE(Tableau4[Nr facture])-LIGNE(historique_vente!$C$4)+1;"");LIGNES($B$15:C22)));"")</t>
  </si>
  <si>
    <t>=SIERREUR(INDEX(Tableau4[Prix htva];PETITE.VALEUR(SI(Tableau4[Nr facture]=facture!$C$11;LIGNE(Tableau4[Nr facture])-LIGNE(historique_vente!$C$4)+1;"");LIGNES($B$15:D22)));"")</t>
  </si>
  <si>
    <t>=SIERREUR(INDEX(Tableau4[Nombre];PETITE.VALEUR(SI(Tableau4[Nr facture]=facture!$C$11;LIGNE(Tableau4[Nr facture])-LIGNE(historique_vente!$C$4)+1;"");LIGNES($B$15:E22)));"")</t>
  </si>
  <si>
    <t>=SIERREUR((E22*D22);"")</t>
  </si>
  <si>
    <t>=SIERREUR(INDEX(Tableau4[Nr article];PETITE.VALEUR(SI(Tableau4[Nr facture]=facture!$C$11;LIGNE(Tableau4[Nr facture])-LIGNE(historique_vente!$C$4)+1;"");LIGNES($B$15:B23)));"")</t>
  </si>
  <si>
    <t>=SIERREUR(INDEX(Tableau4[article];PETITE.VALEUR(SI(Tableau4[Nr facture]=facture!$C$11;LIGNE(Tableau4[Nr facture])-LIGNE(historique_vente!$C$4)+1;"");LIGNES($B$15:C23)));"")</t>
  </si>
  <si>
    <t>=SIERREUR(INDEX(Tableau4[Prix htva];PETITE.VALEUR(SI(Tableau4[Nr facture]=facture!$C$11;LIGNE(Tableau4[Nr facture])-LIGNE(historique_vente!$C$4)+1;"");LIGNES($B$15:D23)));"")</t>
  </si>
  <si>
    <t>=SIERREUR(INDEX(Tableau4[Nombre];PETITE.VALEUR(SI(Tableau4[Nr facture]=facture!$C$11;LIGNE(Tableau4[Nr facture])-LIGNE(historique_vente!$C$4)+1;"");LIGNES($B$15:E23)));"")</t>
  </si>
  <si>
    <t>=SIERREUR((E23*D23);"")</t>
  </si>
  <si>
    <t>=SIERREUR(INDEX(Tableau4[Nr article];PETITE.VALEUR(SI(Tableau4[Nr facture]=facture!$C$11;LIGNE(Tableau4[Nr facture])-LIGNE(historique_vente!$C$4)+1;"");LIGNES($B$15:B24)));"")</t>
  </si>
  <si>
    <t>=SIERREUR(INDEX(Tableau4[article];PETITE.VALEUR(SI(Tableau4[Nr facture]=facture!$C$11;LIGNE(Tableau4[Nr facture])-LIGNE(historique_vente!$C$4)+1;"");LIGNES($B$15:C24)));"")</t>
  </si>
  <si>
    <t>=SIERREUR(INDEX(Tableau4[Prix htva];PETITE.VALEUR(SI(Tableau4[Nr facture]=facture!$C$11;LIGNE(Tableau4[Nr facture])-LIGNE(historique_vente!$C$4)+1;"");LIGNES($B$15:D24)));"")</t>
  </si>
  <si>
    <t>=SIERREUR(INDEX(Tableau4[Nombre];PETITE.VALEUR(SI(Tableau4[Nr facture]=facture!$C$11;LIGNE(Tableau4[Nr facture])-LIGNE(historique_vente!$C$4)+1;"");LIGNES($B$15:E24)));"")</t>
  </si>
  <si>
    <t>=SIERREUR((E24*D24);"")</t>
  </si>
  <si>
    <t>=SIERREUR(INDEX(Tableau4[Nr article];PETITE.VALEUR(SI(Tableau4[Nr facture]=facture!$C$11;LIGNE(Tableau4[Nr facture])-LIGNE(historique_vente!$C$4)+1;"");LIGNES($B$15:B25)));"")</t>
  </si>
  <si>
    <t>=SIERREUR(INDEX(Tableau4[article];PETITE.VALEUR(SI(Tableau4[Nr facture]=facture!$C$11;LIGNE(Tableau4[Nr facture])-LIGNE(historique_vente!$C$4)+1;"");LIGNES($B$15:C25)));"")</t>
  </si>
  <si>
    <t>=SIERREUR(INDEX(Tableau4[Prix htva];PETITE.VALEUR(SI(Tableau4[Nr facture]=facture!$C$11;LIGNE(Tableau4[Nr facture])-LIGNE(historique_vente!$C$4)+1;"");LIGNES($B$15:D25)));"")</t>
  </si>
  <si>
    <t>=SIERREUR(INDEX(Tableau4[Nombre];PETITE.VALEUR(SI(Tableau4[Nr facture]=facture!$C$11;LIGNE(Tableau4[Nr facture])-LIGNE(historique_vente!$C$4)+1;"");LIGNES($B$15:E25)));"")</t>
  </si>
  <si>
    <t>=SIERREUR((E25*D25);"")</t>
  </si>
  <si>
    <t>=SIERREUR(INDEX(Tableau4[Nr article];PETITE.VALEUR(SI(Tableau4[Nr facture]=facture!$C$11;LIGNE(Tableau4[Nr facture])-LIGNE(historique_vente!$C$4)+1;"");LIGNES($B$15:B26)));"")</t>
  </si>
  <si>
    <t>=SIERREUR(INDEX(Tableau4[article];PETITE.VALEUR(SI(Tableau4[Nr facture]=facture!$C$11;LIGNE(Tableau4[Nr facture])-LIGNE(historique_vente!$C$4)+1;"");LIGNES($B$15:C26)));"")</t>
  </si>
  <si>
    <t>=SIERREUR(INDEX(Tableau4[Prix htva];PETITE.VALEUR(SI(Tableau4[Nr facture]=facture!$C$11;LIGNE(Tableau4[Nr facture])-LIGNE(historique_vente!$C$4)+1;"");LIGNES($B$15:D26)));"")</t>
  </si>
  <si>
    <t>=SIERREUR(INDEX(Tableau4[Nombre];PETITE.VALEUR(SI(Tableau4[Nr facture]=facture!$C$11;LIGNE(Tableau4[Nr facture])-LIGNE(historique_vente!$C$4)+1;"");LIGNES($B$15:E26)));"")</t>
  </si>
  <si>
    <t>=SIERREUR((E26*D26);"")</t>
  </si>
  <si>
    <t>=SIERREUR(INDEX(Tableau4[Nr article];PETITE.VALEUR(SI(Tableau4[Nr facture]=facture!$C$11;LIGNE(Tableau4[Nr facture])-LIGNE(historique_vente!$C$4)+1;"");LIGNES($B$15:B27)));"")</t>
  </si>
  <si>
    <t>=SIERREUR(INDEX(Tableau4[article];PETITE.VALEUR(SI(Tableau4[Nr facture]=facture!$C$11;LIGNE(Tableau4[Nr facture])-LIGNE(historique_vente!$C$4)+1;"");LIGNES($B$15:C27)));"")</t>
  </si>
  <si>
    <t>=SIERREUR(INDEX(Tableau4[Prix htva];PETITE.VALEUR(SI(Tableau4[Nr facture]=facture!$C$11;LIGNE(Tableau4[Nr facture])-LIGNE(historique_vente!$C$4)+1;"");LIGNES($B$15:D27)));"")</t>
  </si>
  <si>
    <t>=SIERREUR(INDEX(Tableau4[Nombre];PETITE.VALEUR(SI(Tableau4[Nr facture]=facture!$C$11;LIGNE(Tableau4[Nr facture])-LIGNE(historique_vente!$C$4)+1;"");LIGNES($B$15:E27)));"")</t>
  </si>
  <si>
    <t>=SIERREUR((E27*D27);"")</t>
  </si>
  <si>
    <t>=SIERREUR(INDEX(Tableau4[Nr article];PETITE.VALEUR(SI(Tableau4[Nr facture]=facture!$C$11;LIGNE(Tableau4[Nr facture])-LIGNE(historique_vente!$C$4)+1;"");LIGNES($B$15:B28)));"")</t>
  </si>
  <si>
    <t>=SIERREUR(INDEX(Tableau4[article];PETITE.VALEUR(SI(Tableau4[Nr facture]=facture!$C$11;LIGNE(Tableau4[Nr facture])-LIGNE(historique_vente!$C$4)+1;"");LIGNES($B$15:C28)));"")</t>
  </si>
  <si>
    <t>=SIERREUR(INDEX(Tableau4[Prix htva];PETITE.VALEUR(SI(Tableau4[Nr facture]=facture!$C$11;LIGNE(Tableau4[Nr facture])-LIGNE(historique_vente!$C$4)+1;"");LIGNES($B$15:D28)));"")</t>
  </si>
  <si>
    <t>=SIERREUR(INDEX(Tableau4[Nombre];PETITE.VALEUR(SI(Tableau4[Nr facture]=facture!$C$11;LIGNE(Tableau4[Nr facture])-LIGNE(historique_vente!$C$4)+1;"");LIGNES($B$15:E28)));"")</t>
  </si>
  <si>
    <t>=SIERREUR((E28*D28);"")</t>
  </si>
  <si>
    <t>=SIERREUR(INDEX(Tableau4[Nr article];PETITE.VALEUR(SI(Tableau4[Nr facture]=facture!$C$11;LIGNE(Tableau4[Nr facture])-LIGNE(historique_vente!$C$4)+1;"");LIGNES($B$15:B29)));"")</t>
  </si>
  <si>
    <t>=SIERREUR(INDEX(Tableau4[article];PETITE.VALEUR(SI(Tableau4[Nr facture]=facture!$C$11;LIGNE(Tableau4[Nr facture])-LIGNE(historique_vente!$C$4)+1;"");LIGNES($B$15:C29)));"")</t>
  </si>
  <si>
    <t>=SIERREUR(INDEX(Tableau4[Prix htva];PETITE.VALEUR(SI(Tableau4[Nr facture]=facture!$C$11;LIGNE(Tableau4[Nr facture])-LIGNE(historique_vente!$C$4)+1;"");LIGNES($B$15:D29)));"")</t>
  </si>
  <si>
    <t>=SIERREUR(INDEX(Tableau4[Nombre];PETITE.VALEUR(SI(Tableau4[Nr facture]=facture!$C$11;LIGNE(Tableau4[Nr facture])-LIGNE(historique_vente!$C$4)+1;"");LIGNES($B$15:E29)));"")</t>
  </si>
  <si>
    <t>=SIERREUR((E29*D29);"")</t>
  </si>
  <si>
    <t>=SIERREUR(INDEX(Tableau4[Nr article];PETITE.VALEUR(SI(Tableau4[Nr facture]=facture!$C$11;LIGNE(Tableau4[Nr facture])-LIGNE(historique_vente!$C$4)+1;"");LIGNES($B$15:B30)));"")</t>
  </si>
  <si>
    <t>=SIERREUR(INDEX(Tableau4[article];PETITE.VALEUR(SI(Tableau4[Nr facture]=facture!$C$11;LIGNE(Tableau4[Nr facture])-LIGNE(historique_vente!$C$4)+1;"");LIGNES($B$15:C30)));"")</t>
  </si>
  <si>
    <t>=SIERREUR(INDEX(Tableau4[Prix htva];PETITE.VALEUR(SI(Tableau4[Nr facture]=facture!$C$11;LIGNE(Tableau4[Nr facture])-LIGNE(historique_vente!$C$4)+1;"");LIGNES($B$15:D30)));"")</t>
  </si>
  <si>
    <t>=SIERREUR(INDEX(Tableau4[Nombre];PETITE.VALEUR(SI(Tableau4[Nr facture]=facture!$C$11;LIGNE(Tableau4[Nr facture])-LIGNE(historique_vente!$C$4)+1;"");LIGNES($B$15:E30)));"")</t>
  </si>
  <si>
    <t>=SIERREUR((E30*D30);"")</t>
  </si>
  <si>
    <t>=SIERREUR(INDEX(Tableau4[Nr article];PETITE.VALEUR(SI(Tableau4[Nr facture]=facture!$C$11;LIGNE(Tableau4[Nr facture])-LIGNE(historique_vente!$C$4)+1;"");LIGNES($B$15:B31)));"")</t>
  </si>
  <si>
    <t>=SIERREUR(INDEX(Tableau4[article];PETITE.VALEUR(SI(Tableau4[Nr facture]=facture!$C$11;LIGNE(Tableau4[Nr facture])-LIGNE(historique_vente!$C$4)+1;"");LIGNES($B$15:C31)));"")</t>
  </si>
  <si>
    <t>=SIERREUR(INDEX(Tableau4[Prix htva];PETITE.VALEUR(SI(Tableau4[Nr facture]=facture!$C$11;LIGNE(Tableau4[Nr facture])-LIGNE(historique_vente!$C$4)+1;"");LIGNES($B$15:D31)));"")</t>
  </si>
  <si>
    <t>=SIERREUR(INDEX(Tableau4[Nombre];PETITE.VALEUR(SI(Tableau4[Nr facture]=facture!$C$11;LIGNE(Tableau4[Nr facture])-LIGNE(historique_vente!$C$4)+1;"");LIGNES($B$15:E31)));"")</t>
  </si>
  <si>
    <t>=SIERREUR((E31*D31);"")</t>
  </si>
  <si>
    <t>=SIERREUR(INDEX(Tableau4[Nr article];PETITE.VALEUR(SI(Tableau4[Nr facture]=facture!$C$11;LIGNE(Tableau4[Nr facture])-LIGNE(historique_vente!$C$4)+1;"");LIGNES($B$15:B32)));"")</t>
  </si>
  <si>
    <t>=SIERREUR(INDEX(Tableau4[article];PETITE.VALEUR(SI(Tableau4[Nr facture]=facture!$C$11;LIGNE(Tableau4[Nr facture])-LIGNE(historique_vente!$C$4)+1;"");LIGNES($B$15:C32)));"")</t>
  </si>
  <si>
    <t>=SIERREUR(INDEX(Tableau4[Prix htva];PETITE.VALEUR(SI(Tableau4[Nr facture]=facture!$C$11;LIGNE(Tableau4[Nr facture])-LIGNE(historique_vente!$C$4)+1;"");LIGNES($B$15:D32)));"")</t>
  </si>
  <si>
    <t>=SIERREUR(INDEX(Tableau4[Nombre];PETITE.VALEUR(SI(Tableau4[Nr facture]=facture!$C$11;LIGNE(Tableau4[Nr facture])-LIGNE(historique_vente!$C$4)+1;"");LIGNES($B$15:E32)));"")</t>
  </si>
  <si>
    <t>=SIERREUR((E32*D32);"")</t>
  </si>
  <si>
    <t>=SIERREUR(INDEX(Tableau4[Nr article];PETITE.VALEUR(SI(Tableau4[Nr facture]=facture!$C$11;LIGNE(Tableau4[Nr facture])-LIGNE(historique_vente!$C$4)+1;"");LIGNES($B$15:B33)));"")</t>
  </si>
  <si>
    <t>=SIERREUR(INDEX(Tableau4[article];PETITE.VALEUR(SI(Tableau4[Nr facture]=facture!$C$11;LIGNE(Tableau4[Nr facture])-LIGNE(historique_vente!$C$4)+1;"");LIGNES($B$15:C33)));"")</t>
  </si>
  <si>
    <t>=SIERREUR(INDEX(Tableau4[Prix htva];PETITE.VALEUR(SI(Tableau4[Nr facture]=facture!$C$11;LIGNE(Tableau4[Nr facture])-LIGNE(historique_vente!$C$4)+1;"");LIGNES($B$15:D33)));"")</t>
  </si>
  <si>
    <t>=SIERREUR(INDEX(Tableau4[Nombre];PETITE.VALEUR(SI(Tableau4[Nr facture]=facture!$C$11;LIGNE(Tableau4[Nr facture])-LIGNE(historique_vente!$C$4)+1;"");LIGNES($B$15:E33)));"")</t>
  </si>
  <si>
    <t>=SIERREUR((E33*D33);"")</t>
  </si>
  <si>
    <t>=SIERREUR(INDEX(Tableau4[Nr article];PETITE.VALEUR(SI(Tableau4[Nr facture]=facture!$C$11;LIGNE(Tableau4[Nr facture])-LIGNE(historique_vente!$C$4)+1;"");LIGNES($B$15:B34)));"")</t>
  </si>
  <si>
    <t>=SIERREUR(INDEX(Tableau4[article];PETITE.VALEUR(SI(Tableau4[Nr facture]=facture!$C$11;LIGNE(Tableau4[Nr facture])-LIGNE(historique_vente!$C$4)+1;"");LIGNES($B$15:C34)));"")</t>
  </si>
  <si>
    <t>=SIERREUR(INDEX(Tableau4[Prix htva];PETITE.VALEUR(SI(Tableau4[Nr facture]=facture!$C$11;LIGNE(Tableau4[Nr facture])-LIGNE(historique_vente!$C$4)+1;"");LIGNES($B$15:D34)));"")</t>
  </si>
  <si>
    <t>=SIERREUR(INDEX(Tableau4[Nombre];PETITE.VALEUR(SI(Tableau4[Nr facture]=facture!$C$11;LIGNE(Tableau4[Nr facture])-LIGNE(historique_vente!$C$4)+1;"");LIGNES($B$15:E34)));"")</t>
  </si>
  <si>
    <t>=SIERREUR((E34*D34);"")</t>
  </si>
  <si>
    <t>=SIERREUR(INDEX(Tableau4[Nr article];PETITE.VALEUR(SI(Tableau4[Nr facture]=facture!$C$11;LIGNE(Tableau4[Nr facture])-LIGNE(historique_vente!$C$4)+1;"");LIGNES($B$15:B35)));"")</t>
  </si>
  <si>
    <t>=SIERREUR(INDEX(Tableau4[article];PETITE.VALEUR(SI(Tableau4[Nr facture]=facture!$C$11;LIGNE(Tableau4[Nr facture])-LIGNE(historique_vente!$C$4)+1;"");LIGNES($B$15:C35)));"")</t>
  </si>
  <si>
    <t>=SIERREUR(INDEX(Tableau4[Prix htva];PETITE.VALEUR(SI(Tableau4[Nr facture]=facture!$C$11;LIGNE(Tableau4[Nr facture])-LIGNE(historique_vente!$C$4)+1;"");LIGNES($B$15:D35)));"")</t>
  </si>
  <si>
    <t>=SIERREUR(INDEX(Tableau4[Nombre];PETITE.VALEUR(SI(Tableau4[Nr facture]=facture!$C$11;LIGNE(Tableau4[Nr facture])-LIGNE(historique_vente!$C$4)+1;"");LIGNES($B$15:E35)));"")</t>
  </si>
  <si>
    <t>=SIERREUR((E35*D35);"")</t>
  </si>
  <si>
    <t>=SIERREUR(INDEX(Tableau4[Nr article];PETITE.VALEUR(SI(Tableau4[Nr facture]=facture!$C$11;LIGNE(Tableau4[Nr facture])-LIGNE(historique_vente!$C$4)+1;"");LIGNES($B$15:B36)));"")</t>
  </si>
  <si>
    <t>=SIERREUR(INDEX(Tableau4[article];PETITE.VALEUR(SI(Tableau4[Nr facture]=facture!$C$11;LIGNE(Tableau4[Nr facture])-LIGNE(historique_vente!$C$4)+1;"");LIGNES($B$15:C36)));"")</t>
  </si>
  <si>
    <t>=SIERREUR(INDEX(Tableau4[Prix htva];PETITE.VALEUR(SI(Tableau4[Nr facture]=facture!$C$11;LIGNE(Tableau4[Nr facture])-LIGNE(historique_vente!$C$4)+1;"");LIGNES($B$15:D36)));"")</t>
  </si>
  <si>
    <t>=SIERREUR(INDEX(Tableau4[Nombre];PETITE.VALEUR(SI(Tableau4[Nr facture]=facture!$C$11;LIGNE(Tableau4[Nr facture])-LIGNE(historique_vente!$C$4)+1;"");LIGNES($B$15:E36)));"")</t>
  </si>
  <si>
    <t>=SIERREUR((E36*D36);"")</t>
  </si>
  <si>
    <t>=SIERREUR(INDEX(Tableau4[Nr article];PETITE.VALEUR(SI(Tableau4[Nr facture]=facture!$C$11;LIGNE(Tableau4[Nr facture])-LIGNE(historique_vente!$C$4)+1;"");LIGNES($B$15:B37)));"")</t>
  </si>
  <si>
    <t>=SIERREUR(INDEX(Tableau4[article];PETITE.VALEUR(SI(Tableau4[Nr facture]=facture!$C$11;LIGNE(Tableau4[Nr facture])-LIGNE(historique_vente!$C$4)+1;"");LIGNES($B$15:C37)));"")</t>
  </si>
  <si>
    <t>=SIERREUR(INDEX(Tableau4[Prix htva];PETITE.VALEUR(SI(Tableau4[Nr facture]=facture!$C$11;LIGNE(Tableau4[Nr facture])-LIGNE(historique_vente!$C$4)+1;"");LIGNES($B$15:D37)));"")</t>
  </si>
  <si>
    <t>=SIERREUR(INDEX(Tableau4[Nombre];PETITE.VALEUR(SI(Tableau4[Nr facture]=facture!$C$11;LIGNE(Tableau4[Nr facture])-LIGNE(historique_vente!$C$4)+1;"");LIGNES($B$15:E37)));"")</t>
  </si>
  <si>
    <t>=SIERREUR((E37*D37);"")</t>
  </si>
  <si>
    <t>=SIERREUR(INDEX(Tableau4[Nr article];PETITE.VALEUR(SI(Tableau4[Nr facture]=facture!$C$11;LIGNE(Tableau4[Nr facture])-LIGNE(historique_vente!$C$4)+1;"");LIGNES($B$15:B38)));"")</t>
  </si>
  <si>
    <t>=SIERREUR(INDEX(Tableau4[article];PETITE.VALEUR(SI(Tableau4[Nr facture]=facture!$C$11;LIGNE(Tableau4[Nr facture])-LIGNE(historique_vente!$C$4)+1;"");LIGNES($B$15:C38)));"")</t>
  </si>
  <si>
    <t>=SIERREUR(INDEX(Tableau4[Prix htva];PETITE.VALEUR(SI(Tableau4[Nr facture]=facture!$C$11;LIGNE(Tableau4[Nr facture])-LIGNE(historique_vente!$C$4)+1;"");LIGNES($B$15:D38)));"")</t>
  </si>
  <si>
    <t>=SIERREUR(INDEX(Tableau4[Nombre];PETITE.VALEUR(SI(Tableau4[Nr facture]=facture!$C$11;LIGNE(Tableau4[Nr facture])-LIGNE(historique_vente!$C$4)+1;"");LIGNES($B$15:E38)));"")</t>
  </si>
  <si>
    <t>=SIERREUR((E38*D38);"")</t>
  </si>
  <si>
    <t>=SIERREUR(INDEX(Tableau4[Nr article];PETITE.VALEUR(SI(Tableau4[Nr facture]=facture!$C$11;LIGNE(Tableau4[Nr facture])-LIGNE(historique_vente!$C$4)+1;"");LIGNES($B$15:B39)));"")</t>
  </si>
  <si>
    <t>=SIERREUR(INDEX(Tableau4[article];PETITE.VALEUR(SI(Tableau4[Nr facture]=facture!$C$11;LIGNE(Tableau4[Nr facture])-LIGNE(historique_vente!$C$4)+1;"");LIGNES($B$15:C39)));"")</t>
  </si>
  <si>
    <t>=SIERREUR(INDEX(Tableau4[Prix htva];PETITE.VALEUR(SI(Tableau4[Nr facture]=facture!$C$11;LIGNE(Tableau4[Nr facture])-LIGNE(historique_vente!$C$4)+1;"");LIGNES($B$15:D39)));"")</t>
  </si>
  <si>
    <t>=SIERREUR(INDEX(Tableau4[Nombre];PETITE.VALEUR(SI(Tableau4[Nr facture]=facture!$C$11;LIGNE(Tableau4[Nr facture])-LIGNE(historique_vente!$C$4)+1;"");LIGNES($B$15:E39)));"")</t>
  </si>
  <si>
    <t>=SIERREUR((E39*D39);"")</t>
  </si>
  <si>
    <t>=SIERREUR("Montant à payer dans les 30 jours : "&amp;TEXTE(E11+30;"jj/mm/aaaa");"")</t>
  </si>
  <si>
    <t>=SIERREUR(SOMME(F15:F39);"")</t>
  </si>
  <si>
    <t>=SIERREUR("Remise :"&amp;TEXTE(INDEX(Tableau4[remise];EQUIV(facture!C11;Tableau4[Nr facture];0));"0%");"")</t>
  </si>
  <si>
    <t>=SIERREUR(((F42-F43)+F44);"")</t>
  </si>
  <si>
    <t>=SIERREUR((F45-F47);"")</t>
  </si>
  <si>
    <t>=NB(Tableau5[Nr facture])</t>
  </si>
  <si>
    <t>=SIERREUR(PETITE.VALEUR(Tableau4[Nr facture];LIGNE(1:1));"")</t>
  </si>
  <si>
    <t>=SIERREUR(INDEX(Tableau4[Nr client];EQUIV(suivi_facture!B4;Tableau4[Nr facture];0));"")</t>
  </si>
  <si>
    <t>=SIERREUR(INDEX(Tableau4[Date];EQUIV(suivi_facture!B4;Tableau4[Nr facture];0));"")</t>
  </si>
  <si>
    <t>=SIERREUR(SOMME.SI(Tableau4[Nr facture];suivi_facture!B4;Tableau4[Total]);"")</t>
  </si>
  <si>
    <t>=SIERREUR(E4*INDEX(Tableau4[remise];EQUIV(suivi_facture!B4;Tableau4[Nr facture];0));"")</t>
  </si>
  <si>
    <t>=SIERREUR(((E4-F4)*1,21);"")</t>
  </si>
  <si>
    <t>=SIERREUR(SOMME.SI.ENS(Tableau7[Montant];Tableau7[Type];"acompte";Tableau7[Nr facture];Tableau5[[#Cette ligne];[Nr facture]]);"")</t>
  </si>
  <si>
    <t>=SIERREUR(SOMME.SI.ENS(Tableau7[Montant];Tableau7[Type];"versement";Tableau7[Nr facture];Tableau5[[#Cette ligne];[Nr facture]]);"")</t>
  </si>
  <si>
    <t>=SIERREUR(ARRONDI((G4-H4-I4);2);"")</t>
  </si>
  <si>
    <t>=SIERREUR(SI(ET(J4&gt;0;D4+30&lt;AUJOURDHUI());"Alerte";SI(J4&gt;0;"Open";"Close"));"")</t>
  </si>
  <si>
    <t>=SIERREUR(PETITE.VALEUR(Tableau4[Nr facture];LIGNE(2:2));"")</t>
  </si>
  <si>
    <t>=SIERREUR(INDEX(Tableau4[Nr client];EQUIV(suivi_facture!B5;Tableau4[Nr facture];0));"")</t>
  </si>
  <si>
    <t>=SIERREUR(INDEX(Tableau4[Date];EQUIV(suivi_facture!B5;Tableau4[Nr facture];0));"")</t>
  </si>
  <si>
    <t>=SIERREUR(SOMME.SI(Tableau4[Nr facture];suivi_facture!B5;Tableau4[Total]);"")</t>
  </si>
  <si>
    <t>=SIERREUR(E5*INDEX(Tableau4[remise];EQUIV(suivi_facture!B5;Tableau4[Nr facture];0));"")</t>
  </si>
  <si>
    <t>=SIERREUR(((E5-F5)*1,21);"")</t>
  </si>
  <si>
    <t>=SIERREUR(ARRONDI((G5-H5-I5);2);"")</t>
  </si>
  <si>
    <t>=SIERREUR(SI(ET(J5&gt;0;D5+30&lt;AUJOURDHUI());"Alerte";SI(J5&gt;0;"Open";"Close"));"")</t>
  </si>
  <si>
    <t>=SIERREUR(PETITE.VALEUR(Tableau4[Nr facture];LIGNE(3:3));"")</t>
  </si>
  <si>
    <t>=SIERREUR(INDEX(Tableau4[Nr client];EQUIV(suivi_facture!B6;Tableau4[Nr facture];0));"")</t>
  </si>
  <si>
    <t>=SIERREUR(INDEX(Tableau4[Date];EQUIV(suivi_facture!B6;Tableau4[Nr facture];0));"")</t>
  </si>
  <si>
    <t>=SIERREUR(SOMME.SI(Tableau4[Nr facture];suivi_facture!B6;Tableau4[Total]);"")</t>
  </si>
  <si>
    <t>=SIERREUR(E6*INDEX(Tableau4[remise];EQUIV(suivi_facture!B6;Tableau4[Nr facture];0));"")</t>
  </si>
  <si>
    <t>=SIERREUR(((E6-F6)*1,21);"")</t>
  </si>
  <si>
    <t>=SIERREUR(ARRONDI((G6-H6-I6);2);"")</t>
  </si>
  <si>
    <t>=SIERREUR(SI(ET(J6&gt;0;D6+30&lt;AUJOURDHUI());"Alerte";SI(J6&gt;0;"Open";"Close"));"")</t>
  </si>
  <si>
    <t>=SIERREUR(PETITE.VALEUR(Tableau4[Nr facture];LIGNE(4:4));"")</t>
  </si>
  <si>
    <t>=SIERREUR(INDEX(Tableau4[Nr client];EQUIV(suivi_facture!B7;Tableau4[Nr facture];0));"")</t>
  </si>
  <si>
    <t>=SIERREUR(INDEX(Tableau4[Date];EQUIV(suivi_facture!B7;Tableau4[Nr facture];0));"")</t>
  </si>
  <si>
    <t>=SIERREUR(SOMME.SI(Tableau4[Nr facture];suivi_facture!B7;Tableau4[Total]);"")</t>
  </si>
  <si>
    <t>=SIERREUR(E7*INDEX(Tableau4[remise];EQUIV(suivi_facture!B7;Tableau4[Nr facture];0));"")</t>
  </si>
  <si>
    <t>=SIERREUR(((E7-F7)*1,21);"")</t>
  </si>
  <si>
    <t>=SIERREUR(ARRONDI((G7-H7-I7);2);"")</t>
  </si>
  <si>
    <t>=SIERREUR(SI(ET(J7&gt;0;D7+30&lt;AUJOURDHUI());"Alerte";SI(J7&gt;0;"Open";"Close"));"")</t>
  </si>
  <si>
    <t>=SIERREUR(PETITE.VALEUR(Tableau4[Nr facture];LIGNE(5:5));"")</t>
  </si>
  <si>
    <t>=SIERREUR(INDEX(Tableau4[Nr client];EQUIV(suivi_facture!B8;Tableau4[Nr facture];0));"")</t>
  </si>
  <si>
    <t>=SIERREUR(INDEX(Tableau4[Date];EQUIV(suivi_facture!B8;Tableau4[Nr facture];0));"")</t>
  </si>
  <si>
    <t>=SIERREUR(SOMME.SI(Tableau4[Nr facture];suivi_facture!B8;Tableau4[Total]);"")</t>
  </si>
  <si>
    <t>=SIERREUR(E8*INDEX(Tableau4[remise];EQUIV(suivi_facture!B8;Tableau4[Nr facture];0));"")</t>
  </si>
  <si>
    <t>=SIERREUR(((E8-F8)*1,21);"")</t>
  </si>
  <si>
    <t>=SIERREUR(ARRONDI((G8-H8-I8);2);"")</t>
  </si>
  <si>
    <t>=SIERREUR(SI(ET(J8&gt;0;D8+30&lt;AUJOURDHUI());"Alerte";SI(J8&gt;0;"Open";"Close"));"")</t>
  </si>
  <si>
    <t>=SIERREUR(PETITE.VALEUR(Tableau4[Nr facture];LIGNE(6:6));"")</t>
  </si>
  <si>
    <t>=SIERREUR(INDEX(Tableau4[Nr client];EQUIV(suivi_facture!B9;Tableau4[Nr facture];0));"")</t>
  </si>
  <si>
    <t>=SIERREUR(INDEX(Tableau4[Date];EQUIV(suivi_facture!B9;Tableau4[Nr facture];0));"")</t>
  </si>
  <si>
    <t>=SIERREUR(SOMME.SI(Tableau4[Nr facture];suivi_facture!B9;Tableau4[Total]);"")</t>
  </si>
  <si>
    <t>=SIERREUR(E9*INDEX(Tableau4[remise];EQUIV(suivi_facture!B9;Tableau4[Nr facture];0));"")</t>
  </si>
  <si>
    <t>=SIERREUR(((E9-F9)*1,21);"")</t>
  </si>
  <si>
    <t>=SIERREUR(ARRONDI((G9-H9-I9);2);"")</t>
  </si>
  <si>
    <t>=SIERREUR(SI(ET(J9&gt;0;D9+30&lt;AUJOURDHUI());"Alerte";SI(J9&gt;0;"Open";"Close"));"")</t>
  </si>
  <si>
    <t>=SIERREUR(PETITE.VALEUR(Tableau4[Nr facture];LIGNE(7:7));"")</t>
  </si>
  <si>
    <t>=SIERREUR(INDEX(Tableau4[Nr client];EQUIV(suivi_facture!B10;Tableau4[Nr facture];0));"")</t>
  </si>
  <si>
    <t>=SIERREUR(INDEX(Tableau4[Date];EQUIV(suivi_facture!B10;Tableau4[Nr facture];0));"")</t>
  </si>
  <si>
    <t>=SIERREUR(SOMME.SI(Tableau4[Nr facture];suivi_facture!B10;Tableau4[Total]);"")</t>
  </si>
  <si>
    <t>=SIERREUR(E10*INDEX(Tableau4[remise];EQUIV(suivi_facture!B10;Tableau4[Nr facture];0));"")</t>
  </si>
  <si>
    <t>=SIERREUR(((E10-F10)*1,21);"")</t>
  </si>
  <si>
    <t>=SIERREUR(ARRONDI((G10-H10-I10);2);"")</t>
  </si>
  <si>
    <t>=SIERREUR(SI(ET(J10&gt;0;D10+30&lt;AUJOURDHUI());"Alerte";SI(J10&gt;0;"Open";"Close"));"")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</si>
</sst>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40C]dd\-mmm\-yy;@"/>
    <numFmt numFmtId="167" formatCode="&quot;F&quot;#,##0.00_);[Red]\(&quot;F&quot;#,##0.00\)"/>
    <numFmt numFmtId="168" formatCode="#,##0.00&quot;F&quot;_);[Red]\(#,##0.00&quot;F&quot;\)"/>
    <numFmt numFmtId="169" formatCode="#,##0;[Red]\-#,##0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MS Sans Serif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141414"/>
      <name val="Segoe UI"/>
      <family val="2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Segoe U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EFEFE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 style="medium">
        <color rgb="FFD8D8D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5" fillId="0" borderId="0"/>
  </cellStyleXfs>
  <cellXfs count="15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2" fillId="0" borderId="0" xfId="0" applyFont="1"/>
    <xf numFmtId="164" fontId="7" fillId="0" borderId="0" xfId="1" applyFont="1" applyAlignment="1">
      <alignment horizontal="center" vertical="center"/>
    </xf>
    <xf numFmtId="0" fontId="3" fillId="0" borderId="0" xfId="0" applyFont="1"/>
    <xf numFmtId="166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/>
    </xf>
    <xf numFmtId="9" fontId="7" fillId="0" borderId="0" xfId="2" applyFont="1" applyAlignment="1">
      <alignment horizontal="center"/>
    </xf>
    <xf numFmtId="164" fontId="7" fillId="0" borderId="0" xfId="1" applyFont="1" applyAlignment="1">
      <alignment horizontal="center"/>
    </xf>
    <xf numFmtId="14" fontId="7" fillId="0" borderId="0" xfId="0" applyNumberFormat="1" applyFont="1"/>
    <xf numFmtId="0" fontId="7" fillId="3" borderId="11" xfId="0" applyFont="1" applyFill="1" applyBorder="1"/>
    <xf numFmtId="0" fontId="7" fillId="3" borderId="1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3" borderId="13" xfId="0" applyFont="1" applyFill="1" applyBorder="1"/>
    <xf numFmtId="0" fontId="7" fillId="0" borderId="14" xfId="0" applyFont="1" applyFill="1" applyBorder="1" applyAlignment="1">
      <alignment horizontal="center" vertical="center"/>
    </xf>
    <xf numFmtId="0" fontId="7" fillId="3" borderId="15" xfId="0" applyFont="1" applyFill="1" applyBorder="1"/>
    <xf numFmtId="9" fontId="7" fillId="3" borderId="16" xfId="2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vertical="center"/>
    </xf>
    <xf numFmtId="9" fontId="7" fillId="3" borderId="16" xfId="2" applyFont="1" applyFill="1" applyBorder="1" applyAlignment="1">
      <alignment horizontal="left" vertical="center" wrapText="1"/>
    </xf>
    <xf numFmtId="0" fontId="7" fillId="3" borderId="14" xfId="0" applyFont="1" applyFill="1" applyBorder="1" applyAlignment="1">
      <alignment vertical="center" wrapText="1"/>
    </xf>
    <xf numFmtId="0" fontId="7" fillId="3" borderId="17" xfId="0" applyFont="1" applyFill="1" applyBorder="1" applyAlignment="1">
      <alignment vertical="center"/>
    </xf>
    <xf numFmtId="0" fontId="7" fillId="0" borderId="0" xfId="0" applyFont="1" applyBorder="1"/>
    <xf numFmtId="49" fontId="7" fillId="0" borderId="0" xfId="3" applyNumberFormat="1" applyFont="1" applyAlignment="1">
      <alignment horizontal="center" vertical="center"/>
    </xf>
    <xf numFmtId="166" fontId="7" fillId="9" borderId="2" xfId="0" applyNumberFormat="1" applyFont="1" applyFill="1" applyBorder="1" applyAlignment="1">
      <alignment horizontal="left" vertical="center"/>
    </xf>
    <xf numFmtId="0" fontId="7" fillId="9" borderId="2" xfId="0" applyFont="1" applyFill="1" applyBorder="1" applyAlignment="1">
      <alignment horizontal="left" vertical="center"/>
    </xf>
    <xf numFmtId="0" fontId="7" fillId="0" borderId="17" xfId="0" applyFont="1" applyBorder="1" applyAlignment="1">
      <alignment horizontal="center" vertical="center"/>
    </xf>
    <xf numFmtId="166" fontId="7" fillId="9" borderId="2" xfId="0" applyNumberFormat="1" applyFont="1" applyFill="1" applyBorder="1" applyAlignment="1">
      <alignment horizontal="left" vertical="center" wrapText="1"/>
    </xf>
    <xf numFmtId="49" fontId="7" fillId="9" borderId="17" xfId="3" applyNumberFormat="1" applyFont="1" applyFill="1" applyBorder="1" applyAlignment="1">
      <alignment horizontal="left" vertical="center" wrapText="1"/>
    </xf>
    <xf numFmtId="0" fontId="7" fillId="9" borderId="2" xfId="0" applyFont="1" applyFill="1" applyBorder="1" applyAlignment="1">
      <alignment horizontal="left" vertical="center" wrapText="1"/>
    </xf>
    <xf numFmtId="0" fontId="7" fillId="0" borderId="10" xfId="0" applyFont="1" applyBorder="1" applyAlignment="1">
      <alignment horizontal="center" vertical="center"/>
    </xf>
    <xf numFmtId="17" fontId="7" fillId="0" borderId="10" xfId="0" applyNumberFormat="1" applyFont="1" applyBorder="1" applyAlignment="1">
      <alignment horizontal="center" vertical="center"/>
    </xf>
    <xf numFmtId="166" fontId="7" fillId="4" borderId="0" xfId="0" applyNumberFormat="1" applyFont="1" applyFill="1" applyBorder="1" applyAlignment="1">
      <alignment horizontal="center" vertical="center" wrapText="1"/>
    </xf>
    <xf numFmtId="49" fontId="7" fillId="4" borderId="0" xfId="3" applyNumberFormat="1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7" fillId="0" borderId="0" xfId="0" quotePrefix="1" applyFont="1" applyAlignment="1">
      <alignment vertical="center" wrapText="1"/>
    </xf>
    <xf numFmtId="0" fontId="7" fillId="0" borderId="0" xfId="0" quotePrefix="1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169" fontId="9" fillId="0" borderId="0" xfId="3" applyNumberFormat="1" applyFont="1" applyAlignment="1">
      <alignment vertical="center" wrapText="1"/>
    </xf>
    <xf numFmtId="169" fontId="9" fillId="0" borderId="0" xfId="3" applyNumberFormat="1" applyFont="1" applyAlignment="1">
      <alignment vertical="center"/>
    </xf>
    <xf numFmtId="0" fontId="9" fillId="0" borderId="0" xfId="0" applyFont="1" applyBorder="1" applyAlignment="1">
      <alignment horizontal="left" vertical="center"/>
    </xf>
    <xf numFmtId="169" fontId="9" fillId="0" borderId="0" xfId="3" applyNumberFormat="1" applyFont="1" applyAlignment="1">
      <alignment horizontal="left" vertical="center"/>
    </xf>
    <xf numFmtId="164" fontId="9" fillId="0" borderId="0" xfId="1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168" fontId="7" fillId="0" borderId="0" xfId="1" applyNumberFormat="1" applyFont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Border="1" applyAlignment="1">
      <alignment horizontal="center" vertical="center"/>
    </xf>
    <xf numFmtId="168" fontId="7" fillId="0" borderId="0" xfId="1" applyNumberFormat="1" applyFont="1" applyBorder="1" applyAlignment="1">
      <alignment horizontal="center" vertical="center"/>
    </xf>
    <xf numFmtId="0" fontId="7" fillId="8" borderId="0" xfId="0" applyFont="1" applyFill="1" applyBorder="1" applyAlignment="1">
      <alignment horizontal="left"/>
    </xf>
    <xf numFmtId="0" fontId="7" fillId="0" borderId="0" xfId="0" applyNumberFormat="1" applyFont="1" applyBorder="1" applyAlignment="1">
      <alignment horizontal="center" vertical="center"/>
    </xf>
    <xf numFmtId="0" fontId="7" fillId="0" borderId="0" xfId="0" applyFont="1" applyFill="1" applyBorder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0" borderId="22" xfId="0" applyFont="1" applyBorder="1"/>
    <xf numFmtId="0" fontId="7" fillId="0" borderId="17" xfId="0" applyFont="1" applyBorder="1"/>
    <xf numFmtId="0" fontId="2" fillId="0" borderId="6" xfId="0" applyFont="1" applyBorder="1"/>
    <xf numFmtId="0" fontId="7" fillId="0" borderId="7" xfId="0" applyFont="1" applyBorder="1"/>
    <xf numFmtId="0" fontId="7" fillId="0" borderId="17" xfId="0" applyFont="1" applyBorder="1" applyAlignment="1">
      <alignment horizontal="right"/>
    </xf>
    <xf numFmtId="166" fontId="2" fillId="0" borderId="0" xfId="0" applyNumberFormat="1" applyFont="1"/>
    <xf numFmtId="0" fontId="7" fillId="5" borderId="0" xfId="0" applyFont="1" applyFill="1"/>
    <xf numFmtId="0" fontId="6" fillId="6" borderId="1" xfId="0" applyFont="1" applyFill="1" applyBorder="1" applyAlignment="1">
      <alignment horizontal="center"/>
    </xf>
    <xf numFmtId="0" fontId="7" fillId="0" borderId="1" xfId="0" applyFont="1" applyBorder="1"/>
    <xf numFmtId="0" fontId="2" fillId="0" borderId="19" xfId="0" applyFont="1" applyBorder="1"/>
    <xf numFmtId="0" fontId="2" fillId="0" borderId="14" xfId="0" applyFont="1" applyBorder="1"/>
    <xf numFmtId="0" fontId="2" fillId="0" borderId="20" xfId="0" applyFont="1" applyBorder="1"/>
    <xf numFmtId="0" fontId="2" fillId="0" borderId="18" xfId="0" applyFont="1" applyBorder="1"/>
    <xf numFmtId="0" fontId="2" fillId="0" borderId="21" xfId="0" applyFont="1" applyBorder="1"/>
    <xf numFmtId="0" fontId="2" fillId="0" borderId="16" xfId="0" applyFont="1" applyBorder="1"/>
    <xf numFmtId="0" fontId="7" fillId="7" borderId="0" xfId="0" applyFont="1" applyFill="1"/>
    <xf numFmtId="9" fontId="7" fillId="0" borderId="0" xfId="0" applyNumberFormat="1" applyFont="1" applyAlignment="1">
      <alignment horizontal="center" vertical="center"/>
    </xf>
    <xf numFmtId="0" fontId="7" fillId="3" borderId="8" xfId="0" applyFont="1" applyFill="1" applyBorder="1" applyAlignment="1">
      <alignment horizontal="left" vertical="center"/>
    </xf>
    <xf numFmtId="0" fontId="7" fillId="3" borderId="2" xfId="0" applyFont="1" applyFill="1" applyBorder="1" applyAlignment="1">
      <alignment horizontal="left" vertical="center"/>
    </xf>
    <xf numFmtId="0" fontId="7" fillId="3" borderId="23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vertical="center"/>
    </xf>
    <xf numFmtId="0" fontId="7" fillId="0" borderId="3" xfId="0" applyFont="1" applyFill="1" applyBorder="1" applyAlignment="1">
      <alignment horizontal="center" vertical="center"/>
    </xf>
    <xf numFmtId="2" fontId="7" fillId="3" borderId="2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0" fillId="0" borderId="14" xfId="0" applyFont="1" applyBorder="1"/>
    <xf numFmtId="0" fontId="0" fillId="0" borderId="0" xfId="0" applyFont="1" applyAlignment="1">
      <alignment horizontal="left"/>
    </xf>
    <xf numFmtId="0" fontId="7" fillId="0" borderId="0" xfId="0" applyNumberFormat="1" applyFont="1" applyAlignment="1">
      <alignment horizontal="center" vertical="center"/>
    </xf>
    <xf numFmtId="3" fontId="11" fillId="10" borderId="28" xfId="0" applyNumberFormat="1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4" borderId="0" xfId="0" applyFont="1" applyFill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5" fillId="10" borderId="28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vertical="center"/>
    </xf>
    <xf numFmtId="166" fontId="16" fillId="0" borderId="0" xfId="0" applyNumberFormat="1" applyFont="1" applyAlignment="1">
      <alignment horizontal="center" vertical="center"/>
    </xf>
    <xf numFmtId="49" fontId="16" fillId="0" borderId="1" xfId="3" applyNumberFormat="1" applyFont="1" applyFill="1" applyBorder="1" applyAlignment="1">
      <alignment vertical="center"/>
    </xf>
    <xf numFmtId="0" fontId="16" fillId="0" borderId="1" xfId="0" applyNumberFormat="1" applyFont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8" fillId="10" borderId="0" xfId="0" applyNumberFormat="1" applyFont="1" applyFill="1" applyBorder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9" fontId="16" fillId="0" borderId="0" xfId="2" applyFont="1" applyAlignment="1">
      <alignment horizontal="center"/>
    </xf>
    <xf numFmtId="164" fontId="16" fillId="0" borderId="0" xfId="1" applyFont="1" applyAlignment="1">
      <alignment horizontal="center"/>
    </xf>
    <xf numFmtId="14" fontId="7" fillId="4" borderId="0" xfId="0" applyNumberFormat="1" applyFont="1" applyFill="1" applyAlignment="1">
      <alignment horizontal="center" vertical="center" wrapText="1"/>
    </xf>
    <xf numFmtId="14" fontId="8" fillId="0" borderId="1" xfId="0" applyNumberFormat="1" applyFont="1" applyBorder="1" applyAlignment="1">
      <alignment horizontal="right" vertical="center"/>
    </xf>
    <xf numFmtId="14" fontId="17" fillId="0" borderId="29" xfId="0" applyNumberFormat="1" applyFont="1" applyBorder="1" applyAlignment="1">
      <alignment horizontal="right" vertical="center"/>
    </xf>
    <xf numFmtId="0" fontId="4" fillId="0" borderId="0" xfId="0" applyFont="1" applyAlignment="1">
      <alignment horizontal="center"/>
    </xf>
    <xf numFmtId="0" fontId="7" fillId="0" borderId="3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7" fillId="0" borderId="10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horizontal="center" vertical="top"/>
    </xf>
    <xf numFmtId="0" fontId="10" fillId="3" borderId="25" xfId="0" applyFont="1" applyFill="1" applyBorder="1" applyAlignment="1">
      <alignment horizontal="center" vertical="top"/>
    </xf>
    <xf numFmtId="0" fontId="10" fillId="3" borderId="26" xfId="0" applyFont="1" applyFill="1" applyBorder="1" applyAlignment="1">
      <alignment horizontal="center" vertical="top"/>
    </xf>
    <xf numFmtId="0" fontId="2" fillId="0" borderId="0" xfId="0" applyFont="1" applyAlignment="1">
      <alignment horizontal="left" wrapText="1"/>
    </xf>
    <xf numFmtId="0" fontId="7" fillId="0" borderId="3" xfId="0" applyFont="1" applyBorder="1" applyAlignment="1">
      <alignment horizontal="right"/>
    </xf>
    <xf numFmtId="0" fontId="7" fillId="0" borderId="4" xfId="0" applyFont="1" applyBorder="1" applyAlignment="1">
      <alignment horizontal="right"/>
    </xf>
    <xf numFmtId="0" fontId="7" fillId="0" borderId="5" xfId="0" applyFont="1" applyBorder="1" applyAlignment="1">
      <alignment horizontal="right"/>
    </xf>
    <xf numFmtId="0" fontId="7" fillId="0" borderId="6" xfId="0" applyFont="1" applyBorder="1" applyAlignment="1">
      <alignment horizontal="right"/>
    </xf>
    <xf numFmtId="0" fontId="7" fillId="0" borderId="0" xfId="0" applyFont="1" applyBorder="1" applyAlignment="1">
      <alignment horizontal="right"/>
    </xf>
    <xf numFmtId="0" fontId="7" fillId="0" borderId="7" xfId="0" applyFont="1" applyBorder="1" applyAlignment="1">
      <alignment horizontal="right"/>
    </xf>
    <xf numFmtId="0" fontId="7" fillId="0" borderId="8" xfId="0" applyFont="1" applyBorder="1" applyAlignment="1">
      <alignment horizontal="right"/>
    </xf>
    <xf numFmtId="0" fontId="7" fillId="0" borderId="9" xfId="0" applyFont="1" applyBorder="1" applyAlignment="1">
      <alignment horizontal="right"/>
    </xf>
    <xf numFmtId="0" fontId="7" fillId="0" borderId="10" xfId="0" applyFont="1" applyBorder="1" applyAlignment="1">
      <alignment horizontal="right"/>
    </xf>
    <xf numFmtId="0" fontId="0" fillId="0" borderId="0" xfId="0" quotePrefix="1"/>
  </cellXfs>
  <cellStyles count="8">
    <cellStyle name="Milliers" xfId="3" builtinId="3"/>
    <cellStyle name="Milliers 2" xfId="4"/>
    <cellStyle name="Monétaire" xfId="1" builtinId="4"/>
    <cellStyle name="Monétaire 2" xfId="5"/>
    <cellStyle name="Normal" xfId="0" builtinId="0"/>
    <cellStyle name="Normal 2" xfId="6"/>
    <cellStyle name="Normal 3" xfId="7"/>
    <cellStyle name="Pourcentage" xfId="2" builtinId="5"/>
  </cellStyles>
  <dxfs count="92">
    <dxf>
      <font>
        <b/>
        <i val="0"/>
        <color theme="0"/>
      </font>
      <fill>
        <patternFill>
          <bgColor rgb="FFFF0000"/>
        </patternFill>
      </fill>
      <border>
        <vertical/>
        <horizontal/>
      </border>
    </dxf>
    <dxf>
      <font>
        <color theme="0"/>
      </font>
      <fill>
        <patternFill>
          <bgColor rgb="FF00B050"/>
        </patternFill>
      </fill>
      <border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40C]dd\-mmm\-yy;@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[$-40C]dd\-mmm\-yy;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z val="12"/>
      </font>
      <numFmt numFmtId="170" formatCode="_-* #,##0\ &quot;€&quot;_-;\-* #,##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sz val="12"/>
      </font>
      <numFmt numFmtId="170" formatCode="_-* #,##0\ &quot;€&quot;_-;\-* #,##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sz val="12"/>
      </font>
      <alignment horizontal="center" vertical="bottom" textRotation="0" wrapText="0" indent="0" relativeIndent="255" justifyLastLine="0" shrinkToFit="0" readingOrder="0"/>
    </dxf>
    <dxf>
      <font>
        <sz val="12"/>
      </font>
      <alignment horizontal="center" vertical="bottom" textRotation="0" wrapText="0" indent="0" relativeIndent="255" justifyLastLine="0" shrinkToFit="0" readingOrder="0"/>
    </dxf>
    <dxf>
      <font>
        <sz val="12"/>
      </font>
      <numFmt numFmtId="170" formatCode="_-* #,##0\ &quot;€&quot;_-;\-* #,##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sz val="12"/>
      </font>
      <alignment horizontal="left" vertical="bottom" textRotation="0" wrapText="0" indent="0" relativeIndent="255" justifyLastLine="0" shrinkToFit="0" readingOrder="0"/>
    </dxf>
    <dxf>
      <font>
        <sz val="12"/>
      </font>
      <alignment horizontal="center" vertical="bottom" textRotation="0" wrapText="0" indent="0" relativeIndent="255" justifyLastLine="0" shrinkToFit="0" readingOrder="0"/>
    </dxf>
    <dxf>
      <font>
        <sz val="12"/>
      </font>
      <alignment horizontal="center" vertical="bottom" textRotation="0" wrapText="0" indent="0" relativeIndent="255" justifyLastLine="0" shrinkToFit="0" readingOrder="0"/>
    </dxf>
    <dxf>
      <font>
        <sz val="12"/>
      </font>
      <numFmt numFmtId="166" formatCode="[$-40C]dd\-mmm\-yy;@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40C]dd\-mmm\-yy;@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171" formatCode="m/d/yyyy"/>
      <alignment horizontal="right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40C]dd\-mmm\-yy;@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left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general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&quot;F&quot;_);[Red]\(#,##0.00&quot;F&quot;\)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&quot;F&quot;_);[Red]\(#,##0.00&quot;F&quot;\)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&quot;F&quot;_);[Red]\(#,##0.00&quot;F&quot;\)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DA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4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7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externalLink" Target="externalLinks/externalLink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11935"/>
  <ax:ocxPr ax:name="BackColor" ax:value="8454143"/>
  <ax:ocxPr ax:name="Caption" ax:value="Entrer"/>
  <ax:ocxPr ax:name="Size" ax:value="3545;979"/>
  <ax:ocxPr ax:name="FontName" ax:value="Calisto MT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5371;741"/>
  <ax:ocxPr ax:name="PasswordChar" ax:value="42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5371;741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319"/>
  <ax:ocxPr ax:name="Caption" ax:value="Ajouter"/>
  <ax:ocxPr ax:name="Size" ax:value="4815;847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319"/>
  <ax:ocxPr ax:name="Caption" ax:value="Ajouter"/>
  <ax:ocxPr ax:name="Size" ax:value="3122;1508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255"/>
  <ax:ocxPr ax:name="Caption" ax:value="VALIDER"/>
  <ax:ocxPr ax:name="Size" ax:value="3122;1508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8384"/>
  <ax:ocxPr ax:name="Caption" ax:value="PAYER"/>
  <ax:ocxPr ax:name="Size" ax:value="8229;1984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historique_vente!A1"/><Relationship Id="rId7" Type="http://schemas.openxmlformats.org/officeDocument/2006/relationships/hyperlink" Target="#reception!A1"/><Relationship Id="rId2" Type="http://schemas.openxmlformats.org/officeDocument/2006/relationships/hyperlink" Target="#client!A1"/><Relationship Id="rId1" Type="http://schemas.openxmlformats.org/officeDocument/2006/relationships/hyperlink" Target="#article!A1"/><Relationship Id="rId6" Type="http://schemas.openxmlformats.org/officeDocument/2006/relationships/hyperlink" Target="#panier!A1"/><Relationship Id="rId5" Type="http://schemas.openxmlformats.org/officeDocument/2006/relationships/hyperlink" Target="#suivi_facture!A1"/><Relationship Id="rId4" Type="http://schemas.openxmlformats.org/officeDocument/2006/relationships/hyperlink" Target="#fac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anier!A1"/><Relationship Id="rId2" Type="http://schemas.openxmlformats.org/officeDocument/2006/relationships/hyperlink" Target="#reception!A1"/><Relationship Id="rId1" Type="http://schemas.openxmlformats.org/officeDocument/2006/relationships/hyperlink" Target="#article!A1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uivi_facture!A1"/><Relationship Id="rId2" Type="http://schemas.openxmlformats.org/officeDocument/2006/relationships/hyperlink" Target="#panier!A1"/><Relationship Id="rId1" Type="http://schemas.openxmlformats.org/officeDocument/2006/relationships/hyperlink" Target="#home!A1"/><Relationship Id="rId6" Type="http://schemas.openxmlformats.org/officeDocument/2006/relationships/hyperlink" Target="#payement!A1"/><Relationship Id="rId5" Type="http://schemas.openxmlformats.org/officeDocument/2006/relationships/image" Target="../media/image9.jpeg"/><Relationship Id="rId4" Type="http://schemas.openxmlformats.org/officeDocument/2006/relationships/hyperlink" Target="#facture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jpeg"/><Relationship Id="rId1" Type="http://schemas.openxmlformats.org/officeDocument/2006/relationships/hyperlink" Target="#client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jpeg"/><Relationship Id="rId2" Type="http://schemas.openxmlformats.org/officeDocument/2006/relationships/hyperlink" Target="#panier!A1"/><Relationship Id="rId1" Type="http://schemas.openxmlformats.org/officeDocument/2006/relationships/hyperlink" Target="#home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523874</xdr:colOff>
      <xdr:row>1</xdr:row>
      <xdr:rowOff>119061</xdr:rowOff>
    </xdr:from>
    <xdr:to>
      <xdr:col>6</xdr:col>
      <xdr:colOff>343874</xdr:colOff>
      <xdr:row>8</xdr:row>
      <xdr:rowOff>135561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23874" y="309561"/>
          <a:ext cx="4392000" cy="135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FACTURE</a:t>
          </a:r>
        </a:p>
      </xdr:txBody>
    </xdr:sp>
    <xdr:clientData/>
  </xdr:twoCellAnchor>
  <xdr:twoCellAnchor>
    <xdr:from>
      <xdr:col>6</xdr:col>
      <xdr:colOff>495299</xdr:colOff>
      <xdr:row>1</xdr:row>
      <xdr:rowOff>119061</xdr:rowOff>
    </xdr:from>
    <xdr:to>
      <xdr:col>12</xdr:col>
      <xdr:colOff>315299</xdr:colOff>
      <xdr:row>8</xdr:row>
      <xdr:rowOff>135561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067299" y="309561"/>
          <a:ext cx="4392000" cy="135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ARTICLE</a:t>
          </a:r>
        </a:p>
      </xdr:txBody>
    </xdr:sp>
    <xdr:clientData/>
  </xdr:twoCellAnchor>
  <xdr:twoCellAnchor>
    <xdr:from>
      <xdr:col>12</xdr:col>
      <xdr:colOff>476249</xdr:colOff>
      <xdr:row>1</xdr:row>
      <xdr:rowOff>119061</xdr:rowOff>
    </xdr:from>
    <xdr:to>
      <xdr:col>18</xdr:col>
      <xdr:colOff>296249</xdr:colOff>
      <xdr:row>8</xdr:row>
      <xdr:rowOff>135561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9620249" y="309561"/>
          <a:ext cx="4392000" cy="135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CLIENT</a:t>
          </a:r>
        </a:p>
      </xdr:txBody>
    </xdr:sp>
    <xdr:clientData/>
  </xdr:twoCellAnchor>
  <xdr:twoCellAnchor>
    <xdr:from>
      <xdr:col>1</xdr:col>
      <xdr:colOff>319874</xdr:colOff>
      <xdr:row>9</xdr:row>
      <xdr:rowOff>109536</xdr:rowOff>
    </xdr:from>
    <xdr:to>
      <xdr:col>5</xdr:col>
      <xdr:colOff>547874</xdr:colOff>
      <xdr:row>14</xdr:row>
      <xdr:rowOff>129036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081874" y="1824036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Historique des ventes</a:t>
          </a:r>
        </a:p>
      </xdr:txBody>
    </xdr:sp>
    <xdr:clientData/>
  </xdr:twoCellAnchor>
  <xdr:twoCellAnchor>
    <xdr:from>
      <xdr:col>1</xdr:col>
      <xdr:colOff>319874</xdr:colOff>
      <xdr:row>15</xdr:row>
      <xdr:rowOff>100011</xdr:rowOff>
    </xdr:from>
    <xdr:to>
      <xdr:col>5</xdr:col>
      <xdr:colOff>547874</xdr:colOff>
      <xdr:row>20</xdr:row>
      <xdr:rowOff>119511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081874" y="29575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Payements</a:t>
          </a:r>
        </a:p>
      </xdr:txBody>
    </xdr:sp>
    <xdr:clientData/>
  </xdr:twoCellAnchor>
  <xdr:twoCellAnchor>
    <xdr:from>
      <xdr:col>1</xdr:col>
      <xdr:colOff>319874</xdr:colOff>
      <xdr:row>21</xdr:row>
      <xdr:rowOff>100011</xdr:rowOff>
    </xdr:from>
    <xdr:to>
      <xdr:col>5</xdr:col>
      <xdr:colOff>547874</xdr:colOff>
      <xdr:row>26</xdr:row>
      <xdr:rowOff>119511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081874" y="41005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Suivi des factures</a:t>
          </a:r>
        </a:p>
      </xdr:txBody>
    </xdr:sp>
    <xdr:clientData/>
  </xdr:twoCellAnchor>
  <xdr:twoCellAnchor>
    <xdr:from>
      <xdr:col>7</xdr:col>
      <xdr:colOff>291299</xdr:colOff>
      <xdr:row>9</xdr:row>
      <xdr:rowOff>109536</xdr:rowOff>
    </xdr:from>
    <xdr:to>
      <xdr:col>11</xdr:col>
      <xdr:colOff>519299</xdr:colOff>
      <xdr:row>14</xdr:row>
      <xdr:rowOff>129036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625299" y="1824036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Panier</a:t>
          </a:r>
        </a:p>
      </xdr:txBody>
    </xdr:sp>
    <xdr:clientData/>
  </xdr:twoCellAnchor>
  <xdr:twoCellAnchor>
    <xdr:from>
      <xdr:col>7</xdr:col>
      <xdr:colOff>291299</xdr:colOff>
      <xdr:row>15</xdr:row>
      <xdr:rowOff>100011</xdr:rowOff>
    </xdr:from>
    <xdr:to>
      <xdr:col>11</xdr:col>
      <xdr:colOff>519299</xdr:colOff>
      <xdr:row>20</xdr:row>
      <xdr:rowOff>119511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5625299" y="29575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Réception</a:t>
          </a:r>
        </a:p>
      </xdr:txBody>
    </xdr:sp>
    <xdr:clientData/>
  </xdr:twoCellAnchor>
  <xdr:twoCellAnchor>
    <xdr:from>
      <xdr:col>13</xdr:col>
      <xdr:colOff>272249</xdr:colOff>
      <xdr:row>9</xdr:row>
      <xdr:rowOff>61911</xdr:rowOff>
    </xdr:from>
    <xdr:to>
      <xdr:col>17</xdr:col>
      <xdr:colOff>500249</xdr:colOff>
      <xdr:row>14</xdr:row>
      <xdr:rowOff>81411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10178249" y="17764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Config</a:t>
          </a:r>
          <a:r>
            <a:rPr lang="fr-FR" sz="2000" b="1" baseline="0"/>
            <a:t> fidélisation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682943</xdr:colOff>
      <xdr:row>9</xdr:row>
      <xdr:rowOff>94297</xdr:rowOff>
    </xdr:from>
    <xdr:to>
      <xdr:col>9</xdr:col>
      <xdr:colOff>0</xdr:colOff>
      <xdr:row>16</xdr:row>
      <xdr:rowOff>103822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2225993" y="1856422"/>
          <a:ext cx="4717732" cy="1343025"/>
        </a:xfrm>
        <a:prstGeom prst="roundRect">
          <a:avLst/>
        </a:prstGeom>
        <a:gradFill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</a:gradFill>
        <a:effectLst>
          <a:glow rad="2286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glow" dir="t">
            <a:rot lat="0" lon="0" rev="7200000"/>
          </a:lightRig>
        </a:scene3d>
        <a:sp3d prstMaterial="matte"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38101</xdr:colOff>
      <xdr:row>11</xdr:row>
      <xdr:rowOff>0</xdr:rowOff>
    </xdr:from>
    <xdr:to>
      <xdr:col>4</xdr:col>
      <xdr:colOff>390525</xdr:colOff>
      <xdr:row>12</xdr:row>
      <xdr:rowOff>85725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2352676" y="2143125"/>
          <a:ext cx="1123949" cy="276225"/>
        </a:xfrm>
        <a:prstGeom prst="rect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UTILISATEUR</a:t>
          </a:r>
        </a:p>
      </xdr:txBody>
    </xdr:sp>
    <xdr:clientData/>
  </xdr:twoCellAnchor>
  <xdr:twoCellAnchor>
    <xdr:from>
      <xdr:col>3</xdr:col>
      <xdr:colOff>40005</xdr:colOff>
      <xdr:row>13</xdr:row>
      <xdr:rowOff>123825</xdr:rowOff>
    </xdr:from>
    <xdr:to>
      <xdr:col>4</xdr:col>
      <xdr:colOff>390525</xdr:colOff>
      <xdr:row>15</xdr:row>
      <xdr:rowOff>19050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 txBox="1"/>
      </xdr:nvSpPr>
      <xdr:spPr>
        <a:xfrm>
          <a:off x="2354580" y="2647950"/>
          <a:ext cx="1122045" cy="276225"/>
        </a:xfrm>
        <a:prstGeom prst="rect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MOT DE PASSE</a:t>
          </a:r>
        </a:p>
      </xdr:txBody>
    </xdr:sp>
    <xdr:clientData/>
  </xdr:twoCellAnchor>
  <xdr:twoCellAnchor>
    <xdr:from>
      <xdr:col>7</xdr:col>
      <xdr:colOff>160020</xdr:colOff>
      <xdr:row>13</xdr:row>
      <xdr:rowOff>89535</xdr:rowOff>
    </xdr:from>
    <xdr:to>
      <xdr:col>8</xdr:col>
      <xdr:colOff>647700</xdr:colOff>
      <xdr:row>15</xdr:row>
      <xdr:rowOff>34767</xdr:rowOff>
    </xdr:to>
    <xdr:sp macro="[4]!quittermdp" textlink="">
      <xdr:nvSpPr>
        <xdr:cNvPr id="8" name="Rectangle : coins arrondis 13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5560695" y="2613660"/>
          <a:ext cx="1259205" cy="326232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QUITTER</a:t>
          </a:r>
        </a:p>
      </xdr:txBody>
    </xdr:sp>
    <xdr:clientData/>
  </xdr:twoCellAnchor>
  <xdr:twoCellAnchor>
    <xdr:from>
      <xdr:col>0</xdr:col>
      <xdr:colOff>0</xdr:colOff>
      <xdr:row>1</xdr:row>
      <xdr:rowOff>19049</xdr:rowOff>
    </xdr:from>
    <xdr:to>
      <xdr:col>2</xdr:col>
      <xdr:colOff>314324</xdr:colOff>
      <xdr:row>10</xdr:row>
      <xdr:rowOff>43251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09549"/>
          <a:ext cx="1857374" cy="1786327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18</xdr:row>
      <xdr:rowOff>0</xdr:rowOff>
    </xdr:from>
    <xdr:to>
      <xdr:col>11</xdr:col>
      <xdr:colOff>304800</xdr:colOff>
      <xdr:row>19</xdr:row>
      <xdr:rowOff>114300</xdr:rowOff>
    </xdr:to>
    <xdr:sp macro="" textlink="">
      <xdr:nvSpPr>
        <xdr:cNvPr id="2" name="AutoShape 1" descr="https://apis.mail.yahoo.com/ws/v3/mailboxes/@.id==VjN-gqFbi0m-xkd4n-qDnDm2mLrYGakFpdpw7MkDUmyAHYjMZubIbnxZH0esIM1jyLxy1B4IMMjRV1Y1VJhk5y1llQ/messages/@.id==AMt7nZUPaRZCXiCFHAj0-JW7hzI/content/parts/@.id==2/thumbnail?appId=YMailNorrinLaunch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8486775" y="3438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552450</xdr:colOff>
      <xdr:row>7</xdr:row>
      <xdr:rowOff>123825</xdr:rowOff>
    </xdr:from>
    <xdr:to>
      <xdr:col>9</xdr:col>
      <xdr:colOff>733424</xdr:colOff>
      <xdr:row>26</xdr:row>
      <xdr:rowOff>142875</xdr:rowOff>
    </xdr:to>
    <xdr:sp macro="" textlink="">
      <xdr:nvSpPr>
        <xdr:cNvPr id="6" name="Rogner un rectangle avec un coin diagonal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552450" y="1466850"/>
          <a:ext cx="7124699" cy="3638550"/>
        </a:xfrm>
        <a:prstGeom prst="snip2Diag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428626</xdr:colOff>
      <xdr:row>11</xdr:row>
      <xdr:rowOff>152400</xdr:rowOff>
    </xdr:from>
    <xdr:to>
      <xdr:col>5</xdr:col>
      <xdr:colOff>381001</xdr:colOff>
      <xdr:row>12</xdr:row>
      <xdr:rowOff>180975</xdr:rowOff>
    </xdr:to>
    <xdr:sp macro="" textlink="">
      <xdr:nvSpPr>
        <xdr:cNvPr id="7" name="Texte 20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 txBox="1">
          <a:spLocks noChangeArrowheads="1"/>
        </xdr:cNvSpPr>
      </xdr:nvSpPr>
      <xdr:spPr bwMode="auto">
        <a:xfrm>
          <a:off x="2743201" y="2257425"/>
          <a:ext cx="1495425" cy="219075"/>
        </a:xfrm>
        <a:prstGeom prst="rect">
          <a:avLst/>
        </a:prstGeom>
        <a:solidFill>
          <a:srgbClr val="000080"/>
        </a:solidFill>
        <a:ln w="1">
          <a:noFill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FFFFFF"/>
              </a:solidFill>
              <a:latin typeface="Arial"/>
              <a:cs typeface="Arial"/>
            </a:rPr>
            <a:t>Menu  Principal</a:t>
          </a:r>
        </a:p>
      </xdr:txBody>
    </xdr:sp>
    <xdr:clientData/>
  </xdr:twoCellAnchor>
  <xdr:twoCellAnchor>
    <xdr:from>
      <xdr:col>1</xdr:col>
      <xdr:colOff>190501</xdr:colOff>
      <xdr:row>13</xdr:row>
      <xdr:rowOff>95250</xdr:rowOff>
    </xdr:from>
    <xdr:to>
      <xdr:col>3</xdr:col>
      <xdr:colOff>238127</xdr:colOff>
      <xdr:row>15</xdr:row>
      <xdr:rowOff>40482</xdr:rowOff>
    </xdr:to>
    <xdr:sp macro="[0]!article" textlink="">
      <xdr:nvSpPr>
        <xdr:cNvPr id="8" name="Rectangle :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962026" y="2581275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Stock</a:t>
          </a:r>
        </a:p>
      </xdr:txBody>
    </xdr:sp>
    <xdr:clientData/>
  </xdr:twoCellAnchor>
  <xdr:twoCellAnchor>
    <xdr:from>
      <xdr:col>1</xdr:col>
      <xdr:colOff>190501</xdr:colOff>
      <xdr:row>16</xdr:row>
      <xdr:rowOff>9525</xdr:rowOff>
    </xdr:from>
    <xdr:to>
      <xdr:col>3</xdr:col>
      <xdr:colOff>238127</xdr:colOff>
      <xdr:row>17</xdr:row>
      <xdr:rowOff>145257</xdr:rowOff>
    </xdr:to>
    <xdr:sp macro="[4]!listecert" textlink="">
      <xdr:nvSpPr>
        <xdr:cNvPr id="9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SpPr/>
      </xdr:nvSpPr>
      <xdr:spPr>
        <a:xfrm>
          <a:off x="962026" y="3067050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Réception</a:t>
          </a:r>
        </a:p>
      </xdr:txBody>
    </xdr:sp>
    <xdr:clientData/>
  </xdr:twoCellAnchor>
  <xdr:twoCellAnchor>
    <xdr:from>
      <xdr:col>4</xdr:col>
      <xdr:colOff>485775</xdr:colOff>
      <xdr:row>22</xdr:row>
      <xdr:rowOff>114300</xdr:rowOff>
    </xdr:from>
    <xdr:to>
      <xdr:col>7</xdr:col>
      <xdr:colOff>142876</xdr:colOff>
      <xdr:row>25</xdr:row>
      <xdr:rowOff>38100</xdr:rowOff>
    </xdr:to>
    <xdr:sp macro="[4]!imprimcer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3571875" y="4314825"/>
          <a:ext cx="1971676" cy="4953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TOUS LES CERTIFICATS</a:t>
          </a:r>
        </a:p>
      </xdr:txBody>
    </xdr:sp>
    <xdr:clientData/>
  </xdr:twoCellAnchor>
  <xdr:twoCellAnchor>
    <xdr:from>
      <xdr:col>4</xdr:col>
      <xdr:colOff>476252</xdr:colOff>
      <xdr:row>16</xdr:row>
      <xdr:rowOff>123824</xdr:rowOff>
    </xdr:from>
    <xdr:to>
      <xdr:col>5</xdr:col>
      <xdr:colOff>609601</xdr:colOff>
      <xdr:row>18</xdr:row>
      <xdr:rowOff>66675</xdr:rowOff>
    </xdr:to>
    <xdr:sp macro="[4]!saisienomp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00000000-0008-0000-0200-00000B000000}"/>
            </a:ext>
          </a:extLst>
        </xdr:cNvPr>
        <xdr:cNvSpPr/>
      </xdr:nvSpPr>
      <xdr:spPr>
        <a:xfrm>
          <a:off x="3562352" y="3181349"/>
          <a:ext cx="904874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Produit (s)</a:t>
          </a:r>
          <a:endParaRPr lang="fr-FR" sz="1100"/>
        </a:p>
      </xdr:txBody>
    </xdr:sp>
    <xdr:clientData/>
  </xdr:twoCellAnchor>
  <xdr:twoCellAnchor>
    <xdr:from>
      <xdr:col>5</xdr:col>
      <xdr:colOff>495301</xdr:colOff>
      <xdr:row>14</xdr:row>
      <xdr:rowOff>76200</xdr:rowOff>
    </xdr:from>
    <xdr:to>
      <xdr:col>7</xdr:col>
      <xdr:colOff>733426</xdr:colOff>
      <xdr:row>15</xdr:row>
      <xdr:rowOff>161925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SpPr txBox="1"/>
      </xdr:nvSpPr>
      <xdr:spPr>
        <a:xfrm>
          <a:off x="4352926" y="2752725"/>
          <a:ext cx="17811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>
              <a:solidFill>
                <a:srgbClr val="FF0000"/>
              </a:solidFill>
            </a:rPr>
            <a:t>AJOUT NOUVEAUX</a:t>
          </a:r>
        </a:p>
      </xdr:txBody>
    </xdr:sp>
    <xdr:clientData/>
  </xdr:twoCellAnchor>
  <xdr:twoCellAnchor>
    <xdr:from>
      <xdr:col>5</xdr:col>
      <xdr:colOff>752477</xdr:colOff>
      <xdr:row>16</xdr:row>
      <xdr:rowOff>123824</xdr:rowOff>
    </xdr:from>
    <xdr:to>
      <xdr:col>7</xdr:col>
      <xdr:colOff>371477</xdr:colOff>
      <xdr:row>18</xdr:row>
      <xdr:rowOff>66675</xdr:rowOff>
    </xdr:to>
    <xdr:sp macro="[4]!saisienvfourn" textlink="">
      <xdr:nvSpPr>
        <xdr:cNvPr id="13" name="Rectangle : coins arrondis 8">
          <a:extLst>
            <a:ext uri="{FF2B5EF4-FFF2-40B4-BE49-F238E27FC236}">
              <a16:creationId xmlns:a16="http://schemas.microsoft.com/office/drawing/2014/main" xmlns="" id="{00000000-0008-0000-0200-00000D000000}"/>
            </a:ext>
          </a:extLst>
        </xdr:cNvPr>
        <xdr:cNvSpPr/>
      </xdr:nvSpPr>
      <xdr:spPr>
        <a:xfrm>
          <a:off x="4610102" y="3181349"/>
          <a:ext cx="1162050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Fournisseur (s)</a:t>
          </a:r>
          <a:endParaRPr lang="fr-FR" sz="1100"/>
        </a:p>
      </xdr:txBody>
    </xdr:sp>
    <xdr:clientData/>
  </xdr:twoCellAnchor>
  <xdr:twoCellAnchor>
    <xdr:from>
      <xdr:col>7</xdr:col>
      <xdr:colOff>504827</xdr:colOff>
      <xdr:row>16</xdr:row>
      <xdr:rowOff>133349</xdr:rowOff>
    </xdr:from>
    <xdr:to>
      <xdr:col>9</xdr:col>
      <xdr:colOff>9527</xdr:colOff>
      <xdr:row>18</xdr:row>
      <xdr:rowOff>76200</xdr:rowOff>
    </xdr:to>
    <xdr:sp macro="[4]!Module1.saisienvfab" textlink="">
      <xdr:nvSpPr>
        <xdr:cNvPr id="14" name="Rectangle : coins arrondis 11">
          <a:extLst>
            <a:ext uri="{FF2B5EF4-FFF2-40B4-BE49-F238E27FC236}">
              <a16:creationId xmlns:a16="http://schemas.microsoft.com/office/drawing/2014/main" xmlns="" id="{00000000-0008-0000-0200-00000E000000}"/>
            </a:ext>
          </a:extLst>
        </xdr:cNvPr>
        <xdr:cNvSpPr/>
      </xdr:nvSpPr>
      <xdr:spPr>
        <a:xfrm>
          <a:off x="5905502" y="3190874"/>
          <a:ext cx="1047750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Fabricant (s)</a:t>
          </a:r>
          <a:endParaRPr lang="fr-FR" sz="1100"/>
        </a:p>
      </xdr:txBody>
    </xdr:sp>
    <xdr:clientData/>
  </xdr:twoCellAnchor>
  <xdr:twoCellAnchor>
    <xdr:from>
      <xdr:col>4</xdr:col>
      <xdr:colOff>485777</xdr:colOff>
      <xdr:row>19</xdr:row>
      <xdr:rowOff>19049</xdr:rowOff>
    </xdr:from>
    <xdr:to>
      <xdr:col>5</xdr:col>
      <xdr:colOff>619126</xdr:colOff>
      <xdr:row>20</xdr:row>
      <xdr:rowOff>152400</xdr:rowOff>
    </xdr:to>
    <xdr:sp macro="[4]!saisienvtype" textlink="">
      <xdr:nvSpPr>
        <xdr:cNvPr id="15" name="Rectangle : coins arrondis 12">
          <a:extLst>
            <a:ext uri="{FF2B5EF4-FFF2-40B4-BE49-F238E27FC236}">
              <a16:creationId xmlns:a16="http://schemas.microsoft.com/office/drawing/2014/main" xmlns="" id="{00000000-0008-0000-0200-00000F000000}"/>
            </a:ext>
          </a:extLst>
        </xdr:cNvPr>
        <xdr:cNvSpPr/>
      </xdr:nvSpPr>
      <xdr:spPr>
        <a:xfrm>
          <a:off x="3571877" y="3648074"/>
          <a:ext cx="904874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Type (s)</a:t>
          </a:r>
          <a:endParaRPr lang="fr-FR" sz="1100"/>
        </a:p>
      </xdr:txBody>
    </xdr:sp>
    <xdr:clientData/>
  </xdr:twoCellAnchor>
  <xdr:twoCellAnchor>
    <xdr:from>
      <xdr:col>5</xdr:col>
      <xdr:colOff>770331</xdr:colOff>
      <xdr:row>19</xdr:row>
      <xdr:rowOff>5901</xdr:rowOff>
    </xdr:from>
    <xdr:to>
      <xdr:col>7</xdr:col>
      <xdr:colOff>141680</xdr:colOff>
      <xdr:row>20</xdr:row>
      <xdr:rowOff>139252</xdr:rowOff>
    </xdr:to>
    <xdr:sp macro="[4]!saisienvconf" textlink="">
      <xdr:nvSpPr>
        <xdr:cNvPr id="16" name="Rectangle : coins arrondis 14">
          <a:extLst>
            <a:ext uri="{FF2B5EF4-FFF2-40B4-BE49-F238E27FC236}">
              <a16:creationId xmlns:a16="http://schemas.microsoft.com/office/drawing/2014/main" xmlns="" id="{00000000-0008-0000-0200-000010000000}"/>
            </a:ext>
          </a:extLst>
        </xdr:cNvPr>
        <xdr:cNvSpPr/>
      </xdr:nvSpPr>
      <xdr:spPr>
        <a:xfrm>
          <a:off x="4627956" y="3634926"/>
          <a:ext cx="914399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Conf</a:t>
          </a:r>
          <a:endParaRPr lang="fr-FR" sz="1100"/>
        </a:p>
      </xdr:txBody>
    </xdr:sp>
    <xdr:clientData/>
  </xdr:twoCellAnchor>
  <xdr:twoCellAnchor>
    <xdr:from>
      <xdr:col>1</xdr:col>
      <xdr:colOff>495301</xdr:colOff>
      <xdr:row>24</xdr:row>
      <xdr:rowOff>0</xdr:rowOff>
    </xdr:from>
    <xdr:to>
      <xdr:col>2</xdr:col>
      <xdr:colOff>542926</xdr:colOff>
      <xdr:row>25</xdr:row>
      <xdr:rowOff>135732</xdr:rowOff>
    </xdr:to>
    <xdr:sp macro="[4]!quitter" textlink="">
      <xdr:nvSpPr>
        <xdr:cNvPr id="17" name="Rectangle : coins arrondis 13">
          <a:extLst>
            <a:ext uri="{FF2B5EF4-FFF2-40B4-BE49-F238E27FC236}">
              <a16:creationId xmlns:a16="http://schemas.microsoft.com/office/drawing/2014/main" xmlns="" id="{00000000-0008-0000-0200-000011000000}"/>
            </a:ext>
          </a:extLst>
        </xdr:cNvPr>
        <xdr:cNvSpPr/>
      </xdr:nvSpPr>
      <xdr:spPr>
        <a:xfrm>
          <a:off x="1266826" y="4581525"/>
          <a:ext cx="819150" cy="326232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QUITTER</a:t>
          </a:r>
        </a:p>
      </xdr:txBody>
    </xdr:sp>
    <xdr:clientData/>
  </xdr:twoCellAnchor>
  <xdr:twoCellAnchor>
    <xdr:from>
      <xdr:col>2</xdr:col>
      <xdr:colOff>114302</xdr:colOff>
      <xdr:row>7</xdr:row>
      <xdr:rowOff>180974</xdr:rowOff>
    </xdr:from>
    <xdr:to>
      <xdr:col>7</xdr:col>
      <xdr:colOff>76200</xdr:colOff>
      <xdr:row>11</xdr:row>
      <xdr:rowOff>38099</xdr:rowOff>
    </xdr:to>
    <xdr:sp macro="" textlink="">
      <xdr:nvSpPr>
        <xdr:cNvPr id="18" name="Texte 20">
          <a:extLst>
            <a:ext uri="{FF2B5EF4-FFF2-40B4-BE49-F238E27FC236}">
              <a16:creationId xmlns:a16="http://schemas.microsoft.com/office/drawing/2014/main" xmlns="" id="{00000000-0008-0000-0200-000012000000}"/>
            </a:ext>
          </a:extLst>
        </xdr:cNvPr>
        <xdr:cNvSpPr txBox="1">
          <a:spLocks noChangeArrowheads="1"/>
        </xdr:cNvSpPr>
      </xdr:nvSpPr>
      <xdr:spPr bwMode="auto">
        <a:xfrm>
          <a:off x="1657352" y="1523999"/>
          <a:ext cx="3819523" cy="619125"/>
        </a:xfrm>
        <a:prstGeom prst="rect">
          <a:avLst/>
        </a:prstGeom>
        <a:solidFill>
          <a:srgbClr val="000080"/>
        </a:solidFill>
        <a:ln w="1">
          <a:noFill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endParaRPr lang="fr-FR" sz="600" b="1" i="0" strike="noStrike">
            <a:solidFill>
              <a:srgbClr val="FFC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600" b="1" i="0" strike="noStrike">
              <a:solidFill>
                <a:srgbClr val="FFC000"/>
              </a:solidFill>
              <a:latin typeface="Arial"/>
              <a:cs typeface="Arial"/>
            </a:rPr>
            <a:t>GESTION STOCK PRODUITS FINIS &amp;</a:t>
          </a:r>
          <a:r>
            <a:rPr lang="fr-FR" sz="1600" b="1" i="0" strike="noStrike" baseline="0">
              <a:solidFill>
                <a:srgbClr val="FFC000"/>
              </a:solidFill>
              <a:latin typeface="Arial"/>
              <a:cs typeface="Arial"/>
            </a:rPr>
            <a:t> FACTURATION</a:t>
          </a:r>
          <a:endParaRPr lang="fr-FR" sz="1600" b="1" i="0" strike="noStrike">
            <a:solidFill>
              <a:srgbClr val="FFC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285750</xdr:colOff>
      <xdr:row>22</xdr:row>
      <xdr:rowOff>95249</xdr:rowOff>
    </xdr:from>
    <xdr:to>
      <xdr:col>9</xdr:col>
      <xdr:colOff>342900</xdr:colOff>
      <xdr:row>25</xdr:row>
      <xdr:rowOff>38100</xdr:rowOff>
    </xdr:to>
    <xdr:sp macro="[4]!IMPRIMECRITERE" textlink="">
      <xdr:nvSpPr>
        <xdr:cNvPr id="19" name="Rectangle : coins arrondis 16">
          <a:extLst>
            <a:ext uri="{FF2B5EF4-FFF2-40B4-BE49-F238E27FC236}">
              <a16:creationId xmlns:a16="http://schemas.microsoft.com/office/drawing/2014/main" xmlns="" id="{00000000-0008-0000-0200-000013000000}"/>
            </a:ext>
          </a:extLst>
        </xdr:cNvPr>
        <xdr:cNvSpPr/>
      </xdr:nvSpPr>
      <xdr:spPr>
        <a:xfrm>
          <a:off x="5686425" y="4295774"/>
          <a:ext cx="1600200" cy="514351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SUIVANT CRITERES</a:t>
          </a:r>
        </a:p>
      </xdr:txBody>
    </xdr:sp>
    <xdr:clientData/>
  </xdr:twoCellAnchor>
  <xdr:twoCellAnchor>
    <xdr:from>
      <xdr:col>0</xdr:col>
      <xdr:colOff>552451</xdr:colOff>
      <xdr:row>5</xdr:row>
      <xdr:rowOff>47625</xdr:rowOff>
    </xdr:from>
    <xdr:to>
      <xdr:col>2</xdr:col>
      <xdr:colOff>600077</xdr:colOff>
      <xdr:row>6</xdr:row>
      <xdr:rowOff>183357</xdr:rowOff>
    </xdr:to>
    <xdr:sp macro="[4]!operateur" textlink="">
      <xdr:nvSpPr>
        <xdr:cNvPr id="20" name="Rectangle : coins arrondis 5">
          <a:extLst>
            <a:ext uri="{FF2B5EF4-FFF2-40B4-BE49-F238E27FC236}">
              <a16:creationId xmlns:a16="http://schemas.microsoft.com/office/drawing/2014/main" xmlns="" id="{00000000-0008-0000-0200-000014000000}"/>
            </a:ext>
          </a:extLst>
        </xdr:cNvPr>
        <xdr:cNvSpPr/>
      </xdr:nvSpPr>
      <xdr:spPr>
        <a:xfrm>
          <a:off x="552451" y="1009650"/>
          <a:ext cx="1590676" cy="326232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2060"/>
              </a:solidFill>
            </a:rPr>
            <a:t>Changer d'utilisateur</a:t>
          </a:r>
        </a:p>
      </xdr:txBody>
    </xdr:sp>
    <xdr:clientData/>
  </xdr:twoCellAnchor>
  <xdr:twoCellAnchor>
    <xdr:from>
      <xdr:col>3</xdr:col>
      <xdr:colOff>9526</xdr:colOff>
      <xdr:row>24</xdr:row>
      <xdr:rowOff>19050</xdr:rowOff>
    </xdr:from>
    <xdr:to>
      <xdr:col>4</xdr:col>
      <xdr:colOff>57151</xdr:colOff>
      <xdr:row>25</xdr:row>
      <xdr:rowOff>154782</xdr:rowOff>
    </xdr:to>
    <xdr:sp macro="[4]!aide" textlink="">
      <xdr:nvSpPr>
        <xdr:cNvPr id="21" name="Rectangle : coins arrondis 13">
          <a:extLst>
            <a:ext uri="{FF2B5EF4-FFF2-40B4-BE49-F238E27FC236}">
              <a16:creationId xmlns:a16="http://schemas.microsoft.com/office/drawing/2014/main" xmlns="" id="{00000000-0008-0000-0200-000015000000}"/>
            </a:ext>
          </a:extLst>
        </xdr:cNvPr>
        <xdr:cNvSpPr/>
      </xdr:nvSpPr>
      <xdr:spPr>
        <a:xfrm>
          <a:off x="2324101" y="4600575"/>
          <a:ext cx="819150" cy="326232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Aide </a:t>
          </a:r>
          <a:r>
            <a:rPr lang="fr-FR" sz="1400" b="1" baseline="0">
              <a:solidFill>
                <a:srgbClr val="FF0000"/>
              </a:solidFill>
            </a:rPr>
            <a:t> ?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190501</xdr:colOff>
      <xdr:row>18</xdr:row>
      <xdr:rowOff>133350</xdr:rowOff>
    </xdr:from>
    <xdr:to>
      <xdr:col>3</xdr:col>
      <xdr:colOff>238127</xdr:colOff>
      <xdr:row>20</xdr:row>
      <xdr:rowOff>78582</xdr:rowOff>
    </xdr:to>
    <xdr:sp macro="[4]!analyse" textlink="">
      <xdr:nvSpPr>
        <xdr:cNvPr id="22" name="Rectangle : coins arrondis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16000000}"/>
            </a:ext>
          </a:extLst>
        </xdr:cNvPr>
        <xdr:cNvSpPr/>
      </xdr:nvSpPr>
      <xdr:spPr>
        <a:xfrm>
          <a:off x="962026" y="3571875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Facture</a:t>
          </a:r>
        </a:p>
      </xdr:txBody>
    </xdr:sp>
    <xdr:clientData/>
  </xdr:twoCellAnchor>
  <xdr:twoCellAnchor>
    <xdr:from>
      <xdr:col>1</xdr:col>
      <xdr:colOff>190501</xdr:colOff>
      <xdr:row>21</xdr:row>
      <xdr:rowOff>0</xdr:rowOff>
    </xdr:from>
    <xdr:to>
      <xdr:col>3</xdr:col>
      <xdr:colOff>238127</xdr:colOff>
      <xdr:row>22</xdr:row>
      <xdr:rowOff>135732</xdr:rowOff>
    </xdr:to>
    <xdr:sp macro="[4]!visualisercert" textlink="">
      <xdr:nvSpPr>
        <xdr:cNvPr id="23" name="Rectangle : coins arrondis 7">
          <a:extLst>
            <a:ext uri="{FF2B5EF4-FFF2-40B4-BE49-F238E27FC236}">
              <a16:creationId xmlns:a16="http://schemas.microsoft.com/office/drawing/2014/main" xmlns="" id="{00000000-0008-0000-0200-000017000000}"/>
            </a:ext>
          </a:extLst>
        </xdr:cNvPr>
        <xdr:cNvSpPr/>
      </xdr:nvSpPr>
      <xdr:spPr>
        <a:xfrm>
          <a:off x="962026" y="4010025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Visualiser un certificat</a:t>
          </a:r>
        </a:p>
      </xdr:txBody>
    </xdr:sp>
    <xdr:clientData/>
  </xdr:twoCellAnchor>
  <xdr:twoCellAnchor>
    <xdr:from>
      <xdr:col>7</xdr:col>
      <xdr:colOff>657225</xdr:colOff>
      <xdr:row>4</xdr:row>
      <xdr:rowOff>5102</xdr:rowOff>
    </xdr:from>
    <xdr:to>
      <xdr:col>9</xdr:col>
      <xdr:colOff>535023</xdr:colOff>
      <xdr:row>11</xdr:row>
      <xdr:rowOff>38100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057900" y="776627"/>
          <a:ext cx="1420848" cy="1366498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0</xdr:row>
      <xdr:rowOff>136923</xdr:rowOff>
    </xdr:from>
    <xdr:to>
      <xdr:col>11</xdr:col>
      <xdr:colOff>369092</xdr:colOff>
      <xdr:row>0</xdr:row>
      <xdr:rowOff>952500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GrpSpPr/>
      </xdr:nvGrpSpPr>
      <xdr:grpSpPr>
        <a:xfrm>
          <a:off x="107156" y="136923"/>
          <a:ext cx="14858999" cy="815577"/>
          <a:chOff x="142875" y="148829"/>
          <a:chExt cx="14858999" cy="815577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800-000003000000}"/>
              </a:ext>
            </a:extLst>
          </xdr:cNvPr>
          <xdr:cNvSpPr/>
        </xdr:nvSpPr>
        <xdr:spPr>
          <a:xfrm>
            <a:off x="147638" y="164306"/>
            <a:ext cx="14850000" cy="7920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5400" b="1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800-000004000000}"/>
              </a:ext>
            </a:extLst>
          </xdr:cNvPr>
          <xdr:cNvSpPr/>
        </xdr:nvSpPr>
        <xdr:spPr>
          <a:xfrm>
            <a:off x="142875" y="154782"/>
            <a:ext cx="2809875" cy="792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/>
              <a:t>HISTORIQUE</a:t>
            </a:r>
            <a:r>
              <a:rPr lang="fr-FR" sz="1800" b="1" baseline="0"/>
              <a:t> DES VENTES</a:t>
            </a:r>
            <a:endParaRPr lang="fr-FR" sz="1800" b="1"/>
          </a:p>
        </xdr:txBody>
      </xdr:sp>
      <xdr:sp macro="" textlink="">
        <xdr:nvSpPr>
          <xdr:cNvPr id="5" name="ZoneTexte 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800-000005000000}"/>
              </a:ext>
            </a:extLst>
          </xdr:cNvPr>
          <xdr:cNvSpPr txBox="1"/>
        </xdr:nvSpPr>
        <xdr:spPr>
          <a:xfrm>
            <a:off x="3202782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Home</a:t>
            </a:r>
            <a:endParaRPr lang="fr-FR" sz="2000" b="0">
              <a:solidFill>
                <a:schemeClr val="bg1"/>
              </a:solidFill>
            </a:endParaRPr>
          </a:p>
        </xdr:txBody>
      </xdr:sp>
      <xdr:sp macro="" textlink="">
        <xdr:nvSpPr>
          <xdr:cNvPr id="6" name="ZoneTexte 5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xmlns="" id="{00000000-0008-0000-0800-000006000000}"/>
              </a:ext>
            </a:extLst>
          </xdr:cNvPr>
          <xdr:cNvSpPr txBox="1"/>
        </xdr:nvSpPr>
        <xdr:spPr>
          <a:xfrm>
            <a:off x="4583907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0">
                <a:solidFill>
                  <a:schemeClr val="bg1"/>
                </a:solidFill>
              </a:rPr>
              <a:t>Panier</a:t>
            </a:r>
          </a:p>
        </xdr:txBody>
      </xdr:sp>
      <xdr:sp macro="" textlink="">
        <xdr:nvSpPr>
          <xdr:cNvPr id="7" name="ZoneTexte 6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xmlns="" id="{00000000-0008-0000-0800-000007000000}"/>
              </a:ext>
            </a:extLst>
          </xdr:cNvPr>
          <xdr:cNvSpPr txBox="1"/>
        </xdr:nvSpPr>
        <xdr:spPr>
          <a:xfrm>
            <a:off x="5881689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0">
                <a:solidFill>
                  <a:schemeClr val="bg1"/>
                </a:solidFill>
              </a:rPr>
              <a:t>Suivi</a:t>
            </a:r>
            <a:r>
              <a:rPr lang="fr-FR" sz="1600" b="0" baseline="0">
                <a:solidFill>
                  <a:schemeClr val="bg1"/>
                </a:solidFill>
              </a:rPr>
              <a:t> des factures</a:t>
            </a:r>
            <a:endParaRPr lang="fr-FR" sz="1600" b="0">
              <a:solidFill>
                <a:schemeClr val="bg1"/>
              </a:solidFill>
            </a:endParaRPr>
          </a:p>
        </xdr:txBody>
      </xdr:sp>
      <xdr:sp macro="" textlink="">
        <xdr:nvSpPr>
          <xdr:cNvPr id="8" name="ZoneTexte 7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xmlns="" id="{00000000-0008-0000-0800-000008000000}"/>
              </a:ext>
            </a:extLst>
          </xdr:cNvPr>
          <xdr:cNvSpPr txBox="1"/>
        </xdr:nvSpPr>
        <xdr:spPr>
          <a:xfrm>
            <a:off x="7191376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Facture</a:t>
            </a:r>
          </a:p>
        </xdr:txBody>
      </xdr:sp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800-000009000000}"/>
              </a:ext>
            </a:extLst>
          </xdr:cNvPr>
          <xdr:cNvPicPr/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xdr:blipFill>
        <xdr:spPr bwMode="auto">
          <a:xfrm>
            <a:off x="14168438" y="154780"/>
            <a:ext cx="833436" cy="809626"/>
          </a:xfrm>
          <a:prstGeom prst="rect">
            <a:avLst/>
          </a:prstGeom>
          <a:noFill/>
          <a:ln>
            <a:noFill/>
          </a:ln>
        </xdr:spPr>
      </xdr:pic>
      <xdr:sp macro="" textlink="">
        <xdr:nvSpPr>
          <xdr:cNvPr id="10" name="ZoneTexte 9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xmlns="" id="{00000000-0008-0000-0800-00000A000000}"/>
              </a:ext>
            </a:extLst>
          </xdr:cNvPr>
          <xdr:cNvSpPr txBox="1"/>
        </xdr:nvSpPr>
        <xdr:spPr>
          <a:xfrm>
            <a:off x="8346282" y="148829"/>
            <a:ext cx="119062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Payement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0</xdr:row>
      <xdr:rowOff>142874</xdr:rowOff>
    </xdr:from>
    <xdr:to>
      <xdr:col>16</xdr:col>
      <xdr:colOff>631030</xdr:colOff>
      <xdr:row>0</xdr:row>
      <xdr:rowOff>952500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pSpPr/>
      </xdr:nvGrpSpPr>
      <xdr:grpSpPr>
        <a:xfrm>
          <a:off x="107156" y="142874"/>
          <a:ext cx="14858999" cy="809626"/>
          <a:chOff x="142875" y="154780"/>
          <a:chExt cx="14858999" cy="809626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B00-000003000000}"/>
              </a:ext>
            </a:extLst>
          </xdr:cNvPr>
          <xdr:cNvSpPr/>
        </xdr:nvSpPr>
        <xdr:spPr>
          <a:xfrm>
            <a:off x="147638" y="164306"/>
            <a:ext cx="14850000" cy="7920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5400" b="1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B00-000004000000}"/>
              </a:ext>
            </a:extLst>
          </xdr:cNvPr>
          <xdr:cNvSpPr/>
        </xdr:nvSpPr>
        <xdr:spPr>
          <a:xfrm>
            <a:off x="142875" y="154782"/>
            <a:ext cx="2809875" cy="792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/>
              <a:t>FIDELISATION</a:t>
            </a:r>
          </a:p>
        </xdr:txBody>
      </xdr:sp>
      <xdr:sp macro="" textlink="">
        <xdr:nvSpPr>
          <xdr:cNvPr id="5" name="ZoneTexte 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B00-000005000000}"/>
              </a:ext>
            </a:extLst>
          </xdr:cNvPr>
          <xdr:cNvSpPr txBox="1"/>
        </xdr:nvSpPr>
        <xdr:spPr>
          <a:xfrm>
            <a:off x="3202782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Client</a:t>
            </a:r>
            <a:endParaRPr lang="fr-FR" sz="2000" b="0">
              <a:solidFill>
                <a:schemeClr val="bg1"/>
              </a:solidFill>
            </a:endParaRPr>
          </a:p>
        </xdr:txBody>
      </xdr:sp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09000000}"/>
              </a:ext>
            </a:extLst>
          </xdr:cNvPr>
          <xdr:cNvPicPr/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xdr:blipFill>
        <xdr:spPr bwMode="auto">
          <a:xfrm>
            <a:off x="14168438" y="154780"/>
            <a:ext cx="833436" cy="809626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0</xdr:row>
      <xdr:rowOff>142874</xdr:rowOff>
    </xdr:from>
    <xdr:to>
      <xdr:col>20</xdr:col>
      <xdr:colOff>369092</xdr:colOff>
      <xdr:row>0</xdr:row>
      <xdr:rowOff>952500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xmlns="" id="{00000000-0008-0000-0C00-00000A000000}"/>
            </a:ext>
          </a:extLst>
        </xdr:cNvPr>
        <xdr:cNvGrpSpPr/>
      </xdr:nvGrpSpPr>
      <xdr:grpSpPr>
        <a:xfrm>
          <a:off x="107156" y="142874"/>
          <a:ext cx="14858999" cy="809626"/>
          <a:chOff x="142875" y="154780"/>
          <a:chExt cx="14858999" cy="809626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xmlns="" id="{00000000-0008-0000-0C00-000002000000}"/>
              </a:ext>
            </a:extLst>
          </xdr:cNvPr>
          <xdr:cNvSpPr/>
        </xdr:nvSpPr>
        <xdr:spPr>
          <a:xfrm>
            <a:off x="147638" y="164306"/>
            <a:ext cx="14850000" cy="7920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5400" b="1"/>
          </a:p>
        </xdr:txBody>
      </xdr:sp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C00-000003000000}"/>
              </a:ext>
            </a:extLst>
          </xdr:cNvPr>
          <xdr:cNvSpPr/>
        </xdr:nvSpPr>
        <xdr:spPr>
          <a:xfrm>
            <a:off x="142875" y="154782"/>
            <a:ext cx="2809875" cy="792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/>
              <a:t>TITRE DE PAGE</a:t>
            </a:r>
          </a:p>
        </xdr:txBody>
      </xdr:sp>
      <xdr:sp macro="" textlink="">
        <xdr:nvSpPr>
          <xdr:cNvPr id="4" name="ZoneTexte 3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C00-000004000000}"/>
              </a:ext>
            </a:extLst>
          </xdr:cNvPr>
          <xdr:cNvSpPr txBox="1"/>
        </xdr:nvSpPr>
        <xdr:spPr>
          <a:xfrm>
            <a:off x="3202782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Home</a:t>
            </a:r>
            <a:endParaRPr lang="fr-FR" sz="2000" b="0">
              <a:solidFill>
                <a:schemeClr val="bg1"/>
              </a:solidFill>
            </a:endParaRPr>
          </a:p>
        </xdr:txBody>
      </xdr:sp>
      <xdr:sp macro="" textlink="">
        <xdr:nvSpPr>
          <xdr:cNvPr id="5" name="ZoneTexte 4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xmlns="" id="{00000000-0008-0000-0C00-000005000000}"/>
              </a:ext>
            </a:extLst>
          </xdr:cNvPr>
          <xdr:cNvSpPr txBox="1"/>
        </xdr:nvSpPr>
        <xdr:spPr>
          <a:xfrm>
            <a:off x="4583907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0">
                <a:solidFill>
                  <a:schemeClr val="bg1"/>
                </a:solidFill>
              </a:rPr>
              <a:t>Panier</a:t>
            </a:r>
          </a:p>
        </xdr:txBody>
      </xdr:sp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xmlns="" id="{00000000-0008-0000-0C00-000006000000}"/>
              </a:ext>
            </a:extLst>
          </xdr:cNvPr>
          <xdr:cNvSpPr txBox="1"/>
        </xdr:nvSpPr>
        <xdr:spPr>
          <a:xfrm>
            <a:off x="5881689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0">
                <a:solidFill>
                  <a:schemeClr val="bg1"/>
                </a:solidFill>
              </a:rPr>
              <a:t>PAGE 2</a:t>
            </a:r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xmlns="" id="{00000000-0008-0000-0C00-000007000000}"/>
              </a:ext>
            </a:extLst>
          </xdr:cNvPr>
          <xdr:cNvSpPr txBox="1"/>
        </xdr:nvSpPr>
        <xdr:spPr>
          <a:xfrm>
            <a:off x="7191376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PAGE 2</a:t>
            </a:r>
          </a:p>
        </xdr:txBody>
      </xdr:sp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C00-000008000000}"/>
              </a:ext>
            </a:extLst>
          </xdr:cNvPr>
          <xdr:cNvPicPr/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xdr:blipFill>
        <xdr:spPr bwMode="auto">
          <a:xfrm>
            <a:off x="14168438" y="154780"/>
            <a:ext cx="833436" cy="809626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1143000</xdr:colOff>
      <xdr:row>0</xdr:row>
      <xdr:rowOff>114300</xdr:rowOff>
    </xdr:from>
    <xdr:to>
      <xdr:col>2</xdr:col>
      <xdr:colOff>4448175</xdr:colOff>
      <xdr:row>0</xdr:row>
      <xdr:rowOff>742950</xdr:rowOff>
    </xdr:to>
    <xdr:sp macro="[0]!ExtractionDesFormulesToutesLesFeuilles" textlink="">
      <xdr:nvSpPr>
        <xdr:cNvPr id="2" name="ZoneTexte 1"/>
        <xdr:cNvSpPr txBox="1"/>
      </xdr:nvSpPr>
      <xdr:spPr>
        <a:xfrm>
          <a:off x="2733675" y="114300"/>
          <a:ext cx="3305175" cy="628650"/>
        </a:xfrm>
        <a:prstGeom prst="rect">
          <a:avLst/>
        </a:prstGeom>
        <a:solidFill>
          <a:srgbClr val="FFDAFF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Récupération de toutes les formules du classeur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SAUVE/FICHEXCE/CLIENTS/PAIEMENTS/ETATPAIEMEN%20200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mesprogrammes/2019-12-20_Follow_Up_KABS_Certificate_of_Analysi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DOSSIERS/LAFIASO/2000/REO/P2167RE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\partage\SECRETARIAT_DIRECTION\Suivie_Certificat%20d'analyse_KABS1_mod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t/Downloads/gestion%20entreprise%20essai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DOSSIBEN/FAB/21JUIN96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DOSSIERS/LAFIASO/2000/STOCBAS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AT PAIEMENT"/>
      <sheetName val="impaye du jour "/>
      <sheetName val="impaye du jour  (31-12-08)"/>
      <sheetName val="impayes 31-12-08"/>
      <sheetName val="impayes ca 31-12-08"/>
      <sheetName val="CA CAME 08"/>
      <sheetName val="impa came 31-12-08"/>
      <sheetName val="Graph2"/>
      <sheetName val="ca promo 2003-2008"/>
      <sheetName val="situation afogbe"/>
      <sheetName val="Graph3"/>
      <sheetName val="bp cp + ca"/>
      <sheetName val="chiff061"/>
      <sheetName val="chiff08"/>
      <sheetName val="ca2008"/>
      <sheetName val="chiffres 08"/>
      <sheetName val="dec 08"/>
      <sheetName val="dec 08 (exp)"/>
      <sheetName val="NOV 08"/>
      <sheetName val="NOV 08 (exp)"/>
      <sheetName val="OCT 08"/>
      <sheetName val="OCT 08 (exp)"/>
      <sheetName val="sept 08"/>
      <sheetName val="sept 08 (exp)"/>
      <sheetName val="août 08"/>
      <sheetName val="août 08 (exp)"/>
      <sheetName val="juillet 08"/>
      <sheetName val="juillet 08 (exp)"/>
      <sheetName val="juin 08"/>
      <sheetName val="juin 08 (exp)"/>
      <sheetName val="mai 08 "/>
      <sheetName val="mai 08  (exp)"/>
      <sheetName val="AVRIL 08"/>
      <sheetName val="AVRIL 08 (exp)"/>
      <sheetName val="mars 08"/>
      <sheetName val="mars 08 (exp)"/>
      <sheetName val="FEV 08"/>
      <sheetName val="FEV 08 (exp)"/>
      <sheetName val="jan 08"/>
      <sheetName val="jan 08 (exp)"/>
      <sheetName val="ca2008 (exp)"/>
      <sheetName val="Graph1"/>
      <sheetName val="imp ubp 31-12-07"/>
      <sheetName val="imp ca 31-12-0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/>
      <sheetData sheetId="9"/>
      <sheetData sheetId="10" refreshError="1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 refreshError="1"/>
      <sheetData sheetId="42"/>
      <sheetData sheetId="4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Feuil1"/>
    </sheet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2167REO"/>
    </sheetNames>
    <sheetDataSet>
      <sheetData sheetId="0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login"/>
      <sheetName val="menu"/>
      <sheetName val="listes"/>
      <sheetName val="CERT"/>
      <sheetName val="source"/>
      <sheetName val="procedure"/>
      <sheetName val="members"/>
      <sheetName val="analyse"/>
      <sheetName val="Suivie_Certificat d'analyse_KAB"/>
    </sheetNames>
    <definedNames>
      <definedName name="aide"/>
      <definedName name="analyse"/>
      <definedName name="imprimcert"/>
      <definedName name="IMPRIMECRITERE"/>
      <definedName name="listecert"/>
      <definedName name="Module1.saisienvfab"/>
      <definedName name="operateur"/>
      <definedName name="quitter"/>
      <definedName name="quittermdp"/>
      <definedName name="saisienomp"/>
      <definedName name="saisienvconf"/>
      <definedName name="saisienvfourn"/>
      <definedName name="saisienvtype"/>
      <definedName name="visualisercer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ogin"/>
      <sheetName val="Feuil1"/>
      <sheetName val="home"/>
      <sheetName val="source"/>
      <sheetName val="reception"/>
      <sheetName val="panier"/>
      <sheetName val="Stock"/>
      <sheetName val="facture"/>
      <sheetName val="payement"/>
      <sheetName val="fidélisation"/>
      <sheetName val="suivi_facture"/>
      <sheetName val="historique_vente"/>
      <sheetName val="client"/>
      <sheetName val="layout"/>
      <sheetName val="Feuil2"/>
      <sheetName val="gestion entreprise essai1"/>
    </sheetNames>
    <sheetDataSet>
      <sheetData sheetId="0"/>
      <sheetData sheetId="1"/>
      <sheetData sheetId="2"/>
      <sheetData sheetId="3"/>
      <sheetData sheetId="4">
        <row r="4">
          <cell r="B4" t="str">
            <v>PF_ASPI5001</v>
          </cell>
        </row>
        <row r="5">
          <cell r="B5" t="str">
            <v>PF_ASPI5001</v>
          </cell>
        </row>
        <row r="6">
          <cell r="B6" t="str">
            <v>PF_FOLI0051</v>
          </cell>
        </row>
        <row r="7">
          <cell r="B7" t="str">
            <v>PF_ALBE4002</v>
          </cell>
        </row>
        <row r="8">
          <cell r="B8" t="str">
            <v>PF_AMOX5001</v>
          </cell>
        </row>
        <row r="9">
          <cell r="B9" t="str">
            <v>PF_CHLR5001</v>
          </cell>
        </row>
        <row r="10">
          <cell r="B10" t="str">
            <v>PF_CIME2001</v>
          </cell>
        </row>
        <row r="11">
          <cell r="B11" t="str">
            <v>PF_CIPR5001</v>
          </cell>
        </row>
        <row r="12">
          <cell r="B12" t="str">
            <v>PF_CLOX2501</v>
          </cell>
        </row>
        <row r="13">
          <cell r="B13" t="str">
            <v>PF_DIAZ0051</v>
          </cell>
        </row>
        <row r="14">
          <cell r="B14" t="str">
            <v>PF_DICL0501</v>
          </cell>
        </row>
        <row r="15">
          <cell r="B15" t="str">
            <v>PF_FERR2001</v>
          </cell>
        </row>
        <row r="16">
          <cell r="B16" t="str">
            <v>PF_IBUP4001</v>
          </cell>
        </row>
        <row r="17">
          <cell r="B17" t="str">
            <v>PF_INDO0251</v>
          </cell>
        </row>
        <row r="18">
          <cell r="B18" t="str">
            <v>PF_MEBE1001</v>
          </cell>
        </row>
        <row r="19">
          <cell r="B19" t="str">
            <v>PF_MEBE5001</v>
          </cell>
        </row>
        <row r="20">
          <cell r="B20" t="str">
            <v>PF_METR2501</v>
          </cell>
        </row>
        <row r="21">
          <cell r="B21" t="str">
            <v>PF_NYST5001</v>
          </cell>
        </row>
        <row r="22">
          <cell r="B22" t="str">
            <v>PF_PARA5001</v>
          </cell>
        </row>
        <row r="23">
          <cell r="B23" t="str">
            <v>PF_POTA5001</v>
          </cell>
        </row>
        <row r="24">
          <cell r="B24" t="str">
            <v>PF_PROM0251</v>
          </cell>
        </row>
        <row r="25">
          <cell r="B25" t="str">
            <v>PF_QUIN1001</v>
          </cell>
        </row>
        <row r="26">
          <cell r="B26" t="str">
            <v>PF_QUIN3001</v>
          </cell>
        </row>
      </sheetData>
      <sheetData sheetId="5"/>
      <sheetData sheetId="6"/>
      <sheetData sheetId="7"/>
      <sheetData sheetId="8"/>
      <sheetData sheetId="9"/>
      <sheetData sheetId="10">
        <row r="4">
          <cell r="B4">
            <v>1</v>
          </cell>
        </row>
        <row r="5">
          <cell r="B5">
            <v>2</v>
          </cell>
        </row>
        <row r="6">
          <cell r="B6">
            <v>3</v>
          </cell>
        </row>
        <row r="7">
          <cell r="B7">
            <v>4</v>
          </cell>
        </row>
        <row r="8">
          <cell r="B8">
            <v>5</v>
          </cell>
        </row>
      </sheetData>
      <sheetData sheetId="11">
        <row r="4">
          <cell r="C4">
            <v>4</v>
          </cell>
        </row>
        <row r="5">
          <cell r="C5" t="str">
            <v/>
          </cell>
        </row>
      </sheetData>
      <sheetData sheetId="12"/>
      <sheetData sheetId="13"/>
      <sheetData sheetId="14"/>
      <sheetData sheetId="15"/>
      <sheetData sheetId="16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4943 GBEKO"/>
      <sheetName val="3942salembaore"/>
      <sheetName val="3942coli ("/>
      <sheetName val="p2367"/>
      <sheetName val="p2368"/>
      <sheetName val="p2369"/>
      <sheetName val="p237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8099base1"/>
      <sheetName val="avoir"/>
      <sheetName val="coli global"/>
      <sheetName val="8284"/>
      <sheetName val="8284 base 2"/>
      <sheetName val="coli global (2)"/>
      <sheetName val="coli global (3)"/>
      <sheetName val="8364base3"/>
      <sheetName val="8694 stock4"/>
      <sheetName val="8821BASE5"/>
      <sheetName val="9050BASE6"/>
      <sheetName val="9050BASE6 (2)"/>
      <sheetName val="9338BASE7"/>
      <sheetName val="9614BASE8"/>
      <sheetName val="9824BASE9"/>
      <sheetName val="9876BASE10"/>
      <sheetName val="prevision"/>
      <sheetName val="p2656"/>
      <sheetName val="10017BASE"/>
      <sheetName val="10104BASE"/>
      <sheetName val="10280BASE"/>
      <sheetName val="ORI&lt;04-9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33">
          <cell r="F33" t="str">
            <v>Prix Total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id="2" name="Tableau1" displayName="Tableau1" ref="B3:J59" totalsRowShown="0" headerRowDxfId="91" dataDxfId="90">
  <autoFilter ref="B3:J59"/>
  <tableColumns count="9">
    <tableColumn id="1" name="Nr article" dataDxfId="89"/>
    <tableColumn id="2" name="Nom" dataDxfId="88"/>
    <tableColumn id="3" name="Description" dataDxfId="87"/>
    <tableColumn id="4" name="Image" dataDxfId="86"/>
    <tableColumn id="5" name="Adresse image" dataDxfId="85">
      <calculatedColumnFormula>"article!"&amp;ADDRESS(ROW(E4),COLUMN(E4))</calculatedColumnFormula>
    </tableColumn>
    <tableColumn id="6" name="Centrale d'Achat" dataDxfId="84" dataCellStyle="Monétaire"/>
    <tableColumn id="8" name="Grossiste" dataDxfId="83" dataCellStyle="Monétaire">
      <calculatedColumnFormula>Tableau1[[#This Row],[Centrale d''Achat]]*(1+5%)</calculatedColumnFormula>
    </tableColumn>
    <tableColumn id="9" name="Extérieur" dataDxfId="82" dataCellStyle="Monétaire">
      <calculatedColumnFormula>Tableau1[[#This Row],[Centrale d''Achat]]*(1+20%)</calculatedColumnFormula>
    </tableColumn>
    <tableColumn id="7" name="Stock" dataDxfId="81">
      <calculatedColumnFormula>SUMIF(Tableau8[Nr article],Tableau1[[#This Row],[Nr article]],Tableau8[Quantité :])-SUMIF(Tableau4[Nr article],Tableau1[[#This Row],[Nr article]],Tableau4[Nombre])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B3:R10" totalsRowShown="0" headerRowDxfId="80" dataDxfId="79">
  <autoFilter ref="B3:R10"/>
  <tableColumns count="17">
    <tableColumn id="1" name="Nr client" dataDxfId="78"/>
    <tableColumn id="2" name="Nom" dataDxfId="77"/>
    <tableColumn id="3" name="Secteur" dataDxfId="76"/>
    <tableColumn id="4" name="Code postal" dataDxfId="75"/>
    <tableColumn id="5" name="Ville" dataDxfId="74"/>
    <tableColumn id="6" name="Pays" dataDxfId="73"/>
    <tableColumn id="7" name="Mail" dataDxfId="72"/>
    <tableColumn id="8" name="Tél" dataDxfId="71"/>
    <tableColumn id="16" name="nb" dataDxfId="70">
      <calculatedColumnFormula>IFERROR(COUNTIFS([5]suivi_facture!C4:C4,[5]!Tableau2[[#This Row],[Nr client]],[5]suivi_facture!J4:J4,0),"")</calculatedColumnFormula>
    </tableColumn>
    <tableColumn id="9" name="Niv fidélité" dataDxfId="69">
      <calculatedColumnFormula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calculatedColumnFormula>
    </tableColumn>
    <tableColumn id="10" name="1" dataDxfId="68">
      <calculatedColumnFormula>IFERROR(IF($K4&gt;=1,1,""),"")</calculatedColumnFormula>
    </tableColumn>
    <tableColumn id="11" name="2" dataDxfId="67">
      <calculatedColumnFormula>IFERROR(IF($K4&gt;=2,1,""),"")</calculatedColumnFormula>
    </tableColumn>
    <tableColumn id="12" name="3" dataDxfId="66">
      <calculatedColumnFormula>IFERROR(IF($K4&gt;=3,1,""),"")</calculatedColumnFormula>
    </tableColumn>
    <tableColumn id="13" name="4" dataDxfId="65">
      <calculatedColumnFormula>IFERROR(IF($K4&gt;=4,1,""),"")</calculatedColumnFormula>
    </tableColumn>
    <tableColumn id="14" name="5" dataDxfId="64">
      <calculatedColumnFormula>IFERROR(IF($K4&gt;=5,1,""),"")</calculatedColumnFormula>
    </tableColumn>
    <tableColumn id="15" name="info texte" dataDxfId="63">
      <calculatedColumnFormula>CONCATENATE(C4,CHAR(10),D4,CHAR(10),E4," - ",F4,CHAR(10),G4,CHAR(10),H4,CHAR(10),I4)</calculatedColumnFormula>
    </tableColumn>
    <tableColumn id="17" name="Statut" dataDxfId="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Tableau8" displayName="Tableau8" ref="B8:I33" totalsRowShown="0" headerRowDxfId="59" dataDxfId="58">
  <autoFilter ref="B8:I33"/>
  <tableColumns count="8">
    <tableColumn id="1" name="Date" dataDxfId="57"/>
    <tableColumn id="7" name="Nr article" dataDxfId="56" dataCellStyle="Milliers"/>
    <tableColumn id="2" name="Nom :" dataDxfId="55">
      <calculatedColumnFormula>INDEX(Tableau1[Nom],MATCH(Tableau8[[#This Row],[Nr article]],Tableau1[Nr article],0))</calculatedColumnFormula>
    </tableColumn>
    <tableColumn id="3" name="Quantité :" dataDxfId="54"/>
    <tableColumn id="4" name="Nr fiche d'entrée :" dataDxfId="53"/>
    <tableColumn id="5" name="Lot" dataDxfId="52"/>
    <tableColumn id="6" name="Péremption" dataDxfId="51"/>
    <tableColumn id="8" name="Qté sortie" dataDxfId="50">
      <calculatedColumnFormula>IF(Tableau8[[#This Row],[Nr article]]=panier!$C$13,IF(SUM(OFFSET($E$9,$I$1-1,0,ROW()-$I$1-7,1))&lt;=panier!$G$13,$E9,IF(ROW()=$I$1+8,$E9-(SUM(OFFSET($E$9,$I$1-1,0,1))-panier!$G$13),IF(SUM(OFFSET($E$9,$I$1-1,0,ROW()-$I$1-7))&lt;=panier!$G$13,panier!$G$13-SUM(OFFSET($E$9,$I$1-1,0,ROW()-$I$1-8)),""))),"")</calculatedColumnFormula>
    </tableColumn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4" name="Tableau3" displayName="Tableau3" ref="K6:U7" insertRow="1" totalsRowShown="0" headerRowDxfId="49" dataDxfId="48">
  <autoFilter ref="K6:U7"/>
  <tableColumns count="11">
    <tableColumn id="1" name="Date" dataDxfId="47"/>
    <tableColumn id="2" name="Nr facture" dataDxfId="46"/>
    <tableColumn id="3" name="Nr article" dataDxfId="45"/>
    <tableColumn id="4" name="article" dataDxfId="44"/>
    <tableColumn id="5" name="Prix htv" dataDxfId="43"/>
    <tableColumn id="6" name="Quantité" dataDxfId="42"/>
    <tableColumn id="7" name="Nr client" dataDxfId="41"/>
    <tableColumn id="8" name="remise" dataDxfId="40" dataCellStyle="Pourcentage"/>
    <tableColumn id="9" name="Total" dataDxfId="39" dataCellStyle="Monétaire"/>
    <tableColumn id="10" name="Lot" dataDxfId="38"/>
    <tableColumn id="11" name="Péremption" dataDxfId="3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4" displayName="Tableau4" ref="B3:J9" totalsRowShown="0" headerRowDxfId="36">
  <autoFilter ref="B3:J9"/>
  <tableColumns count="9">
    <tableColumn id="1" name="Date" dataDxfId="35"/>
    <tableColumn id="2" name="Nr facture" dataDxfId="34"/>
    <tableColumn id="3" name="Nr article" dataDxfId="33"/>
    <tableColumn id="4" name="article" dataDxfId="32"/>
    <tableColumn id="5" name="Prix htva" dataDxfId="31" dataCellStyle="Monétaire"/>
    <tableColumn id="6" name="Nombre" dataDxfId="30"/>
    <tableColumn id="7" name="Nr client" dataDxfId="29"/>
    <tableColumn id="8" name="remise" dataDxfId="28" dataCellStyle="Pourcentage"/>
    <tableColumn id="9" name="Total" dataDxfId="27" dataCellStyle="Moné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" name="Tableau5" displayName="Tableau5" ref="B3:K10" totalsRowShown="0" headerRowDxfId="26" dataDxfId="25">
  <autoFilter ref="B3:K10"/>
  <tableColumns count="10">
    <tableColumn id="1" name="Nr facture" dataDxfId="24">
      <calculatedColumnFormula>IFERROR(SMALL(Tableau4[Nr facture],ROW(1:1)),"")</calculatedColumnFormula>
    </tableColumn>
    <tableColumn id="2" name="Nr client" dataDxfId="23">
      <calculatedColumnFormula>IFERROR(INDEX(Tableau4[Nr client],MATCH(suivi_facture!B4,Tableau4[Nr facture],0)),"")</calculatedColumnFormula>
    </tableColumn>
    <tableColumn id="3" name="Date" dataDxfId="22">
      <calculatedColumnFormula>IFERROR(INDEX(Tableau4[Date],MATCH(suivi_facture!B4,Tableau4[Nr facture],0)),"")</calculatedColumnFormula>
    </tableColumn>
    <tableColumn id="4" name="Total HTVA" dataDxfId="21">
      <calculatedColumnFormula>IFERROR(SUMIF(Tableau4[Nr facture],suivi_facture!B4,Tableau4[Total]),"")</calculatedColumnFormula>
    </tableColumn>
    <tableColumn id="5" name="Remise" dataDxfId="20">
      <calculatedColumnFormula>IFERROR(E4*INDEX(Tableau4[remise],MATCH(suivi_facture!B4,Tableau4[Nr facture],0)),"")</calculatedColumnFormula>
    </tableColumn>
    <tableColumn id="6" name="Total TTC" dataDxfId="19">
      <calculatedColumnFormula>IFERROR(((E4-F4)*1.21),"")</calculatedColumnFormula>
    </tableColumn>
    <tableColumn id="7" name="Acompte" dataDxfId="18">
      <calculatedColumnFormula>IFERROR(SUMIFS(Tableau7[Montant],Tableau7[Type],"acompte",Tableau7[Nr facture],Tableau5[[#This Row],[Nr facture]]),"")</calculatedColumnFormula>
    </tableColumn>
    <tableColumn id="8" name="Versement" dataDxfId="17">
      <calculatedColumnFormula>IFERROR(SUMIFS(Tableau7[Montant],Tableau7[Type],"versement",Tableau7[Nr facture],Tableau5[[#This Row],[Nr facture]]),"")</calculatedColumnFormula>
    </tableColumn>
    <tableColumn id="9" name="Reste" dataDxfId="16">
      <calculatedColumnFormula>IFERROR(ROUND((G4-H4-I4),2),"")</calculatedColumnFormula>
    </tableColumn>
    <tableColumn id="10" name="Status" dataDxfId="15">
      <calculatedColumnFormula>IFERROR(IF(AND(J4&gt;0,D4+30&lt;TODAY()),"Alerte",IF(J4&gt;0,"Open","Close")),"")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B3:F6" totalsRowShown="0" headerRowDxfId="14" dataDxfId="13">
  <autoFilter ref="B3:F6"/>
  <tableColumns count="5">
    <tableColumn id="1" name="Date" dataDxfId="12"/>
    <tableColumn id="2" name="Nr facture" dataDxfId="11"/>
    <tableColumn id="3" name="Client" dataDxfId="10"/>
    <tableColumn id="4" name="Type" dataDxfId="9"/>
    <tableColumn id="5" name="Montant" dataDxfId="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ableau6" displayName="Tableau6" ref="B3:D8" totalsRowShown="0" headerRowDxfId="7" dataDxfId="6">
  <autoFilter ref="B3:D8"/>
  <tableColumns count="3">
    <tableColumn id="1" name="Level" dataDxfId="5"/>
    <tableColumn id="2" name="Conditions" dataDxfId="4"/>
    <tableColumn id="3" name="Réduction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moriabak_01@yahoo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Relationship Id="rId5" Type="http://schemas.openxmlformats.org/officeDocument/2006/relationships/table" Target="../tables/table4.xml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showGridLines="0" workbookViewId="0">
      <selection activeCell="G29" sqref="G29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/>
  <dimension ref="C7:J7"/>
  <sheetViews>
    <sheetView showGridLines="0" showRowColHeaders="0" workbookViewId="0">
      <selection activeCell="L7" sqref="L7"/>
    </sheetView>
  </sheetViews>
  <sheetFormatPr baseColWidth="10" defaultColWidth="11.5703125" defaultRowHeight="15"/>
  <sheetData>
    <row r="7" spans="3:10" ht="18.75">
      <c r="C7" s="112" t="s">
        <v>85</v>
      </c>
      <c r="D7" s="112"/>
      <c r="E7" s="112"/>
      <c r="F7" s="112"/>
      <c r="G7" s="112"/>
      <c r="H7" s="112"/>
      <c r="I7" s="112"/>
      <c r="J7" s="112"/>
    </row>
  </sheetData>
  <sheetProtection sheet="1" objects="1" scenarios="1"/>
  <mergeCells count="1">
    <mergeCell ref="C7:J7"/>
  </mergeCells>
  <pageMargins left="0.7" right="0.7" top="0.75" bottom="0.75" header="0.3" footer="0.3"/>
  <pageSetup paperSize="9" orientation="portrait" r:id="rId1"/>
  <drawing r:id="rId2"/>
  <legacyDrawing r:id="rId3"/>
  <controls>
    <control shapeId="33795" r:id="rId4" name="btn_loging"/>
    <control shapeId="33794" r:id="rId5" name="Txt_pass"/>
    <control shapeId="33793" r:id="rId6" name="Txt_us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B1"/>
  <sheetViews>
    <sheetView showGridLines="0" topLeftCell="A4" workbookViewId="0">
      <selection activeCell="K20" sqref="K20"/>
    </sheetView>
  </sheetViews>
  <sheetFormatPr baseColWidth="10" defaultColWidth="11.5703125" defaultRowHeight="15"/>
  <sheetData>
    <row r="1" spans="2:2" ht="15.75">
      <c r="B1" s="4"/>
    </row>
  </sheetData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K59"/>
  <sheetViews>
    <sheetView showGridLines="0" topLeftCell="A34" zoomScale="91" zoomScaleNormal="91" workbookViewId="0">
      <selection activeCell="H4" sqref="H4:J59 F4:F59"/>
    </sheetView>
  </sheetViews>
  <sheetFormatPr baseColWidth="10" defaultRowHeight="15.75"/>
  <cols>
    <col min="1" max="1" width="1.7109375" style="5" customWidth="1"/>
    <col min="2" max="2" width="15" style="6" bestFit="1" customWidth="1"/>
    <col min="3" max="3" width="60.7109375" style="6" bestFit="1" customWidth="1"/>
    <col min="4" max="4" width="17.28515625" style="53" bestFit="1" customWidth="1"/>
    <col min="5" max="6" width="25" style="6" hidden="1" customWidth="1"/>
    <col min="7" max="7" width="15.85546875" style="54" customWidth="1"/>
    <col min="8" max="8" width="7.7109375" style="5" hidden="1" customWidth="1"/>
    <col min="9" max="9" width="7" style="5" hidden="1" customWidth="1"/>
    <col min="10" max="10" width="11.28515625" style="5" bestFit="1" customWidth="1"/>
    <col min="11" max="11" width="25" style="6" customWidth="1"/>
    <col min="12" max="12" width="11.42578125" style="5"/>
    <col min="13" max="13" width="11.42578125" style="5" customWidth="1"/>
    <col min="14" max="16384" width="11.42578125" style="5"/>
  </cols>
  <sheetData>
    <row r="1" spans="2:10" s="5" customFormat="1" ht="86.25" customHeight="1">
      <c r="B1" s="6"/>
      <c r="C1" s="6"/>
      <c r="D1" s="53"/>
      <c r="E1" s="6"/>
      <c r="F1" s="6"/>
      <c r="G1" s="54"/>
      <c r="J1" s="6"/>
    </row>
    <row r="2" spans="2:10" s="5" customFormat="1">
      <c r="B2" s="6"/>
      <c r="C2" s="6"/>
      <c r="D2" s="53"/>
      <c r="E2" s="6"/>
      <c r="F2" s="6"/>
      <c r="G2" s="54"/>
      <c r="J2" s="6"/>
    </row>
    <row r="3" spans="2:10" s="5" customFormat="1" ht="27" customHeight="1">
      <c r="B3" s="6" t="s">
        <v>0</v>
      </c>
      <c r="C3" s="6" t="s">
        <v>1</v>
      </c>
      <c r="D3" s="6" t="s">
        <v>3</v>
      </c>
      <c r="E3" s="6" t="s">
        <v>2</v>
      </c>
      <c r="F3" s="6" t="s">
        <v>4</v>
      </c>
      <c r="G3" s="54" t="s">
        <v>250</v>
      </c>
      <c r="H3" s="6" t="s">
        <v>251</v>
      </c>
      <c r="I3" s="6" t="s">
        <v>252</v>
      </c>
      <c r="J3" s="6" t="s">
        <v>5</v>
      </c>
    </row>
    <row r="4" spans="2:10" s="6" customFormat="1">
      <c r="B4" s="26" t="s">
        <v>86</v>
      </c>
      <c r="C4" s="55" t="s">
        <v>138</v>
      </c>
      <c r="D4" s="55" t="s">
        <v>267</v>
      </c>
      <c r="E4" s="56"/>
      <c r="F4" s="56" t="str">
        <f t="shared" ref="F4:F8" si="0">"article!"&amp;ADDRESS(ROW(E4),COLUMN(E4))</f>
        <v>article!$E$4</v>
      </c>
      <c r="G4" s="57">
        <v>1000</v>
      </c>
      <c r="H4" s="57">
        <f>Tableau1[[#This Row],[Centrale d''Achat]]*(1+5%)</f>
        <v>1050</v>
      </c>
      <c r="I4" s="57">
        <f>Tableau1[[#This Row],[Centrale d''Achat]]*(1+20%)</f>
        <v>1200</v>
      </c>
      <c r="J4" s="56">
        <f>SUMIF(Tableau8[Nr article],Tableau1[[#This Row],[Nr article]],Tableau8[Quantité :])-SUMIF(Tableau4[Nr article],Tableau1[[#This Row],[Nr article]],Tableau4[Nombre])</f>
        <v>100</v>
      </c>
    </row>
    <row r="5" spans="2:10" s="5" customFormat="1">
      <c r="B5" s="26" t="s">
        <v>87</v>
      </c>
      <c r="C5" s="58" t="s">
        <v>139</v>
      </c>
      <c r="D5" s="58" t="s">
        <v>191</v>
      </c>
      <c r="E5" s="56"/>
      <c r="F5" s="56" t="str">
        <f t="shared" si="0"/>
        <v>article!$E$5</v>
      </c>
      <c r="G5" s="57">
        <v>3.5</v>
      </c>
      <c r="H5" s="57">
        <f>Tableau1[[#This Row],[Centrale d''Achat]]*(1+5%)</f>
        <v>3.6750000000000003</v>
      </c>
      <c r="I5" s="57">
        <f>Tableau1[[#This Row],[Centrale d''Achat]]*(1+20%)</f>
        <v>4.2</v>
      </c>
      <c r="J5" s="56">
        <f>SUMIF(Tableau8[Nr article],Tableau1[[#This Row],[Nr article]],Tableau8[Quantité :])-SUMIF(Tableau4[Nr article],Tableau1[[#This Row],[Nr article]],Tableau4[Nombre])</f>
        <v>0</v>
      </c>
    </row>
    <row r="6" spans="2:10" s="5" customFormat="1">
      <c r="B6" s="26" t="s">
        <v>88</v>
      </c>
      <c r="C6" s="55" t="s">
        <v>140</v>
      </c>
      <c r="D6" s="55" t="s">
        <v>190</v>
      </c>
      <c r="E6" s="56"/>
      <c r="F6" s="56" t="str">
        <f t="shared" si="0"/>
        <v>article!$E$6</v>
      </c>
      <c r="G6" s="57"/>
      <c r="H6" s="57">
        <f>Tableau1[[#This Row],[Centrale d''Achat]]*(1+5%)</f>
        <v>0</v>
      </c>
      <c r="I6" s="57">
        <f>Tableau1[[#This Row],[Centrale d''Achat]]*(1+20%)</f>
        <v>0</v>
      </c>
      <c r="J6" s="56">
        <f>SUMIF(Tableau8[Nr article],Tableau1[[#This Row],[Nr article]],Tableau8[Quantité :])-SUMIF(Tableau4[Nr article],Tableau1[[#This Row],[Nr article]],Tableau4[Nombre])</f>
        <v>0</v>
      </c>
    </row>
    <row r="7" spans="2:10" s="5" customFormat="1">
      <c r="B7" s="26" t="s">
        <v>89</v>
      </c>
      <c r="C7" s="58" t="s">
        <v>141</v>
      </c>
      <c r="D7" s="58" t="s">
        <v>191</v>
      </c>
      <c r="E7" s="56"/>
      <c r="F7" s="56" t="str">
        <f t="shared" si="0"/>
        <v>article!$E$7</v>
      </c>
      <c r="G7" s="57">
        <v>4.25</v>
      </c>
      <c r="H7" s="57">
        <f>Tableau1[[#This Row],[Centrale d''Achat]]*(1+5%)</f>
        <v>4.4625000000000004</v>
      </c>
      <c r="I7" s="57">
        <f>Tableau1[[#This Row],[Centrale d''Achat]]*(1+20%)</f>
        <v>5.0999999999999996</v>
      </c>
      <c r="J7" s="56">
        <f>SUMIF(Tableau8[Nr article],Tableau1[[#This Row],[Nr article]],Tableau8[Quantité :])-SUMIF(Tableau4[Nr article],Tableau1[[#This Row],[Nr article]],Tableau4[Nombre])</f>
        <v>0</v>
      </c>
    </row>
    <row r="8" spans="2:10" s="5" customFormat="1">
      <c r="B8" s="26" t="s">
        <v>90</v>
      </c>
      <c r="C8" s="58" t="s">
        <v>142</v>
      </c>
      <c r="D8" s="58" t="s">
        <v>194</v>
      </c>
      <c r="E8" s="56"/>
      <c r="F8" s="56" t="str">
        <f t="shared" si="0"/>
        <v>article!$E$8</v>
      </c>
      <c r="G8" s="57">
        <v>16</v>
      </c>
      <c r="H8" s="57">
        <f>Tableau1[[#This Row],[Centrale d''Achat]]*(1+5%)</f>
        <v>16.8</v>
      </c>
      <c r="I8" s="57">
        <f>Tableau1[[#This Row],[Centrale d''Achat]]*(1+20%)</f>
        <v>19.2</v>
      </c>
      <c r="J8" s="56">
        <f>SUMIF(Tableau8[Nr article],Tableau1[[#This Row],[Nr article]],Tableau8[Quantité :])-SUMIF(Tableau4[Nr article],Tableau1[[#This Row],[Nr article]],Tableau4[Nombre])</f>
        <v>0</v>
      </c>
    </row>
    <row r="9" spans="2:10" s="5" customFormat="1">
      <c r="B9" s="26" t="s">
        <v>91</v>
      </c>
      <c r="C9" s="55" t="s">
        <v>143</v>
      </c>
      <c r="D9" s="55" t="s">
        <v>195</v>
      </c>
      <c r="E9" s="56"/>
      <c r="F9" s="59" t="str">
        <f>"article!"&amp;ADDRESS(ROW(E9),COLUMN(E9))</f>
        <v>article!$E$9</v>
      </c>
      <c r="G9" s="57"/>
      <c r="H9" s="57">
        <f>Tableau1[[#This Row],[Centrale d''Achat]]*(1+5%)</f>
        <v>0</v>
      </c>
      <c r="I9" s="57">
        <f>Tableau1[[#This Row],[Centrale d''Achat]]*(1+20%)</f>
        <v>0</v>
      </c>
      <c r="J9" s="56">
        <f>SUMIF(Tableau8[Nr article],Tableau1[[#This Row],[Nr article]],Tableau8[Quantité :])-SUMIF(Tableau4[Nr article],Tableau1[[#This Row],[Nr article]],Tableau4[Nombre])</f>
        <v>0</v>
      </c>
    </row>
    <row r="10" spans="2:10" s="5" customFormat="1">
      <c r="B10" s="26" t="s">
        <v>92</v>
      </c>
      <c r="C10" s="55" t="s">
        <v>144</v>
      </c>
      <c r="D10" s="55" t="s">
        <v>190</v>
      </c>
      <c r="E10" s="56"/>
      <c r="F10" s="59" t="str">
        <f t="shared" ref="F10:F59" si="1">"article!"&amp;ADDRESS(ROW(E10),COLUMN(E10))</f>
        <v>article!$E$10</v>
      </c>
      <c r="G10" s="57"/>
      <c r="H10" s="57">
        <f>Tableau1[[#This Row],[Centrale d''Achat]]*(1+5%)</f>
        <v>0</v>
      </c>
      <c r="I10" s="57">
        <f>Tableau1[[#This Row],[Centrale d''Achat]]*(1+20%)</f>
        <v>0</v>
      </c>
      <c r="J10" s="59">
        <f>SUMIF(Tableau8[Nr article],Tableau1[[#This Row],[Nr article]],Tableau8[Quantité :])-SUMIF(Tableau4[Nr article],Tableau1[[#This Row],[Nr article]],Tableau4[Nombre])</f>
        <v>2</v>
      </c>
    </row>
    <row r="11" spans="2:10" s="5" customFormat="1">
      <c r="B11" s="26" t="s">
        <v>93</v>
      </c>
      <c r="C11" s="58" t="s">
        <v>145</v>
      </c>
      <c r="D11" s="58" t="s">
        <v>191</v>
      </c>
      <c r="E11" s="56"/>
      <c r="F11" s="59" t="str">
        <f t="shared" si="1"/>
        <v>article!$E$11</v>
      </c>
      <c r="G11" s="57">
        <v>20.149999999999999</v>
      </c>
      <c r="H11" s="57">
        <f>Tableau1[[#This Row],[Centrale d''Achat]]*(1+5%)</f>
        <v>21.157499999999999</v>
      </c>
      <c r="I11" s="57">
        <f>Tableau1[[#This Row],[Centrale d''Achat]]*(1+20%)</f>
        <v>24.179999999999996</v>
      </c>
      <c r="J11" s="59">
        <f>SUMIF(Tableau8[Nr article],Tableau1[[#This Row],[Nr article]],Tableau8[Quantité :])-SUMIF(Tableau4[Nr article],Tableau1[[#This Row],[Nr article]],Tableau4[Nombre])</f>
        <v>0</v>
      </c>
    </row>
    <row r="12" spans="2:10" s="5" customFormat="1">
      <c r="B12" s="26" t="s">
        <v>94</v>
      </c>
      <c r="C12" s="55" t="s">
        <v>146</v>
      </c>
      <c r="D12" s="55" t="s">
        <v>190</v>
      </c>
      <c r="E12" s="56"/>
      <c r="F12" s="59" t="str">
        <f t="shared" si="1"/>
        <v>article!$E$12</v>
      </c>
      <c r="G12" s="57"/>
      <c r="H12" s="57">
        <f>Tableau1[[#This Row],[Centrale d''Achat]]*(1+5%)</f>
        <v>0</v>
      </c>
      <c r="I12" s="57">
        <f>Tableau1[[#This Row],[Centrale d''Achat]]*(1+20%)</f>
        <v>0</v>
      </c>
      <c r="J12" s="59">
        <f>SUMIF(Tableau8[Nr article],Tableau1[[#This Row],[Nr article]],Tableau8[Quantité :])-SUMIF(Tableau4[Nr article],Tableau1[[#This Row],[Nr article]],Tableau4[Nombre])</f>
        <v>0</v>
      </c>
    </row>
    <row r="13" spans="2:10" s="5" customFormat="1">
      <c r="B13" s="26" t="s">
        <v>95</v>
      </c>
      <c r="C13" s="58" t="s">
        <v>147</v>
      </c>
      <c r="D13" s="58" t="s">
        <v>191</v>
      </c>
      <c r="E13" s="56"/>
      <c r="F13" s="59" t="str">
        <f t="shared" si="1"/>
        <v>article!$E$13</v>
      </c>
      <c r="G13" s="57">
        <v>9.25</v>
      </c>
      <c r="H13" s="57">
        <f>Tableau1[[#This Row],[Centrale d''Achat]]*(1+5%)</f>
        <v>9.7125000000000004</v>
      </c>
      <c r="I13" s="57">
        <f>Tableau1[[#This Row],[Centrale d''Achat]]*(1+20%)</f>
        <v>11.1</v>
      </c>
      <c r="J13" s="59">
        <f>SUMIF(Tableau8[Nr article],Tableau1[[#This Row],[Nr article]],Tableau8[Quantité :])-SUMIF(Tableau4[Nr article],Tableau1[[#This Row],[Nr article]],Tableau4[Nombre])</f>
        <v>0</v>
      </c>
    </row>
    <row r="14" spans="2:10" s="5" customFormat="1">
      <c r="B14" s="26" t="s">
        <v>196</v>
      </c>
      <c r="C14" s="58" t="s">
        <v>254</v>
      </c>
      <c r="D14" s="58" t="s">
        <v>191</v>
      </c>
      <c r="E14" s="56"/>
      <c r="F14" s="59" t="str">
        <f>"article!"&amp;ADDRESS(ROW(E14),COLUMN(E14))</f>
        <v>article!$E$14</v>
      </c>
      <c r="G14" s="57">
        <v>12.62</v>
      </c>
      <c r="H14" s="57">
        <f>Tableau1[[#This Row],[Centrale d''Achat]]*(1+5%)</f>
        <v>13.250999999999999</v>
      </c>
      <c r="I14" s="57">
        <f>Tableau1[[#This Row],[Centrale d''Achat]]*(1+20%)</f>
        <v>15.143999999999998</v>
      </c>
      <c r="J14" s="59">
        <f>SUMIF(Tableau8[Nr article],Tableau1[[#This Row],[Nr article]],Tableau8[Quantité :])-SUMIF(Tableau4[Nr article],Tableau1[[#This Row],[Nr article]],Tableau4[Nombre])</f>
        <v>0</v>
      </c>
    </row>
    <row r="15" spans="2:10" s="5" customFormat="1">
      <c r="B15" s="26" t="s">
        <v>96</v>
      </c>
      <c r="C15" s="55" t="s">
        <v>148</v>
      </c>
      <c r="D15" s="55" t="s">
        <v>190</v>
      </c>
      <c r="E15" s="56"/>
      <c r="F15" s="59" t="str">
        <f t="shared" si="1"/>
        <v>article!$E$15</v>
      </c>
      <c r="G15" s="57"/>
      <c r="H15" s="57">
        <f>Tableau1[[#This Row],[Centrale d''Achat]]*(1+5%)</f>
        <v>0</v>
      </c>
      <c r="I15" s="57">
        <f>Tableau1[[#This Row],[Centrale d''Achat]]*(1+20%)</f>
        <v>0</v>
      </c>
      <c r="J15" s="59">
        <f>SUMIF(Tableau8[Nr article],Tableau1[[#This Row],[Nr article]],Tableau8[Quantité :])-SUMIF(Tableau4[Nr article],Tableau1[[#This Row],[Nr article]],Tableau4[Nombre])</f>
        <v>0</v>
      </c>
    </row>
    <row r="16" spans="2:10" s="5" customFormat="1">
      <c r="B16" s="26" t="s">
        <v>97</v>
      </c>
      <c r="C16" s="58" t="s">
        <v>149</v>
      </c>
      <c r="D16" s="58" t="s">
        <v>191</v>
      </c>
      <c r="E16" s="56"/>
      <c r="F16" s="59" t="str">
        <f t="shared" si="1"/>
        <v>article!$E$16</v>
      </c>
      <c r="G16" s="57">
        <v>19.649999999999999</v>
      </c>
      <c r="H16" s="57">
        <f>Tableau1[[#This Row],[Centrale d''Achat]]*(1+5%)</f>
        <v>20.6325</v>
      </c>
      <c r="I16" s="57">
        <f>Tableau1[[#This Row],[Centrale d''Achat]]*(1+20%)</f>
        <v>23.58</v>
      </c>
      <c r="J16" s="59">
        <f>SUMIF(Tableau8[Nr article],Tableau1[[#This Row],[Nr article]],Tableau8[Quantité :])-SUMIF(Tableau4[Nr article],Tableau1[[#This Row],[Nr article]],Tableau4[Nombre])</f>
        <v>0</v>
      </c>
    </row>
    <row r="17" spans="2:10" s="5" customFormat="1">
      <c r="B17" s="26" t="s">
        <v>98</v>
      </c>
      <c r="C17" s="55" t="s">
        <v>150</v>
      </c>
      <c r="D17" s="55" t="s">
        <v>190</v>
      </c>
      <c r="E17" s="56"/>
      <c r="F17" s="59" t="str">
        <f t="shared" si="1"/>
        <v>article!$E$17</v>
      </c>
      <c r="G17" s="57"/>
      <c r="H17" s="57">
        <f>Tableau1[[#This Row],[Centrale d''Achat]]*(1+5%)</f>
        <v>0</v>
      </c>
      <c r="I17" s="57">
        <f>Tableau1[[#This Row],[Centrale d''Achat]]*(1+20%)</f>
        <v>0</v>
      </c>
      <c r="J17" s="59">
        <f>SUMIF(Tableau8[Nr article],Tableau1[[#This Row],[Nr article]],Tableau8[Quantité :])-SUMIF(Tableau4[Nr article],Tableau1[[#This Row],[Nr article]],Tableau4[Nombre])</f>
        <v>0</v>
      </c>
    </row>
    <row r="18" spans="2:10" s="5" customFormat="1">
      <c r="B18" s="26" t="s">
        <v>99</v>
      </c>
      <c r="C18" s="58" t="s">
        <v>151</v>
      </c>
      <c r="D18" s="58" t="s">
        <v>191</v>
      </c>
      <c r="E18" s="56"/>
      <c r="F18" s="59" t="str">
        <f t="shared" si="1"/>
        <v>article!$E$18</v>
      </c>
      <c r="G18" s="57">
        <v>11.5</v>
      </c>
      <c r="H18" s="57">
        <f>Tableau1[[#This Row],[Centrale d''Achat]]*(1+5%)</f>
        <v>12.075000000000001</v>
      </c>
      <c r="I18" s="57">
        <f>Tableau1[[#This Row],[Centrale d''Achat]]*(1+20%)</f>
        <v>13.799999999999999</v>
      </c>
      <c r="J18" s="59">
        <f>SUMIF(Tableau8[Nr article],Tableau1[[#This Row],[Nr article]],Tableau8[Quantité :])-SUMIF(Tableau4[Nr article],Tableau1[[#This Row],[Nr article]],Tableau4[Nombre])</f>
        <v>0</v>
      </c>
    </row>
    <row r="19" spans="2:10" s="5" customFormat="1">
      <c r="B19" s="26" t="s">
        <v>100</v>
      </c>
      <c r="C19" s="60" t="s">
        <v>152</v>
      </c>
      <c r="D19" s="55" t="s">
        <v>190</v>
      </c>
      <c r="E19" s="56"/>
      <c r="F19" s="59" t="str">
        <f t="shared" si="1"/>
        <v>article!$E$19</v>
      </c>
      <c r="G19" s="57"/>
      <c r="H19" s="57">
        <f>Tableau1[[#This Row],[Centrale d''Achat]]*(1+5%)</f>
        <v>0</v>
      </c>
      <c r="I19" s="57">
        <f>Tableau1[[#This Row],[Centrale d''Achat]]*(1+20%)</f>
        <v>0</v>
      </c>
      <c r="J19" s="59">
        <f>SUMIF(Tableau8[Nr article],Tableau1[[#This Row],[Nr article]],Tableau8[Quantité :])-SUMIF(Tableau4[Nr article],Tableau1[[#This Row],[Nr article]],Tableau4[Nombre])</f>
        <v>0</v>
      </c>
    </row>
    <row r="20" spans="2:10" s="5" customFormat="1">
      <c r="B20" s="26" t="s">
        <v>101</v>
      </c>
      <c r="C20" s="60" t="s">
        <v>153</v>
      </c>
      <c r="D20" s="55" t="s">
        <v>190</v>
      </c>
      <c r="E20" s="56"/>
      <c r="F20" s="59" t="str">
        <f t="shared" si="1"/>
        <v>article!$E$20</v>
      </c>
      <c r="G20" s="57">
        <v>1000</v>
      </c>
      <c r="H20" s="57">
        <f>Tableau1[[#This Row],[Centrale d''Achat]]*(1+5%)</f>
        <v>1050</v>
      </c>
      <c r="I20" s="57">
        <f>Tableau1[[#This Row],[Centrale d''Achat]]*(1+20%)</f>
        <v>1200</v>
      </c>
      <c r="J20" s="59">
        <f>SUMIF(Tableau8[Nr article],Tableau1[[#This Row],[Nr article]],Tableau8[Quantité :])-SUMIF(Tableau4[Nr article],Tableau1[[#This Row],[Nr article]],Tableau4[Nombre])</f>
        <v>4</v>
      </c>
    </row>
    <row r="21" spans="2:10" s="5" customFormat="1">
      <c r="B21" s="26" t="s">
        <v>102</v>
      </c>
      <c r="C21" s="55" t="s">
        <v>154</v>
      </c>
      <c r="D21" s="55" t="s">
        <v>190</v>
      </c>
      <c r="E21" s="56"/>
      <c r="F21" s="59" t="str">
        <f t="shared" si="1"/>
        <v>article!$E$21</v>
      </c>
      <c r="G21" s="57"/>
      <c r="H21" s="57">
        <f>Tableau1[[#This Row],[Centrale d''Achat]]*(1+5%)</f>
        <v>0</v>
      </c>
      <c r="I21" s="57">
        <f>Tableau1[[#This Row],[Centrale d''Achat]]*(1+20%)</f>
        <v>0</v>
      </c>
      <c r="J21" s="59">
        <f>SUMIF(Tableau8[Nr article],Tableau1[[#This Row],[Nr article]],Tableau8[Quantité :])-SUMIF(Tableau4[Nr article],Tableau1[[#This Row],[Nr article]],Tableau4[Nombre])</f>
        <v>0</v>
      </c>
    </row>
    <row r="22" spans="2:10" s="5" customFormat="1">
      <c r="B22" s="26" t="s">
        <v>103</v>
      </c>
      <c r="C22" s="58" t="s">
        <v>155</v>
      </c>
      <c r="D22" s="58" t="s">
        <v>191</v>
      </c>
      <c r="E22" s="56"/>
      <c r="F22" s="59" t="str">
        <f t="shared" si="1"/>
        <v>article!$E$22</v>
      </c>
      <c r="G22" s="57">
        <v>3.12</v>
      </c>
      <c r="H22" s="57">
        <f>Tableau1[[#This Row],[Centrale d''Achat]]*(1+5%)</f>
        <v>3.2760000000000002</v>
      </c>
      <c r="I22" s="57">
        <f>Tableau1[[#This Row],[Centrale d''Achat]]*(1+20%)</f>
        <v>3.7439999999999998</v>
      </c>
      <c r="J22" s="59">
        <f>SUMIF(Tableau8[Nr article],Tableau1[[#This Row],[Nr article]],Tableau8[Quantité :])-SUMIF(Tableau4[Nr article],Tableau1[[#This Row],[Nr article]],Tableau4[Nombre])</f>
        <v>0</v>
      </c>
    </row>
    <row r="23" spans="2:10" s="5" customFormat="1">
      <c r="B23" s="26" t="s">
        <v>104</v>
      </c>
      <c r="C23" s="55" t="s">
        <v>156</v>
      </c>
      <c r="D23" s="55" t="s">
        <v>190</v>
      </c>
      <c r="E23" s="56"/>
      <c r="F23" s="59" t="str">
        <f t="shared" si="1"/>
        <v>article!$E$23</v>
      </c>
      <c r="G23" s="57"/>
      <c r="H23" s="57">
        <f>Tableau1[[#This Row],[Centrale d''Achat]]*(1+5%)</f>
        <v>0</v>
      </c>
      <c r="I23" s="57">
        <f>Tableau1[[#This Row],[Centrale d''Achat]]*(1+20%)</f>
        <v>0</v>
      </c>
      <c r="J23" s="59">
        <f>SUMIF(Tableau8[Nr article],Tableau1[[#This Row],[Nr article]],Tableau8[Quantité :])-SUMIF(Tableau4[Nr article],Tableau1[[#This Row],[Nr article]],Tableau4[Nombre])</f>
        <v>0</v>
      </c>
    </row>
    <row r="24" spans="2:10" s="5" customFormat="1">
      <c r="B24" s="26" t="s">
        <v>105</v>
      </c>
      <c r="C24" s="58" t="s">
        <v>157</v>
      </c>
      <c r="D24" s="58" t="s">
        <v>191</v>
      </c>
      <c r="E24" s="56"/>
      <c r="F24" s="59" t="str">
        <f t="shared" si="1"/>
        <v>article!$E$24</v>
      </c>
      <c r="G24" s="57">
        <v>4</v>
      </c>
      <c r="H24" s="57">
        <f>Tableau1[[#This Row],[Centrale d''Achat]]*(1+5%)</f>
        <v>4.2</v>
      </c>
      <c r="I24" s="57">
        <f>Tableau1[[#This Row],[Centrale d''Achat]]*(1+20%)</f>
        <v>4.8</v>
      </c>
      <c r="J24" s="59">
        <f>SUMIF(Tableau8[Nr article],Tableau1[[#This Row],[Nr article]],Tableau8[Quantité :])-SUMIF(Tableau4[Nr article],Tableau1[[#This Row],[Nr article]],Tableau4[Nombre])</f>
        <v>1240</v>
      </c>
    </row>
    <row r="25" spans="2:10" s="5" customFormat="1">
      <c r="B25" s="26" t="s">
        <v>106</v>
      </c>
      <c r="C25" s="55" t="s">
        <v>158</v>
      </c>
      <c r="D25" s="55" t="s">
        <v>190</v>
      </c>
      <c r="E25" s="56"/>
      <c r="F25" s="59" t="str">
        <f t="shared" si="1"/>
        <v>article!$E$25</v>
      </c>
      <c r="G25" s="57"/>
      <c r="H25" s="57">
        <f>Tableau1[[#This Row],[Centrale d''Achat]]*(1+5%)</f>
        <v>0</v>
      </c>
      <c r="I25" s="57">
        <f>Tableau1[[#This Row],[Centrale d''Achat]]*(1+20%)</f>
        <v>0</v>
      </c>
      <c r="J25" s="59">
        <f>SUMIF(Tableau8[Nr article],Tableau1[[#This Row],[Nr article]],Tableau8[Quantité :])-SUMIF(Tableau4[Nr article],Tableau1[[#This Row],[Nr article]],Tableau4[Nombre])</f>
        <v>0</v>
      </c>
    </row>
    <row r="26" spans="2:10" s="5" customFormat="1">
      <c r="B26" s="26" t="s">
        <v>107</v>
      </c>
      <c r="C26" s="58" t="s">
        <v>159</v>
      </c>
      <c r="D26" s="58" t="s">
        <v>191</v>
      </c>
      <c r="E26" s="56"/>
      <c r="F26" s="59" t="str">
        <f t="shared" si="1"/>
        <v>article!$E$26</v>
      </c>
      <c r="G26" s="57">
        <v>3.5</v>
      </c>
      <c r="H26" s="57">
        <f>Tableau1[[#This Row],[Centrale d''Achat]]*(1+5%)</f>
        <v>3.6750000000000003</v>
      </c>
      <c r="I26" s="57">
        <f>Tableau1[[#This Row],[Centrale d''Achat]]*(1+20%)</f>
        <v>4.2</v>
      </c>
      <c r="J26" s="59">
        <f>SUMIF(Tableau8[Nr article],Tableau1[[#This Row],[Nr article]],Tableau8[Quantité :])-SUMIF(Tableau4[Nr article],Tableau1[[#This Row],[Nr article]],Tableau4[Nombre])</f>
        <v>0</v>
      </c>
    </row>
    <row r="27" spans="2:10" s="5" customFormat="1">
      <c r="B27" s="26" t="s">
        <v>108</v>
      </c>
      <c r="C27" s="55" t="s">
        <v>160</v>
      </c>
      <c r="D27" s="55" t="s">
        <v>190</v>
      </c>
      <c r="E27" s="56"/>
      <c r="F27" s="59" t="str">
        <f t="shared" si="1"/>
        <v>article!$E$27</v>
      </c>
      <c r="G27" s="57"/>
      <c r="H27" s="57">
        <f>Tableau1[[#This Row],[Centrale d''Achat]]*(1+5%)</f>
        <v>0</v>
      </c>
      <c r="I27" s="57">
        <f>Tableau1[[#This Row],[Centrale d''Achat]]*(1+20%)</f>
        <v>0</v>
      </c>
      <c r="J27" s="59">
        <f>SUMIF(Tableau8[Nr article],Tableau1[[#This Row],[Nr article]],Tableau8[Quantité :])-SUMIF(Tableau4[Nr article],Tableau1[[#This Row],[Nr article]],Tableau4[Nombre])</f>
        <v>0</v>
      </c>
    </row>
    <row r="28" spans="2:10" s="5" customFormat="1">
      <c r="B28" s="26" t="s">
        <v>109</v>
      </c>
      <c r="C28" s="58" t="s">
        <v>161</v>
      </c>
      <c r="D28" s="58" t="s">
        <v>191</v>
      </c>
      <c r="E28" s="56"/>
      <c r="F28" s="59" t="str">
        <f t="shared" si="1"/>
        <v>article!$E$28</v>
      </c>
      <c r="G28" s="57">
        <v>3</v>
      </c>
      <c r="H28" s="57">
        <f>Tableau1[[#This Row],[Centrale d''Achat]]*(1+5%)</f>
        <v>3.1500000000000004</v>
      </c>
      <c r="I28" s="57">
        <f>Tableau1[[#This Row],[Centrale d''Achat]]*(1+20%)</f>
        <v>3.5999999999999996</v>
      </c>
      <c r="J28" s="59">
        <f>SUMIF(Tableau8[Nr article],Tableau1[[#This Row],[Nr article]],Tableau8[Quantité :])-SUMIF(Tableau4[Nr article],Tableau1[[#This Row],[Nr article]],Tableau4[Nombre])</f>
        <v>0</v>
      </c>
    </row>
    <row r="29" spans="2:10" s="5" customFormat="1">
      <c r="B29" s="26" t="s">
        <v>110</v>
      </c>
      <c r="C29" s="55" t="s">
        <v>162</v>
      </c>
      <c r="D29" s="55" t="s">
        <v>190</v>
      </c>
      <c r="E29" s="56"/>
      <c r="F29" s="59" t="str">
        <f t="shared" si="1"/>
        <v>article!$E$29</v>
      </c>
      <c r="G29" s="57"/>
      <c r="H29" s="57">
        <f>Tableau1[[#This Row],[Centrale d''Achat]]*(1+5%)</f>
        <v>0</v>
      </c>
      <c r="I29" s="57">
        <f>Tableau1[[#This Row],[Centrale d''Achat]]*(1+20%)</f>
        <v>0</v>
      </c>
      <c r="J29" s="59">
        <f>SUMIF(Tableau8[Nr article],Tableau1[[#This Row],[Nr article]],Tableau8[Quantité :])-SUMIF(Tableau4[Nr article],Tableau1[[#This Row],[Nr article]],Tableau4[Nombre])</f>
        <v>0</v>
      </c>
    </row>
    <row r="30" spans="2:10" s="5" customFormat="1">
      <c r="B30" s="26" t="s">
        <v>111</v>
      </c>
      <c r="C30" s="58" t="s">
        <v>163</v>
      </c>
      <c r="D30" s="58" t="s">
        <v>191</v>
      </c>
      <c r="E30" s="56"/>
      <c r="F30" s="59" t="str">
        <f t="shared" si="1"/>
        <v>article!$E$30</v>
      </c>
      <c r="G30" s="57"/>
      <c r="H30" s="57">
        <f>Tableau1[[#This Row],[Centrale d''Achat]]*(1+5%)</f>
        <v>0</v>
      </c>
      <c r="I30" s="57">
        <f>Tableau1[[#This Row],[Centrale d''Achat]]*(1+20%)</f>
        <v>0</v>
      </c>
      <c r="J30" s="59">
        <f>SUMIF(Tableau8[Nr article],Tableau1[[#This Row],[Nr article]],Tableau8[Quantité :])-SUMIF(Tableau4[Nr article],Tableau1[[#This Row],[Nr article]],Tableau4[Nombre])</f>
        <v>0</v>
      </c>
    </row>
    <row r="31" spans="2:10" s="5" customFormat="1">
      <c r="B31" s="26" t="s">
        <v>112</v>
      </c>
      <c r="C31" s="55" t="s">
        <v>164</v>
      </c>
      <c r="D31" s="55" t="s">
        <v>190</v>
      </c>
      <c r="E31" s="56"/>
      <c r="F31" s="59" t="str">
        <f t="shared" si="1"/>
        <v>article!$E$31</v>
      </c>
      <c r="G31" s="57"/>
      <c r="H31" s="57">
        <f>Tableau1[[#This Row],[Centrale d''Achat]]*(1+5%)</f>
        <v>0</v>
      </c>
      <c r="I31" s="57">
        <f>Tableau1[[#This Row],[Centrale d''Achat]]*(1+20%)</f>
        <v>0</v>
      </c>
      <c r="J31" s="59">
        <f>SUMIF(Tableau8[Nr article],Tableau1[[#This Row],[Nr article]],Tableau8[Quantité :])-SUMIF(Tableau4[Nr article],Tableau1[[#This Row],[Nr article]],Tableau4[Nombre])</f>
        <v>0</v>
      </c>
    </row>
    <row r="32" spans="2:10" s="5" customFormat="1">
      <c r="B32" s="26" t="s">
        <v>113</v>
      </c>
      <c r="C32" s="58" t="s">
        <v>165</v>
      </c>
      <c r="D32" s="58" t="s">
        <v>191</v>
      </c>
      <c r="E32" s="56"/>
      <c r="F32" s="59" t="str">
        <f t="shared" si="1"/>
        <v>article!$E$32</v>
      </c>
      <c r="G32" s="57"/>
      <c r="H32" s="57">
        <f>Tableau1[[#This Row],[Centrale d''Achat]]*(1+5%)</f>
        <v>0</v>
      </c>
      <c r="I32" s="57">
        <f>Tableau1[[#This Row],[Centrale d''Achat]]*(1+20%)</f>
        <v>0</v>
      </c>
      <c r="J32" s="59">
        <f>SUMIF(Tableau8[Nr article],Tableau1[[#This Row],[Nr article]],Tableau8[Quantité :])-SUMIF(Tableau4[Nr article],Tableau1[[#This Row],[Nr article]],Tableau4[Nombre])</f>
        <v>0</v>
      </c>
    </row>
    <row r="33" spans="2:10" s="5" customFormat="1">
      <c r="B33" s="26" t="s">
        <v>114</v>
      </c>
      <c r="C33" s="55" t="s">
        <v>166</v>
      </c>
      <c r="D33" s="55" t="s">
        <v>190</v>
      </c>
      <c r="E33" s="56"/>
      <c r="F33" s="59" t="str">
        <f t="shared" si="1"/>
        <v>article!$E$33</v>
      </c>
      <c r="G33" s="57"/>
      <c r="H33" s="57">
        <f>Tableau1[[#This Row],[Centrale d''Achat]]*(1+5%)</f>
        <v>0</v>
      </c>
      <c r="I33" s="57">
        <f>Tableau1[[#This Row],[Centrale d''Achat]]*(1+20%)</f>
        <v>0</v>
      </c>
      <c r="J33" s="59">
        <f>SUMIF(Tableau8[Nr article],Tableau1[[#This Row],[Nr article]],Tableau8[Quantité :])-SUMIF(Tableau4[Nr article],Tableau1[[#This Row],[Nr article]],Tableau4[Nombre])</f>
        <v>0</v>
      </c>
    </row>
    <row r="34" spans="2:10" s="5" customFormat="1">
      <c r="B34" s="26" t="s">
        <v>115</v>
      </c>
      <c r="C34" s="58" t="s">
        <v>167</v>
      </c>
      <c r="D34" s="58" t="s">
        <v>191</v>
      </c>
      <c r="E34" s="56"/>
      <c r="F34" s="59" t="str">
        <f t="shared" si="1"/>
        <v>article!$E$34</v>
      </c>
      <c r="G34" s="57">
        <v>11</v>
      </c>
      <c r="H34" s="57">
        <f>Tableau1[[#This Row],[Centrale d''Achat]]*(1+5%)</f>
        <v>11.55</v>
      </c>
      <c r="I34" s="57">
        <f>Tableau1[[#This Row],[Centrale d''Achat]]*(1+20%)</f>
        <v>13.2</v>
      </c>
      <c r="J34" s="59">
        <f>SUMIF(Tableau8[Nr article],Tableau1[[#This Row],[Nr article]],Tableau8[Quantité :])-SUMIF(Tableau4[Nr article],Tableau1[[#This Row],[Nr article]],Tableau4[Nombre])</f>
        <v>0</v>
      </c>
    </row>
    <row r="35" spans="2:10" s="5" customFormat="1">
      <c r="B35" s="26" t="s">
        <v>116</v>
      </c>
      <c r="C35" s="55" t="s">
        <v>168</v>
      </c>
      <c r="D35" s="55" t="s">
        <v>190</v>
      </c>
      <c r="E35" s="56"/>
      <c r="F35" s="59" t="str">
        <f t="shared" si="1"/>
        <v>article!$E$35</v>
      </c>
      <c r="G35" s="57"/>
      <c r="H35" s="57">
        <f>Tableau1[[#This Row],[Centrale d''Achat]]*(1+5%)</f>
        <v>0</v>
      </c>
      <c r="I35" s="57">
        <f>Tableau1[[#This Row],[Centrale d''Achat]]*(1+20%)</f>
        <v>0</v>
      </c>
      <c r="J35" s="59">
        <f>SUMIF(Tableau8[Nr article],Tableau1[[#This Row],[Nr article]],Tableau8[Quantité :])-SUMIF(Tableau4[Nr article],Tableau1[[#This Row],[Nr article]],Tableau4[Nombre])</f>
        <v>0</v>
      </c>
    </row>
    <row r="36" spans="2:10" s="5" customFormat="1">
      <c r="B36" s="26" t="s">
        <v>117</v>
      </c>
      <c r="C36" s="58" t="s">
        <v>169</v>
      </c>
      <c r="D36" s="58" t="s">
        <v>191</v>
      </c>
      <c r="E36" s="56"/>
      <c r="F36" s="59" t="str">
        <f t="shared" si="1"/>
        <v>article!$E$36</v>
      </c>
      <c r="G36" s="57">
        <v>3.15</v>
      </c>
      <c r="H36" s="57">
        <f>Tableau1[[#This Row],[Centrale d''Achat]]*(1+5%)</f>
        <v>3.3075000000000001</v>
      </c>
      <c r="I36" s="57">
        <f>Tableau1[[#This Row],[Centrale d''Achat]]*(1+20%)</f>
        <v>3.78</v>
      </c>
      <c r="J36" s="59">
        <f>SUMIF(Tableau8[Nr article],Tableau1[[#This Row],[Nr article]],Tableau8[Quantité :])-SUMIF(Tableau4[Nr article],Tableau1[[#This Row],[Nr article]],Tableau4[Nombre])</f>
        <v>0</v>
      </c>
    </row>
    <row r="37" spans="2:10" s="5" customFormat="1">
      <c r="B37" s="26" t="s">
        <v>118</v>
      </c>
      <c r="C37" s="55" t="s">
        <v>170</v>
      </c>
      <c r="D37" s="55" t="s">
        <v>190</v>
      </c>
      <c r="E37" s="56"/>
      <c r="F37" s="59" t="str">
        <f t="shared" si="1"/>
        <v>article!$E$37</v>
      </c>
      <c r="G37" s="57"/>
      <c r="H37" s="57">
        <f>Tableau1[[#This Row],[Centrale d''Achat]]*(1+5%)</f>
        <v>0</v>
      </c>
      <c r="I37" s="57">
        <f>Tableau1[[#This Row],[Centrale d''Achat]]*(1+20%)</f>
        <v>0</v>
      </c>
      <c r="J37" s="59">
        <f>SUMIF(Tableau8[Nr article],Tableau1[[#This Row],[Nr article]],Tableau8[Quantité :])-SUMIF(Tableau4[Nr article],Tableau1[[#This Row],[Nr article]],Tableau4[Nombre])</f>
        <v>0</v>
      </c>
    </row>
    <row r="38" spans="2:10" s="5" customFormat="1">
      <c r="B38" s="26" t="s">
        <v>119</v>
      </c>
      <c r="C38" s="58" t="s">
        <v>171</v>
      </c>
      <c r="D38" s="58" t="s">
        <v>191</v>
      </c>
      <c r="E38" s="56"/>
      <c r="F38" s="59" t="str">
        <f t="shared" si="1"/>
        <v>article!$E$38</v>
      </c>
      <c r="G38" s="57">
        <v>4.3</v>
      </c>
      <c r="H38" s="57">
        <f>Tableau1[[#This Row],[Centrale d''Achat]]*(1+5%)</f>
        <v>4.5149999999999997</v>
      </c>
      <c r="I38" s="57">
        <f>Tableau1[[#This Row],[Centrale d''Achat]]*(1+20%)</f>
        <v>5.1599999999999993</v>
      </c>
      <c r="J38" s="59">
        <f>SUMIF(Tableau8[Nr article],Tableau1[[#This Row],[Nr article]],Tableau8[Quantité :])-SUMIF(Tableau4[Nr article],Tableau1[[#This Row],[Nr article]],Tableau4[Nombre])</f>
        <v>0</v>
      </c>
    </row>
    <row r="39" spans="2:10" s="5" customFormat="1">
      <c r="B39" s="26" t="s">
        <v>197</v>
      </c>
      <c r="C39" s="58" t="s">
        <v>222</v>
      </c>
      <c r="D39" s="58" t="s">
        <v>191</v>
      </c>
      <c r="E39" s="56"/>
      <c r="F39" s="59" t="str">
        <f>"article!"&amp;ADDRESS(ROW(E39),COLUMN(E39))</f>
        <v>article!$E$39</v>
      </c>
      <c r="G39" s="57">
        <v>18.5</v>
      </c>
      <c r="H39" s="57">
        <f>Tableau1[[#This Row],[Centrale d''Achat]]*(1+5%)</f>
        <v>19.425000000000001</v>
      </c>
      <c r="I39" s="57">
        <f>Tableau1[[#This Row],[Centrale d''Achat]]*(1+20%)</f>
        <v>22.2</v>
      </c>
      <c r="J39" s="59">
        <f>SUMIF(Tableau8[Nr article],Tableau1[[#This Row],[Nr article]],Tableau8[Quantité :])-SUMIF(Tableau4[Nr article],Tableau1[[#This Row],[Nr article]],Tableau4[Nombre])</f>
        <v>0</v>
      </c>
    </row>
    <row r="40" spans="2:10" s="5" customFormat="1">
      <c r="B40" s="26" t="s">
        <v>120</v>
      </c>
      <c r="C40" s="55" t="s">
        <v>172</v>
      </c>
      <c r="D40" s="55" t="s">
        <v>190</v>
      </c>
      <c r="E40" s="56"/>
      <c r="F40" s="59" t="str">
        <f t="shared" si="1"/>
        <v>article!$E$40</v>
      </c>
      <c r="G40" s="57"/>
      <c r="H40" s="57">
        <f>Tableau1[[#This Row],[Centrale d''Achat]]*(1+5%)</f>
        <v>0</v>
      </c>
      <c r="I40" s="57">
        <f>Tableau1[[#This Row],[Centrale d''Achat]]*(1+20%)</f>
        <v>0</v>
      </c>
      <c r="J40" s="59">
        <f>SUMIF(Tableau8[Nr article],Tableau1[[#This Row],[Nr article]],Tableau8[Quantité :])-SUMIF(Tableau4[Nr article],Tableau1[[#This Row],[Nr article]],Tableau4[Nombre])</f>
        <v>314</v>
      </c>
    </row>
    <row r="41" spans="2:10" s="5" customFormat="1">
      <c r="B41" s="26" t="s">
        <v>121</v>
      </c>
      <c r="C41" s="58" t="s">
        <v>173</v>
      </c>
      <c r="D41" s="58" t="s">
        <v>191</v>
      </c>
      <c r="E41" s="56"/>
      <c r="F41" s="59" t="str">
        <f t="shared" si="1"/>
        <v>article!$E$41</v>
      </c>
      <c r="G41" s="57">
        <v>5.4</v>
      </c>
      <c r="H41" s="57">
        <f>Tableau1[[#This Row],[Centrale d''Achat]]*(1+5%)</f>
        <v>5.6700000000000008</v>
      </c>
      <c r="I41" s="57">
        <f>Tableau1[[#This Row],[Centrale d''Achat]]*(1+20%)</f>
        <v>6.48</v>
      </c>
      <c r="J41" s="59">
        <f>SUMIF(Tableau8[Nr article],Tableau1[[#This Row],[Nr article]],Tableau8[Quantité :])-SUMIF(Tableau4[Nr article],Tableau1[[#This Row],[Nr article]],Tableau4[Nombre])</f>
        <v>0</v>
      </c>
    </row>
    <row r="42" spans="2:10" s="5" customFormat="1">
      <c r="B42" s="26" t="s">
        <v>122</v>
      </c>
      <c r="C42" s="55" t="s">
        <v>174</v>
      </c>
      <c r="D42" s="55" t="s">
        <v>190</v>
      </c>
      <c r="E42" s="56"/>
      <c r="F42" s="59" t="str">
        <f t="shared" si="1"/>
        <v>article!$E$42</v>
      </c>
      <c r="G42" s="57"/>
      <c r="H42" s="57">
        <f>Tableau1[[#This Row],[Centrale d''Achat]]*(1+5%)</f>
        <v>0</v>
      </c>
      <c r="I42" s="57">
        <f>Tableau1[[#This Row],[Centrale d''Achat]]*(1+20%)</f>
        <v>0</v>
      </c>
      <c r="J42" s="59">
        <f>SUMIF(Tableau8[Nr article],Tableau1[[#This Row],[Nr article]],Tableau8[Quantité :])-SUMIF(Tableau4[Nr article],Tableau1[[#This Row],[Nr article]],Tableau4[Nombre])</f>
        <v>0</v>
      </c>
    </row>
    <row r="43" spans="2:10" s="5" customFormat="1">
      <c r="B43" s="26" t="s">
        <v>123</v>
      </c>
      <c r="C43" s="58" t="s">
        <v>175</v>
      </c>
      <c r="D43" s="58" t="s">
        <v>191</v>
      </c>
      <c r="E43" s="56"/>
      <c r="F43" s="59" t="str">
        <f t="shared" si="1"/>
        <v>article!$E$43</v>
      </c>
      <c r="G43" s="57">
        <v>27.15</v>
      </c>
      <c r="H43" s="57">
        <f>Tableau1[[#This Row],[Centrale d''Achat]]*(1+5%)</f>
        <v>28.5075</v>
      </c>
      <c r="I43" s="57">
        <f>Tableau1[[#This Row],[Centrale d''Achat]]*(1+20%)</f>
        <v>32.58</v>
      </c>
      <c r="J43" s="59">
        <f>SUMIF(Tableau8[Nr article],Tableau1[[#This Row],[Nr article]],Tableau8[Quantité :])-SUMIF(Tableau4[Nr article],Tableau1[[#This Row],[Nr article]],Tableau4[Nombre])</f>
        <v>0</v>
      </c>
    </row>
    <row r="44" spans="2:10" s="5" customFormat="1">
      <c r="B44" s="26" t="s">
        <v>124</v>
      </c>
      <c r="C44" s="55" t="s">
        <v>176</v>
      </c>
      <c r="D44" s="55" t="s">
        <v>190</v>
      </c>
      <c r="E44" s="56"/>
      <c r="F44" s="59" t="str">
        <f t="shared" si="1"/>
        <v>article!$E$44</v>
      </c>
      <c r="G44" s="57"/>
      <c r="H44" s="57">
        <f>Tableau1[[#This Row],[Centrale d''Achat]]*(1+5%)</f>
        <v>0</v>
      </c>
      <c r="I44" s="57">
        <f>Tableau1[[#This Row],[Centrale d''Achat]]*(1+20%)</f>
        <v>0</v>
      </c>
      <c r="J44" s="59">
        <f>SUMIF(Tableau8[Nr article],Tableau1[[#This Row],[Nr article]],Tableau8[Quantité :])-SUMIF(Tableau4[Nr article],Tableau1[[#This Row],[Nr article]],Tableau4[Nombre])</f>
        <v>160</v>
      </c>
    </row>
    <row r="45" spans="2:10" s="5" customFormat="1">
      <c r="B45" s="26" t="s">
        <v>125</v>
      </c>
      <c r="C45" s="58" t="s">
        <v>177</v>
      </c>
      <c r="D45" s="58" t="s">
        <v>191</v>
      </c>
      <c r="E45" s="56"/>
      <c r="F45" s="59" t="str">
        <f t="shared" si="1"/>
        <v>article!$E$45</v>
      </c>
      <c r="G45" s="57">
        <v>3.9</v>
      </c>
      <c r="H45" s="57">
        <f>Tableau1[[#This Row],[Centrale d''Achat]]*(1+5%)</f>
        <v>4.0949999999999998</v>
      </c>
      <c r="I45" s="57">
        <f>Tableau1[[#This Row],[Centrale d''Achat]]*(1+20%)</f>
        <v>4.68</v>
      </c>
      <c r="J45" s="59">
        <f>SUMIF(Tableau8[Nr article],Tableau1[[#This Row],[Nr article]],Tableau8[Quantité :])-SUMIF(Tableau4[Nr article],Tableau1[[#This Row],[Nr article]],Tableau4[Nombre])</f>
        <v>7</v>
      </c>
    </row>
    <row r="46" spans="2:10" s="5" customFormat="1">
      <c r="B46" s="26" t="s">
        <v>126</v>
      </c>
      <c r="C46" s="55" t="s">
        <v>178</v>
      </c>
      <c r="D46" s="55" t="s">
        <v>190</v>
      </c>
      <c r="E46" s="56"/>
      <c r="F46" s="59" t="str">
        <f t="shared" si="1"/>
        <v>article!$E$46</v>
      </c>
      <c r="G46" s="57"/>
      <c r="H46" s="57">
        <f>Tableau1[[#This Row],[Centrale d''Achat]]*(1+5%)</f>
        <v>0</v>
      </c>
      <c r="I46" s="57">
        <f>Tableau1[[#This Row],[Centrale d''Achat]]*(1+20%)</f>
        <v>0</v>
      </c>
      <c r="J46" s="59">
        <f>SUMIF(Tableau8[Nr article],Tableau1[[#This Row],[Nr article]],Tableau8[Quantité :])-SUMIF(Tableau4[Nr article],Tableau1[[#This Row],[Nr article]],Tableau4[Nombre])</f>
        <v>0</v>
      </c>
    </row>
    <row r="47" spans="2:10" s="5" customFormat="1">
      <c r="B47" s="26" t="s">
        <v>127</v>
      </c>
      <c r="C47" s="58" t="s">
        <v>179</v>
      </c>
      <c r="D47" s="58" t="s">
        <v>191</v>
      </c>
      <c r="E47" s="56"/>
      <c r="F47" s="59" t="str">
        <f t="shared" si="1"/>
        <v>article!$E$47</v>
      </c>
      <c r="G47" s="57"/>
      <c r="H47" s="57">
        <f>Tableau1[[#This Row],[Centrale d''Achat]]*(1+5%)</f>
        <v>0</v>
      </c>
      <c r="I47" s="57">
        <f>Tableau1[[#This Row],[Centrale d''Achat]]*(1+20%)</f>
        <v>0</v>
      </c>
      <c r="J47" s="59">
        <f>SUMIF(Tableau8[Nr article],Tableau1[[#This Row],[Nr article]],Tableau8[Quantité :])-SUMIF(Tableau4[Nr article],Tableau1[[#This Row],[Nr article]],Tableau4[Nombre])</f>
        <v>0</v>
      </c>
    </row>
    <row r="48" spans="2:10" s="5" customFormat="1">
      <c r="B48" s="26" t="s">
        <v>128</v>
      </c>
      <c r="C48" s="55" t="s">
        <v>180</v>
      </c>
      <c r="D48" s="55" t="s">
        <v>190</v>
      </c>
      <c r="E48" s="56"/>
      <c r="F48" s="59" t="str">
        <f t="shared" si="1"/>
        <v>article!$E$48</v>
      </c>
      <c r="G48" s="57"/>
      <c r="H48" s="57">
        <f>Tableau1[[#This Row],[Centrale d''Achat]]*(1+5%)</f>
        <v>0</v>
      </c>
      <c r="I48" s="57">
        <f>Tableau1[[#This Row],[Centrale d''Achat]]*(1+20%)</f>
        <v>0</v>
      </c>
      <c r="J48" s="59">
        <f>SUMIF(Tableau8[Nr article],Tableau1[[#This Row],[Nr article]],Tableau8[Quantité :])-SUMIF(Tableau4[Nr article],Tableau1[[#This Row],[Nr article]],Tableau4[Nombre])</f>
        <v>0</v>
      </c>
    </row>
    <row r="49" spans="2:10" s="5" customFormat="1">
      <c r="B49" s="26" t="s">
        <v>129</v>
      </c>
      <c r="C49" s="58" t="s">
        <v>181</v>
      </c>
      <c r="D49" s="58" t="s">
        <v>191</v>
      </c>
      <c r="E49" s="56"/>
      <c r="F49" s="59" t="str">
        <f t="shared" si="1"/>
        <v>article!$E$49</v>
      </c>
      <c r="G49" s="57"/>
      <c r="H49" s="57">
        <f>Tableau1[[#This Row],[Centrale d''Achat]]*(1+5%)</f>
        <v>0</v>
      </c>
      <c r="I49" s="57">
        <f>Tableau1[[#This Row],[Centrale d''Achat]]*(1+20%)</f>
        <v>0</v>
      </c>
      <c r="J49" s="59">
        <f>SUMIF(Tableau8[Nr article],Tableau1[[#This Row],[Nr article]],Tableau8[Quantité :])-SUMIF(Tableau4[Nr article],Tableau1[[#This Row],[Nr article]],Tableau4[Nombre])</f>
        <v>0</v>
      </c>
    </row>
    <row r="50" spans="2:10" s="5" customFormat="1">
      <c r="B50" s="26" t="s">
        <v>130</v>
      </c>
      <c r="C50" s="55" t="s">
        <v>182</v>
      </c>
      <c r="D50" s="55" t="s">
        <v>190</v>
      </c>
      <c r="E50" s="56"/>
      <c r="F50" s="59" t="str">
        <f t="shared" si="1"/>
        <v>article!$E$50</v>
      </c>
      <c r="G50" s="57"/>
      <c r="H50" s="57">
        <f>Tableau1[[#This Row],[Centrale d''Achat]]*(1+5%)</f>
        <v>0</v>
      </c>
      <c r="I50" s="57">
        <f>Tableau1[[#This Row],[Centrale d''Achat]]*(1+20%)</f>
        <v>0</v>
      </c>
      <c r="J50" s="59">
        <f>SUMIF(Tableau8[Nr article],Tableau1[[#This Row],[Nr article]],Tableau8[Quantité :])-SUMIF(Tableau4[Nr article],Tableau1[[#This Row],[Nr article]],Tableau4[Nombre])</f>
        <v>0</v>
      </c>
    </row>
    <row r="51" spans="2:10" s="5" customFormat="1">
      <c r="B51" s="26" t="s">
        <v>131</v>
      </c>
      <c r="C51" s="58" t="s">
        <v>183</v>
      </c>
      <c r="D51" s="58" t="s">
        <v>192</v>
      </c>
      <c r="E51" s="56"/>
      <c r="F51" s="59" t="str">
        <f t="shared" si="1"/>
        <v>article!$E$51</v>
      </c>
      <c r="G51" s="57">
        <v>500</v>
      </c>
      <c r="H51" s="57">
        <f>Tableau1[[#This Row],[Centrale d''Achat]]*(1+5%)</f>
        <v>525</v>
      </c>
      <c r="I51" s="57">
        <f>Tableau1[[#This Row],[Centrale d''Achat]]*(1+20%)</f>
        <v>600</v>
      </c>
      <c r="J51" s="59">
        <f>SUMIF(Tableau8[Nr article],Tableau1[[#This Row],[Nr article]],Tableau8[Quantité :])-SUMIF(Tableau4[Nr article],Tableau1[[#This Row],[Nr article]],Tableau4[Nombre])</f>
        <v>-5</v>
      </c>
    </row>
    <row r="52" spans="2:10" s="5" customFormat="1">
      <c r="B52" s="26" t="s">
        <v>132</v>
      </c>
      <c r="C52" s="55" t="s">
        <v>184</v>
      </c>
      <c r="D52" s="55" t="s">
        <v>190</v>
      </c>
      <c r="E52" s="56"/>
      <c r="F52" s="59" t="str">
        <f t="shared" si="1"/>
        <v>article!$E$52</v>
      </c>
      <c r="G52" s="57"/>
      <c r="H52" s="57">
        <f>Tableau1[[#This Row],[Centrale d''Achat]]*(1+5%)</f>
        <v>0</v>
      </c>
      <c r="I52" s="57">
        <f>Tableau1[[#This Row],[Centrale d''Achat]]*(1+20%)</f>
        <v>0</v>
      </c>
      <c r="J52" s="59">
        <f>SUMIF(Tableau8[Nr article],Tableau1[[#This Row],[Nr article]],Tableau8[Quantité :])-SUMIF(Tableau4[Nr article],Tableau1[[#This Row],[Nr article]],Tableau4[Nombre])</f>
        <v>0</v>
      </c>
    </row>
    <row r="53" spans="2:10" s="5" customFormat="1">
      <c r="B53" s="26" t="s">
        <v>133</v>
      </c>
      <c r="C53" s="58" t="s">
        <v>185</v>
      </c>
      <c r="D53" s="58" t="s">
        <v>191</v>
      </c>
      <c r="E53" s="56"/>
      <c r="F53" s="59" t="str">
        <f t="shared" si="1"/>
        <v>article!$E$53</v>
      </c>
      <c r="G53" s="57">
        <v>4</v>
      </c>
      <c r="H53" s="57">
        <f>Tableau1[[#This Row],[Centrale d''Achat]]*(1+5%)</f>
        <v>4.2</v>
      </c>
      <c r="I53" s="57">
        <f>Tableau1[[#This Row],[Centrale d''Achat]]*(1+20%)</f>
        <v>4.8</v>
      </c>
      <c r="J53" s="59">
        <f>SUMIF(Tableau8[Nr article],Tableau1[[#This Row],[Nr article]],Tableau8[Quantité :])-SUMIF(Tableau4[Nr article],Tableau1[[#This Row],[Nr article]],Tableau4[Nombre])</f>
        <v>0</v>
      </c>
    </row>
    <row r="54" spans="2:10" s="5" customFormat="1">
      <c r="B54" s="26" t="s">
        <v>198</v>
      </c>
      <c r="C54" s="58" t="s">
        <v>220</v>
      </c>
      <c r="D54" s="58" t="s">
        <v>191</v>
      </c>
      <c r="E54" s="56"/>
      <c r="F54" s="59" t="str">
        <f>"article!"&amp;ADDRESS(ROW(E54),COLUMN(E54))</f>
        <v>article!$E$54</v>
      </c>
      <c r="G54" s="57">
        <v>12.3</v>
      </c>
      <c r="H54" s="57">
        <f>Tableau1[[#This Row],[Centrale d''Achat]]*(1+5%)</f>
        <v>12.915000000000001</v>
      </c>
      <c r="I54" s="57">
        <f>Tableau1[[#This Row],[Centrale d''Achat]]*(1+20%)</f>
        <v>14.76</v>
      </c>
      <c r="J54" s="59">
        <f>SUMIF(Tableau8[Nr article],Tableau1[[#This Row],[Nr article]],Tableau8[Quantité :])-SUMIF(Tableau4[Nr article],Tableau1[[#This Row],[Nr article]],Tableau4[Nombre])</f>
        <v>0</v>
      </c>
    </row>
    <row r="55" spans="2:10" s="5" customFormat="1">
      <c r="B55" s="26" t="s">
        <v>199</v>
      </c>
      <c r="C55" s="58" t="s">
        <v>221</v>
      </c>
      <c r="D55" s="58" t="s">
        <v>191</v>
      </c>
      <c r="E55" s="56"/>
      <c r="F55" s="59" t="str">
        <f>"article!"&amp;ADDRESS(ROW(E55),COLUMN(E55))</f>
        <v>article!$E$55</v>
      </c>
      <c r="G55" s="57">
        <v>31.5</v>
      </c>
      <c r="H55" s="57">
        <f>Tableau1[[#This Row],[Centrale d''Achat]]*(1+5%)</f>
        <v>33.075000000000003</v>
      </c>
      <c r="I55" s="57">
        <f>Tableau1[[#This Row],[Centrale d''Achat]]*(1+20%)</f>
        <v>37.799999999999997</v>
      </c>
      <c r="J55" s="59">
        <f>SUMIF(Tableau8[Nr article],Tableau1[[#This Row],[Nr article]],Tableau8[Quantité :])-SUMIF(Tableau4[Nr article],Tableau1[[#This Row],[Nr article]],Tableau4[Nombre])</f>
        <v>0</v>
      </c>
    </row>
    <row r="56" spans="2:10" s="5" customFormat="1">
      <c r="B56" s="26" t="s">
        <v>134</v>
      </c>
      <c r="C56" s="26" t="s">
        <v>186</v>
      </c>
      <c r="D56" s="26" t="s">
        <v>193</v>
      </c>
      <c r="E56" s="56"/>
      <c r="F56" s="59" t="str">
        <f t="shared" si="1"/>
        <v>article!$E$56</v>
      </c>
      <c r="G56" s="57"/>
      <c r="H56" s="57">
        <f>Tableau1[[#This Row],[Centrale d''Achat]]*(1+5%)</f>
        <v>0</v>
      </c>
      <c r="I56" s="57">
        <f>Tableau1[[#This Row],[Centrale d''Achat]]*(1+20%)</f>
        <v>0</v>
      </c>
      <c r="J56" s="59">
        <f>SUMIF(Tableau8[Nr article],Tableau1[[#This Row],[Nr article]],Tableau8[Quantité :])-SUMIF(Tableau4[Nr article],Tableau1[[#This Row],[Nr article]],Tableau4[Nombre])</f>
        <v>2567</v>
      </c>
    </row>
    <row r="57" spans="2:10" s="5" customFormat="1">
      <c r="B57" s="26" t="s">
        <v>135</v>
      </c>
      <c r="C57" s="26" t="s">
        <v>187</v>
      </c>
      <c r="D57" s="58" t="s">
        <v>191</v>
      </c>
      <c r="E57" s="56"/>
      <c r="F57" s="59" t="str">
        <f t="shared" si="1"/>
        <v>article!$E$57</v>
      </c>
      <c r="G57" s="57"/>
      <c r="H57" s="57">
        <f>Tableau1[[#This Row],[Centrale d''Achat]]*(1+5%)</f>
        <v>0</v>
      </c>
      <c r="I57" s="57">
        <f>Tableau1[[#This Row],[Centrale d''Achat]]*(1+20%)</f>
        <v>0</v>
      </c>
      <c r="J57" s="59">
        <f>SUMIF(Tableau8[Nr article],Tableau1[[#This Row],[Nr article]],Tableau8[Quantité :])-SUMIF(Tableau4[Nr article],Tableau1[[#This Row],[Nr article]],Tableau4[Nombre])</f>
        <v>0</v>
      </c>
    </row>
    <row r="58" spans="2:10" s="5" customFormat="1">
      <c r="B58" s="26" t="s">
        <v>136</v>
      </c>
      <c r="C58" s="26" t="s">
        <v>188</v>
      </c>
      <c r="D58" s="55" t="s">
        <v>190</v>
      </c>
      <c r="E58" s="56"/>
      <c r="F58" s="59" t="str">
        <f t="shared" si="1"/>
        <v>article!$E$58</v>
      </c>
      <c r="G58" s="57"/>
      <c r="H58" s="57">
        <f>Tableau1[[#This Row],[Centrale d''Achat]]*(1+5%)</f>
        <v>0</v>
      </c>
      <c r="I58" s="57">
        <f>Tableau1[[#This Row],[Centrale d''Achat]]*(1+20%)</f>
        <v>0</v>
      </c>
      <c r="J58" s="59">
        <f>SUMIF(Tableau8[Nr article],Tableau1[[#This Row],[Nr article]],Tableau8[Quantité :])-SUMIF(Tableau4[Nr article],Tableau1[[#This Row],[Nr article]],Tableau4[Nombre])</f>
        <v>106</v>
      </c>
    </row>
    <row r="59" spans="2:10" s="5" customFormat="1">
      <c r="B59" s="26" t="s">
        <v>137</v>
      </c>
      <c r="C59" s="26" t="s">
        <v>189</v>
      </c>
      <c r="D59" s="58" t="s">
        <v>191</v>
      </c>
      <c r="E59" s="56"/>
      <c r="F59" s="59" t="str">
        <f t="shared" si="1"/>
        <v>article!$E$59</v>
      </c>
      <c r="G59" s="57"/>
      <c r="H59" s="57">
        <f>Tableau1[[#This Row],[Centrale d''Achat]]*(1+5%)</f>
        <v>0</v>
      </c>
      <c r="I59" s="57">
        <f>Tableau1[[#This Row],[Centrale d''Achat]]*(1+20%)</f>
        <v>0</v>
      </c>
      <c r="J59" s="59">
        <f>SUMIF(Tableau8[Nr article],Tableau1[[#This Row],[Nr article]],Tableau8[Quantité :])-SUMIF(Tableau4[Nr article],Tableau1[[#This Row],[Nr article]],Tableau4[Nombre])</f>
        <v>80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B1:R10"/>
  <sheetViews>
    <sheetView topLeftCell="A2" zoomScale="98" zoomScaleNormal="98" workbookViewId="0">
      <selection activeCell="J4" sqref="J4:Q10"/>
    </sheetView>
  </sheetViews>
  <sheetFormatPr baseColWidth="10" defaultRowHeight="15.75"/>
  <cols>
    <col min="1" max="1" width="1.7109375" style="5" customWidth="1"/>
    <col min="2" max="2" width="17.28515625" style="6" customWidth="1"/>
    <col min="3" max="3" width="23.140625" style="6" bestFit="1" customWidth="1"/>
    <col min="4" max="4" width="21.42578125" style="6" bestFit="1" customWidth="1"/>
    <col min="5" max="8" width="17.28515625" style="6" customWidth="1"/>
    <col min="9" max="9" width="43.7109375" style="6" bestFit="1" customWidth="1"/>
    <col min="10" max="10" width="17.28515625" style="6" customWidth="1"/>
    <col min="11" max="11" width="17.28515625" style="6" hidden="1" customWidth="1"/>
    <col min="12" max="16" width="5.28515625" style="6" customWidth="1"/>
    <col min="17" max="17" width="37.85546875" style="6" customWidth="1"/>
    <col min="18" max="16384" width="11.42578125" style="5"/>
  </cols>
  <sheetData>
    <row r="1" spans="2:18" ht="86.25" customHeight="1"/>
    <row r="3" spans="2:18" ht="24" customHeight="1">
      <c r="B3" s="6" t="s">
        <v>6</v>
      </c>
      <c r="C3" s="6" t="s">
        <v>1</v>
      </c>
      <c r="D3" s="6" t="s">
        <v>261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54</v>
      </c>
      <c r="K3" s="6" t="s">
        <v>12</v>
      </c>
      <c r="L3" s="6" t="s">
        <v>14</v>
      </c>
      <c r="M3" s="6" t="s">
        <v>15</v>
      </c>
      <c r="N3" s="6" t="s">
        <v>16</v>
      </c>
      <c r="O3" s="6" t="s">
        <v>17</v>
      </c>
      <c r="P3" s="6" t="s">
        <v>18</v>
      </c>
      <c r="Q3" s="6" t="s">
        <v>13</v>
      </c>
      <c r="R3" s="6" t="s">
        <v>249</v>
      </c>
    </row>
    <row r="4" spans="2:18" ht="63">
      <c r="B4" s="43">
        <v>10205</v>
      </c>
      <c r="C4" s="44" t="s">
        <v>262</v>
      </c>
      <c r="D4" s="44" t="s">
        <v>264</v>
      </c>
      <c r="E4" s="44"/>
      <c r="F4" s="43" t="s">
        <v>265</v>
      </c>
      <c r="G4" s="43" t="s">
        <v>263</v>
      </c>
      <c r="H4" s="45" t="s">
        <v>24</v>
      </c>
      <c r="I4" s="45" t="s">
        <v>25</v>
      </c>
      <c r="J4" s="46" t="str">
        <f>IFERROR(COUNTIFS([5]suivi_facture!C4:C4,[5]!Tableau2[[#This Row],[Nr client]],[5]suivi_facture!J4:J4,0),"")</f>
        <v/>
      </c>
      <c r="K4" s="43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4" s="43" t="str">
        <f>IFERROR(IF($K4&gt;=1,1,""),"")</f>
        <v/>
      </c>
      <c r="M4" s="43" t="str">
        <f>IFERROR(IF($K4&gt;=2,1,""),"")</f>
        <v/>
      </c>
      <c r="N4" s="43" t="str">
        <f>IFERROR(IF($K4&gt;=3,1,""),"")</f>
        <v/>
      </c>
      <c r="O4" s="43" t="str">
        <f>IFERROR(IF($K4&gt;=4,1,""),"")</f>
        <v/>
      </c>
      <c r="P4" s="43" t="str">
        <f>IFERROR(IF($K4&gt;=5,1,""),"")</f>
        <v/>
      </c>
      <c r="Q4" s="47" t="str">
        <f>CONCATENATE(C4,CHAR(10),D4,CHAR(10),E4," - ",F4,CHAR(10),G4,CHAR(10),H4,CHAR(10),I4)</f>
        <v>Diallo aligesco - yopAbidjanvmarcus@came-benin.bj+22921333674 - +22996864672</v>
      </c>
      <c r="R4" s="43" t="s">
        <v>266</v>
      </c>
    </row>
    <row r="5" spans="2:18" ht="47.25">
      <c r="B5" s="43">
        <v>11551</v>
      </c>
      <c r="C5" s="48" t="s">
        <v>200</v>
      </c>
      <c r="D5" s="49" t="s">
        <v>201</v>
      </c>
      <c r="E5" s="47" t="s">
        <v>202</v>
      </c>
      <c r="F5" s="43" t="s">
        <v>203</v>
      </c>
      <c r="G5" s="43" t="s">
        <v>204</v>
      </c>
      <c r="H5" s="43"/>
      <c r="I5" s="49" t="s">
        <v>205</v>
      </c>
      <c r="J5" s="43" t="str">
        <f>IFERROR(COUNTIFS([5]suivi_facture!C5:C5,[5]!Tableau2[[#This Row],[Nr client]],[5]suivi_facture!J5:J5,0),"")</f>
        <v/>
      </c>
      <c r="K5" s="43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5" s="43" t="str">
        <f t="shared" ref="L5:L10" si="0">IFERROR(IF($K5&gt;=1,1,""),"")</f>
        <v/>
      </c>
      <c r="M5" s="43" t="str">
        <f t="shared" ref="M5:M10" si="1">IFERROR(IF($K5&gt;=2,1,""),"")</f>
        <v/>
      </c>
      <c r="N5" s="43" t="str">
        <f t="shared" ref="N5:N10" si="2">IFERROR(IF($K5&gt;=3,1,""),"")</f>
        <v/>
      </c>
      <c r="O5" s="43" t="str">
        <f t="shared" ref="O5:O10" si="3">IFERROR(IF($K5&gt;=4,1,""),"")</f>
        <v/>
      </c>
      <c r="P5" s="43" t="str">
        <f t="shared" ref="P5:P10" si="4">IFERROR(IF($K5&gt;=5,1,""),"")</f>
        <v/>
      </c>
      <c r="Q5" s="47" t="str">
        <f t="shared" ref="Q5:Q10" si="5">CONCATENATE(C5,CHAR(10),D5,CHAR(10),E5," - ",F5,CHAR(10),G5,CHAR(10),H5,CHAR(10),I5)</f>
        <v>PHARMASTORE S.A.R.L.BP : 300 Docteur LATIF Sani - MaradiNigerTél. : 20 410 257  -  Cel : 96 59 24 54</v>
      </c>
      <c r="R5" s="43" t="s">
        <v>251</v>
      </c>
    </row>
    <row r="6" spans="2:18" ht="110.25">
      <c r="B6" s="43">
        <v>11816</v>
      </c>
      <c r="C6" s="44" t="s">
        <v>19</v>
      </c>
      <c r="D6" s="50" t="s">
        <v>206</v>
      </c>
      <c r="E6" s="43" t="s">
        <v>207</v>
      </c>
      <c r="F6" s="50" t="s">
        <v>208</v>
      </c>
      <c r="G6" s="43" t="s">
        <v>209</v>
      </c>
      <c r="H6" s="43"/>
      <c r="I6" s="43" t="s">
        <v>210</v>
      </c>
      <c r="J6" s="43" t="str">
        <f>IFERROR(COUNTIFS([5]suivi_facture!C6:C6,[5]!Tableau2[[#This Row],[Nr client]],[5]suivi_facture!J6:J6,0),"")</f>
        <v/>
      </c>
      <c r="K6" s="43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6" s="43" t="str">
        <f t="shared" si="0"/>
        <v/>
      </c>
      <c r="M6" s="43" t="str">
        <f t="shared" si="1"/>
        <v/>
      </c>
      <c r="N6" s="43" t="str">
        <f t="shared" si="2"/>
        <v/>
      </c>
      <c r="O6" s="43" t="str">
        <f t="shared" si="3"/>
        <v/>
      </c>
      <c r="P6" s="43" t="str">
        <f t="shared" si="4"/>
        <v/>
      </c>
      <c r="Q6" s="47" t="str">
        <f t="shared" si="5"/>
        <v>Societe Togolaise de Medicaments SABP 80263Dr GNASSINGBE Bawizibadi ép. WALLA-AZOUMARO - Lomé, quartier Tokoin Cassablanca, 1978, Boulevard de la VictoireTogoTél. : (228) 22 21 35 01  -  Fax : (228) 22 21 35 28</v>
      </c>
      <c r="R6" s="43" t="s">
        <v>251</v>
      </c>
    </row>
    <row r="7" spans="2:18" ht="47.25">
      <c r="B7" s="43">
        <v>11407</v>
      </c>
      <c r="C7" s="44" t="s">
        <v>20</v>
      </c>
      <c r="D7" s="43" t="s">
        <v>211</v>
      </c>
      <c r="E7" s="43" t="s">
        <v>212</v>
      </c>
      <c r="F7" s="43" t="s">
        <v>213</v>
      </c>
      <c r="G7" s="43" t="s">
        <v>209</v>
      </c>
      <c r="H7" s="43"/>
      <c r="I7" s="51" t="s">
        <v>214</v>
      </c>
      <c r="J7" s="43" t="str">
        <f>IFERROR(COUNTIFS([5]suivi_facture!C7:C7,[5]!Tableau2[[#This Row],[Nr client]],[5]suivi_facture!J7:J7,0),"")</f>
        <v/>
      </c>
      <c r="K7" s="43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7" s="43" t="str">
        <f t="shared" si="0"/>
        <v/>
      </c>
      <c r="M7" s="43" t="str">
        <f t="shared" si="1"/>
        <v/>
      </c>
      <c r="N7" s="43" t="str">
        <f t="shared" si="2"/>
        <v/>
      </c>
      <c r="O7" s="43" t="str">
        <f t="shared" si="3"/>
        <v/>
      </c>
      <c r="P7" s="43" t="str">
        <f t="shared" si="4"/>
        <v/>
      </c>
      <c r="Q7" s="47" t="str">
        <f t="shared" si="5"/>
        <v>OCDIB.P. : 10346Docteur FANTOHOU - LoméTogoTél : (228) 22 25 94 29 - Fax : (228) 22 26 12 38</v>
      </c>
      <c r="R7" s="43" t="s">
        <v>251</v>
      </c>
    </row>
    <row r="8" spans="2:18" ht="78.75">
      <c r="B8" s="43">
        <v>10233</v>
      </c>
      <c r="C8" s="52" t="s">
        <v>215</v>
      </c>
      <c r="D8" s="43"/>
      <c r="E8" s="43" t="s">
        <v>216</v>
      </c>
      <c r="F8" s="43" t="s">
        <v>217</v>
      </c>
      <c r="G8" s="43" t="s">
        <v>22</v>
      </c>
      <c r="H8" s="50" t="s">
        <v>218</v>
      </c>
      <c r="I8" s="50" t="s">
        <v>219</v>
      </c>
      <c r="J8" s="43" t="str">
        <f>IFERROR(COUNTIFS([5]suivi_facture!C8:C8,[5]!Tableau2[[#This Row],[Nr client]],[5]suivi_facture!J8:J8,0),"")</f>
        <v/>
      </c>
      <c r="K8" s="43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8" s="43" t="str">
        <f t="shared" si="0"/>
        <v/>
      </c>
      <c r="M8" s="43" t="str">
        <f t="shared" si="1"/>
        <v/>
      </c>
      <c r="N8" s="43" t="str">
        <f t="shared" si="2"/>
        <v/>
      </c>
      <c r="O8" s="43" t="str">
        <f t="shared" si="3"/>
        <v/>
      </c>
      <c r="P8" s="43" t="str">
        <f t="shared" si="4"/>
        <v/>
      </c>
      <c r="Q8" s="47" t="str">
        <f t="shared" si="5"/>
        <v>Hôpital Saint Camille M. AHONGBONON Grégoire - AvrankouBénine-mail : associationsaintcamille@gmail.comTél. : 97 72 79 10 - 94 01 03 57</v>
      </c>
      <c r="R8" s="43" t="s">
        <v>251</v>
      </c>
    </row>
    <row r="9" spans="2:18" ht="31.5">
      <c r="B9" s="43">
        <v>6</v>
      </c>
      <c r="C9" s="44" t="s">
        <v>50</v>
      </c>
      <c r="D9" s="43"/>
      <c r="E9" s="43" t="s">
        <v>253</v>
      </c>
      <c r="F9" s="43" t="s">
        <v>23</v>
      </c>
      <c r="G9" s="43" t="s">
        <v>22</v>
      </c>
      <c r="H9" s="43"/>
      <c r="I9" s="43"/>
      <c r="J9" s="43" t="str">
        <f>IFERROR(COUNTIFS([5]suivi_facture!C9:C9,[5]!Tableau2[[#This Row],[Nr client]],[5]suivi_facture!J9:J9,0),"")</f>
        <v/>
      </c>
      <c r="K9" s="43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9" s="43" t="str">
        <f t="shared" si="0"/>
        <v/>
      </c>
      <c r="M9" s="43" t="str">
        <f t="shared" si="1"/>
        <v/>
      </c>
      <c r="N9" s="43" t="str">
        <f t="shared" si="2"/>
        <v/>
      </c>
      <c r="O9" s="43" t="str">
        <f t="shared" si="3"/>
        <v/>
      </c>
      <c r="P9" s="43" t="str">
        <f t="shared" si="4"/>
        <v/>
      </c>
      <c r="Q9" s="47" t="str">
        <f t="shared" si="5"/>
        <v>Ministère de la SantéPAASR - CotonouBénin</v>
      </c>
      <c r="R9" s="43" t="s">
        <v>250</v>
      </c>
    </row>
    <row r="10" spans="2:18">
      <c r="B10" s="43">
        <v>7</v>
      </c>
      <c r="C10" s="44" t="s">
        <v>21</v>
      </c>
      <c r="D10" s="43"/>
      <c r="E10" s="43"/>
      <c r="F10" s="43"/>
      <c r="G10" s="43"/>
      <c r="H10" s="43"/>
      <c r="I10" s="43"/>
      <c r="J10" s="43" t="str">
        <f>IFERROR(COUNTIFS([5]suivi_facture!C10:C10,[5]!Tableau2[[#This Row],[Nr client]],[5]suivi_facture!J10:J10,0),"")</f>
        <v/>
      </c>
      <c r="K10" s="43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10" s="43" t="str">
        <f t="shared" si="0"/>
        <v/>
      </c>
      <c r="M10" s="43" t="str">
        <f t="shared" si="1"/>
        <v/>
      </c>
      <c r="N10" s="43" t="str">
        <f t="shared" si="2"/>
        <v/>
      </c>
      <c r="O10" s="43" t="str">
        <f t="shared" si="3"/>
        <v/>
      </c>
      <c r="P10" s="43" t="str">
        <f t="shared" si="4"/>
        <v/>
      </c>
      <c r="Q10" s="47" t="str">
        <f t="shared" si="5"/>
        <v xml:space="preserve">Pharmacie ACI - </v>
      </c>
      <c r="R10" s="43" t="s">
        <v>252</v>
      </c>
    </row>
  </sheetData>
  <hyperlinks>
    <hyperlink ref="H4" r:id="rId1" display="moriabak_01@yahoo.com"/>
  </hyperlinks>
  <pageMargins left="0.7" right="0.7" top="0.75" bottom="0.75" header="0.3" footer="0.3"/>
  <pageSetup paperSize="9" orientation="portrait" verticalDpi="0"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344B03D7-AB21-480C-97F9-468B3BAE36D6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L4:P10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B1:I33"/>
  <sheetViews>
    <sheetView zoomScale="80" zoomScaleNormal="80" workbookViewId="0">
      <selection activeCell="I1" sqref="I1 C4 D9:D30 I9:I33"/>
    </sheetView>
  </sheetViews>
  <sheetFormatPr baseColWidth="10" defaultRowHeight="15.75"/>
  <cols>
    <col min="1" max="1" width="1.7109375" style="5" customWidth="1"/>
    <col min="2" max="2" width="15.140625" style="10" customWidth="1"/>
    <col min="3" max="3" width="17.42578125" style="27" customWidth="1"/>
    <col min="4" max="4" width="45.28515625" style="6" customWidth="1"/>
    <col min="5" max="5" width="14.140625" style="6" customWidth="1"/>
    <col min="6" max="6" width="19.140625" style="6" customWidth="1"/>
    <col min="7" max="7" width="12.5703125" style="5" customWidth="1"/>
    <col min="8" max="8" width="15.42578125" style="14" customWidth="1"/>
    <col min="9" max="9" width="17.28515625" style="93" customWidth="1"/>
    <col min="10" max="10" width="11.42578125" style="5"/>
    <col min="11" max="11" width="11.42578125" style="5" customWidth="1"/>
    <col min="12" max="16384" width="11.42578125" style="5"/>
  </cols>
  <sheetData>
    <row r="1" spans="2:9">
      <c r="I1" s="95" t="e">
        <f>MATCH(panier!$C$13,Tableau8[Nr article],0)</f>
        <v>#N/A</v>
      </c>
    </row>
    <row r="2" spans="2:9" ht="16.5" thickBot="1"/>
    <row r="3" spans="2:9" ht="31.5" customHeight="1" thickBot="1">
      <c r="B3" s="28" t="s">
        <v>82</v>
      </c>
      <c r="C3" s="97"/>
      <c r="D3" s="29" t="s">
        <v>83</v>
      </c>
      <c r="E3" s="30"/>
      <c r="F3" s="29" t="s">
        <v>225</v>
      </c>
      <c r="G3" s="30"/>
    </row>
    <row r="4" spans="2:9" ht="27" customHeight="1" thickBot="1">
      <c r="B4" s="31" t="s">
        <v>56</v>
      </c>
      <c r="C4" s="32" t="str">
        <f>IFERROR(INDEX(Tableau1[Nom],MATCH(reception!C3,Tableau1[Nr article],0)),"")</f>
        <v/>
      </c>
      <c r="D4" s="33" t="s">
        <v>223</v>
      </c>
      <c r="E4" s="34"/>
      <c r="F4" s="33" t="s">
        <v>226</v>
      </c>
      <c r="G4" s="35"/>
    </row>
    <row r="8" spans="2:9" ht="16.5" thickBot="1">
      <c r="B8" s="36" t="s">
        <v>33</v>
      </c>
      <c r="C8" s="37" t="s">
        <v>0</v>
      </c>
      <c r="D8" s="38" t="s">
        <v>56</v>
      </c>
      <c r="E8" s="38" t="s">
        <v>83</v>
      </c>
      <c r="F8" s="38" t="s">
        <v>224</v>
      </c>
      <c r="G8" s="39" t="s">
        <v>225</v>
      </c>
      <c r="H8" s="109" t="s">
        <v>226</v>
      </c>
      <c r="I8" s="94" t="s">
        <v>259</v>
      </c>
    </row>
    <row r="9" spans="2:9" ht="17.25" thickBot="1">
      <c r="B9" s="10">
        <v>43849.025578703702</v>
      </c>
      <c r="C9" s="40" t="s">
        <v>131</v>
      </c>
      <c r="D9" s="41" t="str">
        <f>INDEX(Tableau1[Nom],MATCH(Tableau8[[#This Row],[Nr article]],Tableau1[Nr article],0))</f>
        <v>Potassium Permaganate 500 mg, Vrac, 100*</v>
      </c>
      <c r="E9" s="6">
        <v>5</v>
      </c>
      <c r="F9" s="6">
        <v>8</v>
      </c>
      <c r="G9" s="42" t="s">
        <v>227</v>
      </c>
      <c r="H9" s="110">
        <v>44336</v>
      </c>
      <c r="I9" s="96" t="str">
        <f ca="1">IF(Tableau8[[#This Row],[Nr article]]=panier!$C$13,IF(SUM(OFFSET($E$9,$I$1-1,0,ROW()-$I$1-7,1))&lt;=panier!$G$13,$E9,IF(ROW()=$I$1+8,$E9-(SUM(OFFSET($E$9,$I$1-1,0,1))-panier!$G$13),IF(SUM(OFFSET($E$9,$I$1-1,0,ROW()-$I$1-7))&lt;=panier!$G$13,panier!$G$13-SUM(OFFSET($E$9,$I$1-1,0,ROW()-$I$1-8)),""))),"")</f>
        <v/>
      </c>
    </row>
    <row r="10" spans="2:9" ht="17.25" thickBot="1">
      <c r="B10" s="10">
        <v>43849.027800925927</v>
      </c>
      <c r="C10" s="40" t="s">
        <v>131</v>
      </c>
      <c r="D10" s="41" t="str">
        <f>INDEX(Tableau1[Nom],MATCH(Tableau8[[#This Row],[Nr article]],Tableau1[Nr article],0))</f>
        <v>Potassium Permaganate 500 mg, Vrac, 100*</v>
      </c>
      <c r="E10" s="6">
        <v>3</v>
      </c>
      <c r="F10" s="6">
        <v>8</v>
      </c>
      <c r="G10" s="42" t="s">
        <v>228</v>
      </c>
      <c r="H10" s="110">
        <v>44338</v>
      </c>
      <c r="I10" s="96" t="str">
        <f ca="1">IF(Tableau8[[#This Row],[Nr article]]=panier!$C$13,IF(SUM(OFFSET($E$9,$I$1-1,0,ROW()-$I$1-7,1))&lt;=panier!$G$13,$E10,IF(ROW()=$I$1+8,$E10-(SUM(OFFSET($E$9,$I$1-1,0,1))-panier!$G$13),IF(SUM(OFFSET($E$9,$I$1-1,0,ROW()-$I$1-7))&lt;=panier!$G$13,panier!$G$13-SUM(OFFSET($E$9,$I$1-1,0,ROW()-$I$1-8)),""))),"")</f>
        <v/>
      </c>
    </row>
    <row r="11" spans="2:9" ht="17.25" thickBot="1">
      <c r="B11" s="10">
        <v>43849.030694444446</v>
      </c>
      <c r="C11" s="40" t="s">
        <v>137</v>
      </c>
      <c r="D11" s="41" t="str">
        <f>INDEX(Tableau1[Nom],MATCH(Tableau8[[#This Row],[Nr article]],Tableau1[Nr article],0))</f>
        <v>Thiabendazole 500 mg, Blister, 100 × 10</v>
      </c>
      <c r="E11" s="6">
        <v>80</v>
      </c>
      <c r="F11" s="6">
        <v>8</v>
      </c>
      <c r="G11" s="42" t="s">
        <v>229</v>
      </c>
      <c r="H11" s="110">
        <v>44342</v>
      </c>
      <c r="I11" s="96" t="str">
        <f ca="1">IF(Tableau8[[#This Row],[Nr article]]=panier!$C$13,IF(SUM(OFFSET($E$9,$I$1-1,0,ROW()-$I$1-7,1))&lt;=panier!$G$13,$E11,IF(ROW()=$I$1+8,$E11-(SUM(OFFSET($E$9,$I$1-1,0,1))-panier!$G$13),IF(SUM(OFFSET($E$9,$I$1-1,0,ROW()-$I$1-7))&lt;=panier!$G$13,panier!$G$13-SUM(OFFSET($E$9,$I$1-1,0,ROW()-$I$1-8)),""))),"")</f>
        <v/>
      </c>
    </row>
    <row r="12" spans="2:9" ht="17.25" thickBot="1">
      <c r="B12" s="10">
        <v>43849.032372685186</v>
      </c>
      <c r="C12" s="40" t="s">
        <v>136</v>
      </c>
      <c r="D12" s="41" t="str">
        <f>INDEX(Tableau1[Nom],MATCH(Tableau8[[#This Row],[Nr article]],Tableau1[Nr article],0))</f>
        <v>Thiabendazole 500 mg, Blister, 10 × 10</v>
      </c>
      <c r="E12" s="6">
        <v>106</v>
      </c>
      <c r="F12" s="6">
        <v>2</v>
      </c>
      <c r="G12" s="42" t="s">
        <v>229</v>
      </c>
      <c r="H12" s="110">
        <v>43891</v>
      </c>
      <c r="I12" s="96" t="str">
        <f ca="1">IF(Tableau8[[#This Row],[Nr article]]=panier!$C$13,IF(SUM(OFFSET($E$9,$I$1-1,0,ROW()-$I$1-7,1))&lt;=panier!$G$13,$E12,IF(ROW()=$I$1+8,$E12-(SUM(OFFSET($E$9,$I$1-1,0,1))-panier!$G$13),IF(SUM(OFFSET($E$9,$I$1-1,0,ROW()-$I$1-7))&lt;=panier!$G$13,panier!$G$13-SUM(OFFSET($E$9,$I$1-1,0,ROW()-$I$1-8)),""))),"")</f>
        <v/>
      </c>
    </row>
    <row r="13" spans="2:9" ht="17.25" thickBot="1">
      <c r="B13" s="10">
        <v>43849.046435185184</v>
      </c>
      <c r="C13" s="40" t="s">
        <v>101</v>
      </c>
      <c r="D13" s="41" t="str">
        <f>INDEX(Tableau1[Nom],MATCH(Tableau8[[#This Row],[Nr article]],Tableau1[Nr article],0))</f>
        <v>Cotrimoxazole 480 mg, Blister, 100 × 10</v>
      </c>
      <c r="E13" s="6">
        <v>1</v>
      </c>
      <c r="F13" s="6">
        <v>10</v>
      </c>
      <c r="G13" s="42" t="s">
        <v>230</v>
      </c>
      <c r="H13" s="110">
        <v>44339</v>
      </c>
      <c r="I13" s="96" t="str">
        <f ca="1">IF(Tableau8[[#This Row],[Nr article]]=panier!$C$13,IF(SUM(OFFSET($E$9,$I$1-1,0,ROW()-$I$1-7,1))&lt;=panier!$G$13,$E13,IF(ROW()=$I$1+8,$E13-(SUM(OFFSET($E$9,$I$1-1,0,1))-panier!$G$13),IF(SUM(OFFSET($E$9,$I$1-1,0,ROW()-$I$1-7))&lt;=panier!$G$13,panier!$G$13-SUM(OFFSET($E$9,$I$1-1,0,ROW()-$I$1-8)),""))),"")</f>
        <v/>
      </c>
    </row>
    <row r="14" spans="2:9" ht="17.25" thickBot="1">
      <c r="C14" s="40" t="s">
        <v>125</v>
      </c>
      <c r="D14" s="41" t="str">
        <f>INDEX(Tableau1[Nom],MATCH(Tableau8[[#This Row],[Nr article]],Tableau1[Nr article],0))</f>
        <v>Paracetamol 500 mg, Blister, 100 × 10</v>
      </c>
      <c r="E14" s="6">
        <v>2</v>
      </c>
      <c r="G14" s="42" t="s">
        <v>231</v>
      </c>
      <c r="H14" s="110">
        <v>44075</v>
      </c>
      <c r="I14" s="96" t="str">
        <f ca="1">IF(Tableau8[[#This Row],[Nr article]]=panier!$C$13,IF(SUM(OFFSET($E$9,$I$1-1,0,ROW()-$I$1-7,1))&lt;=panier!$G$13,$E14,IF(ROW()=$I$1+8,$E14-(SUM(OFFSET($E$9,$I$1-1,0,1))-panier!$G$13),IF(SUM(OFFSET($E$9,$I$1-1,0,ROW()-$I$1-7))&lt;=panier!$G$13,panier!$G$13-SUM(OFFSET($E$9,$I$1-1,0,ROW()-$I$1-8)),""))),"")</f>
        <v/>
      </c>
    </row>
    <row r="15" spans="2:9" ht="17.25" thickBot="1">
      <c r="C15" s="40" t="s">
        <v>125</v>
      </c>
      <c r="D15" s="41" t="str">
        <f>INDEX(Tableau1[Nom],MATCH(Tableau8[[#This Row],[Nr article]],Tableau1[Nr article],0))</f>
        <v>Paracetamol 500 mg, Blister, 100 × 10</v>
      </c>
      <c r="E15" s="6">
        <v>2</v>
      </c>
      <c r="G15" s="42" t="s">
        <v>232</v>
      </c>
      <c r="H15" s="110">
        <v>44075</v>
      </c>
      <c r="I15" s="96" t="str">
        <f ca="1">IF(Tableau8[[#This Row],[Nr article]]=panier!$C$13,IF(SUM(OFFSET($E$9,$I$1-1,0,ROW()-$I$1-7,1))&lt;=panier!$G$13,$E15,IF(ROW()=$I$1+8,$E15-(SUM(OFFSET($E$9,$I$1-1,0,1))-panier!$G$13),IF(SUM(OFFSET($E$9,$I$1-1,0,ROW()-$I$1-7))&lt;=panier!$G$13,panier!$G$13-SUM(OFFSET($E$9,$I$1-1,0,ROW()-$I$1-8)),""))),"")</f>
        <v/>
      </c>
    </row>
    <row r="16" spans="2:9" ht="17.25" thickBot="1">
      <c r="C16" s="40" t="s">
        <v>125</v>
      </c>
      <c r="D16" s="41" t="str">
        <f>INDEX(Tableau1[Nom],MATCH(Tableau8[[#This Row],[Nr article]],Tableau1[Nr article],0))</f>
        <v>Paracetamol 500 mg, Blister, 100 × 10</v>
      </c>
      <c r="E16" s="6">
        <v>2</v>
      </c>
      <c r="G16" s="42" t="s">
        <v>233</v>
      </c>
      <c r="H16" s="110">
        <v>44105</v>
      </c>
      <c r="I16" s="96" t="str">
        <f ca="1">IF(Tableau8[[#This Row],[Nr article]]=panier!$C$13,IF(SUM(OFFSET($E$9,$I$1-1,0,ROW()-$I$1-7,1))&lt;=panier!$G$13,$E16,IF(ROW()=$I$1+8,$E16-(SUM(OFFSET($E$9,$I$1-1,0,1))-panier!$G$13),IF(SUM(OFFSET($E$9,$I$1-1,0,ROW()-$I$1-7))&lt;=panier!$G$13,panier!$G$13-SUM(OFFSET($E$9,$I$1-1,0,ROW()-$I$1-8)),""))),"")</f>
        <v/>
      </c>
    </row>
    <row r="17" spans="2:9" ht="17.25" thickBot="1">
      <c r="C17" s="40" t="s">
        <v>125</v>
      </c>
      <c r="D17" s="41" t="str">
        <f>INDEX(Tableau1[Nom],MATCH(Tableau8[[#This Row],[Nr article]],Tableau1[Nr article],0))</f>
        <v>Paracetamol 500 mg, Blister, 100 × 10</v>
      </c>
      <c r="E17" s="6">
        <v>2</v>
      </c>
      <c r="G17" s="42" t="s">
        <v>234</v>
      </c>
      <c r="H17" s="110">
        <v>44105</v>
      </c>
      <c r="I17" s="96" t="str">
        <f ca="1">IF(Tableau8[[#This Row],[Nr article]]=panier!$C$13,IF(SUM(OFFSET($E$9,$I$1-1,0,ROW()-$I$1-7,1))&lt;=panier!$G$13,$E17,IF(ROW()=$I$1+8,$E17-(SUM(OFFSET($E$9,$I$1-1,0,1))-panier!$G$13),IF(SUM(OFFSET($E$9,$I$1-1,0,ROW()-$I$1-7))&lt;=panier!$G$13,panier!$G$13-SUM(OFFSET($E$9,$I$1-1,0,ROW()-$I$1-8)),""))),"")</f>
        <v/>
      </c>
    </row>
    <row r="18" spans="2:9" ht="17.25" thickBot="1">
      <c r="C18" s="40" t="s">
        <v>125</v>
      </c>
      <c r="D18" s="41" t="str">
        <f>INDEX(Tableau1[Nom],MATCH(Tableau8[[#This Row],[Nr article]],Tableau1[Nr article],0))</f>
        <v>Paracetamol 500 mg, Blister, 100 × 10</v>
      </c>
      <c r="E18" s="6">
        <v>2</v>
      </c>
      <c r="G18" s="42" t="s">
        <v>235</v>
      </c>
      <c r="H18" s="110">
        <v>44136</v>
      </c>
      <c r="I18" s="96" t="str">
        <f ca="1">IF(Tableau8[[#This Row],[Nr article]]=panier!$C$13,IF(SUM(OFFSET($E$9,$I$1-1,0,ROW()-$I$1-7,1))&lt;=panier!$G$13,$E18,IF(ROW()=$I$1+8,$E18-(SUM(OFFSET($E$9,$I$1-1,0,1))-panier!$G$13),IF(SUM(OFFSET($E$9,$I$1-1,0,ROW()-$I$1-7))&lt;=panier!$G$13,panier!$G$13-SUM(OFFSET($E$9,$I$1-1,0,ROW()-$I$1-8)),""))),"")</f>
        <v/>
      </c>
    </row>
    <row r="19" spans="2:9" ht="17.25" thickBot="1">
      <c r="C19" s="40" t="s">
        <v>125</v>
      </c>
      <c r="D19" s="41" t="str">
        <f>INDEX(Tableau1[Nom],MATCH(Tableau8[[#This Row],[Nr article]],Tableau1[Nr article],0))</f>
        <v>Paracetamol 500 mg, Blister, 100 × 10</v>
      </c>
      <c r="E19" s="6">
        <v>2</v>
      </c>
      <c r="G19" s="42" t="s">
        <v>236</v>
      </c>
      <c r="H19" s="110">
        <v>44166</v>
      </c>
      <c r="I19" s="96" t="str">
        <f ca="1">IF(Tableau8[[#This Row],[Nr article]]=panier!$C$13,IF(SUM(OFFSET($E$9,$I$1-1,0,ROW()-$I$1-7,1))&lt;=panier!$G$13,$E19,IF(ROW()=$I$1+8,$E19-(SUM(OFFSET($E$9,$I$1-1,0,1))-panier!$G$13),IF(SUM(OFFSET($E$9,$I$1-1,0,ROW()-$I$1-7))&lt;=panier!$G$13,panier!$G$13-SUM(OFFSET($E$9,$I$1-1,0,ROW()-$I$1-8)),""))),"")</f>
        <v/>
      </c>
    </row>
    <row r="20" spans="2:9" ht="17.25" thickBot="1">
      <c r="C20" s="40" t="s">
        <v>125</v>
      </c>
      <c r="D20" s="41" t="str">
        <f>INDEX(Tableau1[Nom],MATCH(Tableau8[[#This Row],[Nr article]],Tableau1[Nr article],0))</f>
        <v>Paracetamol 500 mg, Blister, 100 × 10</v>
      </c>
      <c r="E20" s="6">
        <v>2</v>
      </c>
      <c r="G20" s="42" t="s">
        <v>237</v>
      </c>
      <c r="H20" s="110">
        <v>44166</v>
      </c>
      <c r="I20" s="96" t="str">
        <f ca="1">IF(Tableau8[[#This Row],[Nr article]]=panier!$C$13,IF(SUM(OFFSET($E$9,$I$1-1,0,ROW()-$I$1-7,1))&lt;=panier!$G$13,$E20,IF(ROW()=$I$1+8,$E20-(SUM(OFFSET($E$9,$I$1-1,0,1))-panier!$G$13),IF(SUM(OFFSET($E$9,$I$1-1,0,ROW()-$I$1-7))&lt;=panier!$G$13,panier!$G$13-SUM(OFFSET($E$9,$I$1-1,0,ROW()-$I$1-8)),""))),"")</f>
        <v/>
      </c>
    </row>
    <row r="21" spans="2:9" ht="17.25" thickBot="1">
      <c r="C21" s="40" t="s">
        <v>125</v>
      </c>
      <c r="D21" s="41" t="str">
        <f>INDEX(Tableau1[Nom],MATCH(Tableau8[[#This Row],[Nr article]],Tableau1[Nr article],0))</f>
        <v>Paracetamol 500 mg, Blister, 100 × 10</v>
      </c>
      <c r="E21" s="6">
        <v>2</v>
      </c>
      <c r="G21" s="42" t="s">
        <v>238</v>
      </c>
      <c r="H21" s="110">
        <v>44166</v>
      </c>
      <c r="I21" s="96" t="str">
        <f ca="1">IF(Tableau8[[#This Row],[Nr article]]=panier!$C$13,IF(SUM(OFFSET($E$9,$I$1-1,0,ROW()-$I$1-7,1))&lt;=panier!$G$13,$E21,IF(ROW()=$I$1+8,$E21-(SUM(OFFSET($E$9,$I$1-1,0,1))-panier!$G$13),IF(SUM(OFFSET($E$9,$I$1-1,0,ROW()-$I$1-7))&lt;=panier!$G$13,panier!$G$13-SUM(OFFSET($E$9,$I$1-1,0,ROW()-$I$1-8)),""))),"")</f>
        <v/>
      </c>
    </row>
    <row r="22" spans="2:9" ht="17.25" thickBot="1">
      <c r="C22" s="40" t="s">
        <v>125</v>
      </c>
      <c r="D22" s="41" t="str">
        <f>INDEX(Tableau1[Nom],MATCH(Tableau8[[#This Row],[Nr article]],Tableau1[Nr article],0))</f>
        <v>Paracetamol 500 mg, Blister, 100 × 10</v>
      </c>
      <c r="E22" s="6">
        <v>2</v>
      </c>
      <c r="G22" s="42" t="s">
        <v>239</v>
      </c>
      <c r="H22" s="110">
        <v>44197</v>
      </c>
      <c r="I22" s="96" t="str">
        <f ca="1">IF(Tableau8[[#This Row],[Nr article]]=panier!$C$13,IF(SUM(OFFSET($E$9,$I$1-1,0,ROW()-$I$1-7,1))&lt;=panier!$G$13,$E22,IF(ROW()=$I$1+8,$E22-(SUM(OFFSET($E$9,$I$1-1,0,1))-panier!$G$13),IF(SUM(OFFSET($E$9,$I$1-1,0,ROW()-$I$1-7))&lt;=panier!$G$13,panier!$G$13-SUM(OFFSET($E$9,$I$1-1,0,ROW()-$I$1-8)),""))),"")</f>
        <v/>
      </c>
    </row>
    <row r="23" spans="2:9" ht="17.25" thickBot="1">
      <c r="C23" s="40" t="s">
        <v>125</v>
      </c>
      <c r="D23" s="41" t="str">
        <f>INDEX(Tableau1[Nom],MATCH(Tableau8[[#This Row],[Nr article]],Tableau1[Nr article],0))</f>
        <v>Paracetamol 500 mg, Blister, 100 × 10</v>
      </c>
      <c r="E23" s="6">
        <v>2</v>
      </c>
      <c r="G23" s="42" t="s">
        <v>240</v>
      </c>
      <c r="H23" s="110">
        <v>44197</v>
      </c>
      <c r="I23" s="96" t="str">
        <f ca="1">IF(Tableau8[[#This Row],[Nr article]]=panier!$C$13,IF(SUM(OFFSET($E$9,$I$1-1,0,ROW()-$I$1-7,1))&lt;=panier!$G$13,$E23,IF(ROW()=$I$1+8,$E23-(SUM(OFFSET($E$9,$I$1-1,0,1))-panier!$G$13),IF(SUM(OFFSET($E$9,$I$1-1,0,ROW()-$I$1-7))&lt;=panier!$G$13,panier!$G$13-SUM(OFFSET($E$9,$I$1-1,0,ROW()-$I$1-8)),""))),"")</f>
        <v/>
      </c>
    </row>
    <row r="24" spans="2:9" ht="17.25" thickBot="1">
      <c r="C24" s="40" t="s">
        <v>125</v>
      </c>
      <c r="D24" s="41" t="str">
        <f>INDEX(Tableau1[Nom],MATCH(Tableau8[[#This Row],[Nr article]],Tableau1[Nr article],0))</f>
        <v>Paracetamol 500 mg, Blister, 100 × 10</v>
      </c>
      <c r="E24" s="6">
        <v>2</v>
      </c>
      <c r="G24" s="42" t="s">
        <v>241</v>
      </c>
      <c r="H24" s="110">
        <v>44228</v>
      </c>
      <c r="I24" s="96" t="str">
        <f ca="1">IF(Tableau8[[#This Row],[Nr article]]=panier!$C$13,IF(SUM(OFFSET($E$9,$I$1-1,0,ROW()-$I$1-7,1))&lt;=panier!$G$13,$E24,IF(ROW()=$I$1+8,$E24-(SUM(OFFSET($E$9,$I$1-1,0,1))-panier!$G$13),IF(SUM(OFFSET($E$9,$I$1-1,0,ROW()-$I$1-7))&lt;=panier!$G$13,panier!$G$13-SUM(OFFSET($E$9,$I$1-1,0,ROW()-$I$1-8)),""))),"")</f>
        <v/>
      </c>
    </row>
    <row r="25" spans="2:9" ht="17.25" thickBot="1">
      <c r="C25" s="40" t="s">
        <v>92</v>
      </c>
      <c r="D25" s="41" t="str">
        <f>INDEX(Tableau1[Nom],MATCH(Tableau8[[#This Row],[Nr article]],Tableau1[Nr article],0))</f>
        <v>Amoxicillin 500 mg, Blister, 10 × 10</v>
      </c>
      <c r="E25" s="6">
        <v>2</v>
      </c>
      <c r="G25" s="42" t="s">
        <v>242</v>
      </c>
      <c r="H25" s="110">
        <v>44287</v>
      </c>
      <c r="I25" s="96" t="str">
        <f ca="1">IF(Tableau8[[#This Row],[Nr article]]=panier!$C$13,IF(SUM(OFFSET($E$9,$I$1-1,0,ROW()-$I$1-7,1))&lt;=panier!$G$13,$E25,IF(ROW()=$I$1+8,$E25-(SUM(OFFSET($E$9,$I$1-1,0,1))-panier!$G$13),IF(SUM(OFFSET($E$9,$I$1-1,0,ROW()-$I$1-7))&lt;=panier!$G$13,panier!$G$13-SUM(OFFSET($E$9,$I$1-1,0,ROW()-$I$1-8)),""))),"")</f>
        <v/>
      </c>
    </row>
    <row r="26" spans="2:9" ht="17.25" thickBot="1">
      <c r="C26" s="40" t="s">
        <v>134</v>
      </c>
      <c r="D26" s="41" t="str">
        <f>INDEX(Tableau1[Nom],MATCH(Tableau8[[#This Row],[Nr article]],Tableau1[Nr article],0))</f>
        <v>Sulfadoxine/Pyrimethamine 500 mg / 25 mg, Blister, 40 × 3</v>
      </c>
      <c r="E26" s="6">
        <v>2567</v>
      </c>
      <c r="G26" s="42" t="s">
        <v>243</v>
      </c>
      <c r="H26" s="110">
        <v>44317</v>
      </c>
      <c r="I26" s="96" t="str">
        <f ca="1">IF(Tableau8[[#This Row],[Nr article]]=panier!$C$13,IF(SUM(OFFSET($E$9,$I$1-1,0,ROW()-$I$1-7,1))&lt;=panier!$G$13,$E26,IF(ROW()=$I$1+8,$E26-(SUM(OFFSET($E$9,$I$1-1,0,1))-panier!$G$13),IF(SUM(OFFSET($E$9,$I$1-1,0,ROW()-$I$1-7))&lt;=panier!$G$13,panier!$G$13-SUM(OFFSET($E$9,$I$1-1,0,ROW()-$I$1-8)),""))),"")</f>
        <v/>
      </c>
    </row>
    <row r="27" spans="2:9" ht="17.25" thickBot="1">
      <c r="C27" s="40" t="s">
        <v>105</v>
      </c>
      <c r="D27" s="41" t="str">
        <f>INDEX(Tableau1[Nom],MATCH(Tableau8[[#This Row],[Nr article]],Tableau1[Nr article],0))</f>
        <v>Diclofenac Sodium 50 mg, Blister, 100 × 10</v>
      </c>
      <c r="E27" s="6">
        <v>1250</v>
      </c>
      <c r="G27" s="42" t="s">
        <v>244</v>
      </c>
      <c r="H27" s="110">
        <v>44562</v>
      </c>
      <c r="I27" s="96" t="str">
        <f ca="1">IF(Tableau8[[#This Row],[Nr article]]=panier!$C$13,IF(SUM(OFFSET($E$9,$I$1-1,0,ROW()-$I$1-7,1))&lt;=panier!$G$13,$E27,IF(ROW()=$I$1+8,$E27-(SUM(OFFSET($E$9,$I$1-1,0,1))-panier!$G$13),IF(SUM(OFFSET($E$9,$I$1-1,0,ROW()-$I$1-7))&lt;=panier!$G$13,panier!$G$13-SUM(OFFSET($E$9,$I$1-1,0,ROW()-$I$1-8)),""))),"")</f>
        <v/>
      </c>
    </row>
    <row r="28" spans="2:9" ht="17.25" thickBot="1">
      <c r="C28" s="40" t="s">
        <v>124</v>
      </c>
      <c r="D28" s="41" t="str">
        <f>INDEX(Tableau1[Nom],MATCH(Tableau8[[#This Row],[Nr article]],Tableau1[Nr article],0))</f>
        <v>Paracetamol 500 mg, Blister, 10 × 10</v>
      </c>
      <c r="E28" s="6">
        <v>160</v>
      </c>
      <c r="G28" s="42" t="s">
        <v>245</v>
      </c>
      <c r="H28" s="110">
        <v>44562</v>
      </c>
      <c r="I28" s="96" t="str">
        <f ca="1">IF(Tableau8[[#This Row],[Nr article]]=panier!$C$13,IF(SUM(OFFSET($E$9,$I$1-1,0,ROW()-$I$1-7,1))&lt;=panier!$G$13,$E28,IF(ROW()=$I$1+8,$E28-(SUM(OFFSET($E$9,$I$1-1,0,1))-panier!$G$13),IF(SUM(OFFSET($E$9,$I$1-1,0,ROW()-$I$1-7))&lt;=panier!$G$13,panier!$G$13-SUM(OFFSET($E$9,$I$1-1,0,ROW()-$I$1-8)),""))),"")</f>
        <v/>
      </c>
    </row>
    <row r="29" spans="2:9" ht="17.25" thickBot="1">
      <c r="C29" s="40" t="s">
        <v>120</v>
      </c>
      <c r="D29" s="41" t="str">
        <f>INDEX(Tableau1[Nom],MATCH(Tableau8[[#This Row],[Nr article]],Tableau1[Nr article],0))</f>
        <v>Metronidazole 250 mg, Blister, 10 × 10</v>
      </c>
      <c r="E29" s="6">
        <v>39</v>
      </c>
      <c r="G29" s="42" t="s">
        <v>246</v>
      </c>
      <c r="H29" s="110">
        <v>44713</v>
      </c>
      <c r="I29" s="96" t="str">
        <f ca="1">IF(Tableau8[[#This Row],[Nr article]]=panier!$C$13,IF(SUM(OFFSET($E$9,$I$1-1,0,ROW()-$I$1-7,1))&lt;=panier!$G$13,$E29,IF(ROW()=$I$1+8,$E29-(SUM(OFFSET($E$9,$I$1-1,0,1))-panier!$G$13),IF(SUM(OFFSET($E$9,$I$1-1,0,ROW()-$I$1-7))&lt;=panier!$G$13,panier!$G$13-SUM(OFFSET($E$9,$I$1-1,0,ROW()-$I$1-8)),""))),"")</f>
        <v/>
      </c>
    </row>
    <row r="30" spans="2:9" ht="17.25" thickBot="1">
      <c r="C30" s="40" t="s">
        <v>120</v>
      </c>
      <c r="D30" s="41" t="str">
        <f>INDEX(Tableau1[Nom],MATCH(Tableau8[[#This Row],[Nr article]],Tableau1[Nr article],0))</f>
        <v>Metronidazole 250 mg, Blister, 10 × 10</v>
      </c>
      <c r="E30" s="6">
        <v>275</v>
      </c>
      <c r="G30" s="42" t="s">
        <v>247</v>
      </c>
      <c r="H30" s="110">
        <v>44927</v>
      </c>
      <c r="I30" s="96" t="str">
        <f ca="1">IF(Tableau8[[#This Row],[Nr article]]=panier!$C$13,IF(SUM(OFFSET($E$9,$I$1-1,0,ROW()-$I$1-7,1))&lt;=panier!$G$13,$E30,IF(ROW()=$I$1+8,$E30-(SUM(OFFSET($E$9,$I$1-1,0,1))-panier!$G$13),IF(SUM(OFFSET($E$9,$I$1-1,0,ROW()-$I$1-7))&lt;=panier!$G$13,panier!$G$13-SUM(OFFSET($E$9,$I$1-1,0,ROW()-$I$1-8)),""))),"")</f>
        <v/>
      </c>
    </row>
    <row r="31" spans="2:9">
      <c r="B31" s="98">
        <v>44335.928865740738</v>
      </c>
      <c r="C31" s="99" t="s">
        <v>131</v>
      </c>
      <c r="D31" s="100" t="s">
        <v>183</v>
      </c>
      <c r="E31" s="101">
        <v>10</v>
      </c>
      <c r="F31" s="101">
        <v>11</v>
      </c>
      <c r="G31" s="102">
        <v>1</v>
      </c>
      <c r="H31" s="111">
        <v>44342</v>
      </c>
      <c r="I31" s="103" t="str">
        <f ca="1">IF(Tableau8[[#This Row],[Nr article]]=panier!$C$13,IF(SUM(OFFSET($E$9,$I$1-1,0,ROW()-$I$1-7,1))&lt;=panier!$G$13,$E31,IF(ROW()=$I$1+8,$E31-(SUM(OFFSET($E$9,$I$1-1,0,1))-panier!$G$13),IF(SUM(OFFSET($E$9,$I$1-1,0,ROW()-$I$1-7))&lt;=panier!$G$13,panier!$G$13-SUM(OFFSET($E$9,$I$1-1,0,ROW()-$I$1-8)),""))),"")</f>
        <v/>
      </c>
    </row>
    <row r="32" spans="2:9">
      <c r="B32" s="98">
        <v>44335.999143518522</v>
      </c>
      <c r="C32" s="99" t="s">
        <v>101</v>
      </c>
      <c r="D32" s="100" t="s">
        <v>153</v>
      </c>
      <c r="E32" s="101">
        <v>10</v>
      </c>
      <c r="F32" s="101">
        <v>1</v>
      </c>
      <c r="G32" s="102" t="s">
        <v>260</v>
      </c>
      <c r="H32" s="111">
        <v>44341</v>
      </c>
      <c r="I32" s="103" t="str">
        <f ca="1">IF(Tableau8[[#This Row],[Nr article]]=panier!$C$13,IF(SUM(OFFSET($E$9,$I$1-1,0,ROW()-$I$1-7,1))&lt;=panier!$G$13,$E32,IF(ROW()=$I$1+8,$E32-(SUM(OFFSET($E$9,$I$1-1,0,1))-panier!$G$13),IF(SUM(OFFSET($E$9,$I$1-1,0,ROW()-$I$1-7))&lt;=panier!$G$13,panier!$G$13-SUM(OFFSET($E$9,$I$1-1,0,ROW()-$I$1-8)),""))),"")</f>
        <v/>
      </c>
    </row>
    <row r="33" spans="2:9">
      <c r="B33" s="98">
        <v>44336.915798611109</v>
      </c>
      <c r="C33" s="99" t="s">
        <v>86</v>
      </c>
      <c r="D33" s="100" t="s">
        <v>138</v>
      </c>
      <c r="E33" s="101">
        <v>100</v>
      </c>
      <c r="F33" s="101">
        <v>1</v>
      </c>
      <c r="G33" s="102" t="s">
        <v>268</v>
      </c>
      <c r="H33" s="111">
        <v>44341</v>
      </c>
      <c r="I33" s="103" t="str">
        <f ca="1">IF(Tableau8[[#This Row],[Nr article]]=panier!$C$13,IF(SUM(OFFSET($E$9,$I$1-1,0,ROW()-$I$1-7,1))&lt;=panier!$G$13,$E33,IF(ROW()=$I$1+8,$E33-(SUM(OFFSET($E$9,$I$1-1,0,1))-panier!$G$13),IF(SUM(OFFSET($E$9,$I$1-1,0,ROW()-$I$1-7))&lt;=panier!$G$13,panier!$G$13-SUM(OFFSET($E$9,$I$1-1,0,ROW()-$I$1-8)),""))),"")</f>
        <v/>
      </c>
    </row>
  </sheetData>
  <conditionalFormatting sqref="H9:H33">
    <cfRule type="cellIs" dxfId="61" priority="1" operator="lessThanOrEqual">
      <formula>NOW()</formula>
    </cfRule>
    <cfRule type="cellIs" dxfId="60" priority="2" operator="lessThanOrEqual">
      <formula>NOW()+365</formula>
    </cfRule>
  </conditionalFormatting>
  <pageMargins left="0.7" right="0.7" top="0.75" bottom="0.75" header="0.3" footer="0.3"/>
  <pageSetup paperSize="9" orientation="portrait" r:id="rId1"/>
  <legacyDrawing r:id="rId2"/>
  <controls>
    <control shapeId="22531" r:id="rId3" name="CommandButton1"/>
  </controls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"/>
  <dimension ref="B1:U45"/>
  <sheetViews>
    <sheetView showGridLines="0" zoomScale="80" zoomScaleNormal="80" workbookViewId="0">
      <selection activeCell="K7" sqref="K7:U9"/>
    </sheetView>
  </sheetViews>
  <sheetFormatPr baseColWidth="10" defaultRowHeight="15.75"/>
  <cols>
    <col min="1" max="1" width="1.7109375" style="5" customWidth="1"/>
    <col min="2" max="2" width="19.7109375" style="5" customWidth="1"/>
    <col min="3" max="3" width="17.42578125" style="6" customWidth="1"/>
    <col min="4" max="4" width="15" style="5" customWidth="1"/>
    <col min="5" max="5" width="21.28515625" style="5" customWidth="1"/>
    <col min="6" max="6" width="14.140625" style="5" customWidth="1"/>
    <col min="7" max="7" width="14.28515625" style="5" customWidth="1"/>
    <col min="8" max="9" width="11.42578125" style="5"/>
    <col min="10" max="10" width="2.85546875" style="5" customWidth="1"/>
    <col min="11" max="11" width="15.5703125" style="5" customWidth="1"/>
    <col min="12" max="12" width="13.85546875" style="5" customWidth="1"/>
    <col min="13" max="13" width="14.5703125" style="5" customWidth="1"/>
    <col min="14" max="14" width="13.42578125" style="5" customWidth="1"/>
    <col min="15" max="15" width="16" style="5" customWidth="1"/>
    <col min="16" max="16" width="14.42578125" style="5" customWidth="1"/>
    <col min="17" max="17" width="14" style="5" customWidth="1"/>
    <col min="18" max="18" width="13.85546875" style="5" customWidth="1"/>
    <col min="19" max="19" width="13" style="5" customWidth="1"/>
    <col min="20" max="16384" width="11.42578125" style="5"/>
  </cols>
  <sheetData>
    <row r="1" spans="2:21" ht="86.25" customHeight="1"/>
    <row r="2" spans="2:21" ht="16.5" thickBot="1"/>
    <row r="3" spans="2:21" ht="16.5" thickBot="1">
      <c r="B3" s="15" t="s">
        <v>26</v>
      </c>
      <c r="C3" s="16">
        <v>17</v>
      </c>
      <c r="E3" s="5" t="s">
        <v>29</v>
      </c>
      <c r="F3" s="113" t="str">
        <f>IFERROR(INDEX(Tableau2[info texte],MATCH(panier!C5,Tableau2[Nr client],0)),"")</f>
        <v/>
      </c>
      <c r="G3" s="114"/>
      <c r="H3" s="114"/>
      <c r="I3" s="115"/>
      <c r="K3" s="17" t="s">
        <v>40</v>
      </c>
      <c r="L3" s="17"/>
      <c r="M3" s="17" t="s">
        <v>41</v>
      </c>
      <c r="N3" s="17" t="s">
        <v>42</v>
      </c>
      <c r="O3" s="17" t="s">
        <v>43</v>
      </c>
    </row>
    <row r="4" spans="2:21" ht="16.5" thickBot="1">
      <c r="F4" s="116"/>
      <c r="G4" s="117"/>
      <c r="H4" s="117"/>
      <c r="I4" s="118"/>
      <c r="K4" s="8">
        <f>IFERROR(SUM(Tableau3[Total]),"")</f>
        <v>0</v>
      </c>
      <c r="L4" s="6"/>
      <c r="M4" s="8" t="str">
        <f>IFERROR((K4*C6),"")</f>
        <v/>
      </c>
      <c r="N4" s="8" t="str">
        <f>IFERROR(((K4-M4)*1.21),"")</f>
        <v/>
      </c>
      <c r="O4" s="6">
        <f>IFERROR(COUNT(Tableau3[Date]),"")</f>
        <v>0</v>
      </c>
    </row>
    <row r="5" spans="2:21">
      <c r="B5" s="18" t="s">
        <v>27</v>
      </c>
      <c r="C5" s="19"/>
      <c r="F5" s="116"/>
      <c r="G5" s="117"/>
      <c r="H5" s="117"/>
      <c r="I5" s="118"/>
    </row>
    <row r="6" spans="2:21" ht="16.5" thickBot="1">
      <c r="B6" s="20" t="s">
        <v>28</v>
      </c>
      <c r="C6" s="21" t="str">
        <f>IFERROR(INDEX(Tableau6[Réduction],MATCH(panier!D6,Tableau6[Level],0)),"")</f>
        <v/>
      </c>
      <c r="D6" s="9" t="str">
        <f>IFERROR(INDEX(Tableau2[Niv fidélité],MATCH(Tableau2[Nr client],0)),"")</f>
        <v/>
      </c>
      <c r="F6" s="116"/>
      <c r="G6" s="117"/>
      <c r="H6" s="117"/>
      <c r="I6" s="118"/>
      <c r="K6" s="6" t="s">
        <v>33</v>
      </c>
      <c r="L6" s="6" t="s">
        <v>34</v>
      </c>
      <c r="M6" s="6" t="s">
        <v>0</v>
      </c>
      <c r="N6" s="6" t="s">
        <v>35</v>
      </c>
      <c r="O6" s="6" t="s">
        <v>36</v>
      </c>
      <c r="P6" s="6" t="s">
        <v>258</v>
      </c>
      <c r="Q6" s="6" t="s">
        <v>6</v>
      </c>
      <c r="R6" s="6" t="s">
        <v>38</v>
      </c>
      <c r="S6" s="6" t="s">
        <v>39</v>
      </c>
      <c r="T6" s="6" t="s">
        <v>225</v>
      </c>
      <c r="U6" s="6" t="s">
        <v>226</v>
      </c>
    </row>
    <row r="7" spans="2:21" ht="34.5" customHeight="1" thickBot="1">
      <c r="B7" s="22" t="s">
        <v>248</v>
      </c>
      <c r="C7" s="23" t="str">
        <f>IFERROR(INDEX(Tableau2[Statut],MATCH(panier!C5,Tableau2[Nr client],0)),"")</f>
        <v/>
      </c>
      <c r="F7" s="116"/>
      <c r="G7" s="117"/>
      <c r="H7" s="117"/>
      <c r="I7" s="118"/>
      <c r="K7" s="10"/>
      <c r="L7" s="11"/>
      <c r="M7" s="11"/>
      <c r="N7" s="87"/>
      <c r="O7" s="11"/>
      <c r="P7" s="11"/>
      <c r="Q7" s="11"/>
      <c r="R7" s="12"/>
      <c r="S7" s="13"/>
      <c r="T7" s="11"/>
      <c r="U7" s="11"/>
    </row>
    <row r="8" spans="2:21" ht="33" customHeight="1" thickBot="1">
      <c r="F8" s="119"/>
      <c r="G8" s="120"/>
      <c r="H8" s="120"/>
      <c r="I8" s="121"/>
    </row>
    <row r="12" spans="2:21" ht="16.5" thickBot="1"/>
    <row r="13" spans="2:21" ht="45.75" customHeight="1" thickBot="1">
      <c r="B13" s="81" t="s">
        <v>0</v>
      </c>
      <c r="C13" s="84"/>
      <c r="D13" s="83" t="s">
        <v>31</v>
      </c>
      <c r="E13" s="24" t="str">
        <f>IFERROR(INDEX(Tableau8[Nom :],MATCH(panier!C13,Tableau8[Nr article],0)),"")</f>
        <v/>
      </c>
      <c r="F13" s="25" t="s">
        <v>32</v>
      </c>
      <c r="G13" s="92"/>
    </row>
    <row r="14" spans="2:21" ht="24" customHeight="1" thickBot="1">
      <c r="B14" s="80" t="s">
        <v>30</v>
      </c>
      <c r="C14" s="85" t="str">
        <f>IFERROR(INDEX(Tableau1[[Centrale d''Achat]:[Extérieur]],MATCH(panier!E13,Tableau1[Nom],0),MATCH(panier!C7,Tableau1[[#Headers],[Centrale d''Achat]:[Extérieur]],0)),"")</f>
        <v/>
      </c>
      <c r="D14" s="25" t="s">
        <v>257</v>
      </c>
      <c r="E14" s="86">
        <f>SUM(E15:E35)</f>
        <v>0</v>
      </c>
      <c r="F14" s="26"/>
      <c r="G14" s="11">
        <f>E14-G13</f>
        <v>0</v>
      </c>
    </row>
    <row r="15" spans="2:21" ht="16.5" customHeight="1" thickBot="1">
      <c r="B15" s="140" t="s">
        <v>255</v>
      </c>
      <c r="C15" s="82" t="str">
        <f>IFERROR(INDEX(Tableau8[Lot],SMALL(IF(panier!$C$13=Tableau8[Nr article],ROW(Tableau8[Nr article])-MIN(ROW(reception!$C$9))+1,""),ROWS(C$13:C13))),"")</f>
        <v/>
      </c>
      <c r="D15" s="140" t="s">
        <v>256</v>
      </c>
      <c r="E15" s="82" t="str">
        <f t="array" ref="E15">IFERROR(INDEX(Tableau8[Quantité :],SMALL(IF(panier!$C$13=Tableau8[Nr article],ROW(Tableau8[Nr article])-MIN(ROW(reception!$C$9))+1,""),ROWS(E$13:E13))),"")</f>
        <v/>
      </c>
      <c r="F15" s="91" t="str">
        <f>IF($E$15&lt;=$G$13,$E$15,$G$13)</f>
        <v/>
      </c>
      <c r="G15" s="14" t="str">
        <f>IFERROR(INDEX(Tableau8[Péremption],SMALL(IF(panier!$C$13=Tableau8[Nr article],ROW(Tableau8[Nr article])-MIN(ROW(reception!$C$9))+1,""),ROWS(C$13:C13))),"")</f>
        <v/>
      </c>
      <c r="J15" s="14"/>
    </row>
    <row r="16" spans="2:21" ht="15" customHeight="1" thickBot="1">
      <c r="B16" s="141"/>
      <c r="C16" s="82" t="str">
        <f t="array" ref="C16">IFERROR(INDEX(Tableau8[Lot],SMALL(IF(panier!$C$13=Tableau8[Nr article],ROW(Tableau8[Nr article])-MIN(ROW(reception!$C$9))+1,""),ROWS(C$13:C14))),"")</f>
        <v/>
      </c>
      <c r="D16" s="141"/>
      <c r="E16" s="82" t="str">
        <f t="array" ref="E16">IFERROR(INDEX(Tableau8[Quantité :],SMALL(IF(panier!$C$13=Tableau8[Nr article],ROW(Tableau8[Nr article])-MIN(ROW(reception!$C$9))+1,""),ROWS(E$13:E14))),"")</f>
        <v/>
      </c>
      <c r="F16" s="91">
        <f>IF(SUM($E$15:E15)&gt;=$G$13,0,IF(SUM($F$15:F15,E16)&lt;=$G$13,E16,SUM($F$15:F15,E16)-$G$13))</f>
        <v>0</v>
      </c>
    </row>
    <row r="17" spans="2:6" ht="15" customHeight="1" thickBot="1">
      <c r="B17" s="141"/>
      <c r="C17" s="82" t="str">
        <f t="array" ref="C17">IFERROR(INDEX(Tableau8[Lot],SMALL(IF(panier!$C$13=Tableau8[Nr article],ROW(Tableau8[Nr article])-MIN(ROW(reception!$C$9))+1,""),ROWS(C$13:C15))),"")</f>
        <v/>
      </c>
      <c r="D17" s="141"/>
      <c r="E17" s="82" t="str">
        <f t="array" ref="E17">IFERROR(INDEX(Tableau8[Quantité :],SMALL(IF(panier!$C$13=Tableau8[Nr article],ROW(Tableau8[Nr article])-MIN(ROW(reception!$C$9))+1,""),ROWS(E$13:E15))),"")</f>
        <v/>
      </c>
      <c r="F17" s="91">
        <f>IF(SUM($E$15:E16)&gt;=$G$13,0,IF(SUM($F$15:F16,E17)&lt;=$G$13,E17,SUM($F$15:F16,E17)-$G$13))</f>
        <v>0</v>
      </c>
    </row>
    <row r="18" spans="2:6" ht="15" customHeight="1" thickBot="1">
      <c r="B18" s="141"/>
      <c r="C18" s="82" t="str">
        <f t="array" ref="C18">IFERROR(INDEX(Tableau8[Lot],SMALL(IF(panier!$C$13=Tableau8[Nr article],ROW(Tableau8[Nr article])-MIN(ROW(reception!$C$9))+1,""),ROWS(C$13:C16))),"")</f>
        <v/>
      </c>
      <c r="D18" s="141"/>
      <c r="E18" s="82" t="str">
        <f t="array" ref="E18">IFERROR(INDEX(Tableau8[Quantité :],SMALL(IF(panier!$C$13=Tableau8[Nr article],ROW(Tableau8[Nr article])-MIN(ROW(reception!$C$9))+1,""),ROWS(E$13:E16))),"")</f>
        <v/>
      </c>
      <c r="F18" s="91">
        <f>IF(SUM($E$15:E17)&gt;=$G$13,0,IF(SUM($F$15:F17,E18)&lt;=$G$13,E18,SUM($F$15:F17,E18)-$G$13))</f>
        <v>0</v>
      </c>
    </row>
    <row r="19" spans="2:6" ht="15" customHeight="1" thickBot="1">
      <c r="B19" s="141"/>
      <c r="C19" s="82" t="str">
        <f t="array" ref="C19">IFERROR(INDEX(Tableau8[Lot],SMALL(IF(panier!$C$13=Tableau8[Nr article],ROW(Tableau8[Nr article])-MIN(ROW(reception!$C$9))+1,""),ROWS(C$13:C17))),"")</f>
        <v/>
      </c>
      <c r="D19" s="141"/>
      <c r="E19" s="82" t="str">
        <f t="array" ref="E19">IFERROR(INDEX(Tableau8[Quantité :],SMALL(IF(panier!$C$13=Tableau8[Nr article],ROW(Tableau8[Nr article])-MIN(ROW(reception!$C$9))+1,""),ROWS(E$13:E17))),"")</f>
        <v/>
      </c>
      <c r="F19" s="91">
        <f>IF(SUM($E$15:E18)&gt;=$G$13,0,IF(SUM($F$15:F18,E19)&lt;=$G$13,E19,SUM($F$15:F18,E19)-$G$13))</f>
        <v>0</v>
      </c>
    </row>
    <row r="20" spans="2:6" ht="15" customHeight="1" thickBot="1">
      <c r="B20" s="141"/>
      <c r="C20" s="82" t="str">
        <f t="array" ref="C20">IFERROR(INDEX(Tableau8[Lot],SMALL(IF(panier!$C$13=Tableau8[Nr article],ROW(Tableau8[Nr article])-MIN(ROW(reception!$C$9))+1,""),ROWS(C$13:C18))),"")</f>
        <v/>
      </c>
      <c r="D20" s="141"/>
      <c r="E20" s="82" t="str">
        <f t="array" ref="E20">IFERROR(INDEX(Tableau8[Quantité :],SMALL(IF(panier!$C$13=Tableau8[Nr article],ROW(Tableau8[Nr article])-MIN(ROW(reception!$C$9))+1,""),ROWS(E$13:E18))),"")</f>
        <v/>
      </c>
      <c r="F20" s="91">
        <f>IF(SUM($E$15:E19)&gt;=$G$13,0,IF(SUM($F$15:F19,E20)&lt;=$G$13,E20,SUM($F$15:F19,E20)-$G$13))</f>
        <v>0</v>
      </c>
    </row>
    <row r="21" spans="2:6" ht="15" customHeight="1" thickBot="1">
      <c r="B21" s="141"/>
      <c r="C21" s="82" t="str">
        <f t="array" ref="C21">IFERROR(INDEX(Tableau8[Lot],SMALL(IF(panier!$C$13=Tableau8[Nr article],ROW(Tableau8[Nr article])-MIN(ROW(reception!$C$9))+1,""),ROWS(C$13:C19))),"")</f>
        <v/>
      </c>
      <c r="D21" s="141"/>
      <c r="E21" s="82" t="str">
        <f t="array" ref="E21">IFERROR(INDEX(Tableau8[Quantité :],SMALL(IF(panier!$C$13=Tableau8[Nr article],ROW(Tableau8[Nr article])-MIN(ROW(reception!$C$9))+1,""),ROWS(E$13:E19))),"")</f>
        <v/>
      </c>
      <c r="F21" s="91">
        <f>IF(SUM($E$15:E20)&gt;=$G$13,0,IF(SUM($F$15:F20,E21)&lt;=$G$13,E21,SUM($F$15:F20,E21)-$G$13))</f>
        <v>0</v>
      </c>
    </row>
    <row r="22" spans="2:6" ht="15" customHeight="1" thickBot="1">
      <c r="B22" s="141"/>
      <c r="C22" s="82" t="str">
        <f t="array" ref="C22">IFERROR(INDEX(Tableau8[Lot],SMALL(IF(panier!$C$13=Tableau8[Nr article],ROW(Tableau8[Nr article])-MIN(ROW(reception!$C$9))+1,""),ROWS(C$13:C20))),"")</f>
        <v/>
      </c>
      <c r="D22" s="141"/>
      <c r="E22" s="82" t="str">
        <f t="array" ref="E22">IFERROR(INDEX(Tableau8[Quantité :],SMALL(IF(panier!$C$13=Tableau8[Nr article],ROW(Tableau8[Nr article])-MIN(ROW(reception!$C$9))+1,""),ROWS(E$13:E20))),"")</f>
        <v/>
      </c>
      <c r="F22" s="91">
        <f>IF(SUM($E$15:E21)&gt;=$G$13,0,IF(SUM($F$15:F21,E22)&lt;=$G$13,E22,SUM($F$15:F21,E22)-$G$13))</f>
        <v>0</v>
      </c>
    </row>
    <row r="23" spans="2:6" ht="15" customHeight="1" thickBot="1">
      <c r="B23" s="141"/>
      <c r="C23" s="82" t="str">
        <f t="array" ref="C23">IFERROR(INDEX(Tableau8[Lot],SMALL(IF(panier!$C$13=Tableau8[Nr article],ROW(Tableau8[Nr article])-MIN(ROW(reception!$C$9))+1,""),ROWS(C$13:C21))),"")</f>
        <v/>
      </c>
      <c r="D23" s="141"/>
      <c r="E23" s="82" t="str">
        <f t="array" ref="E23">IFERROR(INDEX(Tableau8[Quantité :],SMALL(IF(panier!$C$13=Tableau8[Nr article],ROW(Tableau8[Nr article])-MIN(ROW(reception!$C$9))+1,""),ROWS(E$13:E21))),"")</f>
        <v/>
      </c>
      <c r="F23" s="91">
        <f>IF(SUM($E$15:E22)&gt;=$G$13,0,IF(SUM($F$15:F22,E23)&lt;=$G$13,E23,SUM($F$15:F22,E23)-$G$13))</f>
        <v>0</v>
      </c>
    </row>
    <row r="24" spans="2:6" ht="15" customHeight="1" thickBot="1">
      <c r="B24" s="141"/>
      <c r="C24" s="82" t="str">
        <f t="array" ref="C24">IFERROR(INDEX(Tableau8[Lot],SMALL(IF(panier!$C$13=Tableau8[Nr article],ROW(Tableau8[Nr article])-MIN(ROW(reception!$C$9))+1,""),ROWS(C$13:C22))),"")</f>
        <v/>
      </c>
      <c r="D24" s="141"/>
      <c r="E24" s="82" t="str">
        <f t="array" ref="E24">IFERROR(INDEX(Tableau8[Quantité :],SMALL(IF(panier!$C$13=Tableau8[Nr article],ROW(Tableau8[Nr article])-MIN(ROW(reception!$C$9))+1,""),ROWS(E$13:E22))),"")</f>
        <v/>
      </c>
      <c r="F24" s="91">
        <f>IF(SUM($E$15:E23)&gt;=$G$13,0,IF(SUM($F$15:F23,E24)&lt;=$G$13,E24,SUM($F$15:F23,E24)-$G$13))</f>
        <v>0</v>
      </c>
    </row>
    <row r="25" spans="2:6" ht="15" customHeight="1" thickBot="1">
      <c r="B25" s="141"/>
      <c r="C25" s="82" t="str">
        <f t="array" ref="C25">IFERROR(INDEX(Tableau8[Lot],SMALL(IF(panier!$C$13=Tableau8[Nr article],ROW(Tableau8[Nr article])-MIN(ROW(reception!$C$9))+1,""),ROWS(C$13:C23))),"")</f>
        <v/>
      </c>
      <c r="D25" s="141"/>
      <c r="E25" s="82" t="str">
        <f t="array" ref="E25">IFERROR(INDEX(Tableau8[Quantité :],SMALL(IF(panier!$C$13=Tableau8[Nr article],ROW(Tableau8[Nr article])-MIN(ROW(reception!$C$9))+1,""),ROWS(E$13:E23))),"")</f>
        <v/>
      </c>
      <c r="F25" s="91">
        <f>IF(SUM($E$15:E24)&gt;=$G$13,0,IF(SUM($F$15:F24,E25)&lt;=$G$13,E25,SUM($F$15:F24,E25)-$G$13))</f>
        <v>0</v>
      </c>
    </row>
    <row r="26" spans="2:6" ht="15" customHeight="1" thickBot="1">
      <c r="B26" s="141"/>
      <c r="C26" s="82" t="str">
        <f t="array" ref="C26">IFERROR(INDEX(Tableau8[Lot],SMALL(IF(panier!$C$13=Tableau8[Nr article],ROW(Tableau8[Nr article])-MIN(ROW(reception!$C$9))+1,""),ROWS(C$13:C24))),"")</f>
        <v/>
      </c>
      <c r="D26" s="141"/>
      <c r="E26" s="82" t="str">
        <f t="array" ref="E26">IFERROR(INDEX(Tableau8[Quantité :],SMALL(IF(panier!$C$13=Tableau8[Nr article],ROW(Tableau8[Nr article])-MIN(ROW(reception!$C$9))+1,""),ROWS(E$13:E24))),"")</f>
        <v/>
      </c>
      <c r="F26" s="91">
        <f>IF(SUM($E$15:E25)&gt;=$G$13,0,IF(SUM($F$15:F25,E26)&lt;=$G$13,E26,SUM($F$15:F25,E26)-$G$13))</f>
        <v>0</v>
      </c>
    </row>
    <row r="27" spans="2:6" ht="15" customHeight="1" thickBot="1">
      <c r="B27" s="141"/>
      <c r="C27" s="82" t="str">
        <f t="array" ref="C27">IFERROR(INDEX(Tableau8[Lot],SMALL(IF(panier!$C$13=Tableau8[Nr article],ROW(Tableau8[Nr article])-MIN(ROW(reception!$C$9))+1,""),ROWS(C$13:C25))),"")</f>
        <v/>
      </c>
      <c r="D27" s="141"/>
      <c r="E27" s="82" t="str">
        <f t="array" ref="E27">IFERROR(INDEX(Tableau8[Quantité :],SMALL(IF(panier!$C$13=Tableau8[Nr article],ROW(Tableau8[Nr article])-MIN(ROW(reception!$C$9))+1,""),ROWS(E$13:E25))),"")</f>
        <v/>
      </c>
      <c r="F27" s="91">
        <f>IF(SUM($E$15:E26)&gt;=$G$13,0,IF(SUM($F$15:F26,E27)&lt;=$G$13,E27,SUM($F$15:F26,E27)-$G$13))</f>
        <v>0</v>
      </c>
    </row>
    <row r="28" spans="2:6" ht="15" customHeight="1" thickBot="1">
      <c r="B28" s="141"/>
      <c r="C28" s="82" t="str">
        <f t="array" ref="C28">IFERROR(INDEX(Tableau8[Lot],SMALL(IF(panier!$C$13=Tableau8[Nr article],ROW(Tableau8[Nr article])-MIN(ROW(reception!$C$9))+1,""),ROWS(C$13:C26))),"")</f>
        <v/>
      </c>
      <c r="D28" s="141"/>
      <c r="E28" s="82" t="str">
        <f t="array" ref="E28">IFERROR(INDEX(Tableau8[Quantité :],SMALL(IF(panier!$C$13=Tableau8[Nr article],ROW(Tableau8[Nr article])-MIN(ROW(reception!$C$9))+1,""),ROWS(E$13:E26))),"")</f>
        <v/>
      </c>
      <c r="F28" s="91">
        <f>IF(SUM($E$15:E27)&gt;=$G$13,0,IF(SUM($F$15:F27,E28)&lt;=$G$13,E28,SUM($F$15:F27,E28)-$G$13))</f>
        <v>0</v>
      </c>
    </row>
    <row r="29" spans="2:6" ht="15" customHeight="1" thickBot="1">
      <c r="B29" s="141"/>
      <c r="C29" s="82" t="str">
        <f t="array" ref="C29">IFERROR(INDEX(Tableau8[Lot],SMALL(IF(panier!$C$13=Tableau8[Nr article],ROW(Tableau8[Nr article])-MIN(ROW(reception!$C$9))+1,""),ROWS(C$13:C27))),"")</f>
        <v/>
      </c>
      <c r="D29" s="141"/>
      <c r="E29" s="82" t="str">
        <f t="array" ref="E29">IFERROR(INDEX(Tableau8[Quantité :],SMALL(IF(panier!$C$13=Tableau8[Nr article],ROW(Tableau8[Nr article])-MIN(ROW(reception!$C$9))+1,""),ROWS(E$13:E27))),"")</f>
        <v/>
      </c>
      <c r="F29" s="91">
        <f>IF(SUM($E$15:E28)&gt;=$G$13,0,IF(SUM($F$15:F28,E29)&lt;=$G$13,E29,SUM($F$15:F28,E29)-$G$13))</f>
        <v>0</v>
      </c>
    </row>
    <row r="30" spans="2:6" ht="15" customHeight="1" thickBot="1">
      <c r="B30" s="141"/>
      <c r="C30" s="82" t="str">
        <f t="array" ref="C30">IFERROR(INDEX(Tableau8[Lot],SMALL(IF(panier!$C$13=Tableau8[Nr article],ROW(Tableau8[Nr article])-MIN(ROW(reception!$C$9))+1,""),ROWS(C$13:C28))),"")</f>
        <v/>
      </c>
      <c r="D30" s="141"/>
      <c r="E30" s="82" t="str">
        <f t="array" ref="E30">IFERROR(INDEX(Tableau8[Quantité :],SMALL(IF(panier!$C$13=Tableau8[Nr article],ROW(Tableau8[Nr article])-MIN(ROW(reception!$C$9))+1,""),ROWS(E$13:E28))),"")</f>
        <v/>
      </c>
      <c r="F30" s="91">
        <f>IF(SUM($E$15:E29)&gt;=$G$13,0,IF(SUM($F$15:F29,E30)&lt;=$G$13,E30,SUM($F$15:F29,E30)-$G$13))</f>
        <v>0</v>
      </c>
    </row>
    <row r="31" spans="2:6" ht="15" customHeight="1" thickBot="1">
      <c r="B31" s="141"/>
      <c r="C31" s="82" t="str">
        <f t="array" ref="C31">IFERROR(INDEX(Tableau8[Lot],SMALL(IF(panier!$C$13=Tableau8[Nr article],ROW(Tableau8[Nr article])-MIN(ROW(reception!$C$9))+1,""),ROWS(C$13:C29))),"")</f>
        <v/>
      </c>
      <c r="D31" s="141"/>
      <c r="E31" s="82" t="str">
        <f t="array" ref="E31">IFERROR(INDEX(Tableau8[Quantité :],SMALL(IF(panier!$C$13=Tableau8[Nr article],ROW(Tableau8[Nr article])-MIN(ROW(reception!$C$9))+1,""),ROWS(E$13:E29))),"")</f>
        <v/>
      </c>
      <c r="F31" s="91">
        <f>IF(SUM($E$15:E30)&gt;=$G$13,0,IF(SUM($F$15:F30,E31)&lt;=$G$13,E31,SUM($F$15:F30,E31)-$G$13))</f>
        <v>0</v>
      </c>
    </row>
    <row r="32" spans="2:6" ht="15" customHeight="1" thickBot="1">
      <c r="B32" s="141"/>
      <c r="C32" s="82" t="str">
        <f t="array" ref="C32">IFERROR(INDEX(Tableau8[Lot],SMALL(IF(panier!$C$13=Tableau8[Nr article],ROW(Tableau8[Nr article])-MIN(ROW(reception!$C$9))+1,""),ROWS(C$13:C30))),"")</f>
        <v/>
      </c>
      <c r="D32" s="141"/>
      <c r="E32" s="82" t="str">
        <f t="array" ref="E32">IFERROR(INDEX(Tableau8[Quantité :],SMALL(IF(panier!$C$13=Tableau8[Nr article],ROW(Tableau8[Nr article])-MIN(ROW(reception!$C$9))+1,""),ROWS(E$13:E30))),"")</f>
        <v/>
      </c>
      <c r="F32" s="91">
        <f>IF(SUM($E$15:E31)&gt;=$G$13,0,IF(SUM($F$15:F31,E32)&lt;=$G$13,E32,SUM($F$15:F31,E32)-$G$13))</f>
        <v>0</v>
      </c>
    </row>
    <row r="33" spans="2:9" ht="15" customHeight="1" thickBot="1">
      <c r="B33" s="141"/>
      <c r="C33" s="82" t="str">
        <f t="array" ref="C33">IFERROR(INDEX(Tableau8[Lot],SMALL(IF(panier!$C$13=Tableau8[Nr article],ROW(Tableau8[Nr article])-MIN(ROW(reception!$C$9))+1,""),ROWS(C$13:C31))),"")</f>
        <v/>
      </c>
      <c r="D33" s="141"/>
      <c r="E33" s="82" t="str">
        <f t="array" ref="E33">IFERROR(INDEX(Tableau8[Quantité :],SMALL(IF(panier!$C$13=Tableau8[Nr article],ROW(Tableau8[Nr article])-MIN(ROW(reception!$C$9))+1,""),ROWS(E$13:E31))),"")</f>
        <v/>
      </c>
      <c r="F33" s="91">
        <f>IF(SUM($E$15:E32)&gt;=$G$13,0,IF(SUM($F$15:F32,E33)&lt;=$G$13,E33,SUM($F$15:F32,E33)-$G$13))</f>
        <v>0</v>
      </c>
    </row>
    <row r="34" spans="2:9" ht="15" customHeight="1" thickBot="1">
      <c r="B34" s="141"/>
      <c r="C34" s="82" t="str">
        <f t="array" ref="C34">IFERROR(INDEX(Tableau8[Lot],SMALL(IF(panier!$C$13=Tableau8[Nr article],ROW(Tableau8[Nr article])-MIN(ROW(reception!$C$9))+1,""),ROWS(C$13:C32))),"")</f>
        <v/>
      </c>
      <c r="D34" s="141"/>
      <c r="E34" s="82" t="str">
        <f t="array" ref="E34">IFERROR(INDEX(Tableau8[Quantité :],SMALL(IF(panier!$C$13=Tableau8[Nr article],ROW(Tableau8[Nr article])-MIN(ROW(reception!$C$9))+1,""),ROWS(E$13:E32))),"")</f>
        <v/>
      </c>
      <c r="F34" s="91">
        <f>IF(SUM($E$15:E33)&gt;=$G$13,0,IF(SUM($F$15:F33,E34)&lt;=$G$13,E34,SUM($F$15:F33,E34)-$G$13))</f>
        <v>0</v>
      </c>
    </row>
    <row r="35" spans="2:9" ht="15" customHeight="1" thickBot="1">
      <c r="B35" s="142"/>
      <c r="C35" s="82" t="str">
        <f t="array" ref="C35">IFERROR(INDEX(Tableau8[Lot],SMALL(IF(panier!$C$13=Tableau8[Nr article],ROW(Tableau8[Nr article])-MIN(ROW(reception!$C$9))+1,""),ROWS(C$13:C33))),"")</f>
        <v/>
      </c>
      <c r="D35" s="142"/>
      <c r="E35" s="82" t="str">
        <f t="array" ref="E35">IFERROR(INDEX(Tableau8[Quantité :],SMALL(IF(panier!$C$13=Tableau8[Nr article],ROW(Tableau8[Nr article])-MIN(ROW(reception!$C$9))+1,""),ROWS(E$13:E33))),"")</f>
        <v/>
      </c>
      <c r="F35" s="91">
        <f>IF(SUM($E$15:E34)&gt;=$G$13,0,IF(SUM($F$15:F34,E35)&lt;=$G$13,E35,SUM($F$15:F34,E35)-$G$13))</f>
        <v>0</v>
      </c>
    </row>
    <row r="36" spans="2:9" ht="15" customHeight="1">
      <c r="B36" s="122"/>
      <c r="C36" s="123"/>
      <c r="D36" s="123"/>
      <c r="E36" s="124"/>
      <c r="F36" s="131" t="str">
        <f>IFERROR(INDEX(Tableau1[Description],MATCH(panier!C13,Tableau1[Nr article],0)),"")</f>
        <v/>
      </c>
      <c r="G36" s="132"/>
      <c r="H36" s="132"/>
      <c r="I36" s="133"/>
    </row>
    <row r="37" spans="2:9" ht="15" customHeight="1">
      <c r="B37" s="125"/>
      <c r="C37" s="126"/>
      <c r="D37" s="126"/>
      <c r="E37" s="127"/>
      <c r="F37" s="134"/>
      <c r="G37" s="135"/>
      <c r="H37" s="135"/>
      <c r="I37" s="136"/>
    </row>
    <row r="38" spans="2:9" ht="15" customHeight="1">
      <c r="B38" s="125"/>
      <c r="C38" s="126"/>
      <c r="D38" s="126"/>
      <c r="E38" s="127"/>
      <c r="F38" s="134"/>
      <c r="G38" s="135"/>
      <c r="H38" s="135"/>
      <c r="I38" s="136"/>
    </row>
    <row r="39" spans="2:9" ht="15" customHeight="1">
      <c r="B39" s="125"/>
      <c r="C39" s="126"/>
      <c r="D39" s="126"/>
      <c r="E39" s="127"/>
      <c r="F39" s="134"/>
      <c r="G39" s="135"/>
      <c r="H39" s="135"/>
      <c r="I39" s="136"/>
    </row>
    <row r="40" spans="2:9" ht="15" customHeight="1">
      <c r="B40" s="125"/>
      <c r="C40" s="126"/>
      <c r="D40" s="126"/>
      <c r="E40" s="127"/>
      <c r="F40" s="134"/>
      <c r="G40" s="135"/>
      <c r="H40" s="135"/>
      <c r="I40" s="136"/>
    </row>
    <row r="41" spans="2:9" ht="15" customHeight="1">
      <c r="B41" s="125"/>
      <c r="C41" s="126"/>
      <c r="D41" s="126"/>
      <c r="E41" s="127"/>
      <c r="F41" s="134"/>
      <c r="G41" s="135"/>
      <c r="H41" s="135"/>
      <c r="I41" s="136"/>
    </row>
    <row r="42" spans="2:9" ht="15" customHeight="1">
      <c r="B42" s="125"/>
      <c r="C42" s="126"/>
      <c r="D42" s="126"/>
      <c r="E42" s="127"/>
      <c r="F42" s="134"/>
      <c r="G42" s="135"/>
      <c r="H42" s="135"/>
      <c r="I42" s="136"/>
    </row>
    <row r="43" spans="2:9" ht="15" customHeight="1">
      <c r="B43" s="125"/>
      <c r="C43" s="126"/>
      <c r="D43" s="126"/>
      <c r="E43" s="127"/>
      <c r="F43" s="134"/>
      <c r="G43" s="135"/>
      <c r="H43" s="135"/>
      <c r="I43" s="136"/>
    </row>
    <row r="44" spans="2:9" ht="15" customHeight="1">
      <c r="B44" s="125"/>
      <c r="C44" s="126"/>
      <c r="D44" s="126"/>
      <c r="E44" s="127"/>
      <c r="F44" s="134"/>
      <c r="G44" s="135"/>
      <c r="H44" s="135"/>
      <c r="I44" s="136"/>
    </row>
    <row r="45" spans="2:9" ht="15" customHeight="1" thickBot="1">
      <c r="B45" s="128"/>
      <c r="C45" s="129"/>
      <c r="D45" s="129"/>
      <c r="E45" s="130"/>
      <c r="F45" s="137"/>
      <c r="G45" s="138"/>
      <c r="H45" s="138"/>
      <c r="I45" s="139"/>
    </row>
  </sheetData>
  <mergeCells count="5">
    <mergeCell ref="F3:I8"/>
    <mergeCell ref="B36:E45"/>
    <mergeCell ref="F36:I45"/>
    <mergeCell ref="B15:B35"/>
    <mergeCell ref="D15:D35"/>
  </mergeCells>
  <dataValidations count="2">
    <dataValidation type="list" allowBlank="1" showInputMessage="1" showErrorMessage="1" sqref="C5">
      <formula1>nr_client</formula1>
    </dataValidation>
    <dataValidation type="list" allowBlank="1" showInputMessage="1" showErrorMessage="1" sqref="C13">
      <formula1>nr_art_reception</formula1>
    </dataValidation>
  </dataValidations>
  <pageMargins left="0.7" right="0.7" top="0.75" bottom="0.75" header="0.3" footer="0.3"/>
  <pageSetup paperSize="9" orientation="portrait" r:id="rId1"/>
  <legacyDrawing r:id="rId2"/>
  <controls>
    <control shapeId="6163" r:id="rId3" name="CommandButton1"/>
    <control shapeId="6196" r:id="rId4" name="CommandButton2"/>
  </controls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B1:I48"/>
  <sheetViews>
    <sheetView topLeftCell="A13" zoomScale="80" zoomScaleNormal="80" workbookViewId="0">
      <selection activeCell="I3" sqref="I3 F3:F9 E11 B15:F39 B42:D48 F42 E43 F45 F48"/>
    </sheetView>
  </sheetViews>
  <sheetFormatPr baseColWidth="10" defaultColWidth="14.28515625" defaultRowHeight="15.75"/>
  <cols>
    <col min="1" max="1" width="1.28515625" style="5" customWidth="1"/>
    <col min="2" max="2" width="21.5703125" style="5" customWidth="1"/>
    <col min="3" max="3" width="34.85546875" style="5" customWidth="1"/>
    <col min="4" max="4" width="15.85546875" style="5" customWidth="1"/>
    <col min="5" max="5" width="21.7109375" style="5" customWidth="1"/>
    <col min="6" max="6" width="31.140625" style="5" customWidth="1"/>
    <col min="7" max="7" width="14.28515625" style="5"/>
    <col min="8" max="8" width="24.140625" style="5" customWidth="1"/>
    <col min="9" max="9" width="21.28515625" style="5" customWidth="1"/>
    <col min="10" max="16384" width="14.28515625" style="5"/>
  </cols>
  <sheetData>
    <row r="1" spans="2:9" ht="86.25" customHeight="1"/>
    <row r="2" spans="2:9" ht="16.5" thickBot="1"/>
    <row r="3" spans="2:9" ht="16.5" thickBot="1">
      <c r="E3" s="61" t="s">
        <v>55</v>
      </c>
      <c r="F3" s="89">
        <f>IFERROR(INDEX(suivi_facture!C4:C10,MATCH(facture!C11,suivi_facture!B4:B10,0)),"")</f>
        <v>11551</v>
      </c>
      <c r="H3" s="63" t="s">
        <v>75</v>
      </c>
      <c r="I3" s="64" t="str">
        <f>IFERROR(INDEX(Tableau5[Reste],MATCH(facture!C11,Tableau5[Nr facture],0)),"")</f>
        <v/>
      </c>
    </row>
    <row r="4" spans="2:9" ht="16.5" thickBot="1">
      <c r="E4" s="61" t="s">
        <v>56</v>
      </c>
      <c r="F4" s="143" t="str">
        <f>IFERROR(INDEX(client!Q4:Q8,MATCH(facture!F3,client!B4:B8,0)),"")</f>
        <v>PHARMASTORE S.A.R.L.BP : 300 Docteur LATIF Sani - MaradiNigerTél. : 20 410 257  -  Cel : 96 59 24 54</v>
      </c>
      <c r="H4" s="65"/>
      <c r="I4" s="66"/>
    </row>
    <row r="5" spans="2:9" ht="16.5" thickBot="1">
      <c r="E5" s="61" t="s">
        <v>57</v>
      </c>
      <c r="F5" s="143"/>
      <c r="H5" s="63" t="s">
        <v>76</v>
      </c>
      <c r="I5" s="67" t="s">
        <v>45</v>
      </c>
    </row>
    <row r="6" spans="2:9" ht="16.5" thickBot="1">
      <c r="E6" s="61" t="s">
        <v>58</v>
      </c>
      <c r="F6" s="143"/>
      <c r="H6" s="65"/>
      <c r="I6" s="66"/>
    </row>
    <row r="7" spans="2:9" ht="16.5" thickBot="1">
      <c r="E7" s="61" t="s">
        <v>59</v>
      </c>
      <c r="F7" s="143"/>
      <c r="H7" s="63" t="s">
        <v>77</v>
      </c>
      <c r="I7" s="64"/>
    </row>
    <row r="8" spans="2:9">
      <c r="E8" s="61" t="s">
        <v>60</v>
      </c>
      <c r="F8" s="143"/>
      <c r="H8" s="122"/>
      <c r="I8" s="124"/>
    </row>
    <row r="9" spans="2:9">
      <c r="E9" s="61" t="s">
        <v>61</v>
      </c>
      <c r="F9" s="143"/>
      <c r="H9" s="125"/>
      <c r="I9" s="127"/>
    </row>
    <row r="10" spans="2:9">
      <c r="H10" s="125"/>
      <c r="I10" s="127"/>
    </row>
    <row r="11" spans="2:9" ht="16.5" thickBot="1">
      <c r="B11" s="7" t="s">
        <v>62</v>
      </c>
      <c r="C11" s="62">
        <v>16</v>
      </c>
      <c r="D11" s="61" t="s">
        <v>63</v>
      </c>
      <c r="E11" s="68">
        <f>IFERROR(INDEX(Tableau5[Date],MATCH(facture!C11,Tableau5[Nr facture],0)),"")</f>
        <v>44336.000625000001</v>
      </c>
      <c r="F11" s="62" t="s">
        <v>69</v>
      </c>
      <c r="H11" s="128"/>
      <c r="I11" s="130"/>
    </row>
    <row r="12" spans="2:9" ht="5.25" customHeight="1">
      <c r="B12" s="69"/>
      <c r="C12" s="69"/>
      <c r="D12" s="69"/>
      <c r="E12" s="69"/>
      <c r="F12" s="69"/>
    </row>
    <row r="13" spans="2:9" ht="7.5" customHeight="1"/>
    <row r="14" spans="2:9">
      <c r="B14" s="70" t="s">
        <v>64</v>
      </c>
      <c r="C14" s="70" t="s">
        <v>65</v>
      </c>
      <c r="D14" s="70" t="s">
        <v>66</v>
      </c>
      <c r="E14" s="70" t="s">
        <v>67</v>
      </c>
      <c r="F14" s="70" t="s">
        <v>68</v>
      </c>
    </row>
    <row r="15" spans="2:9">
      <c r="B15" s="71" t="str">
        <f t="array" ref="B15">IFERROR(INDEX(Tableau4[Nr article],SMALL(IF(Tableau4[Nr facture]=facture!$C$11,ROW(Tableau4[Nr facture])-ROW(historique_vente!$C$4)+1,""),ROWS($B$15:B15))),"")</f>
        <v>PF_COTR4801</v>
      </c>
      <c r="C15" s="71" t="str">
        <f t="array" ref="C15">IFERROR(INDEX(Tableau4[article],SMALL(IF(Tableau4[Nr facture]=facture!$C$11,ROW(Tableau4[Nr facture])-ROW(historique_vente!$C$4)+1,""),ROWS($B$15:C15))),"")</f>
        <v>Cotrimoxazole 480 mg, Blister, 100 × 10</v>
      </c>
      <c r="D15" s="71">
        <f t="array" ref="D15">IFERROR(INDEX(Tableau4[Prix htva],SMALL(IF(Tableau4[Nr facture]=facture!$C$11,ROW(Tableau4[Nr facture])-ROW(historique_vente!$C$4)+1,""),ROWS($B$15:D15))),"")</f>
        <v>1050</v>
      </c>
      <c r="E15" s="71">
        <f t="array" ref="E15">IFERROR(INDEX(Tableau4[Nombre],SMALL(IF(Tableau4[Nr facture]=facture!$C$11,ROW(Tableau4[Nr facture])-ROW(historique_vente!$C$4)+1,""),ROWS($B$15:E15))),"")</f>
        <v>7</v>
      </c>
      <c r="F15" s="71">
        <f>IFERROR((E15*D15),"")</f>
        <v>7350</v>
      </c>
    </row>
    <row r="16" spans="2:9">
      <c r="B16" s="71" t="str">
        <f t="array" ref="B16">IFERROR(INDEX(Tableau4[Nr article],SMALL(IF(Tableau4[Nr facture]=facture!$C$11,ROW(Tableau4[Nr facture])-ROW(historique_vente!$C$4)+1,""),ROWS($B$15:B16))),"")</f>
        <v>PF_DICL0501</v>
      </c>
      <c r="C16" s="71" t="str">
        <f t="array" ref="C16">IFERROR(INDEX(Tableau4[article],SMALL(IF(Tableau4[Nr facture]=facture!$C$11,ROW(Tableau4[Nr facture])-ROW(historique_vente!$C$4)+1,""),ROWS($B$15:C16))),"")</f>
        <v>Diclofenac Sodium 50 mg, Blister, 100 × 10</v>
      </c>
      <c r="D16" s="71">
        <f t="array" ref="D16">IFERROR(INDEX(Tableau4[Prix htva],SMALL(IF(Tableau4[Nr facture]=facture!$C$11,ROW(Tableau4[Nr facture])-ROW(historique_vente!$C$4)+1,""),ROWS($B$15:D16))),"")</f>
        <v>4.2</v>
      </c>
      <c r="E16" s="71">
        <f t="array" ref="E16">IFERROR(INDEX(Tableau4[Nombre],SMALL(IF(Tableau4[Nr facture]=facture!$C$11,ROW(Tableau4[Nr facture])-ROW(historique_vente!$C$4)+1,""),ROWS($B$15:E16))),"")</f>
        <v>10</v>
      </c>
      <c r="F16" s="71">
        <f t="shared" ref="F16:F39" si="0">IFERROR((E16*D16),"")</f>
        <v>42</v>
      </c>
    </row>
    <row r="17" spans="2:6">
      <c r="B17" s="71" t="str">
        <f t="array" ref="B17">IFERROR(INDEX(Tableau4[Nr article],SMALL(IF(Tableau4[Nr facture]=facture!$C$11,ROW(Tableau4[Nr facture])-ROW(historique_vente!$C$4)+1,""),ROWS($B$15:B17))),"")</f>
        <v>PF_PARA5001</v>
      </c>
      <c r="C17" s="71" t="str">
        <f t="array" ref="C17">IFERROR(INDEX(Tableau4[article],SMALL(IF(Tableau4[Nr facture]=facture!$C$11,ROW(Tableau4[Nr facture])-ROW(historique_vente!$C$4)+1,""),ROWS($B$15:C17))),"")</f>
        <v>Paracetamol 500 mg, Blister, 100 × 10</v>
      </c>
      <c r="D17" s="71">
        <f t="array" ref="D17">IFERROR(INDEX(Tableau4[Prix htva],SMALL(IF(Tableau4[Nr facture]=facture!$C$11,ROW(Tableau4[Nr facture])-ROW(historique_vente!$C$4)+1,""),ROWS($B$15:D17))),"")</f>
        <v>4.0949999999999998</v>
      </c>
      <c r="E17" s="71">
        <f t="array" ref="E17">IFERROR(INDEX(Tableau4[Nombre],SMALL(IF(Tableau4[Nr facture]=facture!$C$11,ROW(Tableau4[Nr facture])-ROW(historique_vente!$C$4)+1,""),ROWS($B$15:E17))),"")</f>
        <v>15</v>
      </c>
      <c r="F17" s="71">
        <f t="shared" si="0"/>
        <v>61.424999999999997</v>
      </c>
    </row>
    <row r="18" spans="2:6">
      <c r="B18" s="71" t="str">
        <f t="array" ref="B18">IFERROR(INDEX(Tableau4[Nr article],SMALL(IF(Tableau4[Nr facture]=facture!$C$11,ROW(Tableau4[Nr facture])-ROW(historique_vente!$C$4)+1,""),ROWS($B$15:B18))),"")</f>
        <v/>
      </c>
      <c r="C18" s="71" t="str">
        <f t="array" ref="C18">IFERROR(INDEX(Tableau4[article],SMALL(IF(Tableau4[Nr facture]=facture!$C$11,ROW(Tableau4[Nr facture])-ROW(historique_vente!$C$4)+1,""),ROWS($B$15:C18))),"")</f>
        <v/>
      </c>
      <c r="D18" s="71" t="str">
        <f t="array" ref="D18">IFERROR(INDEX(Tableau4[Prix htva],SMALL(IF(Tableau4[Nr facture]=facture!$C$11,ROW(Tableau4[Nr facture])-ROW(historique_vente!$C$4)+1,""),ROWS($B$15:D18))),"")</f>
        <v/>
      </c>
      <c r="E18" s="71" t="str">
        <f t="array" ref="E18">IFERROR(INDEX(Tableau4[Nombre],SMALL(IF(Tableau4[Nr facture]=facture!$C$11,ROW(Tableau4[Nr facture])-ROW(historique_vente!$C$4)+1,""),ROWS($B$15:E18))),"")</f>
        <v/>
      </c>
      <c r="F18" s="71" t="str">
        <f t="shared" si="0"/>
        <v/>
      </c>
    </row>
    <row r="19" spans="2:6">
      <c r="B19" s="71" t="str">
        <f t="array" ref="B19">IFERROR(INDEX(Tableau4[Nr article],SMALL(IF(Tableau4[Nr facture]=facture!$C$11,ROW(Tableau4[Nr facture])-ROW(historique_vente!$C$4)+1,""),ROWS($B$15:B19))),"")</f>
        <v/>
      </c>
      <c r="C19" s="71" t="str">
        <f t="array" ref="C19">IFERROR(INDEX(Tableau4[article],SMALL(IF(Tableau4[Nr facture]=facture!$C$11,ROW(Tableau4[Nr facture])-ROW(historique_vente!$C$4)+1,""),ROWS($B$15:C19))),"")</f>
        <v/>
      </c>
      <c r="D19" s="71" t="str">
        <f t="array" ref="D19">IFERROR(INDEX(Tableau4[Prix htva],SMALL(IF(Tableau4[Nr facture]=facture!$C$11,ROW(Tableau4[Nr facture])-ROW(historique_vente!$C$4)+1,""),ROWS($B$15:D19))),"")</f>
        <v/>
      </c>
      <c r="E19" s="71" t="str">
        <f t="array" ref="E19">IFERROR(INDEX(Tableau4[Nombre],SMALL(IF(Tableau4[Nr facture]=facture!$C$11,ROW(Tableau4[Nr facture])-ROW(historique_vente!$C$4)+1,""),ROWS($B$15:E19))),"")</f>
        <v/>
      </c>
      <c r="F19" s="71" t="str">
        <f t="shared" si="0"/>
        <v/>
      </c>
    </row>
    <row r="20" spans="2:6">
      <c r="B20" s="71" t="str">
        <f t="array" ref="B20">IFERROR(INDEX(Tableau4[Nr article],SMALL(IF(Tableau4[Nr facture]=facture!$C$11,ROW(Tableau4[Nr facture])-ROW(historique_vente!$C$4)+1,""),ROWS($B$15:B20))),"")</f>
        <v/>
      </c>
      <c r="C20" s="71" t="str">
        <f t="array" ref="C20">IFERROR(INDEX(Tableau4[article],SMALL(IF(Tableau4[Nr facture]=facture!$C$11,ROW(Tableau4[Nr facture])-ROW(historique_vente!$C$4)+1,""),ROWS($B$15:C20))),"")</f>
        <v/>
      </c>
      <c r="D20" s="71" t="str">
        <f t="array" ref="D20">IFERROR(INDEX(Tableau4[Prix htva],SMALL(IF(Tableau4[Nr facture]=facture!$C$11,ROW(Tableau4[Nr facture])-ROW(historique_vente!$C$4)+1,""),ROWS($B$15:D20))),"")</f>
        <v/>
      </c>
      <c r="E20" s="71" t="str">
        <f t="array" ref="E20">IFERROR(INDEX(Tableau4[Nombre],SMALL(IF(Tableau4[Nr facture]=facture!$C$11,ROW(Tableau4[Nr facture])-ROW(historique_vente!$C$4)+1,""),ROWS($B$15:E20))),"")</f>
        <v/>
      </c>
      <c r="F20" s="71" t="str">
        <f t="shared" si="0"/>
        <v/>
      </c>
    </row>
    <row r="21" spans="2:6">
      <c r="B21" s="71" t="str">
        <f t="array" ref="B21">IFERROR(INDEX(Tableau4[Nr article],SMALL(IF(Tableau4[Nr facture]=facture!$C$11,ROW(Tableau4[Nr facture])-ROW(historique_vente!$C$4)+1,""),ROWS($B$15:B21))),"")</f>
        <v/>
      </c>
      <c r="C21" s="71" t="str">
        <f t="array" ref="C21">IFERROR(INDEX(Tableau4[article],SMALL(IF(Tableau4[Nr facture]=facture!$C$11,ROW(Tableau4[Nr facture])-ROW(historique_vente!$C$4)+1,""),ROWS($B$15:C21))),"")</f>
        <v/>
      </c>
      <c r="D21" s="71" t="str">
        <f t="array" ref="D21">IFERROR(INDEX(Tableau4[Prix htva],SMALL(IF(Tableau4[Nr facture]=facture!$C$11,ROW(Tableau4[Nr facture])-ROW(historique_vente!$C$4)+1,""),ROWS($B$15:D21))),"")</f>
        <v/>
      </c>
      <c r="E21" s="71" t="str">
        <f t="array" ref="E21">IFERROR(INDEX(Tableau4[Nombre],SMALL(IF(Tableau4[Nr facture]=facture!$C$11,ROW(Tableau4[Nr facture])-ROW(historique_vente!$C$4)+1,""),ROWS($B$15:E21))),"")</f>
        <v/>
      </c>
      <c r="F21" s="71" t="str">
        <f t="shared" si="0"/>
        <v/>
      </c>
    </row>
    <row r="22" spans="2:6">
      <c r="B22" s="71" t="str">
        <f t="array" ref="B22">IFERROR(INDEX(Tableau4[Nr article],SMALL(IF(Tableau4[Nr facture]=facture!$C$11,ROW(Tableau4[Nr facture])-ROW(historique_vente!$C$4)+1,""),ROWS($B$15:B22))),"")</f>
        <v/>
      </c>
      <c r="C22" s="71" t="str">
        <f t="array" ref="C22">IFERROR(INDEX(Tableau4[article],SMALL(IF(Tableau4[Nr facture]=facture!$C$11,ROW(Tableau4[Nr facture])-ROW(historique_vente!$C$4)+1,""),ROWS($B$15:C22))),"")</f>
        <v/>
      </c>
      <c r="D22" s="71" t="str">
        <f t="array" ref="D22">IFERROR(INDEX(Tableau4[Prix htva],SMALL(IF(Tableau4[Nr facture]=facture!$C$11,ROW(Tableau4[Nr facture])-ROW(historique_vente!$C$4)+1,""),ROWS($B$15:D22))),"")</f>
        <v/>
      </c>
      <c r="E22" s="71" t="str">
        <f t="array" ref="E22">IFERROR(INDEX(Tableau4[Nombre],SMALL(IF(Tableau4[Nr facture]=facture!$C$11,ROW(Tableau4[Nr facture])-ROW(historique_vente!$C$4)+1,""),ROWS($B$15:E22))),"")</f>
        <v/>
      </c>
      <c r="F22" s="71" t="str">
        <f t="shared" si="0"/>
        <v/>
      </c>
    </row>
    <row r="23" spans="2:6">
      <c r="B23" s="71" t="str">
        <f t="array" ref="B23">IFERROR(INDEX(Tableau4[Nr article],SMALL(IF(Tableau4[Nr facture]=facture!$C$11,ROW(Tableau4[Nr facture])-ROW(historique_vente!$C$4)+1,""),ROWS($B$15:B23))),"")</f>
        <v/>
      </c>
      <c r="C23" s="71" t="str">
        <f t="array" ref="C23">IFERROR(INDEX(Tableau4[article],SMALL(IF(Tableau4[Nr facture]=facture!$C$11,ROW(Tableau4[Nr facture])-ROW(historique_vente!$C$4)+1,""),ROWS($B$15:C23))),"")</f>
        <v/>
      </c>
      <c r="D23" s="71" t="str">
        <f t="array" ref="D23">IFERROR(INDEX(Tableau4[Prix htva],SMALL(IF(Tableau4[Nr facture]=facture!$C$11,ROW(Tableau4[Nr facture])-ROW(historique_vente!$C$4)+1,""),ROWS($B$15:D23))),"")</f>
        <v/>
      </c>
      <c r="E23" s="71" t="str">
        <f t="array" ref="E23">IFERROR(INDEX(Tableau4[Nombre],SMALL(IF(Tableau4[Nr facture]=facture!$C$11,ROW(Tableau4[Nr facture])-ROW(historique_vente!$C$4)+1,""),ROWS($B$15:E23))),"")</f>
        <v/>
      </c>
      <c r="F23" s="71" t="str">
        <f t="shared" si="0"/>
        <v/>
      </c>
    </row>
    <row r="24" spans="2:6">
      <c r="B24" s="71" t="str">
        <f t="array" ref="B24">IFERROR(INDEX(Tableau4[Nr article],SMALL(IF(Tableau4[Nr facture]=facture!$C$11,ROW(Tableau4[Nr facture])-ROW(historique_vente!$C$4)+1,""),ROWS($B$15:B24))),"")</f>
        <v/>
      </c>
      <c r="C24" s="71" t="str">
        <f t="array" ref="C24">IFERROR(INDEX(Tableau4[article],SMALL(IF(Tableau4[Nr facture]=facture!$C$11,ROW(Tableau4[Nr facture])-ROW(historique_vente!$C$4)+1,""),ROWS($B$15:C24))),"")</f>
        <v/>
      </c>
      <c r="D24" s="71" t="str">
        <f t="array" ref="D24">IFERROR(INDEX(Tableau4[Prix htva],SMALL(IF(Tableau4[Nr facture]=facture!$C$11,ROW(Tableau4[Nr facture])-ROW(historique_vente!$C$4)+1,""),ROWS($B$15:D24))),"")</f>
        <v/>
      </c>
      <c r="E24" s="71" t="str">
        <f t="array" ref="E24">IFERROR(INDEX(Tableau4[Nombre],SMALL(IF(Tableau4[Nr facture]=facture!$C$11,ROW(Tableau4[Nr facture])-ROW(historique_vente!$C$4)+1,""),ROWS($B$15:E24))),"")</f>
        <v/>
      </c>
      <c r="F24" s="71" t="str">
        <f t="shared" si="0"/>
        <v/>
      </c>
    </row>
    <row r="25" spans="2:6">
      <c r="B25" s="71" t="str">
        <f t="array" ref="B25">IFERROR(INDEX(Tableau4[Nr article],SMALL(IF(Tableau4[Nr facture]=facture!$C$11,ROW(Tableau4[Nr facture])-ROW(historique_vente!$C$4)+1,""),ROWS($B$15:B25))),"")</f>
        <v/>
      </c>
      <c r="C25" s="71" t="str">
        <f t="array" ref="C25">IFERROR(INDEX(Tableau4[article],SMALL(IF(Tableau4[Nr facture]=facture!$C$11,ROW(Tableau4[Nr facture])-ROW(historique_vente!$C$4)+1,""),ROWS($B$15:C25))),"")</f>
        <v/>
      </c>
      <c r="D25" s="71" t="str">
        <f t="array" ref="D25">IFERROR(INDEX(Tableau4[Prix htva],SMALL(IF(Tableau4[Nr facture]=facture!$C$11,ROW(Tableau4[Nr facture])-ROW(historique_vente!$C$4)+1,""),ROWS($B$15:D25))),"")</f>
        <v/>
      </c>
      <c r="E25" s="71" t="str">
        <f t="array" ref="E25">IFERROR(INDEX(Tableau4[Nombre],SMALL(IF(Tableau4[Nr facture]=facture!$C$11,ROW(Tableau4[Nr facture])-ROW(historique_vente!$C$4)+1,""),ROWS($B$15:E25))),"")</f>
        <v/>
      </c>
      <c r="F25" s="71" t="str">
        <f t="shared" si="0"/>
        <v/>
      </c>
    </row>
    <row r="26" spans="2:6">
      <c r="B26" s="71" t="str">
        <f t="array" ref="B26">IFERROR(INDEX(Tableau4[Nr article],SMALL(IF(Tableau4[Nr facture]=facture!$C$11,ROW(Tableau4[Nr facture])-ROW(historique_vente!$C$4)+1,""),ROWS($B$15:B26))),"")</f>
        <v/>
      </c>
      <c r="C26" s="71" t="str">
        <f t="array" ref="C26">IFERROR(INDEX(Tableau4[article],SMALL(IF(Tableau4[Nr facture]=facture!$C$11,ROW(Tableau4[Nr facture])-ROW(historique_vente!$C$4)+1,""),ROWS($B$15:C26))),"")</f>
        <v/>
      </c>
      <c r="D26" s="71" t="str">
        <f t="array" ref="D26">IFERROR(INDEX(Tableau4[Prix htva],SMALL(IF(Tableau4[Nr facture]=facture!$C$11,ROW(Tableau4[Nr facture])-ROW(historique_vente!$C$4)+1,""),ROWS($B$15:D26))),"")</f>
        <v/>
      </c>
      <c r="E26" s="71" t="str">
        <f t="array" ref="E26">IFERROR(INDEX(Tableau4[Nombre],SMALL(IF(Tableau4[Nr facture]=facture!$C$11,ROW(Tableau4[Nr facture])-ROW(historique_vente!$C$4)+1,""),ROWS($B$15:E26))),"")</f>
        <v/>
      </c>
      <c r="F26" s="71" t="str">
        <f t="shared" si="0"/>
        <v/>
      </c>
    </row>
    <row r="27" spans="2:6">
      <c r="B27" s="71" t="str">
        <f t="array" ref="B27">IFERROR(INDEX(Tableau4[Nr article],SMALL(IF(Tableau4[Nr facture]=facture!$C$11,ROW(Tableau4[Nr facture])-ROW(historique_vente!$C$4)+1,""),ROWS($B$15:B27))),"")</f>
        <v/>
      </c>
      <c r="C27" s="71" t="str">
        <f t="array" ref="C27">IFERROR(INDEX(Tableau4[article],SMALL(IF(Tableau4[Nr facture]=facture!$C$11,ROW(Tableau4[Nr facture])-ROW(historique_vente!$C$4)+1,""),ROWS($B$15:C27))),"")</f>
        <v/>
      </c>
      <c r="D27" s="71" t="str">
        <f t="array" ref="D27">IFERROR(INDEX(Tableau4[Prix htva],SMALL(IF(Tableau4[Nr facture]=facture!$C$11,ROW(Tableau4[Nr facture])-ROW(historique_vente!$C$4)+1,""),ROWS($B$15:D27))),"")</f>
        <v/>
      </c>
      <c r="E27" s="71" t="str">
        <f t="array" ref="E27">IFERROR(INDEX(Tableau4[Nombre],SMALL(IF(Tableau4[Nr facture]=facture!$C$11,ROW(Tableau4[Nr facture])-ROW(historique_vente!$C$4)+1,""),ROWS($B$15:E27))),"")</f>
        <v/>
      </c>
      <c r="F27" s="71" t="str">
        <f t="shared" si="0"/>
        <v/>
      </c>
    </row>
    <row r="28" spans="2:6">
      <c r="B28" s="71" t="str">
        <f t="array" ref="B28">IFERROR(INDEX(Tableau4[Nr article],SMALL(IF(Tableau4[Nr facture]=facture!$C$11,ROW(Tableau4[Nr facture])-ROW(historique_vente!$C$4)+1,""),ROWS($B$15:B28))),"")</f>
        <v/>
      </c>
      <c r="C28" s="71" t="str">
        <f t="array" ref="C28">IFERROR(INDEX(Tableau4[article],SMALL(IF(Tableau4[Nr facture]=facture!$C$11,ROW(Tableau4[Nr facture])-ROW(historique_vente!$C$4)+1,""),ROWS($B$15:C28))),"")</f>
        <v/>
      </c>
      <c r="D28" s="71" t="str">
        <f t="array" ref="D28">IFERROR(INDEX(Tableau4[Prix htva],SMALL(IF(Tableau4[Nr facture]=facture!$C$11,ROW(Tableau4[Nr facture])-ROW(historique_vente!$C$4)+1,""),ROWS($B$15:D28))),"")</f>
        <v/>
      </c>
      <c r="E28" s="71" t="str">
        <f t="array" ref="E28">IFERROR(INDEX(Tableau4[Nombre],SMALL(IF(Tableau4[Nr facture]=facture!$C$11,ROW(Tableau4[Nr facture])-ROW(historique_vente!$C$4)+1,""),ROWS($B$15:E28))),"")</f>
        <v/>
      </c>
      <c r="F28" s="71" t="str">
        <f t="shared" si="0"/>
        <v/>
      </c>
    </row>
    <row r="29" spans="2:6">
      <c r="B29" s="71" t="str">
        <f t="array" ref="B29">IFERROR(INDEX(Tableau4[Nr article],SMALL(IF(Tableau4[Nr facture]=facture!$C$11,ROW(Tableau4[Nr facture])-ROW(historique_vente!$C$4)+1,""),ROWS($B$15:B29))),"")</f>
        <v/>
      </c>
      <c r="C29" s="71" t="str">
        <f t="array" ref="C29">IFERROR(INDEX(Tableau4[article],SMALL(IF(Tableau4[Nr facture]=facture!$C$11,ROW(Tableau4[Nr facture])-ROW(historique_vente!$C$4)+1,""),ROWS($B$15:C29))),"")</f>
        <v/>
      </c>
      <c r="D29" s="71" t="str">
        <f t="array" ref="D29">IFERROR(INDEX(Tableau4[Prix htva],SMALL(IF(Tableau4[Nr facture]=facture!$C$11,ROW(Tableau4[Nr facture])-ROW(historique_vente!$C$4)+1,""),ROWS($B$15:D29))),"")</f>
        <v/>
      </c>
      <c r="E29" s="71" t="str">
        <f t="array" ref="E29">IFERROR(INDEX(Tableau4[Nombre],SMALL(IF(Tableau4[Nr facture]=facture!$C$11,ROW(Tableau4[Nr facture])-ROW(historique_vente!$C$4)+1,""),ROWS($B$15:E29))),"")</f>
        <v/>
      </c>
      <c r="F29" s="71" t="str">
        <f t="shared" si="0"/>
        <v/>
      </c>
    </row>
    <row r="30" spans="2:6">
      <c r="B30" s="71" t="str">
        <f t="array" ref="B30">IFERROR(INDEX(Tableau4[Nr article],SMALL(IF(Tableau4[Nr facture]=facture!$C$11,ROW(Tableau4[Nr facture])-ROW(historique_vente!$C$4)+1,""),ROWS($B$15:B30))),"")</f>
        <v/>
      </c>
      <c r="C30" s="71" t="str">
        <f t="array" ref="C30">IFERROR(INDEX(Tableau4[article],SMALL(IF(Tableau4[Nr facture]=facture!$C$11,ROW(Tableau4[Nr facture])-ROW(historique_vente!$C$4)+1,""),ROWS($B$15:C30))),"")</f>
        <v/>
      </c>
      <c r="D30" s="71" t="str">
        <f t="array" ref="D30">IFERROR(INDEX(Tableau4[Prix htva],SMALL(IF(Tableau4[Nr facture]=facture!$C$11,ROW(Tableau4[Nr facture])-ROW(historique_vente!$C$4)+1,""),ROWS($B$15:D30))),"")</f>
        <v/>
      </c>
      <c r="E30" s="71" t="str">
        <f t="array" ref="E30">IFERROR(INDEX(Tableau4[Nombre],SMALL(IF(Tableau4[Nr facture]=facture!$C$11,ROW(Tableau4[Nr facture])-ROW(historique_vente!$C$4)+1,""),ROWS($B$15:E30))),"")</f>
        <v/>
      </c>
      <c r="F30" s="71" t="str">
        <f t="shared" si="0"/>
        <v/>
      </c>
    </row>
    <row r="31" spans="2:6">
      <c r="B31" s="71" t="str">
        <f t="array" ref="B31">IFERROR(INDEX(Tableau4[Nr article],SMALL(IF(Tableau4[Nr facture]=facture!$C$11,ROW(Tableau4[Nr facture])-ROW(historique_vente!$C$4)+1,""),ROWS($B$15:B31))),"")</f>
        <v/>
      </c>
      <c r="C31" s="71" t="str">
        <f t="array" ref="C31">IFERROR(INDEX(Tableau4[article],SMALL(IF(Tableau4[Nr facture]=facture!$C$11,ROW(Tableau4[Nr facture])-ROW(historique_vente!$C$4)+1,""),ROWS($B$15:C31))),"")</f>
        <v/>
      </c>
      <c r="D31" s="71" t="str">
        <f t="array" ref="D31">IFERROR(INDEX(Tableau4[Prix htva],SMALL(IF(Tableau4[Nr facture]=facture!$C$11,ROW(Tableau4[Nr facture])-ROW(historique_vente!$C$4)+1,""),ROWS($B$15:D31))),"")</f>
        <v/>
      </c>
      <c r="E31" s="71" t="str">
        <f t="array" ref="E31">IFERROR(INDEX(Tableau4[Nombre],SMALL(IF(Tableau4[Nr facture]=facture!$C$11,ROW(Tableau4[Nr facture])-ROW(historique_vente!$C$4)+1,""),ROWS($B$15:E31))),"")</f>
        <v/>
      </c>
      <c r="F31" s="71" t="str">
        <f t="shared" si="0"/>
        <v/>
      </c>
    </row>
    <row r="32" spans="2:6">
      <c r="B32" s="71" t="str">
        <f t="array" ref="B32">IFERROR(INDEX(Tableau4[Nr article],SMALL(IF(Tableau4[Nr facture]=facture!$C$11,ROW(Tableau4[Nr facture])-ROW(historique_vente!$C$4)+1,""),ROWS($B$15:B32))),"")</f>
        <v/>
      </c>
      <c r="C32" s="71" t="str">
        <f t="array" ref="C32">IFERROR(INDEX(Tableau4[article],SMALL(IF(Tableau4[Nr facture]=facture!$C$11,ROW(Tableau4[Nr facture])-ROW(historique_vente!$C$4)+1,""),ROWS($B$15:C32))),"")</f>
        <v/>
      </c>
      <c r="D32" s="71" t="str">
        <f t="array" ref="D32">IFERROR(INDEX(Tableau4[Prix htva],SMALL(IF(Tableau4[Nr facture]=facture!$C$11,ROW(Tableau4[Nr facture])-ROW(historique_vente!$C$4)+1,""),ROWS($B$15:D32))),"")</f>
        <v/>
      </c>
      <c r="E32" s="71" t="str">
        <f t="array" ref="E32">IFERROR(INDEX(Tableau4[Nombre],SMALL(IF(Tableau4[Nr facture]=facture!$C$11,ROW(Tableau4[Nr facture])-ROW(historique_vente!$C$4)+1,""),ROWS($B$15:E32))),"")</f>
        <v/>
      </c>
      <c r="F32" s="71" t="str">
        <f t="shared" si="0"/>
        <v/>
      </c>
    </row>
    <row r="33" spans="2:6">
      <c r="B33" s="71" t="str">
        <f t="array" ref="B33">IFERROR(INDEX(Tableau4[Nr article],SMALL(IF(Tableau4[Nr facture]=facture!$C$11,ROW(Tableau4[Nr facture])-ROW(historique_vente!$C$4)+1,""),ROWS($B$15:B33))),"")</f>
        <v/>
      </c>
      <c r="C33" s="71" t="str">
        <f t="array" ref="C33">IFERROR(INDEX(Tableau4[article],SMALL(IF(Tableau4[Nr facture]=facture!$C$11,ROW(Tableau4[Nr facture])-ROW(historique_vente!$C$4)+1,""),ROWS($B$15:C33))),"")</f>
        <v/>
      </c>
      <c r="D33" s="71" t="str">
        <f t="array" ref="D33">IFERROR(INDEX(Tableau4[Prix htva],SMALL(IF(Tableau4[Nr facture]=facture!$C$11,ROW(Tableau4[Nr facture])-ROW(historique_vente!$C$4)+1,""),ROWS($B$15:D33))),"")</f>
        <v/>
      </c>
      <c r="E33" s="71" t="str">
        <f t="array" ref="E33">IFERROR(INDEX(Tableau4[Nombre],SMALL(IF(Tableau4[Nr facture]=facture!$C$11,ROW(Tableau4[Nr facture])-ROW(historique_vente!$C$4)+1,""),ROWS($B$15:E33))),"")</f>
        <v/>
      </c>
      <c r="F33" s="71" t="str">
        <f t="shared" si="0"/>
        <v/>
      </c>
    </row>
    <row r="34" spans="2:6">
      <c r="B34" s="71" t="str">
        <f t="array" ref="B34">IFERROR(INDEX(Tableau4[Nr article],SMALL(IF(Tableau4[Nr facture]=facture!$C$11,ROW(Tableau4[Nr facture])-ROW(historique_vente!$C$4)+1,""),ROWS($B$15:B34))),"")</f>
        <v/>
      </c>
      <c r="C34" s="71" t="str">
        <f t="array" ref="C34">IFERROR(INDEX(Tableau4[article],SMALL(IF(Tableau4[Nr facture]=facture!$C$11,ROW(Tableau4[Nr facture])-ROW(historique_vente!$C$4)+1,""),ROWS($B$15:C34))),"")</f>
        <v/>
      </c>
      <c r="D34" s="71" t="str">
        <f t="array" ref="D34">IFERROR(INDEX(Tableau4[Prix htva],SMALL(IF(Tableau4[Nr facture]=facture!$C$11,ROW(Tableau4[Nr facture])-ROW(historique_vente!$C$4)+1,""),ROWS($B$15:D34))),"")</f>
        <v/>
      </c>
      <c r="E34" s="71" t="str">
        <f t="array" ref="E34">IFERROR(INDEX(Tableau4[Nombre],SMALL(IF(Tableau4[Nr facture]=facture!$C$11,ROW(Tableau4[Nr facture])-ROW(historique_vente!$C$4)+1,""),ROWS($B$15:E34))),"")</f>
        <v/>
      </c>
      <c r="F34" s="71" t="str">
        <f t="shared" si="0"/>
        <v/>
      </c>
    </row>
    <row r="35" spans="2:6">
      <c r="B35" s="71" t="str">
        <f t="array" ref="B35">IFERROR(INDEX(Tableau4[Nr article],SMALL(IF(Tableau4[Nr facture]=facture!$C$11,ROW(Tableau4[Nr facture])-ROW(historique_vente!$C$4)+1,""),ROWS($B$15:B35))),"")</f>
        <v/>
      </c>
      <c r="C35" s="71" t="str">
        <f t="array" ref="C35">IFERROR(INDEX(Tableau4[article],SMALL(IF(Tableau4[Nr facture]=facture!$C$11,ROW(Tableau4[Nr facture])-ROW(historique_vente!$C$4)+1,""),ROWS($B$15:C35))),"")</f>
        <v/>
      </c>
      <c r="D35" s="71" t="str">
        <f t="array" ref="D35">IFERROR(INDEX(Tableau4[Prix htva],SMALL(IF(Tableau4[Nr facture]=facture!$C$11,ROW(Tableau4[Nr facture])-ROW(historique_vente!$C$4)+1,""),ROWS($B$15:D35))),"")</f>
        <v/>
      </c>
      <c r="E35" s="71" t="str">
        <f t="array" ref="E35">IFERROR(INDEX(Tableau4[Nombre],SMALL(IF(Tableau4[Nr facture]=facture!$C$11,ROW(Tableau4[Nr facture])-ROW(historique_vente!$C$4)+1,""),ROWS($B$15:E35))),"")</f>
        <v/>
      </c>
      <c r="F35" s="71" t="str">
        <f t="shared" si="0"/>
        <v/>
      </c>
    </row>
    <row r="36" spans="2:6">
      <c r="B36" s="71" t="str">
        <f t="array" ref="B36">IFERROR(INDEX(Tableau4[Nr article],SMALL(IF(Tableau4[Nr facture]=facture!$C$11,ROW(Tableau4[Nr facture])-ROW(historique_vente!$C$4)+1,""),ROWS($B$15:B36))),"")</f>
        <v/>
      </c>
      <c r="C36" s="71" t="str">
        <f t="array" ref="C36">IFERROR(INDEX(Tableau4[article],SMALL(IF(Tableau4[Nr facture]=facture!$C$11,ROW(Tableau4[Nr facture])-ROW(historique_vente!$C$4)+1,""),ROWS($B$15:C36))),"")</f>
        <v/>
      </c>
      <c r="D36" s="71" t="str">
        <f t="array" ref="D36">IFERROR(INDEX(Tableau4[Prix htva],SMALL(IF(Tableau4[Nr facture]=facture!$C$11,ROW(Tableau4[Nr facture])-ROW(historique_vente!$C$4)+1,""),ROWS($B$15:D36))),"")</f>
        <v/>
      </c>
      <c r="E36" s="71" t="str">
        <f t="array" ref="E36">IFERROR(INDEX(Tableau4[Nombre],SMALL(IF(Tableau4[Nr facture]=facture!$C$11,ROW(Tableau4[Nr facture])-ROW(historique_vente!$C$4)+1,""),ROWS($B$15:E36))),"")</f>
        <v/>
      </c>
      <c r="F36" s="71" t="str">
        <f t="shared" si="0"/>
        <v/>
      </c>
    </row>
    <row r="37" spans="2:6">
      <c r="B37" s="71" t="str">
        <f t="array" ref="B37">IFERROR(INDEX(Tableau4[Nr article],SMALL(IF(Tableau4[Nr facture]=facture!$C$11,ROW(Tableau4[Nr facture])-ROW(historique_vente!$C$4)+1,""),ROWS($B$15:B37))),"")</f>
        <v/>
      </c>
      <c r="C37" s="71" t="str">
        <f t="array" ref="C37">IFERROR(INDEX(Tableau4[article],SMALL(IF(Tableau4[Nr facture]=facture!$C$11,ROW(Tableau4[Nr facture])-ROW(historique_vente!$C$4)+1,""),ROWS($B$15:C37))),"")</f>
        <v/>
      </c>
      <c r="D37" s="71" t="str">
        <f t="array" ref="D37">IFERROR(INDEX(Tableau4[Prix htva],SMALL(IF(Tableau4[Nr facture]=facture!$C$11,ROW(Tableau4[Nr facture])-ROW(historique_vente!$C$4)+1,""),ROWS($B$15:D37))),"")</f>
        <v/>
      </c>
      <c r="E37" s="71" t="str">
        <f t="array" ref="E37">IFERROR(INDEX(Tableau4[Nombre],SMALL(IF(Tableau4[Nr facture]=facture!$C$11,ROW(Tableau4[Nr facture])-ROW(historique_vente!$C$4)+1,""),ROWS($B$15:E37))),"")</f>
        <v/>
      </c>
      <c r="F37" s="71" t="str">
        <f t="shared" si="0"/>
        <v/>
      </c>
    </row>
    <row r="38" spans="2:6">
      <c r="B38" s="71" t="str">
        <f t="array" ref="B38">IFERROR(INDEX(Tableau4[Nr article],SMALL(IF(Tableau4[Nr facture]=facture!$C$11,ROW(Tableau4[Nr facture])-ROW(historique_vente!$C$4)+1,""),ROWS($B$15:B38))),"")</f>
        <v/>
      </c>
      <c r="C38" s="71" t="str">
        <f t="array" ref="C38">IFERROR(INDEX(Tableau4[article],SMALL(IF(Tableau4[Nr facture]=facture!$C$11,ROW(Tableau4[Nr facture])-ROW(historique_vente!$C$4)+1,""),ROWS($B$15:C38))),"")</f>
        <v/>
      </c>
      <c r="D38" s="71" t="str">
        <f t="array" ref="D38">IFERROR(INDEX(Tableau4[Prix htva],SMALL(IF(Tableau4[Nr facture]=facture!$C$11,ROW(Tableau4[Nr facture])-ROW(historique_vente!$C$4)+1,""),ROWS($B$15:D38))),"")</f>
        <v/>
      </c>
      <c r="E38" s="71" t="str">
        <f t="array" ref="E38">IFERROR(INDEX(Tableau4[Nombre],SMALL(IF(Tableau4[Nr facture]=facture!$C$11,ROW(Tableau4[Nr facture])-ROW(historique_vente!$C$4)+1,""),ROWS($B$15:E38))),"")</f>
        <v/>
      </c>
      <c r="F38" s="71" t="str">
        <f t="shared" si="0"/>
        <v/>
      </c>
    </row>
    <row r="39" spans="2:6">
      <c r="B39" s="71" t="str">
        <f t="array" ref="B39">IFERROR(INDEX(Tableau4[Nr article],SMALL(IF(Tableau4[Nr facture]=facture!$C$11,ROW(Tableau4[Nr facture])-ROW(historique_vente!$C$4)+1,""),ROWS($B$15:B39))),"")</f>
        <v/>
      </c>
      <c r="C39" s="71" t="str">
        <f t="array" ref="C39">IFERROR(INDEX(Tableau4[article],SMALL(IF(Tableau4[Nr facture]=facture!$C$11,ROW(Tableau4[Nr facture])-ROW(historique_vente!$C$4)+1,""),ROWS($B$15:C39))),"")</f>
        <v/>
      </c>
      <c r="D39" s="71" t="str">
        <f t="array" ref="D39">IFERROR(INDEX(Tableau4[Prix htva],SMALL(IF(Tableau4[Nr facture]=facture!$C$11,ROW(Tableau4[Nr facture])-ROW(historique_vente!$C$4)+1,""),ROWS($B$15:D39))),"")</f>
        <v/>
      </c>
      <c r="E39" s="71" t="str">
        <f t="array" ref="E39">IFERROR(INDEX(Tableau4[Nombre],SMALL(IF(Tableau4[Nr facture]=facture!$C$11,ROW(Tableau4[Nr facture])-ROW(historique_vente!$C$4)+1,""),ROWS($B$15:E39))),"")</f>
        <v/>
      </c>
      <c r="F39" s="71" t="str">
        <f t="shared" si="0"/>
        <v/>
      </c>
    </row>
    <row r="40" spans="2:6" ht="6.75" customHeight="1"/>
    <row r="41" spans="2:6" ht="5.25" customHeight="1" thickBot="1">
      <c r="B41" s="69"/>
      <c r="C41" s="69"/>
      <c r="D41" s="69"/>
      <c r="E41" s="69"/>
      <c r="F41" s="69"/>
    </row>
    <row r="42" spans="2:6">
      <c r="B42" s="144" t="str">
        <f>IFERROR("Montant à payer dans les 30 jours : "&amp;TEXT(E11+30,"jj/mm/aaaa"),"")</f>
        <v>Montant à payer dans les 30 jours : 19/06/2021</v>
      </c>
      <c r="C42" s="145"/>
      <c r="D42" s="146"/>
      <c r="E42" s="72" t="s">
        <v>70</v>
      </c>
      <c r="F42" s="73">
        <f>IFERROR(SUM(F15:F39),"")</f>
        <v>7453.4250000000002</v>
      </c>
    </row>
    <row r="43" spans="2:6">
      <c r="B43" s="147"/>
      <c r="C43" s="148"/>
      <c r="D43" s="149"/>
      <c r="E43" s="74" t="str">
        <f>IFERROR("Remise :"&amp;TEXT(INDEX(Tableau4[remise],MATCH(facture!C11,Tableau4[Nr facture],0)),"0%"),"")</f>
        <v>Remise :</v>
      </c>
      <c r="F43" s="75">
        <v>0</v>
      </c>
    </row>
    <row r="44" spans="2:6">
      <c r="B44" s="147"/>
      <c r="C44" s="148"/>
      <c r="D44" s="149"/>
      <c r="E44" s="74" t="s">
        <v>71</v>
      </c>
      <c r="F44" s="75">
        <v>21</v>
      </c>
    </row>
    <row r="45" spans="2:6" ht="16.5" thickBot="1">
      <c r="B45" s="147"/>
      <c r="C45" s="148"/>
      <c r="D45" s="149"/>
      <c r="E45" s="76" t="s">
        <v>72</v>
      </c>
      <c r="F45" s="77">
        <f>IFERROR(((F42-F43)+F44),"")</f>
        <v>7474.4250000000002</v>
      </c>
    </row>
    <row r="46" spans="2:6" ht="6.75" customHeight="1" thickBot="1">
      <c r="B46" s="147"/>
      <c r="C46" s="148"/>
      <c r="D46" s="149"/>
      <c r="E46" s="78"/>
      <c r="F46" s="78"/>
    </row>
    <row r="47" spans="2:6">
      <c r="B47" s="147"/>
      <c r="C47" s="148"/>
      <c r="D47" s="149"/>
      <c r="E47" s="72" t="s">
        <v>73</v>
      </c>
      <c r="F47" s="88">
        <v>1000</v>
      </c>
    </row>
    <row r="48" spans="2:6" ht="16.5" thickBot="1">
      <c r="B48" s="150"/>
      <c r="C48" s="151"/>
      <c r="D48" s="152"/>
      <c r="E48" s="76" t="s">
        <v>74</v>
      </c>
      <c r="F48" s="77">
        <f>IFERROR((F45-F47),"")</f>
        <v>6474.4250000000002</v>
      </c>
    </row>
  </sheetData>
  <mergeCells count="3">
    <mergeCell ref="F4:F9"/>
    <mergeCell ref="B42:D48"/>
    <mergeCell ref="H8:I11"/>
  </mergeCells>
  <dataValidations count="2">
    <dataValidation type="list" errorStyle="information" allowBlank="1" showInputMessage="1" showErrorMessage="1" errorTitle="Facture" error="Facture inexistante" sqref="C11">
      <formula1>nr_fac</formula1>
    </dataValidation>
    <dataValidation type="list" allowBlank="1" showInputMessage="1" showErrorMessage="1" sqref="I5">
      <formula1>"Acompte,versement"</formula1>
    </dataValidation>
  </dataValidations>
  <pageMargins left="0.7" right="0.7" top="0.75" bottom="0.75" header="0.3" footer="0.3"/>
  <pageSetup paperSize="9" orientation="portrait" r:id="rId1"/>
  <legacyDrawing r:id="rId2"/>
  <controls>
    <control shapeId="13329" r:id="rId3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B1:L9"/>
  <sheetViews>
    <sheetView showGridLines="0" zoomScale="80" zoomScaleNormal="80" workbookViewId="0">
      <selection activeCell="B7" sqref="B7:L9"/>
    </sheetView>
  </sheetViews>
  <sheetFormatPr baseColWidth="10" defaultRowHeight="15"/>
  <cols>
    <col min="1" max="1" width="1.7109375" customWidth="1"/>
    <col min="2" max="10" width="22.85546875" customWidth="1"/>
    <col min="12" max="12" width="11.42578125" customWidth="1"/>
  </cols>
  <sheetData>
    <row r="1" spans="2:12" ht="86.25" customHeight="1"/>
    <row r="3" spans="2:12">
      <c r="B3" s="2" t="s">
        <v>33</v>
      </c>
      <c r="C3" s="2" t="s">
        <v>34</v>
      </c>
      <c r="D3" s="2" t="s">
        <v>0</v>
      </c>
      <c r="E3" s="2" t="s">
        <v>35</v>
      </c>
      <c r="F3" s="2" t="s">
        <v>49</v>
      </c>
      <c r="G3" s="2" t="s">
        <v>37</v>
      </c>
      <c r="H3" s="2" t="s">
        <v>6</v>
      </c>
      <c r="I3" s="2" t="s">
        <v>38</v>
      </c>
      <c r="J3" s="2" t="s">
        <v>39</v>
      </c>
    </row>
    <row r="4" spans="2:12" ht="15.75">
      <c r="B4" s="10">
        <v>44335.918900462966</v>
      </c>
      <c r="C4" s="11">
        <v>13</v>
      </c>
      <c r="D4" s="11" t="s">
        <v>131</v>
      </c>
      <c r="E4" s="87" t="s">
        <v>183</v>
      </c>
      <c r="F4" s="11">
        <v>525</v>
      </c>
      <c r="G4" s="11">
        <v>6</v>
      </c>
      <c r="H4" s="11">
        <v>11816</v>
      </c>
      <c r="I4" s="12" t="s">
        <v>84</v>
      </c>
      <c r="J4" s="13">
        <v>3150</v>
      </c>
      <c r="K4" s="11"/>
      <c r="L4" s="11"/>
    </row>
    <row r="5" spans="2:12" ht="15.75">
      <c r="B5" s="10">
        <v>44335.931273148148</v>
      </c>
      <c r="C5" s="11">
        <v>14</v>
      </c>
      <c r="D5" s="11" t="s">
        <v>131</v>
      </c>
      <c r="E5" s="87" t="s">
        <v>183</v>
      </c>
      <c r="F5" s="11">
        <v>525</v>
      </c>
      <c r="G5" s="11">
        <v>8</v>
      </c>
      <c r="H5" s="11">
        <v>11816</v>
      </c>
      <c r="I5" s="12" t="s">
        <v>84</v>
      </c>
      <c r="J5" s="13">
        <v>4200</v>
      </c>
      <c r="K5" s="11"/>
      <c r="L5" s="11"/>
    </row>
    <row r="6" spans="2:12" ht="15.75">
      <c r="B6" s="10">
        <v>44335.965138888889</v>
      </c>
      <c r="C6" s="11">
        <v>15</v>
      </c>
      <c r="D6" s="11" t="s">
        <v>131</v>
      </c>
      <c r="E6" s="87" t="s">
        <v>183</v>
      </c>
      <c r="F6" s="11">
        <v>525</v>
      </c>
      <c r="G6" s="11">
        <v>9</v>
      </c>
      <c r="H6" s="11">
        <v>11551</v>
      </c>
      <c r="I6" s="12" t="s">
        <v>84</v>
      </c>
      <c r="J6" s="13">
        <v>4725</v>
      </c>
      <c r="K6" s="11"/>
      <c r="L6" s="11"/>
    </row>
    <row r="7" spans="2:12" ht="15.75">
      <c r="B7" s="10">
        <v>44336.000625000001</v>
      </c>
      <c r="C7" s="11">
        <v>16</v>
      </c>
      <c r="D7" s="11" t="s">
        <v>101</v>
      </c>
      <c r="E7" s="87" t="s">
        <v>153</v>
      </c>
      <c r="F7" s="11">
        <v>1050</v>
      </c>
      <c r="G7" s="11">
        <v>7</v>
      </c>
      <c r="H7" s="11">
        <v>11551</v>
      </c>
      <c r="I7" s="12" t="s">
        <v>84</v>
      </c>
      <c r="J7" s="13">
        <v>7350</v>
      </c>
      <c r="K7" s="11"/>
      <c r="L7" s="11"/>
    </row>
    <row r="8" spans="2:12" ht="15.75">
      <c r="B8" s="98">
        <v>44336.014004629629</v>
      </c>
      <c r="C8" s="105">
        <v>16</v>
      </c>
      <c r="D8" s="105" t="s">
        <v>105</v>
      </c>
      <c r="E8" s="106" t="s">
        <v>157</v>
      </c>
      <c r="F8" s="105">
        <v>4.2</v>
      </c>
      <c r="G8" s="105">
        <v>10</v>
      </c>
      <c r="H8" s="105">
        <v>11551</v>
      </c>
      <c r="I8" s="107" t="s">
        <v>244</v>
      </c>
      <c r="J8" s="108">
        <v>42</v>
      </c>
      <c r="K8" s="105"/>
      <c r="L8" s="105"/>
    </row>
    <row r="9" spans="2:12" ht="15.75">
      <c r="B9" s="98">
        <v>44337.68645833333</v>
      </c>
      <c r="C9" s="105">
        <v>16</v>
      </c>
      <c r="D9" s="105" t="s">
        <v>125</v>
      </c>
      <c r="E9" s="106" t="s">
        <v>177</v>
      </c>
      <c r="F9" s="105">
        <v>4.0949999999999998</v>
      </c>
      <c r="G9" s="105">
        <v>15</v>
      </c>
      <c r="H9" s="105">
        <v>11816</v>
      </c>
      <c r="I9" s="107" t="s">
        <v>227</v>
      </c>
      <c r="J9" s="108">
        <v>61.424999999999997</v>
      </c>
      <c r="K9" s="105"/>
      <c r="L9" s="105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K10"/>
  <sheetViews>
    <sheetView zoomScale="80" zoomScaleNormal="80" workbookViewId="0">
      <selection sqref="A1 B4:K10"/>
    </sheetView>
  </sheetViews>
  <sheetFormatPr baseColWidth="10" defaultRowHeight="15.75"/>
  <cols>
    <col min="1" max="1" width="1.7109375" style="5" customWidth="1"/>
    <col min="2" max="11" width="16.5703125" style="6" customWidth="1"/>
    <col min="12" max="12" width="11.42578125" style="5" customWidth="1"/>
    <col min="13" max="16384" width="11.42578125" style="5"/>
  </cols>
  <sheetData>
    <row r="1" spans="1:11" ht="86.25" customHeight="1">
      <c r="A1" s="9">
        <f>COUNT(Tableau5[Nr facture])</f>
        <v>6</v>
      </c>
    </row>
    <row r="3" spans="1:11">
      <c r="B3" s="3" t="s">
        <v>34</v>
      </c>
      <c r="C3" s="3" t="s">
        <v>6</v>
      </c>
      <c r="D3" s="3" t="s">
        <v>33</v>
      </c>
      <c r="E3" s="3" t="s">
        <v>40</v>
      </c>
      <c r="F3" s="3" t="s">
        <v>44</v>
      </c>
      <c r="G3" s="3" t="s">
        <v>42</v>
      </c>
      <c r="H3" s="3" t="s">
        <v>45</v>
      </c>
      <c r="I3" s="3" t="s">
        <v>46</v>
      </c>
      <c r="J3" s="3" t="s">
        <v>47</v>
      </c>
      <c r="K3" s="3" t="s">
        <v>48</v>
      </c>
    </row>
    <row r="4" spans="1:11">
      <c r="B4" s="6">
        <f>IFERROR(SMALL(Tableau4[Nr facture],ROW(1:1)),"")</f>
        <v>13</v>
      </c>
      <c r="C4" s="6">
        <f>IFERROR(INDEX(Tableau4[Nr client],MATCH(suivi_facture!B4,Tableau4[Nr facture],0)),"")</f>
        <v>11816</v>
      </c>
      <c r="D4" s="10">
        <f>IFERROR(INDEX(Tableau4[Date],MATCH(suivi_facture!B4,Tableau4[Nr facture],0)),"")</f>
        <v>44335.918900462966</v>
      </c>
      <c r="E4" s="6">
        <f>IFERROR(SUMIF(Tableau4[Nr facture],suivi_facture!B4,Tableau4[Total]),"")</f>
        <v>3150</v>
      </c>
      <c r="F4" s="6" t="str">
        <f>IFERROR(E4*INDEX(Tableau4[remise],MATCH(suivi_facture!B4,Tableau4[Nr facture],0)),"")</f>
        <v/>
      </c>
      <c r="G4" s="6" t="str">
        <f>IFERROR(((E4-F4)*1.21),"")</f>
        <v/>
      </c>
      <c r="H4" s="6">
        <f>IFERROR(SUMIFS(Tableau7[Montant],Tableau7[Type],"acompte",Tableau7[Nr facture],Tableau5[[#This Row],[Nr facture]]),"")</f>
        <v>0</v>
      </c>
      <c r="I4" s="6">
        <f>IFERROR(SUMIFS(Tableau7[Montant],Tableau7[Type],"versement",Tableau7[Nr facture],Tableau5[[#This Row],[Nr facture]]),"")</f>
        <v>0</v>
      </c>
      <c r="J4" s="6" t="str">
        <f>IFERROR(ROUND((G4-H4-I4),2),"")</f>
        <v/>
      </c>
      <c r="K4" s="6" t="str">
        <f ca="1">IFERROR(IF(AND(J4&gt;0,D4+30&lt;TODAY()),"Alerte",IF(J4&gt;0,"Open","Close")),"")</f>
        <v>Open</v>
      </c>
    </row>
    <row r="5" spans="1:11">
      <c r="B5" s="6">
        <f>IFERROR(SMALL(Tableau4[Nr facture],ROW(2:2)),"")</f>
        <v>14</v>
      </c>
      <c r="C5" s="6">
        <f>IFERROR(INDEX(Tableau4[Nr client],MATCH(suivi_facture!B5,Tableau4[Nr facture],0)),"")</f>
        <v>11816</v>
      </c>
      <c r="D5" s="10">
        <f>IFERROR(INDEX(Tableau4[Date],MATCH(suivi_facture!B5,Tableau4[Nr facture],0)),"")</f>
        <v>44335.931273148148</v>
      </c>
      <c r="E5" s="90">
        <f>IFERROR(SUMIF(Tableau4[Nr facture],suivi_facture!B5,Tableau4[Total]),"")</f>
        <v>4200</v>
      </c>
      <c r="F5" s="6" t="str">
        <f>IFERROR(E5*INDEX(Tableau4[remise],MATCH(suivi_facture!B5,Tableau4[Nr facture],0)),"")</f>
        <v/>
      </c>
      <c r="G5" s="6" t="str">
        <f>IFERROR(((E5-F5)*1.21),"")</f>
        <v/>
      </c>
      <c r="H5" s="90">
        <f>IFERROR(SUMIFS(Tableau7[Montant],Tableau7[Type],"acompte",Tableau7[Nr facture],Tableau5[[#This Row],[Nr facture]]),"")</f>
        <v>0</v>
      </c>
      <c r="I5" s="90">
        <f>IFERROR(SUMIFS(Tableau7[Montant],Tableau7[Type],"versement",Tableau7[Nr facture],Tableau5[[#This Row],[Nr facture]]),"")</f>
        <v>0</v>
      </c>
      <c r="J5" s="6" t="str">
        <f>IFERROR(ROUND((G5-H5-I5),2),"")</f>
        <v/>
      </c>
      <c r="K5" s="6" t="str">
        <f ca="1">IFERROR(IF(AND(J5&gt;0,D5+30&lt;TODAY()),"Alerte",IF(J5&gt;0,"Open","Close")),"")</f>
        <v>Open</v>
      </c>
    </row>
    <row r="6" spans="1:11">
      <c r="B6" s="101">
        <f>IFERROR(SMALL(Tableau4[Nr facture],ROW(3:3)),"")</f>
        <v>15</v>
      </c>
      <c r="C6" s="101">
        <f>IFERROR(INDEX(Tableau4[Nr client],MATCH(suivi_facture!B6,Tableau4[Nr facture],0)),"")</f>
        <v>11551</v>
      </c>
      <c r="D6" s="98">
        <f>IFERROR(INDEX(Tableau4[Date],MATCH(suivi_facture!B6,Tableau4[Nr facture],0)),"")</f>
        <v>44335.965138888889</v>
      </c>
      <c r="E6" s="104">
        <f>IFERROR(SUMIF(Tableau4[Nr facture],suivi_facture!B6,Tableau4[Total]),"")</f>
        <v>4725</v>
      </c>
      <c r="F6" s="101" t="str">
        <f>IFERROR(E6*INDEX(Tableau4[remise],MATCH(suivi_facture!B6,Tableau4[Nr facture],0)),"")</f>
        <v/>
      </c>
      <c r="G6" s="101" t="str">
        <f>IFERROR(((E6-F6)*1.21),"")</f>
        <v/>
      </c>
      <c r="H6" s="104">
        <f>IFERROR(SUMIFS(Tableau7[Montant],Tableau7[Type],"acompte",Tableau7[Nr facture],Tableau5[[#This Row],[Nr facture]]),"")</f>
        <v>0</v>
      </c>
      <c r="I6" s="104">
        <f>IFERROR(SUMIFS(Tableau7[Montant],Tableau7[Type],"versement",Tableau7[Nr facture],Tableau5[[#This Row],[Nr facture]]),"")</f>
        <v>0</v>
      </c>
      <c r="J6" s="101" t="str">
        <f>IFERROR(ROUND((G6-H6-I6),2),"")</f>
        <v/>
      </c>
      <c r="K6" s="101" t="str">
        <f ca="1">IFERROR(IF(AND(J6&gt;0,D6+30&lt;TODAY()),"Alerte",IF(J6&gt;0,"Open","Close")),"")</f>
        <v>Open</v>
      </c>
    </row>
    <row r="7" spans="1:11">
      <c r="B7" s="101">
        <f>IFERROR(SMALL(Tableau4[Nr facture],ROW(4:4)),"")</f>
        <v>16</v>
      </c>
      <c r="C7" s="101">
        <f>IFERROR(INDEX(Tableau4[Nr client],MATCH(suivi_facture!B7,Tableau4[Nr facture],0)),"")</f>
        <v>11551</v>
      </c>
      <c r="D7" s="98">
        <f>IFERROR(INDEX(Tableau4[Date],MATCH(suivi_facture!B7,Tableau4[Nr facture],0)),"")</f>
        <v>44336.000625000001</v>
      </c>
      <c r="E7" s="104">
        <f>IFERROR(SUMIF(Tableau4[Nr facture],suivi_facture!B7,Tableau4[Total]),"")</f>
        <v>7453.4250000000002</v>
      </c>
      <c r="F7" s="101" t="str">
        <f>IFERROR(E7*INDEX(Tableau4[remise],MATCH(suivi_facture!B7,Tableau4[Nr facture],0)),"")</f>
        <v/>
      </c>
      <c r="G7" s="101" t="str">
        <f>IFERROR(((E7-F7)*1.21),"")</f>
        <v/>
      </c>
      <c r="H7" s="104">
        <f>IFERROR(SUMIFS(Tableau7[Montant],Tableau7[Type],"acompte",Tableau7[Nr facture],Tableau5[[#This Row],[Nr facture]]),"")</f>
        <v>0</v>
      </c>
      <c r="I7" s="104">
        <f>IFERROR(SUMIFS(Tableau7[Montant],Tableau7[Type],"versement",Tableau7[Nr facture],Tableau5[[#This Row],[Nr facture]]),"")</f>
        <v>0</v>
      </c>
      <c r="J7" s="101" t="str">
        <f>IFERROR(ROUND((G7-H7-I7),2),"")</f>
        <v/>
      </c>
      <c r="K7" s="101" t="str">
        <f ca="1">IFERROR(IF(AND(J7&gt;0,D7+30&lt;TODAY()),"Alerte",IF(J7&gt;0,"Open","Close")),"")</f>
        <v>Open</v>
      </c>
    </row>
    <row r="8" spans="1:11">
      <c r="B8" s="101">
        <f>IFERROR(SMALL(Tableau4[Nr facture],ROW(5:5)),"")</f>
        <v>16</v>
      </c>
      <c r="C8" s="101">
        <f>IFERROR(INDEX(Tableau4[Nr client],MATCH(suivi_facture!B8,Tableau4[Nr facture],0)),"")</f>
        <v>11551</v>
      </c>
      <c r="D8" s="98">
        <f>IFERROR(INDEX(Tableau4[Date],MATCH(suivi_facture!B8,Tableau4[Nr facture],0)),"")</f>
        <v>44336.000625000001</v>
      </c>
      <c r="E8" s="104">
        <f>IFERROR(SUMIF(Tableau4[Nr facture],suivi_facture!B8,Tableau4[Total]),"")</f>
        <v>7453.4250000000002</v>
      </c>
      <c r="F8" s="101" t="str">
        <f>IFERROR(E8*INDEX(Tableau4[remise],MATCH(suivi_facture!B8,Tableau4[Nr facture],0)),"")</f>
        <v/>
      </c>
      <c r="G8" s="101" t="str">
        <f>IFERROR(((E8-F8)*1.21),"")</f>
        <v/>
      </c>
      <c r="H8" s="104">
        <f>IFERROR(SUMIFS(Tableau7[Montant],Tableau7[Type],"acompte",Tableau7[Nr facture],Tableau5[[#This Row],[Nr facture]]),"")</f>
        <v>0</v>
      </c>
      <c r="I8" s="104">
        <f>IFERROR(SUMIFS(Tableau7[Montant],Tableau7[Type],"versement",Tableau7[Nr facture],Tableau5[[#This Row],[Nr facture]]),"")</f>
        <v>0</v>
      </c>
      <c r="J8" s="101" t="str">
        <f>IFERROR(ROUND((G8-H8-I8),2),"")</f>
        <v/>
      </c>
      <c r="K8" s="101" t="str">
        <f ca="1">IFERROR(IF(AND(J8&gt;0,D8+30&lt;TODAY()),"Alerte",IF(J8&gt;0,"Open","Close")),"")</f>
        <v>Open</v>
      </c>
    </row>
    <row r="9" spans="1:11">
      <c r="B9" s="6">
        <f>IFERROR(SMALL(Tableau4[Nr facture],ROW(6:6)),"")</f>
        <v>16</v>
      </c>
      <c r="C9" s="6">
        <f>IFERROR(INDEX(Tableau4[Nr client],MATCH(suivi_facture!B9,Tableau4[Nr facture],0)),"")</f>
        <v>11551</v>
      </c>
      <c r="D9" s="10">
        <f>IFERROR(INDEX(Tableau4[Date],MATCH(suivi_facture!B9,Tableau4[Nr facture],0)),"")</f>
        <v>44336.000625000001</v>
      </c>
      <c r="E9" s="90">
        <f>IFERROR(SUMIF(Tableau4[Nr facture],suivi_facture!B9,Tableau4[Total]),"")</f>
        <v>7453.4250000000002</v>
      </c>
      <c r="F9" s="6" t="str">
        <f>IFERROR(E9*INDEX(Tableau4[remise],MATCH(suivi_facture!B9,Tableau4[Nr facture],0)),"")</f>
        <v/>
      </c>
      <c r="G9" s="6" t="str">
        <f>IFERROR(((E9-F9)*1.21),"")</f>
        <v/>
      </c>
      <c r="H9" s="90">
        <f>IFERROR(SUMIFS(Tableau7[Montant],Tableau7[Type],"acompte",Tableau7[Nr facture],Tableau5[[#This Row],[Nr facture]]),"")</f>
        <v>0</v>
      </c>
      <c r="I9" s="90">
        <f>IFERROR(SUMIFS(Tableau7[Montant],Tableau7[Type],"versement",Tableau7[Nr facture],Tableau5[[#This Row],[Nr facture]]),"")</f>
        <v>0</v>
      </c>
      <c r="J9" s="6" t="str">
        <f>IFERROR(ROUND((G9-H9-I9),2),"")</f>
        <v/>
      </c>
      <c r="K9" s="6" t="str">
        <f ca="1">IFERROR(IF(AND(J9&gt;0,D9+30&lt;TODAY()),"Alerte",IF(J9&gt;0,"Open","Close")),"")</f>
        <v>Open</v>
      </c>
    </row>
    <row r="10" spans="1:11">
      <c r="B10" s="6" t="str">
        <f>IFERROR(SMALL(Tableau4[Nr facture],ROW(7:7)),"")</f>
        <v/>
      </c>
      <c r="C10" s="6" t="str">
        <f>IFERROR(INDEX(Tableau4[Nr client],MATCH(suivi_facture!B10,Tableau4[Nr facture],0)),"")</f>
        <v/>
      </c>
      <c r="D10" s="10" t="str">
        <f>IFERROR(INDEX(Tableau4[Date],MATCH(suivi_facture!B10,Tableau4[Nr facture],0)),"")</f>
        <v/>
      </c>
      <c r="E10" s="90">
        <f>IFERROR(SUMIF(Tableau4[Nr facture],suivi_facture!B10,Tableau4[Total]),"")</f>
        <v>0</v>
      </c>
      <c r="F10" s="6" t="str">
        <f>IFERROR(E10*INDEX(Tableau4[remise],MATCH(suivi_facture!B10,Tableau4[Nr facture],0)),"")</f>
        <v/>
      </c>
      <c r="G10" s="6" t="str">
        <f>IFERROR(((E10-F10)*1.21),"")</f>
        <v/>
      </c>
      <c r="H10" s="90">
        <f>IFERROR(SUMIFS(Tableau7[Montant],Tableau7[Type],"acompte",Tableau7[Nr facture],Tableau5[[#This Row],[Nr facture]]),"")</f>
        <v>0</v>
      </c>
      <c r="I10" s="90">
        <f>IFERROR(SUMIFS(Tableau7[Montant],Tableau7[Type],"versement",Tableau7[Nr facture],Tableau5[[#This Row],[Nr facture]]),"")</f>
        <v>0</v>
      </c>
      <c r="J10" s="6" t="str">
        <f>IFERROR(ROUND((G10-H10-I10),2),"")</f>
        <v/>
      </c>
      <c r="K10" s="6" t="str">
        <f ca="1">IFERROR(IF(AND(J10&gt;0,D10+30&lt;TODAY()),"Alerte",IF(J10&gt;0,"Open","Close")),"")</f>
        <v/>
      </c>
    </row>
  </sheetData>
  <conditionalFormatting sqref="B4:K10">
    <cfRule type="expression" dxfId="2" priority="1">
      <formula>$K4="open"</formula>
    </cfRule>
    <cfRule type="expression" dxfId="1" priority="2">
      <formula>$K4="close"</formula>
    </cfRule>
    <cfRule type="expression" dxfId="0" priority="3">
      <formula>$K4="alerte"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F6"/>
  <sheetViews>
    <sheetView zoomScale="80" zoomScaleNormal="80" workbookViewId="0">
      <selection activeCell="F6" sqref="F6"/>
    </sheetView>
  </sheetViews>
  <sheetFormatPr baseColWidth="10" defaultRowHeight="15.75"/>
  <cols>
    <col min="1" max="1" width="1.7109375" style="5" customWidth="1"/>
    <col min="2" max="2" width="24.7109375" style="10" customWidth="1"/>
    <col min="3" max="6" width="24.7109375" style="6" customWidth="1"/>
    <col min="7" max="11" width="11.42578125" style="5"/>
    <col min="12" max="12" width="11.42578125" style="5" customWidth="1"/>
    <col min="13" max="16384" width="11.42578125" style="5"/>
  </cols>
  <sheetData>
    <row r="1" spans="2:6" ht="86.25" customHeight="1"/>
    <row r="3" spans="2:6">
      <c r="B3" s="10" t="s">
        <v>33</v>
      </c>
      <c r="C3" s="6" t="s">
        <v>34</v>
      </c>
      <c r="D3" s="6" t="s">
        <v>78</v>
      </c>
      <c r="E3" s="6" t="s">
        <v>79</v>
      </c>
      <c r="F3" s="6" t="s">
        <v>80</v>
      </c>
    </row>
    <row r="4" spans="2:6">
      <c r="B4" s="10">
        <v>43846.580567129633</v>
      </c>
      <c r="C4" s="6">
        <v>2</v>
      </c>
      <c r="D4" s="6">
        <v>4</v>
      </c>
      <c r="E4" s="6" t="s">
        <v>45</v>
      </c>
      <c r="F4" s="6">
        <v>10</v>
      </c>
    </row>
    <row r="5" spans="2:6">
      <c r="B5" s="10">
        <v>43846.580694444441</v>
      </c>
      <c r="C5" s="6">
        <v>2</v>
      </c>
      <c r="D5" s="6">
        <v>4</v>
      </c>
      <c r="E5" s="6" t="s">
        <v>45</v>
      </c>
      <c r="F5" s="6">
        <v>10</v>
      </c>
    </row>
    <row r="6" spans="2:6">
      <c r="B6" s="10">
        <v>43846.629305555558</v>
      </c>
      <c r="C6" s="6">
        <v>9</v>
      </c>
      <c r="D6" s="6">
        <v>4</v>
      </c>
      <c r="E6" s="6" t="s">
        <v>81</v>
      </c>
      <c r="F6" s="6">
        <v>10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"/>
  <dimension ref="B1:D8"/>
  <sheetViews>
    <sheetView showGridLines="0" topLeftCell="A2" zoomScale="80" zoomScaleNormal="80" workbookViewId="0">
      <selection activeCell="C12" sqref="C12"/>
    </sheetView>
  </sheetViews>
  <sheetFormatPr baseColWidth="10" defaultRowHeight="15.75"/>
  <cols>
    <col min="1" max="1" width="1.7109375" style="5" customWidth="1"/>
    <col min="2" max="4" width="25.28515625" style="6" customWidth="1"/>
    <col min="5" max="5" width="11.42578125" style="5"/>
    <col min="6" max="6" width="11.42578125" style="5" customWidth="1"/>
    <col min="7" max="11" width="11.42578125" style="5"/>
    <col min="12" max="12" width="11.42578125" style="5" customWidth="1"/>
    <col min="13" max="16384" width="11.42578125" style="5"/>
  </cols>
  <sheetData>
    <row r="1" spans="2:4" ht="86.25" customHeight="1"/>
    <row r="3" spans="2:4">
      <c r="B3" s="6" t="s">
        <v>52</v>
      </c>
      <c r="C3" s="6" t="s">
        <v>53</v>
      </c>
      <c r="D3" s="6" t="s">
        <v>51</v>
      </c>
    </row>
    <row r="4" spans="2:4">
      <c r="B4" s="6">
        <v>1</v>
      </c>
      <c r="C4" s="6">
        <v>1</v>
      </c>
      <c r="D4" s="79">
        <v>0.05</v>
      </c>
    </row>
    <row r="5" spans="2:4">
      <c r="B5" s="6">
        <v>2</v>
      </c>
      <c r="C5" s="6">
        <v>2</v>
      </c>
      <c r="D5" s="79">
        <v>0.1</v>
      </c>
    </row>
    <row r="6" spans="2:4">
      <c r="B6" s="6">
        <v>3</v>
      </c>
      <c r="C6" s="6">
        <v>3</v>
      </c>
      <c r="D6" s="79">
        <v>0.15</v>
      </c>
    </row>
    <row r="7" spans="2:4">
      <c r="B7" s="6">
        <v>4</v>
      </c>
      <c r="C7" s="6">
        <v>4</v>
      </c>
      <c r="D7" s="79">
        <v>0.2</v>
      </c>
    </row>
    <row r="8" spans="2:4">
      <c r="B8" s="6">
        <v>5</v>
      </c>
      <c r="C8" s="6">
        <v>5</v>
      </c>
      <c r="D8" s="79">
        <v>0.25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showGridLines="0" zoomScale="80" zoomScaleNormal="80" workbookViewId="0">
      <selection activeCell="F4" sqref="F4"/>
    </sheetView>
  </sheetViews>
  <sheetFormatPr baseColWidth="10" defaultRowHeight="15"/>
  <cols>
    <col min="1" max="1" width="1.7109375" customWidth="1"/>
    <col min="6" max="6" width="11.42578125" customWidth="1"/>
    <col min="12" max="12" width="11.42578125" customWidth="1"/>
  </cols>
  <sheetData>
    <row r="1" ht="86.25" customHeight="1"/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6"/>
  <dimension ref="A1:C560"/>
  <sheetViews>
    <sheetView tabSelected="1" workbookViewId="0">
      <selection activeCell="C27" sqref="C27"/>
    </sheetView>
  </sheetViews>
  <sheetFormatPr baseColWidth="10" defaultRowHeight="15"/>
  <cols>
    <col min="1" max="1" width="12.42578125" bestFit="1" customWidth="1"/>
    <col min="3" max="3" width="166.140625" customWidth="1"/>
  </cols>
  <sheetData>
    <row r="1" spans="1:3" ht="63" customHeight="1">
      <c r="A1" t="s">
        <v>712</v>
      </c>
      <c r="B1" t="s">
        <v>713</v>
      </c>
      <c r="C1" t="s">
        <v>714</v>
      </c>
    </row>
    <row r="2" spans="1:3">
      <c r="A2" t="s">
        <v>35</v>
      </c>
      <c r="B2" t="s">
        <v>269</v>
      </c>
      <c r="C2" s="153" t="s">
        <v>715</v>
      </c>
    </row>
    <row r="3" spans="1:3">
      <c r="A3" t="s">
        <v>35</v>
      </c>
      <c r="B3" t="s">
        <v>270</v>
      </c>
      <c r="C3" s="153" t="s">
        <v>716</v>
      </c>
    </row>
    <row r="4" spans="1:3">
      <c r="A4" t="s">
        <v>35</v>
      </c>
      <c r="B4" t="s">
        <v>271</v>
      </c>
      <c r="C4" s="153" t="s">
        <v>717</v>
      </c>
    </row>
    <row r="5" spans="1:3">
      <c r="A5" t="s">
        <v>35</v>
      </c>
      <c r="B5" t="s">
        <v>272</v>
      </c>
      <c r="C5" s="153" t="s">
        <v>715</v>
      </c>
    </row>
    <row r="6" spans="1:3">
      <c r="A6" t="s">
        <v>35</v>
      </c>
      <c r="B6" t="s">
        <v>273</v>
      </c>
      <c r="C6" s="153" t="s">
        <v>716</v>
      </c>
    </row>
    <row r="7" spans="1:3">
      <c r="A7" t="s">
        <v>35</v>
      </c>
      <c r="B7" t="s">
        <v>274</v>
      </c>
      <c r="C7" s="153" t="s">
        <v>717</v>
      </c>
    </row>
    <row r="8" spans="1:3">
      <c r="A8" t="s">
        <v>35</v>
      </c>
      <c r="B8" t="s">
        <v>275</v>
      </c>
      <c r="C8" s="153" t="s">
        <v>715</v>
      </c>
    </row>
    <row r="9" spans="1:3">
      <c r="A9" t="s">
        <v>35</v>
      </c>
      <c r="B9" t="s">
        <v>276</v>
      </c>
      <c r="C9" s="153" t="s">
        <v>716</v>
      </c>
    </row>
    <row r="10" spans="1:3">
      <c r="A10" t="s">
        <v>35</v>
      </c>
      <c r="B10" t="s">
        <v>277</v>
      </c>
      <c r="C10" s="153" t="s">
        <v>717</v>
      </c>
    </row>
    <row r="11" spans="1:3">
      <c r="A11" t="s">
        <v>35</v>
      </c>
      <c r="B11" t="s">
        <v>278</v>
      </c>
      <c r="C11" s="153" t="s">
        <v>715</v>
      </c>
    </row>
    <row r="12" spans="1:3">
      <c r="A12" t="s">
        <v>35</v>
      </c>
      <c r="B12" t="s">
        <v>279</v>
      </c>
      <c r="C12" s="153" t="s">
        <v>716</v>
      </c>
    </row>
    <row r="13" spans="1:3">
      <c r="A13" t="s">
        <v>35</v>
      </c>
      <c r="B13" t="s">
        <v>280</v>
      </c>
      <c r="C13" s="153" t="s">
        <v>717</v>
      </c>
    </row>
    <row r="14" spans="1:3">
      <c r="A14" t="s">
        <v>35</v>
      </c>
      <c r="B14" t="s">
        <v>281</v>
      </c>
      <c r="C14" s="153" t="s">
        <v>715</v>
      </c>
    </row>
    <row r="15" spans="1:3">
      <c r="A15" t="s">
        <v>35</v>
      </c>
      <c r="B15" t="s">
        <v>282</v>
      </c>
      <c r="C15" s="153" t="s">
        <v>716</v>
      </c>
    </row>
    <row r="16" spans="1:3">
      <c r="A16" t="s">
        <v>35</v>
      </c>
      <c r="B16" t="s">
        <v>283</v>
      </c>
      <c r="C16" s="153" t="s">
        <v>717</v>
      </c>
    </row>
    <row r="17" spans="1:3">
      <c r="A17" t="s">
        <v>35</v>
      </c>
      <c r="B17" t="s">
        <v>284</v>
      </c>
      <c r="C17" s="153" t="s">
        <v>715</v>
      </c>
    </row>
    <row r="18" spans="1:3">
      <c r="A18" t="s">
        <v>35</v>
      </c>
      <c r="B18" t="s">
        <v>285</v>
      </c>
      <c r="C18" s="153" t="s">
        <v>716</v>
      </c>
    </row>
    <row r="19" spans="1:3">
      <c r="A19" t="s">
        <v>35</v>
      </c>
      <c r="B19" t="s">
        <v>286</v>
      </c>
      <c r="C19" s="153" t="s">
        <v>717</v>
      </c>
    </row>
    <row r="20" spans="1:3">
      <c r="A20" t="s">
        <v>35</v>
      </c>
      <c r="B20" t="s">
        <v>287</v>
      </c>
      <c r="C20" s="153" t="s">
        <v>715</v>
      </c>
    </row>
    <row r="21" spans="1:3">
      <c r="A21" t="s">
        <v>35</v>
      </c>
      <c r="B21" t="s">
        <v>288</v>
      </c>
      <c r="C21" s="153" t="s">
        <v>716</v>
      </c>
    </row>
    <row r="22" spans="1:3">
      <c r="A22" t="s">
        <v>35</v>
      </c>
      <c r="B22" t="s">
        <v>289</v>
      </c>
      <c r="C22" s="153" t="s">
        <v>717</v>
      </c>
    </row>
    <row r="23" spans="1:3">
      <c r="A23" t="s">
        <v>35</v>
      </c>
      <c r="B23" t="s">
        <v>290</v>
      </c>
      <c r="C23" s="153" t="s">
        <v>715</v>
      </c>
    </row>
    <row r="24" spans="1:3">
      <c r="A24" t="s">
        <v>35</v>
      </c>
      <c r="B24" t="s">
        <v>291</v>
      </c>
      <c r="C24" s="153" t="s">
        <v>716</v>
      </c>
    </row>
    <row r="25" spans="1:3">
      <c r="A25" t="s">
        <v>35</v>
      </c>
      <c r="B25" t="s">
        <v>292</v>
      </c>
      <c r="C25" s="153" t="s">
        <v>717</v>
      </c>
    </row>
    <row r="26" spans="1:3">
      <c r="A26" t="s">
        <v>35</v>
      </c>
      <c r="B26" t="s">
        <v>293</v>
      </c>
      <c r="C26" s="153" t="s">
        <v>715</v>
      </c>
    </row>
    <row r="27" spans="1:3">
      <c r="A27" t="s">
        <v>35</v>
      </c>
      <c r="B27" t="s">
        <v>294</v>
      </c>
      <c r="C27" s="153" t="s">
        <v>716</v>
      </c>
    </row>
    <row r="28" spans="1:3">
      <c r="A28" t="s">
        <v>35</v>
      </c>
      <c r="B28" t="s">
        <v>295</v>
      </c>
      <c r="C28" s="153" t="s">
        <v>717</v>
      </c>
    </row>
    <row r="29" spans="1:3">
      <c r="A29" t="s">
        <v>35</v>
      </c>
      <c r="B29" t="s">
        <v>296</v>
      </c>
      <c r="C29" s="153" t="s">
        <v>715</v>
      </c>
    </row>
    <row r="30" spans="1:3">
      <c r="A30" t="s">
        <v>35</v>
      </c>
      <c r="B30" t="s">
        <v>297</v>
      </c>
      <c r="C30" s="153" t="s">
        <v>716</v>
      </c>
    </row>
    <row r="31" spans="1:3">
      <c r="A31" t="s">
        <v>35</v>
      </c>
      <c r="B31" t="s">
        <v>298</v>
      </c>
      <c r="C31" s="153" t="s">
        <v>717</v>
      </c>
    </row>
    <row r="32" spans="1:3">
      <c r="A32" t="s">
        <v>35</v>
      </c>
      <c r="B32" t="s">
        <v>299</v>
      </c>
      <c r="C32" s="153" t="s">
        <v>715</v>
      </c>
    </row>
    <row r="33" spans="1:3">
      <c r="A33" t="s">
        <v>35</v>
      </c>
      <c r="B33" t="s">
        <v>300</v>
      </c>
      <c r="C33" s="153" t="s">
        <v>716</v>
      </c>
    </row>
    <row r="34" spans="1:3">
      <c r="A34" t="s">
        <v>35</v>
      </c>
      <c r="B34" t="s">
        <v>301</v>
      </c>
      <c r="C34" s="153" t="s">
        <v>717</v>
      </c>
    </row>
    <row r="35" spans="1:3">
      <c r="A35" t="s">
        <v>35</v>
      </c>
      <c r="B35" t="s">
        <v>302</v>
      </c>
      <c r="C35" s="153" t="s">
        <v>715</v>
      </c>
    </row>
    <row r="36" spans="1:3">
      <c r="A36" t="s">
        <v>35</v>
      </c>
      <c r="B36" t="s">
        <v>303</v>
      </c>
      <c r="C36" s="153" t="s">
        <v>716</v>
      </c>
    </row>
    <row r="37" spans="1:3">
      <c r="A37" t="s">
        <v>35</v>
      </c>
      <c r="B37" t="s">
        <v>304</v>
      </c>
      <c r="C37" s="153" t="s">
        <v>717</v>
      </c>
    </row>
    <row r="38" spans="1:3">
      <c r="A38" t="s">
        <v>35</v>
      </c>
      <c r="B38" t="s">
        <v>305</v>
      </c>
      <c r="C38" s="153" t="s">
        <v>715</v>
      </c>
    </row>
    <row r="39" spans="1:3">
      <c r="A39" t="s">
        <v>35</v>
      </c>
      <c r="B39" t="s">
        <v>306</v>
      </c>
      <c r="C39" s="153" t="s">
        <v>716</v>
      </c>
    </row>
    <row r="40" spans="1:3">
      <c r="A40" t="s">
        <v>35</v>
      </c>
      <c r="B40" t="s">
        <v>307</v>
      </c>
      <c r="C40" s="153" t="s">
        <v>717</v>
      </c>
    </row>
    <row r="41" spans="1:3">
      <c r="A41" t="s">
        <v>35</v>
      </c>
      <c r="B41" t="s">
        <v>308</v>
      </c>
      <c r="C41" s="153" t="s">
        <v>715</v>
      </c>
    </row>
    <row r="42" spans="1:3">
      <c r="A42" t="s">
        <v>35</v>
      </c>
      <c r="B42" t="s">
        <v>309</v>
      </c>
      <c r="C42" s="153" t="s">
        <v>716</v>
      </c>
    </row>
    <row r="43" spans="1:3">
      <c r="A43" t="s">
        <v>35</v>
      </c>
      <c r="B43" t="s">
        <v>310</v>
      </c>
      <c r="C43" s="153" t="s">
        <v>717</v>
      </c>
    </row>
    <row r="44" spans="1:3">
      <c r="A44" t="s">
        <v>35</v>
      </c>
      <c r="B44" t="s">
        <v>311</v>
      </c>
      <c r="C44" s="153" t="s">
        <v>715</v>
      </c>
    </row>
    <row r="45" spans="1:3">
      <c r="A45" t="s">
        <v>35</v>
      </c>
      <c r="B45" t="s">
        <v>312</v>
      </c>
      <c r="C45" s="153" t="s">
        <v>716</v>
      </c>
    </row>
    <row r="46" spans="1:3">
      <c r="A46" t="s">
        <v>35</v>
      </c>
      <c r="B46" t="s">
        <v>313</v>
      </c>
      <c r="C46" s="153" t="s">
        <v>717</v>
      </c>
    </row>
    <row r="47" spans="1:3">
      <c r="A47" t="s">
        <v>35</v>
      </c>
      <c r="B47" t="s">
        <v>314</v>
      </c>
      <c r="C47" s="153" t="s">
        <v>715</v>
      </c>
    </row>
    <row r="48" spans="1:3">
      <c r="A48" t="s">
        <v>35</v>
      </c>
      <c r="B48" t="s">
        <v>315</v>
      </c>
      <c r="C48" s="153" t="s">
        <v>716</v>
      </c>
    </row>
    <row r="49" spans="1:3">
      <c r="A49" t="s">
        <v>35</v>
      </c>
      <c r="B49" t="s">
        <v>316</v>
      </c>
      <c r="C49" s="153" t="s">
        <v>717</v>
      </c>
    </row>
    <row r="50" spans="1:3">
      <c r="A50" t="s">
        <v>35</v>
      </c>
      <c r="B50" t="s">
        <v>317</v>
      </c>
      <c r="C50" s="153" t="s">
        <v>715</v>
      </c>
    </row>
    <row r="51" spans="1:3">
      <c r="A51" t="s">
        <v>35</v>
      </c>
      <c r="B51" t="s">
        <v>318</v>
      </c>
      <c r="C51" s="153" t="s">
        <v>716</v>
      </c>
    </row>
    <row r="52" spans="1:3">
      <c r="A52" t="s">
        <v>35</v>
      </c>
      <c r="B52" t="s">
        <v>319</v>
      </c>
      <c r="C52" s="153" t="s">
        <v>717</v>
      </c>
    </row>
    <row r="53" spans="1:3">
      <c r="A53" t="s">
        <v>35</v>
      </c>
      <c r="B53" t="s">
        <v>320</v>
      </c>
      <c r="C53" s="153" t="s">
        <v>715</v>
      </c>
    </row>
    <row r="54" spans="1:3">
      <c r="A54" t="s">
        <v>35</v>
      </c>
      <c r="B54" t="s">
        <v>321</v>
      </c>
      <c r="C54" s="153" t="s">
        <v>716</v>
      </c>
    </row>
    <row r="55" spans="1:3">
      <c r="A55" t="s">
        <v>35</v>
      </c>
      <c r="B55" t="s">
        <v>322</v>
      </c>
      <c r="C55" s="153" t="s">
        <v>717</v>
      </c>
    </row>
    <row r="56" spans="1:3">
      <c r="A56" t="s">
        <v>35</v>
      </c>
      <c r="B56" t="s">
        <v>323</v>
      </c>
      <c r="C56" s="153" t="s">
        <v>715</v>
      </c>
    </row>
    <row r="57" spans="1:3">
      <c r="A57" t="s">
        <v>35</v>
      </c>
      <c r="B57" t="s">
        <v>324</v>
      </c>
      <c r="C57" s="153" t="s">
        <v>716</v>
      </c>
    </row>
    <row r="58" spans="1:3">
      <c r="A58" t="s">
        <v>35</v>
      </c>
      <c r="B58" t="s">
        <v>325</v>
      </c>
      <c r="C58" s="153" t="s">
        <v>717</v>
      </c>
    </row>
    <row r="59" spans="1:3">
      <c r="A59" t="s">
        <v>35</v>
      </c>
      <c r="B59" t="s">
        <v>326</v>
      </c>
      <c r="C59" s="153" t="s">
        <v>715</v>
      </c>
    </row>
    <row r="60" spans="1:3">
      <c r="A60" t="s">
        <v>35</v>
      </c>
      <c r="B60" t="s">
        <v>327</v>
      </c>
      <c r="C60" s="153" t="s">
        <v>716</v>
      </c>
    </row>
    <row r="61" spans="1:3">
      <c r="A61" t="s">
        <v>35</v>
      </c>
      <c r="B61" t="s">
        <v>328</v>
      </c>
      <c r="C61" s="153" t="s">
        <v>717</v>
      </c>
    </row>
    <row r="62" spans="1:3">
      <c r="A62" t="s">
        <v>35</v>
      </c>
      <c r="B62" t="s">
        <v>329</v>
      </c>
      <c r="C62" s="153" t="s">
        <v>715</v>
      </c>
    </row>
    <row r="63" spans="1:3">
      <c r="A63" t="s">
        <v>35</v>
      </c>
      <c r="B63" t="s">
        <v>330</v>
      </c>
      <c r="C63" s="153" t="s">
        <v>716</v>
      </c>
    </row>
    <row r="64" spans="1:3">
      <c r="A64" t="s">
        <v>35</v>
      </c>
      <c r="B64" t="s">
        <v>331</v>
      </c>
      <c r="C64" s="153" t="s">
        <v>717</v>
      </c>
    </row>
    <row r="65" spans="1:3">
      <c r="A65" t="s">
        <v>35</v>
      </c>
      <c r="B65" t="s">
        <v>332</v>
      </c>
      <c r="C65" s="153" t="s">
        <v>715</v>
      </c>
    </row>
    <row r="66" spans="1:3">
      <c r="A66" t="s">
        <v>35</v>
      </c>
      <c r="B66" t="s">
        <v>333</v>
      </c>
      <c r="C66" s="153" t="s">
        <v>716</v>
      </c>
    </row>
    <row r="67" spans="1:3">
      <c r="A67" t="s">
        <v>35</v>
      </c>
      <c r="B67" t="s">
        <v>334</v>
      </c>
      <c r="C67" s="153" t="s">
        <v>717</v>
      </c>
    </row>
    <row r="68" spans="1:3">
      <c r="A68" t="s">
        <v>35</v>
      </c>
      <c r="B68" t="s">
        <v>335</v>
      </c>
      <c r="C68" s="153" t="s">
        <v>715</v>
      </c>
    </row>
    <row r="69" spans="1:3">
      <c r="A69" t="s">
        <v>35</v>
      </c>
      <c r="B69" t="s">
        <v>336</v>
      </c>
      <c r="C69" s="153" t="s">
        <v>716</v>
      </c>
    </row>
    <row r="70" spans="1:3">
      <c r="A70" t="s">
        <v>35</v>
      </c>
      <c r="B70" t="s">
        <v>337</v>
      </c>
      <c r="C70" s="153" t="s">
        <v>717</v>
      </c>
    </row>
    <row r="71" spans="1:3">
      <c r="A71" t="s">
        <v>35</v>
      </c>
      <c r="B71" t="s">
        <v>338</v>
      </c>
      <c r="C71" s="153" t="s">
        <v>715</v>
      </c>
    </row>
    <row r="72" spans="1:3">
      <c r="A72" t="s">
        <v>35</v>
      </c>
      <c r="B72" t="s">
        <v>339</v>
      </c>
      <c r="C72" s="153" t="s">
        <v>716</v>
      </c>
    </row>
    <row r="73" spans="1:3">
      <c r="A73" t="s">
        <v>35</v>
      </c>
      <c r="B73" t="s">
        <v>340</v>
      </c>
      <c r="C73" s="153" t="s">
        <v>717</v>
      </c>
    </row>
    <row r="74" spans="1:3">
      <c r="A74" t="s">
        <v>35</v>
      </c>
      <c r="B74" t="s">
        <v>341</v>
      </c>
      <c r="C74" s="153" t="s">
        <v>715</v>
      </c>
    </row>
    <row r="75" spans="1:3">
      <c r="A75" t="s">
        <v>35</v>
      </c>
      <c r="B75" t="s">
        <v>342</v>
      </c>
      <c r="C75" s="153" t="s">
        <v>716</v>
      </c>
    </row>
    <row r="76" spans="1:3">
      <c r="A76" t="s">
        <v>35</v>
      </c>
      <c r="B76" t="s">
        <v>343</v>
      </c>
      <c r="C76" s="153" t="s">
        <v>717</v>
      </c>
    </row>
    <row r="77" spans="1:3">
      <c r="A77" t="s">
        <v>35</v>
      </c>
      <c r="B77" t="s">
        <v>344</v>
      </c>
      <c r="C77" s="153" t="s">
        <v>715</v>
      </c>
    </row>
    <row r="78" spans="1:3">
      <c r="A78" t="s">
        <v>35</v>
      </c>
      <c r="B78" t="s">
        <v>345</v>
      </c>
      <c r="C78" s="153" t="s">
        <v>716</v>
      </c>
    </row>
    <row r="79" spans="1:3">
      <c r="A79" t="s">
        <v>35</v>
      </c>
      <c r="B79" t="s">
        <v>346</v>
      </c>
      <c r="C79" s="153" t="s">
        <v>717</v>
      </c>
    </row>
    <row r="80" spans="1:3">
      <c r="A80" t="s">
        <v>35</v>
      </c>
      <c r="B80" t="s">
        <v>347</v>
      </c>
      <c r="C80" s="153" t="s">
        <v>715</v>
      </c>
    </row>
    <row r="81" spans="1:3">
      <c r="A81" t="s">
        <v>35</v>
      </c>
      <c r="B81" t="s">
        <v>348</v>
      </c>
      <c r="C81" s="153" t="s">
        <v>716</v>
      </c>
    </row>
    <row r="82" spans="1:3">
      <c r="A82" t="s">
        <v>35</v>
      </c>
      <c r="B82" t="s">
        <v>349</v>
      </c>
      <c r="C82" s="153" t="s">
        <v>717</v>
      </c>
    </row>
    <row r="83" spans="1:3">
      <c r="A83" t="s">
        <v>35</v>
      </c>
      <c r="B83" t="s">
        <v>350</v>
      </c>
      <c r="C83" s="153" t="s">
        <v>715</v>
      </c>
    </row>
    <row r="84" spans="1:3">
      <c r="A84" t="s">
        <v>35</v>
      </c>
      <c r="B84" t="s">
        <v>351</v>
      </c>
      <c r="C84" s="153" t="s">
        <v>716</v>
      </c>
    </row>
    <row r="85" spans="1:3">
      <c r="A85" t="s">
        <v>35</v>
      </c>
      <c r="B85" t="s">
        <v>352</v>
      </c>
      <c r="C85" s="153" t="s">
        <v>717</v>
      </c>
    </row>
    <row r="86" spans="1:3">
      <c r="A86" t="s">
        <v>35</v>
      </c>
      <c r="B86" t="s">
        <v>353</v>
      </c>
      <c r="C86" s="153" t="s">
        <v>715</v>
      </c>
    </row>
    <row r="87" spans="1:3">
      <c r="A87" t="s">
        <v>35</v>
      </c>
      <c r="B87" t="s">
        <v>354</v>
      </c>
      <c r="C87" s="153" t="s">
        <v>716</v>
      </c>
    </row>
    <row r="88" spans="1:3">
      <c r="A88" t="s">
        <v>35</v>
      </c>
      <c r="B88" t="s">
        <v>355</v>
      </c>
      <c r="C88" s="153" t="s">
        <v>717</v>
      </c>
    </row>
    <row r="89" spans="1:3">
      <c r="A89" t="s">
        <v>35</v>
      </c>
      <c r="B89" t="s">
        <v>356</v>
      </c>
      <c r="C89" s="153" t="s">
        <v>715</v>
      </c>
    </row>
    <row r="90" spans="1:3">
      <c r="A90" t="s">
        <v>35</v>
      </c>
      <c r="B90" t="s">
        <v>357</v>
      </c>
      <c r="C90" s="153" t="s">
        <v>716</v>
      </c>
    </row>
    <row r="91" spans="1:3">
      <c r="A91" t="s">
        <v>35</v>
      </c>
      <c r="B91" t="s">
        <v>358</v>
      </c>
      <c r="C91" s="153" t="s">
        <v>717</v>
      </c>
    </row>
    <row r="92" spans="1:3">
      <c r="A92" t="s">
        <v>35</v>
      </c>
      <c r="B92" t="s">
        <v>359</v>
      </c>
      <c r="C92" s="153" t="s">
        <v>715</v>
      </c>
    </row>
    <row r="93" spans="1:3">
      <c r="A93" t="s">
        <v>35</v>
      </c>
      <c r="B93" t="s">
        <v>360</v>
      </c>
      <c r="C93" s="153" t="s">
        <v>716</v>
      </c>
    </row>
    <row r="94" spans="1:3">
      <c r="A94" t="s">
        <v>35</v>
      </c>
      <c r="B94" t="s">
        <v>361</v>
      </c>
      <c r="C94" s="153" t="s">
        <v>717</v>
      </c>
    </row>
    <row r="95" spans="1:3">
      <c r="A95" t="s">
        <v>35</v>
      </c>
      <c r="B95" t="s">
        <v>362</v>
      </c>
      <c r="C95" s="153" t="s">
        <v>715</v>
      </c>
    </row>
    <row r="96" spans="1:3">
      <c r="A96" t="s">
        <v>35</v>
      </c>
      <c r="B96" t="s">
        <v>363</v>
      </c>
      <c r="C96" s="153" t="s">
        <v>716</v>
      </c>
    </row>
    <row r="97" spans="1:3">
      <c r="A97" t="s">
        <v>35</v>
      </c>
      <c r="B97" t="s">
        <v>364</v>
      </c>
      <c r="C97" s="153" t="s">
        <v>717</v>
      </c>
    </row>
    <row r="98" spans="1:3">
      <c r="A98" t="s">
        <v>35</v>
      </c>
      <c r="B98" t="s">
        <v>365</v>
      </c>
      <c r="C98" s="153" t="s">
        <v>715</v>
      </c>
    </row>
    <row r="99" spans="1:3">
      <c r="A99" t="s">
        <v>35</v>
      </c>
      <c r="B99" t="s">
        <v>366</v>
      </c>
      <c r="C99" s="153" t="s">
        <v>716</v>
      </c>
    </row>
    <row r="100" spans="1:3">
      <c r="A100" t="s">
        <v>35</v>
      </c>
      <c r="B100" t="s">
        <v>367</v>
      </c>
      <c r="C100" s="153" t="s">
        <v>717</v>
      </c>
    </row>
    <row r="101" spans="1:3">
      <c r="A101" t="s">
        <v>35</v>
      </c>
      <c r="B101" t="s">
        <v>368</v>
      </c>
      <c r="C101" s="153" t="s">
        <v>715</v>
      </c>
    </row>
    <row r="102" spans="1:3">
      <c r="A102" t="s">
        <v>35</v>
      </c>
      <c r="B102" t="s">
        <v>369</v>
      </c>
      <c r="C102" s="153" t="s">
        <v>716</v>
      </c>
    </row>
    <row r="103" spans="1:3">
      <c r="A103" t="s">
        <v>35</v>
      </c>
      <c r="B103" t="s">
        <v>370</v>
      </c>
      <c r="C103" s="153" t="s">
        <v>717</v>
      </c>
    </row>
    <row r="104" spans="1:3">
      <c r="A104" t="s">
        <v>35</v>
      </c>
      <c r="B104" t="s">
        <v>371</v>
      </c>
      <c r="C104" s="153" t="s">
        <v>715</v>
      </c>
    </row>
    <row r="105" spans="1:3">
      <c r="A105" t="s">
        <v>35</v>
      </c>
      <c r="B105" t="s">
        <v>372</v>
      </c>
      <c r="C105" s="153" t="s">
        <v>716</v>
      </c>
    </row>
    <row r="106" spans="1:3">
      <c r="A106" t="s">
        <v>35</v>
      </c>
      <c r="B106" t="s">
        <v>373</v>
      </c>
      <c r="C106" s="153" t="s">
        <v>717</v>
      </c>
    </row>
    <row r="107" spans="1:3">
      <c r="A107" t="s">
        <v>35</v>
      </c>
      <c r="B107" t="s">
        <v>374</v>
      </c>
      <c r="C107" s="153" t="s">
        <v>715</v>
      </c>
    </row>
    <row r="108" spans="1:3">
      <c r="A108" t="s">
        <v>35</v>
      </c>
      <c r="B108" t="s">
        <v>375</v>
      </c>
      <c r="C108" s="153" t="s">
        <v>716</v>
      </c>
    </row>
    <row r="109" spans="1:3">
      <c r="A109" t="s">
        <v>35</v>
      </c>
      <c r="B109" t="s">
        <v>376</v>
      </c>
      <c r="C109" s="153" t="s">
        <v>717</v>
      </c>
    </row>
    <row r="110" spans="1:3">
      <c r="A110" t="s">
        <v>35</v>
      </c>
      <c r="B110" t="s">
        <v>377</v>
      </c>
      <c r="C110" s="153" t="s">
        <v>715</v>
      </c>
    </row>
    <row r="111" spans="1:3">
      <c r="A111" t="s">
        <v>35</v>
      </c>
      <c r="B111" t="s">
        <v>378</v>
      </c>
      <c r="C111" s="153" t="s">
        <v>716</v>
      </c>
    </row>
    <row r="112" spans="1:3">
      <c r="A112" t="s">
        <v>35</v>
      </c>
      <c r="B112" t="s">
        <v>379</v>
      </c>
      <c r="C112" s="153" t="s">
        <v>717</v>
      </c>
    </row>
    <row r="113" spans="1:3">
      <c r="A113" t="s">
        <v>35</v>
      </c>
      <c r="B113" t="s">
        <v>380</v>
      </c>
      <c r="C113" s="153" t="s">
        <v>715</v>
      </c>
    </row>
    <row r="114" spans="1:3">
      <c r="A114" t="s">
        <v>35</v>
      </c>
      <c r="B114" t="s">
        <v>381</v>
      </c>
      <c r="C114" s="153" t="s">
        <v>716</v>
      </c>
    </row>
    <row r="115" spans="1:3">
      <c r="A115" t="s">
        <v>35</v>
      </c>
      <c r="B115" t="s">
        <v>382</v>
      </c>
      <c r="C115" s="153" t="s">
        <v>717</v>
      </c>
    </row>
    <row r="116" spans="1:3">
      <c r="A116" t="s">
        <v>35</v>
      </c>
      <c r="B116" t="s">
        <v>383</v>
      </c>
      <c r="C116" s="153" t="s">
        <v>715</v>
      </c>
    </row>
    <row r="117" spans="1:3">
      <c r="A117" t="s">
        <v>35</v>
      </c>
      <c r="B117" t="s">
        <v>384</v>
      </c>
      <c r="C117" s="153" t="s">
        <v>716</v>
      </c>
    </row>
    <row r="118" spans="1:3">
      <c r="A118" t="s">
        <v>35</v>
      </c>
      <c r="B118" t="s">
        <v>385</v>
      </c>
      <c r="C118" s="153" t="s">
        <v>717</v>
      </c>
    </row>
    <row r="119" spans="1:3">
      <c r="A119" t="s">
        <v>35</v>
      </c>
      <c r="B119" t="s">
        <v>386</v>
      </c>
      <c r="C119" s="153" t="s">
        <v>715</v>
      </c>
    </row>
    <row r="120" spans="1:3">
      <c r="A120" t="s">
        <v>35</v>
      </c>
      <c r="B120" t="s">
        <v>387</v>
      </c>
      <c r="C120" s="153" t="s">
        <v>716</v>
      </c>
    </row>
    <row r="121" spans="1:3">
      <c r="A121" t="s">
        <v>35</v>
      </c>
      <c r="B121" t="s">
        <v>388</v>
      </c>
      <c r="C121" s="153" t="s">
        <v>717</v>
      </c>
    </row>
    <row r="122" spans="1:3">
      <c r="A122" t="s">
        <v>35</v>
      </c>
      <c r="B122" t="s">
        <v>389</v>
      </c>
      <c r="C122" s="153" t="s">
        <v>715</v>
      </c>
    </row>
    <row r="123" spans="1:3">
      <c r="A123" t="s">
        <v>35</v>
      </c>
      <c r="B123" t="s">
        <v>390</v>
      </c>
      <c r="C123" s="153" t="s">
        <v>716</v>
      </c>
    </row>
    <row r="124" spans="1:3">
      <c r="A124" t="s">
        <v>35</v>
      </c>
      <c r="B124" t="s">
        <v>391</v>
      </c>
      <c r="C124" s="153" t="s">
        <v>717</v>
      </c>
    </row>
    <row r="125" spans="1:3">
      <c r="A125" t="s">
        <v>35</v>
      </c>
      <c r="B125" t="s">
        <v>392</v>
      </c>
      <c r="C125" s="153" t="s">
        <v>715</v>
      </c>
    </row>
    <row r="126" spans="1:3">
      <c r="A126" t="s">
        <v>35</v>
      </c>
      <c r="B126" t="s">
        <v>393</v>
      </c>
      <c r="C126" s="153" t="s">
        <v>716</v>
      </c>
    </row>
    <row r="127" spans="1:3">
      <c r="A127" t="s">
        <v>35</v>
      </c>
      <c r="B127" t="s">
        <v>394</v>
      </c>
      <c r="C127" s="153" t="s">
        <v>717</v>
      </c>
    </row>
    <row r="128" spans="1:3">
      <c r="A128" t="s">
        <v>35</v>
      </c>
      <c r="B128" t="s">
        <v>395</v>
      </c>
      <c r="C128" s="153" t="s">
        <v>715</v>
      </c>
    </row>
    <row r="129" spans="1:3">
      <c r="A129" t="s">
        <v>35</v>
      </c>
      <c r="B129" t="s">
        <v>396</v>
      </c>
      <c r="C129" s="153" t="s">
        <v>716</v>
      </c>
    </row>
    <row r="130" spans="1:3">
      <c r="A130" t="s">
        <v>35</v>
      </c>
      <c r="B130" t="s">
        <v>397</v>
      </c>
      <c r="C130" s="153" t="s">
        <v>717</v>
      </c>
    </row>
    <row r="131" spans="1:3">
      <c r="A131" t="s">
        <v>35</v>
      </c>
      <c r="B131" t="s">
        <v>398</v>
      </c>
      <c r="C131" s="153" t="s">
        <v>715</v>
      </c>
    </row>
    <row r="132" spans="1:3">
      <c r="A132" t="s">
        <v>35</v>
      </c>
      <c r="B132" t="s">
        <v>399</v>
      </c>
      <c r="C132" s="153" t="s">
        <v>716</v>
      </c>
    </row>
    <row r="133" spans="1:3">
      <c r="A133" t="s">
        <v>35</v>
      </c>
      <c r="B133" t="s">
        <v>400</v>
      </c>
      <c r="C133" s="153" t="s">
        <v>717</v>
      </c>
    </row>
    <row r="134" spans="1:3">
      <c r="A134" t="s">
        <v>35</v>
      </c>
      <c r="B134" t="s">
        <v>401</v>
      </c>
      <c r="C134" s="153" t="s">
        <v>715</v>
      </c>
    </row>
    <row r="135" spans="1:3">
      <c r="A135" t="s">
        <v>35</v>
      </c>
      <c r="B135" t="s">
        <v>402</v>
      </c>
      <c r="C135" s="153" t="s">
        <v>716</v>
      </c>
    </row>
    <row r="136" spans="1:3">
      <c r="A136" t="s">
        <v>35</v>
      </c>
      <c r="B136" t="s">
        <v>403</v>
      </c>
      <c r="C136" s="153" t="s">
        <v>717</v>
      </c>
    </row>
    <row r="137" spans="1:3">
      <c r="A137" t="s">
        <v>35</v>
      </c>
      <c r="B137" t="s">
        <v>404</v>
      </c>
      <c r="C137" s="153" t="s">
        <v>715</v>
      </c>
    </row>
    <row r="138" spans="1:3">
      <c r="A138" t="s">
        <v>35</v>
      </c>
      <c r="B138" t="s">
        <v>405</v>
      </c>
      <c r="C138" s="153" t="s">
        <v>716</v>
      </c>
    </row>
    <row r="139" spans="1:3">
      <c r="A139" t="s">
        <v>35</v>
      </c>
      <c r="B139" t="s">
        <v>406</v>
      </c>
      <c r="C139" s="153" t="s">
        <v>717</v>
      </c>
    </row>
    <row r="140" spans="1:3">
      <c r="A140" t="s">
        <v>35</v>
      </c>
      <c r="B140" t="s">
        <v>407</v>
      </c>
      <c r="C140" s="153" t="s">
        <v>715</v>
      </c>
    </row>
    <row r="141" spans="1:3">
      <c r="A141" t="s">
        <v>35</v>
      </c>
      <c r="B141" t="s">
        <v>408</v>
      </c>
      <c r="C141" s="153" t="s">
        <v>716</v>
      </c>
    </row>
    <row r="142" spans="1:3">
      <c r="A142" t="s">
        <v>35</v>
      </c>
      <c r="B142" t="s">
        <v>409</v>
      </c>
      <c r="C142" s="153" t="s">
        <v>717</v>
      </c>
    </row>
    <row r="143" spans="1:3">
      <c r="A143" t="s">
        <v>35</v>
      </c>
      <c r="B143" t="s">
        <v>410</v>
      </c>
      <c r="C143" s="153" t="s">
        <v>715</v>
      </c>
    </row>
    <row r="144" spans="1:3">
      <c r="A144" t="s">
        <v>35</v>
      </c>
      <c r="B144" t="s">
        <v>411</v>
      </c>
      <c r="C144" s="153" t="s">
        <v>716</v>
      </c>
    </row>
    <row r="145" spans="1:3">
      <c r="A145" t="s">
        <v>35</v>
      </c>
      <c r="B145" t="s">
        <v>412</v>
      </c>
      <c r="C145" s="153" t="s">
        <v>717</v>
      </c>
    </row>
    <row r="146" spans="1:3">
      <c r="A146" t="s">
        <v>35</v>
      </c>
      <c r="B146" t="s">
        <v>413</v>
      </c>
      <c r="C146" s="153" t="s">
        <v>715</v>
      </c>
    </row>
    <row r="147" spans="1:3">
      <c r="A147" t="s">
        <v>35</v>
      </c>
      <c r="B147" t="s">
        <v>414</v>
      </c>
      <c r="C147" s="153" t="s">
        <v>716</v>
      </c>
    </row>
    <row r="148" spans="1:3">
      <c r="A148" t="s">
        <v>35</v>
      </c>
      <c r="B148" t="s">
        <v>415</v>
      </c>
      <c r="C148" s="153" t="s">
        <v>717</v>
      </c>
    </row>
    <row r="149" spans="1:3">
      <c r="A149" t="s">
        <v>35</v>
      </c>
      <c r="B149" t="s">
        <v>416</v>
      </c>
      <c r="C149" s="153" t="s">
        <v>715</v>
      </c>
    </row>
    <row r="150" spans="1:3">
      <c r="A150" t="s">
        <v>35</v>
      </c>
      <c r="B150" t="s">
        <v>417</v>
      </c>
      <c r="C150" s="153" t="s">
        <v>716</v>
      </c>
    </row>
    <row r="151" spans="1:3">
      <c r="A151" t="s">
        <v>35</v>
      </c>
      <c r="B151" t="s">
        <v>418</v>
      </c>
      <c r="C151" s="153" t="s">
        <v>717</v>
      </c>
    </row>
    <row r="152" spans="1:3">
      <c r="A152" t="s">
        <v>35</v>
      </c>
      <c r="B152" t="s">
        <v>419</v>
      </c>
      <c r="C152" s="153" t="s">
        <v>715</v>
      </c>
    </row>
    <row r="153" spans="1:3">
      <c r="A153" t="s">
        <v>35</v>
      </c>
      <c r="B153" t="s">
        <v>420</v>
      </c>
      <c r="C153" s="153" t="s">
        <v>716</v>
      </c>
    </row>
    <row r="154" spans="1:3">
      <c r="A154" t="s">
        <v>35</v>
      </c>
      <c r="B154" t="s">
        <v>421</v>
      </c>
      <c r="C154" s="153" t="s">
        <v>717</v>
      </c>
    </row>
    <row r="155" spans="1:3">
      <c r="A155" t="s">
        <v>35</v>
      </c>
      <c r="B155" t="s">
        <v>422</v>
      </c>
      <c r="C155" s="153" t="s">
        <v>715</v>
      </c>
    </row>
    <row r="156" spans="1:3">
      <c r="A156" t="s">
        <v>35</v>
      </c>
      <c r="B156" t="s">
        <v>423</v>
      </c>
      <c r="C156" s="153" t="s">
        <v>716</v>
      </c>
    </row>
    <row r="157" spans="1:3">
      <c r="A157" t="s">
        <v>35</v>
      </c>
      <c r="B157" t="s">
        <v>424</v>
      </c>
      <c r="C157" s="153" t="s">
        <v>717</v>
      </c>
    </row>
    <row r="158" spans="1:3">
      <c r="A158" t="s">
        <v>35</v>
      </c>
      <c r="B158" t="s">
        <v>425</v>
      </c>
      <c r="C158" s="153" t="s">
        <v>715</v>
      </c>
    </row>
    <row r="159" spans="1:3">
      <c r="A159" t="s">
        <v>35</v>
      </c>
      <c r="B159" t="s">
        <v>426</v>
      </c>
      <c r="C159" s="153" t="s">
        <v>716</v>
      </c>
    </row>
    <row r="160" spans="1:3">
      <c r="A160" t="s">
        <v>35</v>
      </c>
      <c r="B160" t="s">
        <v>427</v>
      </c>
      <c r="C160" s="153" t="s">
        <v>717</v>
      </c>
    </row>
    <row r="161" spans="1:3">
      <c r="A161" t="s">
        <v>35</v>
      </c>
      <c r="B161" t="s">
        <v>428</v>
      </c>
      <c r="C161" s="153" t="s">
        <v>715</v>
      </c>
    </row>
    <row r="162" spans="1:3">
      <c r="A162" t="s">
        <v>35</v>
      </c>
      <c r="B162" t="s">
        <v>429</v>
      </c>
      <c r="C162" s="153" t="s">
        <v>716</v>
      </c>
    </row>
    <row r="163" spans="1:3">
      <c r="A163" t="s">
        <v>35</v>
      </c>
      <c r="B163" t="s">
        <v>430</v>
      </c>
      <c r="C163" s="153" t="s">
        <v>717</v>
      </c>
    </row>
    <row r="164" spans="1:3">
      <c r="A164" t="s">
        <v>35</v>
      </c>
      <c r="B164" t="s">
        <v>431</v>
      </c>
      <c r="C164" s="153" t="s">
        <v>715</v>
      </c>
    </row>
    <row r="165" spans="1:3">
      <c r="A165" t="s">
        <v>35</v>
      </c>
      <c r="B165" t="s">
        <v>432</v>
      </c>
      <c r="C165" s="153" t="s">
        <v>716</v>
      </c>
    </row>
    <row r="166" spans="1:3">
      <c r="A166" t="s">
        <v>35</v>
      </c>
      <c r="B166" t="s">
        <v>433</v>
      </c>
      <c r="C166" s="153" t="s">
        <v>717</v>
      </c>
    </row>
    <row r="167" spans="1:3">
      <c r="A167" t="s">
        <v>35</v>
      </c>
      <c r="B167" t="s">
        <v>434</v>
      </c>
      <c r="C167" s="153" t="s">
        <v>715</v>
      </c>
    </row>
    <row r="168" spans="1:3">
      <c r="A168" t="s">
        <v>35</v>
      </c>
      <c r="B168" t="s">
        <v>435</v>
      </c>
      <c r="C168" s="153" t="s">
        <v>716</v>
      </c>
    </row>
    <row r="169" spans="1:3">
      <c r="A169" t="s">
        <v>35</v>
      </c>
      <c r="B169" t="s">
        <v>436</v>
      </c>
      <c r="C169" s="153" t="s">
        <v>717</v>
      </c>
    </row>
    <row r="170" spans="1:3">
      <c r="A170" t="s">
        <v>35</v>
      </c>
      <c r="B170" t="s">
        <v>437</v>
      </c>
      <c r="C170" s="153" t="s">
        <v>718</v>
      </c>
    </row>
    <row r="171" spans="1:3">
      <c r="A171" t="s">
        <v>35</v>
      </c>
      <c r="B171" t="s">
        <v>438</v>
      </c>
      <c r="C171" s="153" t="s">
        <v>719</v>
      </c>
    </row>
    <row r="172" spans="1:3">
      <c r="A172" t="s">
        <v>35</v>
      </c>
      <c r="B172" t="s">
        <v>439</v>
      </c>
      <c r="C172" s="153" t="s">
        <v>720</v>
      </c>
    </row>
    <row r="173" spans="1:3">
      <c r="A173" t="s">
        <v>35</v>
      </c>
      <c r="B173" t="s">
        <v>440</v>
      </c>
      <c r="C173" s="153" t="s">
        <v>721</v>
      </c>
    </row>
    <row r="174" spans="1:3">
      <c r="A174" t="s">
        <v>35</v>
      </c>
      <c r="B174" t="s">
        <v>441</v>
      </c>
      <c r="C174" s="153" t="s">
        <v>722</v>
      </c>
    </row>
    <row r="175" spans="1:3">
      <c r="A175" t="s">
        <v>35</v>
      </c>
      <c r="B175" t="s">
        <v>442</v>
      </c>
      <c r="C175" s="153" t="s">
        <v>723</v>
      </c>
    </row>
    <row r="176" spans="1:3">
      <c r="A176" t="s">
        <v>35</v>
      </c>
      <c r="B176" t="s">
        <v>443</v>
      </c>
      <c r="C176" s="153" t="s">
        <v>724</v>
      </c>
    </row>
    <row r="177" spans="1:3">
      <c r="A177" t="s">
        <v>35</v>
      </c>
      <c r="B177" t="s">
        <v>444</v>
      </c>
      <c r="C177" s="153" t="s">
        <v>725</v>
      </c>
    </row>
    <row r="178" spans="1:3">
      <c r="A178" t="s">
        <v>35</v>
      </c>
      <c r="B178" t="s">
        <v>445</v>
      </c>
      <c r="C178" s="153" t="s">
        <v>726</v>
      </c>
    </row>
    <row r="179" spans="1:3">
      <c r="A179" t="s">
        <v>35</v>
      </c>
      <c r="B179" t="s">
        <v>446</v>
      </c>
      <c r="C179" s="153" t="s">
        <v>727</v>
      </c>
    </row>
    <row r="180" spans="1:3">
      <c r="A180" t="s">
        <v>35</v>
      </c>
      <c r="B180" t="s">
        <v>447</v>
      </c>
      <c r="C180" s="153" t="s">
        <v>728</v>
      </c>
    </row>
    <row r="181" spans="1:3">
      <c r="A181" t="s">
        <v>35</v>
      </c>
      <c r="B181" t="s">
        <v>448</v>
      </c>
      <c r="C181" s="153" t="s">
        <v>729</v>
      </c>
    </row>
    <row r="182" spans="1:3">
      <c r="A182" t="s">
        <v>35</v>
      </c>
      <c r="B182" t="s">
        <v>449</v>
      </c>
      <c r="C182" s="153" t="s">
        <v>730</v>
      </c>
    </row>
    <row r="183" spans="1:3">
      <c r="A183" t="s">
        <v>35</v>
      </c>
      <c r="B183" t="s">
        <v>450</v>
      </c>
      <c r="C183" s="153" t="s">
        <v>731</v>
      </c>
    </row>
    <row r="184" spans="1:3">
      <c r="A184" t="s">
        <v>35</v>
      </c>
      <c r="B184" t="s">
        <v>451</v>
      </c>
      <c r="C184" s="153" t="s">
        <v>732</v>
      </c>
    </row>
    <row r="185" spans="1:3">
      <c r="A185" t="s">
        <v>35</v>
      </c>
      <c r="B185" t="s">
        <v>452</v>
      </c>
      <c r="C185" s="153" t="s">
        <v>733</v>
      </c>
    </row>
    <row r="186" spans="1:3">
      <c r="A186" t="s">
        <v>35</v>
      </c>
      <c r="B186" t="s">
        <v>453</v>
      </c>
      <c r="C186" s="153" t="s">
        <v>734</v>
      </c>
    </row>
    <row r="187" spans="1:3">
      <c r="A187" t="s">
        <v>35</v>
      </c>
      <c r="B187" t="s">
        <v>454</v>
      </c>
      <c r="C187" s="153" t="s">
        <v>735</v>
      </c>
    </row>
    <row r="188" spans="1:3">
      <c r="A188" t="s">
        <v>35</v>
      </c>
      <c r="B188" t="s">
        <v>455</v>
      </c>
      <c r="C188" s="153" t="s">
        <v>736</v>
      </c>
    </row>
    <row r="189" spans="1:3">
      <c r="A189" t="s">
        <v>35</v>
      </c>
      <c r="B189" t="s">
        <v>456</v>
      </c>
      <c r="C189" s="153" t="s">
        <v>737</v>
      </c>
    </row>
    <row r="190" spans="1:3">
      <c r="A190" t="s">
        <v>35</v>
      </c>
      <c r="B190" t="s">
        <v>457</v>
      </c>
      <c r="C190" s="153" t="s">
        <v>738</v>
      </c>
    </row>
    <row r="191" spans="1:3">
      <c r="A191" t="s">
        <v>35</v>
      </c>
      <c r="B191" t="s">
        <v>458</v>
      </c>
      <c r="C191" s="153" t="s">
        <v>739</v>
      </c>
    </row>
    <row r="192" spans="1:3">
      <c r="A192" t="s">
        <v>35</v>
      </c>
      <c r="B192" t="s">
        <v>459</v>
      </c>
      <c r="C192" s="153" t="s">
        <v>740</v>
      </c>
    </row>
    <row r="193" spans="1:3">
      <c r="A193" t="s">
        <v>35</v>
      </c>
      <c r="B193" t="s">
        <v>460</v>
      </c>
      <c r="C193" s="153" t="s">
        <v>741</v>
      </c>
    </row>
    <row r="194" spans="1:3">
      <c r="A194" t="s">
        <v>35</v>
      </c>
      <c r="B194" t="s">
        <v>461</v>
      </c>
      <c r="C194" s="153" t="s">
        <v>742</v>
      </c>
    </row>
    <row r="195" spans="1:3">
      <c r="A195" t="s">
        <v>35</v>
      </c>
      <c r="B195" t="s">
        <v>462</v>
      </c>
      <c r="C195" s="153" t="s">
        <v>743</v>
      </c>
    </row>
    <row r="196" spans="1:3">
      <c r="A196" t="s">
        <v>35</v>
      </c>
      <c r="B196" t="s">
        <v>463</v>
      </c>
      <c r="C196" s="153" t="s">
        <v>744</v>
      </c>
    </row>
    <row r="197" spans="1:3">
      <c r="A197" t="s">
        <v>35</v>
      </c>
      <c r="B197" t="s">
        <v>464</v>
      </c>
      <c r="C197" s="153" t="s">
        <v>745</v>
      </c>
    </row>
    <row r="198" spans="1:3">
      <c r="A198" t="s">
        <v>35</v>
      </c>
      <c r="B198" t="s">
        <v>465</v>
      </c>
      <c r="C198" s="153" t="s">
        <v>746</v>
      </c>
    </row>
    <row r="199" spans="1:3">
      <c r="A199" t="s">
        <v>35</v>
      </c>
      <c r="B199" t="s">
        <v>466</v>
      </c>
      <c r="C199" s="153" t="s">
        <v>747</v>
      </c>
    </row>
    <row r="200" spans="1:3">
      <c r="A200" t="s">
        <v>35</v>
      </c>
      <c r="B200" t="s">
        <v>467</v>
      </c>
      <c r="C200" s="153" t="s">
        <v>748</v>
      </c>
    </row>
    <row r="201" spans="1:3">
      <c r="A201" t="s">
        <v>35</v>
      </c>
      <c r="B201" t="s">
        <v>468</v>
      </c>
      <c r="C201" s="153" t="s">
        <v>749</v>
      </c>
    </row>
    <row r="202" spans="1:3">
      <c r="A202" t="s">
        <v>35</v>
      </c>
      <c r="B202" t="s">
        <v>469</v>
      </c>
      <c r="C202" s="153" t="s">
        <v>750</v>
      </c>
    </row>
    <row r="203" spans="1:3">
      <c r="A203" t="s">
        <v>35</v>
      </c>
      <c r="B203" t="s">
        <v>470</v>
      </c>
      <c r="C203" s="153" t="s">
        <v>751</v>
      </c>
    </row>
    <row r="204" spans="1:3">
      <c r="A204" t="s">
        <v>35</v>
      </c>
      <c r="B204" t="s">
        <v>471</v>
      </c>
      <c r="C204" s="153" t="s">
        <v>752</v>
      </c>
    </row>
    <row r="205" spans="1:3">
      <c r="A205" t="s">
        <v>35</v>
      </c>
      <c r="B205" t="s">
        <v>472</v>
      </c>
      <c r="C205" s="153" t="s">
        <v>753</v>
      </c>
    </row>
    <row r="206" spans="1:3">
      <c r="A206" t="s">
        <v>35</v>
      </c>
      <c r="B206" t="s">
        <v>473</v>
      </c>
      <c r="C206" s="153" t="s">
        <v>754</v>
      </c>
    </row>
    <row r="207" spans="1:3">
      <c r="A207" t="s">
        <v>35</v>
      </c>
      <c r="B207" t="s">
        <v>474</v>
      </c>
      <c r="C207" s="153" t="s">
        <v>755</v>
      </c>
    </row>
    <row r="208" spans="1:3">
      <c r="A208" t="s">
        <v>35</v>
      </c>
      <c r="B208" t="s">
        <v>475</v>
      </c>
      <c r="C208" s="153" t="s">
        <v>756</v>
      </c>
    </row>
    <row r="209" spans="1:3">
      <c r="A209" t="s">
        <v>35</v>
      </c>
      <c r="B209" t="s">
        <v>476</v>
      </c>
      <c r="C209" s="153" t="s">
        <v>757</v>
      </c>
    </row>
    <row r="210" spans="1:3">
      <c r="A210" t="s">
        <v>35</v>
      </c>
      <c r="B210" t="s">
        <v>477</v>
      </c>
      <c r="C210" s="153" t="s">
        <v>758</v>
      </c>
    </row>
    <row r="211" spans="1:3">
      <c r="A211" t="s">
        <v>35</v>
      </c>
      <c r="B211" t="s">
        <v>478</v>
      </c>
      <c r="C211" s="153" t="s">
        <v>759</v>
      </c>
    </row>
    <row r="212" spans="1:3">
      <c r="A212" t="s">
        <v>35</v>
      </c>
      <c r="B212" t="s">
        <v>479</v>
      </c>
      <c r="C212" s="153" t="s">
        <v>760</v>
      </c>
    </row>
    <row r="213" spans="1:3">
      <c r="A213" t="s">
        <v>35</v>
      </c>
      <c r="B213" t="s">
        <v>480</v>
      </c>
      <c r="C213" s="153" t="s">
        <v>761</v>
      </c>
    </row>
    <row r="214" spans="1:3">
      <c r="A214" t="s">
        <v>35</v>
      </c>
      <c r="B214" t="s">
        <v>481</v>
      </c>
      <c r="C214" s="153" t="s">
        <v>762</v>
      </c>
    </row>
    <row r="215" spans="1:3">
      <c r="A215" t="s">
        <v>35</v>
      </c>
      <c r="B215" t="s">
        <v>482</v>
      </c>
      <c r="C215" s="153" t="s">
        <v>763</v>
      </c>
    </row>
    <row r="216" spans="1:3">
      <c r="A216" t="s">
        <v>35</v>
      </c>
      <c r="B216" t="s">
        <v>483</v>
      </c>
      <c r="C216" s="153" t="s">
        <v>764</v>
      </c>
    </row>
    <row r="217" spans="1:3">
      <c r="A217" t="s">
        <v>35</v>
      </c>
      <c r="B217" t="s">
        <v>484</v>
      </c>
      <c r="C217" s="153" t="s">
        <v>765</v>
      </c>
    </row>
    <row r="218" spans="1:3">
      <c r="A218" t="s">
        <v>35</v>
      </c>
      <c r="B218" t="s">
        <v>485</v>
      </c>
      <c r="C218" s="153" t="s">
        <v>766</v>
      </c>
    </row>
    <row r="219" spans="1:3">
      <c r="A219" t="s">
        <v>35</v>
      </c>
      <c r="B219" t="s">
        <v>486</v>
      </c>
      <c r="C219" s="153" t="s">
        <v>767</v>
      </c>
    </row>
    <row r="220" spans="1:3">
      <c r="A220" t="s">
        <v>35</v>
      </c>
      <c r="B220" t="s">
        <v>487</v>
      </c>
      <c r="C220" s="153" t="s">
        <v>768</v>
      </c>
    </row>
    <row r="221" spans="1:3">
      <c r="A221" t="s">
        <v>35</v>
      </c>
      <c r="B221" t="s">
        <v>488</v>
      </c>
      <c r="C221" s="153" t="s">
        <v>769</v>
      </c>
    </row>
    <row r="222" spans="1:3">
      <c r="A222" t="s">
        <v>35</v>
      </c>
      <c r="B222" t="s">
        <v>489</v>
      </c>
      <c r="C222" s="153" t="s">
        <v>770</v>
      </c>
    </row>
    <row r="223" spans="1:3">
      <c r="A223" t="s">
        <v>35</v>
      </c>
      <c r="B223" t="s">
        <v>490</v>
      </c>
      <c r="C223" s="153" t="s">
        <v>771</v>
      </c>
    </row>
    <row r="224" spans="1:3">
      <c r="A224" t="s">
        <v>35</v>
      </c>
      <c r="B224" t="s">
        <v>491</v>
      </c>
      <c r="C224" s="153" t="s">
        <v>772</v>
      </c>
    </row>
    <row r="225" spans="1:3">
      <c r="A225" t="s">
        <v>35</v>
      </c>
      <c r="B225" t="s">
        <v>492</v>
      </c>
      <c r="C225" s="153" t="s">
        <v>773</v>
      </c>
    </row>
    <row r="226" spans="1:3">
      <c r="A226" t="s">
        <v>493</v>
      </c>
      <c r="B226" t="s">
        <v>271</v>
      </c>
      <c r="C226" s="153" t="s">
        <v>774</v>
      </c>
    </row>
    <row r="227" spans="1:3">
      <c r="A227" t="s">
        <v>493</v>
      </c>
      <c r="B227" t="s">
        <v>494</v>
      </c>
      <c r="C227" s="153" t="s">
        <v>775</v>
      </c>
    </row>
    <row r="228" spans="1:3">
      <c r="A228" t="s">
        <v>493</v>
      </c>
      <c r="B228" t="s">
        <v>495</v>
      </c>
      <c r="C228" s="153" t="s">
        <v>776</v>
      </c>
    </row>
    <row r="229" spans="1:3">
      <c r="A229" t="s">
        <v>493</v>
      </c>
      <c r="B229" t="s">
        <v>496</v>
      </c>
      <c r="C229" s="153" t="s">
        <v>777</v>
      </c>
    </row>
    <row r="230" spans="1:3">
      <c r="A230" t="s">
        <v>493</v>
      </c>
      <c r="B230" t="s">
        <v>497</v>
      </c>
      <c r="C230" s="153" t="s">
        <v>778</v>
      </c>
    </row>
    <row r="231" spans="1:3">
      <c r="A231" t="s">
        <v>493</v>
      </c>
      <c r="B231" t="s">
        <v>498</v>
      </c>
      <c r="C231" s="153" t="s">
        <v>779</v>
      </c>
    </row>
    <row r="232" spans="1:3">
      <c r="A232" t="s">
        <v>493</v>
      </c>
      <c r="B232" t="s">
        <v>499</v>
      </c>
      <c r="C232" s="153" t="s">
        <v>780</v>
      </c>
    </row>
    <row r="233" spans="1:3">
      <c r="A233" t="s">
        <v>493</v>
      </c>
      <c r="B233" t="s">
        <v>500</v>
      </c>
      <c r="C233" s="153" t="s">
        <v>781</v>
      </c>
    </row>
    <row r="234" spans="1:3">
      <c r="A234" t="s">
        <v>493</v>
      </c>
      <c r="B234" t="s">
        <v>274</v>
      </c>
      <c r="C234" s="153" t="s">
        <v>782</v>
      </c>
    </row>
    <row r="235" spans="1:3">
      <c r="A235" t="s">
        <v>493</v>
      </c>
      <c r="B235" t="s">
        <v>501</v>
      </c>
      <c r="C235" s="153" t="s">
        <v>775</v>
      </c>
    </row>
    <row r="236" spans="1:3">
      <c r="A236" t="s">
        <v>493</v>
      </c>
      <c r="B236" t="s">
        <v>502</v>
      </c>
      <c r="C236" s="153" t="s">
        <v>783</v>
      </c>
    </row>
    <row r="237" spans="1:3">
      <c r="A237" t="s">
        <v>493</v>
      </c>
      <c r="B237" t="s">
        <v>503</v>
      </c>
      <c r="C237" s="153" t="s">
        <v>784</v>
      </c>
    </row>
    <row r="238" spans="1:3">
      <c r="A238" t="s">
        <v>493</v>
      </c>
      <c r="B238" t="s">
        <v>504</v>
      </c>
      <c r="C238" s="153" t="s">
        <v>785</v>
      </c>
    </row>
    <row r="239" spans="1:3">
      <c r="A239" t="s">
        <v>493</v>
      </c>
      <c r="B239" t="s">
        <v>505</v>
      </c>
      <c r="C239" s="153" t="s">
        <v>786</v>
      </c>
    </row>
    <row r="240" spans="1:3">
      <c r="A240" t="s">
        <v>493</v>
      </c>
      <c r="B240" t="s">
        <v>506</v>
      </c>
      <c r="C240" s="153" t="s">
        <v>787</v>
      </c>
    </row>
    <row r="241" spans="1:3">
      <c r="A241" t="s">
        <v>493</v>
      </c>
      <c r="B241" t="s">
        <v>507</v>
      </c>
      <c r="C241" s="153" t="s">
        <v>788</v>
      </c>
    </row>
    <row r="242" spans="1:3">
      <c r="A242" t="s">
        <v>493</v>
      </c>
      <c r="B242" t="s">
        <v>277</v>
      </c>
      <c r="C242" s="153" t="s">
        <v>789</v>
      </c>
    </row>
    <row r="243" spans="1:3">
      <c r="A243" t="s">
        <v>493</v>
      </c>
      <c r="B243" t="s">
        <v>508</v>
      </c>
      <c r="C243" s="153" t="s">
        <v>775</v>
      </c>
    </row>
    <row r="244" spans="1:3">
      <c r="A244" t="s">
        <v>493</v>
      </c>
      <c r="B244" t="s">
        <v>509</v>
      </c>
      <c r="C244" s="153" t="s">
        <v>790</v>
      </c>
    </row>
    <row r="245" spans="1:3">
      <c r="A245" t="s">
        <v>493</v>
      </c>
      <c r="B245" t="s">
        <v>510</v>
      </c>
      <c r="C245" s="153" t="s">
        <v>791</v>
      </c>
    </row>
    <row r="246" spans="1:3">
      <c r="A246" t="s">
        <v>493</v>
      </c>
      <c r="B246" t="s">
        <v>511</v>
      </c>
      <c r="C246" s="153" t="s">
        <v>792</v>
      </c>
    </row>
    <row r="247" spans="1:3">
      <c r="A247" t="s">
        <v>493</v>
      </c>
      <c r="B247" t="s">
        <v>512</v>
      </c>
      <c r="C247" s="153" t="s">
        <v>793</v>
      </c>
    </row>
    <row r="248" spans="1:3">
      <c r="A248" t="s">
        <v>493</v>
      </c>
      <c r="B248" t="s">
        <v>513</v>
      </c>
      <c r="C248" s="153" t="s">
        <v>794</v>
      </c>
    </row>
    <row r="249" spans="1:3">
      <c r="A249" t="s">
        <v>493</v>
      </c>
      <c r="B249" t="s">
        <v>514</v>
      </c>
      <c r="C249" s="153" t="s">
        <v>795</v>
      </c>
    </row>
    <row r="250" spans="1:3">
      <c r="A250" t="s">
        <v>493</v>
      </c>
      <c r="B250" t="s">
        <v>280</v>
      </c>
      <c r="C250" s="153" t="s">
        <v>796</v>
      </c>
    </row>
    <row r="251" spans="1:3">
      <c r="A251" t="s">
        <v>493</v>
      </c>
      <c r="B251" t="s">
        <v>515</v>
      </c>
      <c r="C251" s="153" t="s">
        <v>775</v>
      </c>
    </row>
    <row r="252" spans="1:3">
      <c r="A252" t="s">
        <v>493</v>
      </c>
      <c r="B252" t="s">
        <v>516</v>
      </c>
      <c r="C252" s="153" t="s">
        <v>797</v>
      </c>
    </row>
    <row r="253" spans="1:3">
      <c r="A253" t="s">
        <v>493</v>
      </c>
      <c r="B253" t="s">
        <v>517</v>
      </c>
      <c r="C253" s="153" t="s">
        <v>798</v>
      </c>
    </row>
    <row r="254" spans="1:3">
      <c r="A254" t="s">
        <v>493</v>
      </c>
      <c r="B254" t="s">
        <v>518</v>
      </c>
      <c r="C254" s="153" t="s">
        <v>799</v>
      </c>
    </row>
    <row r="255" spans="1:3">
      <c r="A255" t="s">
        <v>493</v>
      </c>
      <c r="B255" t="s">
        <v>519</v>
      </c>
      <c r="C255" s="153" t="s">
        <v>800</v>
      </c>
    </row>
    <row r="256" spans="1:3">
      <c r="A256" t="s">
        <v>493</v>
      </c>
      <c r="B256" t="s">
        <v>520</v>
      </c>
      <c r="C256" s="153" t="s">
        <v>801</v>
      </c>
    </row>
    <row r="257" spans="1:3">
      <c r="A257" t="s">
        <v>493</v>
      </c>
      <c r="B257" t="s">
        <v>521</v>
      </c>
      <c r="C257" s="153" t="s">
        <v>802</v>
      </c>
    </row>
    <row r="258" spans="1:3">
      <c r="A258" t="s">
        <v>493</v>
      </c>
      <c r="B258" t="s">
        <v>283</v>
      </c>
      <c r="C258" s="153" t="s">
        <v>803</v>
      </c>
    </row>
    <row r="259" spans="1:3">
      <c r="A259" t="s">
        <v>493</v>
      </c>
      <c r="B259" t="s">
        <v>522</v>
      </c>
      <c r="C259" s="153" t="s">
        <v>775</v>
      </c>
    </row>
    <row r="260" spans="1:3">
      <c r="A260" t="s">
        <v>493</v>
      </c>
      <c r="B260" t="s">
        <v>523</v>
      </c>
      <c r="C260" s="153" t="s">
        <v>804</v>
      </c>
    </row>
    <row r="261" spans="1:3">
      <c r="A261" t="s">
        <v>493</v>
      </c>
      <c r="B261" t="s">
        <v>524</v>
      </c>
      <c r="C261" s="153" t="s">
        <v>805</v>
      </c>
    </row>
    <row r="262" spans="1:3">
      <c r="A262" t="s">
        <v>493</v>
      </c>
      <c r="B262" t="s">
        <v>525</v>
      </c>
      <c r="C262" s="153" t="s">
        <v>806</v>
      </c>
    </row>
    <row r="263" spans="1:3">
      <c r="A263" t="s">
        <v>493</v>
      </c>
      <c r="B263" t="s">
        <v>526</v>
      </c>
      <c r="C263" s="153" t="s">
        <v>807</v>
      </c>
    </row>
    <row r="264" spans="1:3">
      <c r="A264" t="s">
        <v>493</v>
      </c>
      <c r="B264" t="s">
        <v>527</v>
      </c>
      <c r="C264" s="153" t="s">
        <v>808</v>
      </c>
    </row>
    <row r="265" spans="1:3">
      <c r="A265" t="s">
        <v>493</v>
      </c>
      <c r="B265" t="s">
        <v>528</v>
      </c>
      <c r="C265" s="153" t="s">
        <v>809</v>
      </c>
    </row>
    <row r="266" spans="1:3">
      <c r="A266" t="s">
        <v>493</v>
      </c>
      <c r="B266" t="s">
        <v>286</v>
      </c>
      <c r="C266" s="153" t="s">
        <v>810</v>
      </c>
    </row>
    <row r="267" spans="1:3">
      <c r="A267" t="s">
        <v>493</v>
      </c>
      <c r="B267" t="s">
        <v>529</v>
      </c>
      <c r="C267" s="153" t="s">
        <v>775</v>
      </c>
    </row>
    <row r="268" spans="1:3">
      <c r="A268" t="s">
        <v>493</v>
      </c>
      <c r="B268" t="s">
        <v>530</v>
      </c>
      <c r="C268" s="153" t="s">
        <v>811</v>
      </c>
    </row>
    <row r="269" spans="1:3">
      <c r="A269" t="s">
        <v>493</v>
      </c>
      <c r="B269" t="s">
        <v>531</v>
      </c>
      <c r="C269" s="153" t="s">
        <v>812</v>
      </c>
    </row>
    <row r="270" spans="1:3">
      <c r="A270" t="s">
        <v>493</v>
      </c>
      <c r="B270" t="s">
        <v>532</v>
      </c>
      <c r="C270" s="153" t="s">
        <v>813</v>
      </c>
    </row>
    <row r="271" spans="1:3">
      <c r="A271" t="s">
        <v>493</v>
      </c>
      <c r="B271" t="s">
        <v>533</v>
      </c>
      <c r="C271" s="153" t="s">
        <v>814</v>
      </c>
    </row>
    <row r="272" spans="1:3">
      <c r="A272" t="s">
        <v>493</v>
      </c>
      <c r="B272" t="s">
        <v>534</v>
      </c>
      <c r="C272" s="153" t="s">
        <v>815</v>
      </c>
    </row>
    <row r="273" spans="1:3">
      <c r="A273" t="s">
        <v>493</v>
      </c>
      <c r="B273" t="s">
        <v>535</v>
      </c>
      <c r="C273" s="153" t="s">
        <v>816</v>
      </c>
    </row>
    <row r="274" spans="1:3">
      <c r="A274" t="s">
        <v>493</v>
      </c>
      <c r="B274" t="s">
        <v>289</v>
      </c>
      <c r="C274" s="153" t="s">
        <v>817</v>
      </c>
    </row>
    <row r="275" spans="1:3">
      <c r="A275" t="s">
        <v>493</v>
      </c>
      <c r="B275" t="s">
        <v>536</v>
      </c>
      <c r="C275" s="153" t="s">
        <v>775</v>
      </c>
    </row>
    <row r="276" spans="1:3">
      <c r="A276" t="s">
        <v>493</v>
      </c>
      <c r="B276" t="s">
        <v>537</v>
      </c>
      <c r="C276" s="153" t="s">
        <v>818</v>
      </c>
    </row>
    <row r="277" spans="1:3">
      <c r="A277" t="s">
        <v>493</v>
      </c>
      <c r="B277" t="s">
        <v>538</v>
      </c>
      <c r="C277" s="153" t="s">
        <v>819</v>
      </c>
    </row>
    <row r="278" spans="1:3">
      <c r="A278" t="s">
        <v>493</v>
      </c>
      <c r="B278" t="s">
        <v>539</v>
      </c>
      <c r="C278" s="153" t="s">
        <v>820</v>
      </c>
    </row>
    <row r="279" spans="1:3">
      <c r="A279" t="s">
        <v>493</v>
      </c>
      <c r="B279" t="s">
        <v>540</v>
      </c>
      <c r="C279" s="153" t="s">
        <v>821</v>
      </c>
    </row>
    <row r="280" spans="1:3">
      <c r="A280" t="s">
        <v>493</v>
      </c>
      <c r="B280" t="s">
        <v>541</v>
      </c>
      <c r="C280" s="153" t="s">
        <v>822</v>
      </c>
    </row>
    <row r="281" spans="1:3">
      <c r="A281" t="s">
        <v>493</v>
      </c>
      <c r="B281" t="s">
        <v>542</v>
      </c>
      <c r="C281" s="153" t="s">
        <v>823</v>
      </c>
    </row>
    <row r="282" spans="1:3">
      <c r="A282" t="s">
        <v>543</v>
      </c>
      <c r="B282" t="s">
        <v>544</v>
      </c>
      <c r="C282" s="153" t="s">
        <v>824</v>
      </c>
    </row>
    <row r="283" spans="1:3">
      <c r="A283" t="s">
        <v>543</v>
      </c>
      <c r="B283" t="s">
        <v>545</v>
      </c>
      <c r="C283" s="153" t="s">
        <v>825</v>
      </c>
    </row>
    <row r="284" spans="1:3">
      <c r="A284" t="s">
        <v>543</v>
      </c>
      <c r="B284" t="s">
        <v>546</v>
      </c>
      <c r="C284" s="153" t="s">
        <v>826</v>
      </c>
    </row>
    <row r="285" spans="1:3">
      <c r="A285" t="s">
        <v>543</v>
      </c>
      <c r="B285" t="s">
        <v>547</v>
      </c>
      <c r="C285" s="153" t="s">
        <v>826</v>
      </c>
    </row>
    <row r="286" spans="1:3">
      <c r="A286" t="s">
        <v>543</v>
      </c>
      <c r="B286" t="s">
        <v>548</v>
      </c>
      <c r="C286" s="153" t="s">
        <v>826</v>
      </c>
    </row>
    <row r="287" spans="1:3">
      <c r="A287" t="s">
        <v>543</v>
      </c>
      <c r="B287" t="s">
        <v>549</v>
      </c>
      <c r="C287" s="153" t="s">
        <v>826</v>
      </c>
    </row>
    <row r="288" spans="1:3">
      <c r="A288" t="s">
        <v>543</v>
      </c>
      <c r="B288" t="s">
        <v>550</v>
      </c>
      <c r="C288" s="153" t="s">
        <v>826</v>
      </c>
    </row>
    <row r="289" spans="1:3">
      <c r="A289" t="s">
        <v>543</v>
      </c>
      <c r="B289" t="s">
        <v>551</v>
      </c>
      <c r="C289" s="153" t="s">
        <v>826</v>
      </c>
    </row>
    <row r="290" spans="1:3">
      <c r="A290" t="s">
        <v>543</v>
      </c>
      <c r="B290" t="s">
        <v>552</v>
      </c>
      <c r="C290" s="153" t="s">
        <v>826</v>
      </c>
    </row>
    <row r="291" spans="1:3">
      <c r="A291" t="s">
        <v>543</v>
      </c>
      <c r="B291" t="s">
        <v>553</v>
      </c>
      <c r="C291" s="153" t="s">
        <v>826</v>
      </c>
    </row>
    <row r="292" spans="1:3">
      <c r="A292" t="s">
        <v>543</v>
      </c>
      <c r="B292" t="s">
        <v>554</v>
      </c>
      <c r="C292" s="153" t="s">
        <v>826</v>
      </c>
    </row>
    <row r="293" spans="1:3">
      <c r="A293" t="s">
        <v>543</v>
      </c>
      <c r="B293" t="s">
        <v>555</v>
      </c>
      <c r="C293" s="153" t="s">
        <v>826</v>
      </c>
    </row>
    <row r="294" spans="1:3">
      <c r="A294" t="s">
        <v>543</v>
      </c>
      <c r="B294" t="s">
        <v>556</v>
      </c>
      <c r="C294" s="153" t="s">
        <v>826</v>
      </c>
    </row>
    <row r="295" spans="1:3">
      <c r="A295" t="s">
        <v>543</v>
      </c>
      <c r="B295" t="s">
        <v>557</v>
      </c>
      <c r="C295" s="153" t="s">
        <v>826</v>
      </c>
    </row>
    <row r="296" spans="1:3">
      <c r="A296" t="s">
        <v>543</v>
      </c>
      <c r="B296" t="s">
        <v>558</v>
      </c>
      <c r="C296" s="153" t="s">
        <v>826</v>
      </c>
    </row>
    <row r="297" spans="1:3">
      <c r="A297" t="s">
        <v>543</v>
      </c>
      <c r="B297" t="s">
        <v>559</v>
      </c>
      <c r="C297" s="153" t="s">
        <v>826</v>
      </c>
    </row>
    <row r="298" spans="1:3">
      <c r="A298" t="s">
        <v>543</v>
      </c>
      <c r="B298" t="s">
        <v>560</v>
      </c>
      <c r="C298" s="153" t="s">
        <v>826</v>
      </c>
    </row>
    <row r="299" spans="1:3">
      <c r="A299" t="s">
        <v>543</v>
      </c>
      <c r="B299" t="s">
        <v>561</v>
      </c>
      <c r="C299" s="153" t="s">
        <v>826</v>
      </c>
    </row>
    <row r="300" spans="1:3">
      <c r="A300" t="s">
        <v>543</v>
      </c>
      <c r="B300" t="s">
        <v>562</v>
      </c>
      <c r="C300" s="153" t="s">
        <v>826</v>
      </c>
    </row>
    <row r="301" spans="1:3">
      <c r="A301" t="s">
        <v>543</v>
      </c>
      <c r="B301" t="s">
        <v>563</v>
      </c>
      <c r="C301" s="153" t="s">
        <v>826</v>
      </c>
    </row>
    <row r="302" spans="1:3">
      <c r="A302" t="s">
        <v>543</v>
      </c>
      <c r="B302" t="s">
        <v>564</v>
      </c>
      <c r="C302" s="153" t="s">
        <v>826</v>
      </c>
    </row>
    <row r="303" spans="1:3">
      <c r="A303" t="s">
        <v>543</v>
      </c>
      <c r="B303" t="s">
        <v>565</v>
      </c>
      <c r="C303" s="153" t="s">
        <v>826</v>
      </c>
    </row>
    <row r="304" spans="1:3">
      <c r="A304" t="s">
        <v>543</v>
      </c>
      <c r="B304" t="s">
        <v>566</v>
      </c>
      <c r="C304" s="153" t="s">
        <v>826</v>
      </c>
    </row>
    <row r="305" spans="1:3">
      <c r="A305" t="s">
        <v>543</v>
      </c>
      <c r="B305" t="s">
        <v>567</v>
      </c>
      <c r="C305" s="153" t="s">
        <v>826</v>
      </c>
    </row>
    <row r="306" spans="1:3">
      <c r="A306" t="s">
        <v>543</v>
      </c>
      <c r="B306" t="s">
        <v>285</v>
      </c>
      <c r="C306" s="153" t="s">
        <v>827</v>
      </c>
    </row>
    <row r="307" spans="1:3">
      <c r="A307" t="s">
        <v>543</v>
      </c>
      <c r="B307" t="s">
        <v>288</v>
      </c>
      <c r="C307" s="153" t="s">
        <v>828</v>
      </c>
    </row>
    <row r="308" spans="1:3">
      <c r="A308" t="s">
        <v>543</v>
      </c>
      <c r="B308" t="s">
        <v>291</v>
      </c>
      <c r="C308" s="153" t="s">
        <v>829</v>
      </c>
    </row>
    <row r="309" spans="1:3">
      <c r="A309" t="s">
        <v>543</v>
      </c>
      <c r="B309" t="s">
        <v>294</v>
      </c>
      <c r="C309" s="153" t="s">
        <v>830</v>
      </c>
    </row>
    <row r="310" spans="1:3">
      <c r="A310" t="s">
        <v>543</v>
      </c>
      <c r="B310" t="s">
        <v>297</v>
      </c>
      <c r="C310" s="153" t="s">
        <v>831</v>
      </c>
    </row>
    <row r="311" spans="1:3">
      <c r="A311" t="s">
        <v>543</v>
      </c>
      <c r="B311" t="s">
        <v>300</v>
      </c>
      <c r="C311" s="153" t="s">
        <v>832</v>
      </c>
    </row>
    <row r="312" spans="1:3">
      <c r="A312" t="s">
        <v>543</v>
      </c>
      <c r="B312" t="s">
        <v>303</v>
      </c>
      <c r="C312" s="153" t="s">
        <v>833</v>
      </c>
    </row>
    <row r="313" spans="1:3">
      <c r="A313" t="s">
        <v>543</v>
      </c>
      <c r="B313" t="s">
        <v>306</v>
      </c>
      <c r="C313" s="153" t="s">
        <v>834</v>
      </c>
    </row>
    <row r="314" spans="1:3">
      <c r="A314" t="s">
        <v>543</v>
      </c>
      <c r="B314" t="s">
        <v>309</v>
      </c>
      <c r="C314" s="153" t="s">
        <v>835</v>
      </c>
    </row>
    <row r="315" spans="1:3">
      <c r="A315" t="s">
        <v>543</v>
      </c>
      <c r="B315" t="s">
        <v>312</v>
      </c>
      <c r="C315" s="153" t="s">
        <v>836</v>
      </c>
    </row>
    <row r="316" spans="1:3">
      <c r="A316" t="s">
        <v>543</v>
      </c>
      <c r="B316" t="s">
        <v>315</v>
      </c>
      <c r="C316" s="153" t="s">
        <v>837</v>
      </c>
    </row>
    <row r="317" spans="1:3">
      <c r="A317" t="s">
        <v>543</v>
      </c>
      <c r="B317" t="s">
        <v>318</v>
      </c>
      <c r="C317" s="153" t="s">
        <v>838</v>
      </c>
    </row>
    <row r="318" spans="1:3">
      <c r="A318" t="s">
        <v>543</v>
      </c>
      <c r="B318" t="s">
        <v>321</v>
      </c>
      <c r="C318" s="153" t="s">
        <v>839</v>
      </c>
    </row>
    <row r="319" spans="1:3">
      <c r="A319" t="s">
        <v>543</v>
      </c>
      <c r="B319" t="s">
        <v>324</v>
      </c>
      <c r="C319" s="153" t="s">
        <v>840</v>
      </c>
    </row>
    <row r="320" spans="1:3">
      <c r="A320" t="s">
        <v>543</v>
      </c>
      <c r="B320" t="s">
        <v>327</v>
      </c>
      <c r="C320" s="153" t="s">
        <v>841</v>
      </c>
    </row>
    <row r="321" spans="1:3">
      <c r="A321" t="s">
        <v>543</v>
      </c>
      <c r="B321" t="s">
        <v>330</v>
      </c>
      <c r="C321" s="153" t="s">
        <v>842</v>
      </c>
    </row>
    <row r="322" spans="1:3">
      <c r="A322" t="s">
        <v>543</v>
      </c>
      <c r="B322" t="s">
        <v>333</v>
      </c>
      <c r="C322" s="153" t="s">
        <v>843</v>
      </c>
    </row>
    <row r="323" spans="1:3">
      <c r="A323" t="s">
        <v>543</v>
      </c>
      <c r="B323" t="s">
        <v>336</v>
      </c>
      <c r="C323" s="153" t="s">
        <v>844</v>
      </c>
    </row>
    <row r="324" spans="1:3">
      <c r="A324" t="s">
        <v>543</v>
      </c>
      <c r="B324" t="s">
        <v>339</v>
      </c>
      <c r="C324" s="153" t="s">
        <v>845</v>
      </c>
    </row>
    <row r="325" spans="1:3">
      <c r="A325" t="s">
        <v>543</v>
      </c>
      <c r="B325" t="s">
        <v>342</v>
      </c>
      <c r="C325" s="153" t="s">
        <v>846</v>
      </c>
    </row>
    <row r="326" spans="1:3">
      <c r="A326" t="s">
        <v>543</v>
      </c>
      <c r="B326" t="s">
        <v>345</v>
      </c>
      <c r="C326" s="153" t="s">
        <v>847</v>
      </c>
    </row>
    <row r="327" spans="1:3">
      <c r="A327" t="s">
        <v>543</v>
      </c>
      <c r="B327" t="s">
        <v>348</v>
      </c>
      <c r="C327" s="153" t="s">
        <v>848</v>
      </c>
    </row>
    <row r="328" spans="1:3">
      <c r="A328" t="s">
        <v>543</v>
      </c>
      <c r="B328" t="s">
        <v>351</v>
      </c>
      <c r="C328" s="153" t="s">
        <v>849</v>
      </c>
    </row>
    <row r="329" spans="1:3">
      <c r="A329" t="s">
        <v>543</v>
      </c>
      <c r="B329" t="s">
        <v>354</v>
      </c>
      <c r="C329" s="153" t="s">
        <v>850</v>
      </c>
    </row>
    <row r="330" spans="1:3">
      <c r="A330" t="s">
        <v>543</v>
      </c>
      <c r="B330" t="s">
        <v>357</v>
      </c>
      <c r="C330" s="153" t="s">
        <v>851</v>
      </c>
    </row>
    <row r="331" spans="1:3">
      <c r="A331" t="s">
        <v>568</v>
      </c>
      <c r="B331" t="s">
        <v>569</v>
      </c>
      <c r="C331" s="153" t="s">
        <v>852</v>
      </c>
    </row>
    <row r="332" spans="1:3">
      <c r="A332" t="s">
        <v>568</v>
      </c>
      <c r="B332" t="s">
        <v>570</v>
      </c>
      <c r="C332" s="153" t="s">
        <v>853</v>
      </c>
    </row>
    <row r="333" spans="1:3">
      <c r="A333" t="s">
        <v>568</v>
      </c>
      <c r="B333" t="s">
        <v>437</v>
      </c>
      <c r="C333" s="153" t="s">
        <v>854</v>
      </c>
    </row>
    <row r="334" spans="1:3">
      <c r="A334" t="s">
        <v>568</v>
      </c>
      <c r="B334" t="s">
        <v>438</v>
      </c>
      <c r="C334" s="153" t="s">
        <v>84</v>
      </c>
    </row>
    <row r="335" spans="1:3">
      <c r="A335" t="s">
        <v>568</v>
      </c>
      <c r="B335" t="s">
        <v>439</v>
      </c>
      <c r="C335" s="153" t="s">
        <v>84</v>
      </c>
    </row>
    <row r="336" spans="1:3">
      <c r="A336" t="s">
        <v>568</v>
      </c>
      <c r="B336" t="s">
        <v>440</v>
      </c>
      <c r="C336" s="153" t="s">
        <v>84</v>
      </c>
    </row>
    <row r="337" spans="1:3">
      <c r="A337" t="s">
        <v>568</v>
      </c>
      <c r="B337" t="s">
        <v>441</v>
      </c>
      <c r="C337" s="153" t="s">
        <v>84</v>
      </c>
    </row>
    <row r="338" spans="1:3">
      <c r="A338" t="s">
        <v>568</v>
      </c>
      <c r="B338" t="s">
        <v>442</v>
      </c>
      <c r="C338" s="153" t="s">
        <v>84</v>
      </c>
    </row>
    <row r="339" spans="1:3">
      <c r="A339" t="s">
        <v>568</v>
      </c>
      <c r="B339" t="s">
        <v>571</v>
      </c>
      <c r="C339" s="153" t="s">
        <v>855</v>
      </c>
    </row>
    <row r="340" spans="1:3">
      <c r="A340" t="s">
        <v>568</v>
      </c>
      <c r="B340" t="s">
        <v>572</v>
      </c>
      <c r="C340" s="153" t="s">
        <v>856</v>
      </c>
    </row>
    <row r="341" spans="1:3">
      <c r="A341" t="s">
        <v>568</v>
      </c>
      <c r="B341" t="s">
        <v>573</v>
      </c>
      <c r="C341" s="153" t="s">
        <v>857</v>
      </c>
    </row>
    <row r="342" spans="1:3">
      <c r="A342" t="s">
        <v>568</v>
      </c>
      <c r="B342" t="s">
        <v>552</v>
      </c>
      <c r="C342" s="153" t="s">
        <v>858</v>
      </c>
    </row>
    <row r="343" spans="1:3">
      <c r="A343" t="s">
        <v>568</v>
      </c>
      <c r="B343" t="s">
        <v>574</v>
      </c>
      <c r="C343" s="153" t="s">
        <v>859</v>
      </c>
    </row>
    <row r="344" spans="1:3">
      <c r="A344" t="s">
        <v>568</v>
      </c>
      <c r="B344" t="s">
        <v>448</v>
      </c>
      <c r="C344" s="153" t="s">
        <v>860</v>
      </c>
    </row>
    <row r="345" spans="1:3">
      <c r="A345" t="s">
        <v>568</v>
      </c>
      <c r="B345" t="s">
        <v>575</v>
      </c>
      <c r="C345" s="153" t="s">
        <v>861</v>
      </c>
    </row>
    <row r="346" spans="1:3">
      <c r="A346" t="s">
        <v>568</v>
      </c>
      <c r="B346" t="s">
        <v>576</v>
      </c>
      <c r="C346" s="153" t="s">
        <v>862</v>
      </c>
    </row>
    <row r="347" spans="1:3">
      <c r="A347" t="s">
        <v>568</v>
      </c>
      <c r="B347" t="s">
        <v>553</v>
      </c>
      <c r="C347" s="153" t="s">
        <v>863</v>
      </c>
    </row>
    <row r="348" spans="1:3">
      <c r="A348" t="s">
        <v>568</v>
      </c>
      <c r="B348" t="s">
        <v>577</v>
      </c>
      <c r="C348" s="153" t="s">
        <v>864</v>
      </c>
    </row>
    <row r="349" spans="1:3">
      <c r="A349" t="s">
        <v>568</v>
      </c>
      <c r="B349" t="s">
        <v>449</v>
      </c>
      <c r="C349" s="153" t="s">
        <v>865</v>
      </c>
    </row>
    <row r="350" spans="1:3">
      <c r="A350" t="s">
        <v>568</v>
      </c>
      <c r="B350" t="s">
        <v>578</v>
      </c>
      <c r="C350" s="153" t="s">
        <v>866</v>
      </c>
    </row>
    <row r="351" spans="1:3">
      <c r="A351" t="s">
        <v>568</v>
      </c>
      <c r="B351" t="s">
        <v>579</v>
      </c>
      <c r="C351" s="153" t="s">
        <v>867</v>
      </c>
    </row>
    <row r="352" spans="1:3">
      <c r="A352" t="s">
        <v>568</v>
      </c>
      <c r="B352" t="s">
        <v>554</v>
      </c>
      <c r="C352" s="153" t="s">
        <v>868</v>
      </c>
    </row>
    <row r="353" spans="1:3">
      <c r="A353" t="s">
        <v>568</v>
      </c>
      <c r="B353" t="s">
        <v>580</v>
      </c>
      <c r="C353" s="153" t="s">
        <v>869</v>
      </c>
    </row>
    <row r="354" spans="1:3">
      <c r="A354" t="s">
        <v>568</v>
      </c>
      <c r="B354" t="s">
        <v>450</v>
      </c>
      <c r="C354" s="153" t="s">
        <v>870</v>
      </c>
    </row>
    <row r="355" spans="1:3">
      <c r="A355" t="s">
        <v>568</v>
      </c>
      <c r="B355" t="s">
        <v>581</v>
      </c>
      <c r="C355" s="153" t="s">
        <v>871</v>
      </c>
    </row>
    <row r="356" spans="1:3">
      <c r="A356" t="s">
        <v>568</v>
      </c>
      <c r="B356" t="s">
        <v>582</v>
      </c>
      <c r="C356" s="153" t="s">
        <v>872</v>
      </c>
    </row>
    <row r="357" spans="1:3">
      <c r="A357" t="s">
        <v>568</v>
      </c>
      <c r="B357" t="s">
        <v>555</v>
      </c>
      <c r="C357" s="153" t="s">
        <v>873</v>
      </c>
    </row>
    <row r="358" spans="1:3">
      <c r="A358" t="s">
        <v>568</v>
      </c>
      <c r="B358" t="s">
        <v>583</v>
      </c>
      <c r="C358" s="153" t="s">
        <v>874</v>
      </c>
    </row>
    <row r="359" spans="1:3">
      <c r="A359" t="s">
        <v>568</v>
      </c>
      <c r="B359" t="s">
        <v>451</v>
      </c>
      <c r="C359" s="153" t="s">
        <v>875</v>
      </c>
    </row>
    <row r="360" spans="1:3">
      <c r="A360" t="s">
        <v>568</v>
      </c>
      <c r="B360" t="s">
        <v>584</v>
      </c>
      <c r="C360" s="153" t="s">
        <v>876</v>
      </c>
    </row>
    <row r="361" spans="1:3">
      <c r="A361" t="s">
        <v>568</v>
      </c>
      <c r="B361" t="s">
        <v>585</v>
      </c>
      <c r="C361" s="153" t="s">
        <v>877</v>
      </c>
    </row>
    <row r="362" spans="1:3">
      <c r="A362" t="s">
        <v>568</v>
      </c>
      <c r="B362" t="s">
        <v>556</v>
      </c>
      <c r="C362" s="153" t="s">
        <v>878</v>
      </c>
    </row>
    <row r="363" spans="1:3">
      <c r="A363" t="s">
        <v>568</v>
      </c>
      <c r="B363" t="s">
        <v>586</v>
      </c>
      <c r="C363" s="153" t="s">
        <v>879</v>
      </c>
    </row>
    <row r="364" spans="1:3">
      <c r="A364" t="s">
        <v>568</v>
      </c>
      <c r="B364" t="s">
        <v>452</v>
      </c>
      <c r="C364" s="153" t="s">
        <v>880</v>
      </c>
    </row>
    <row r="365" spans="1:3">
      <c r="A365" t="s">
        <v>568</v>
      </c>
      <c r="B365" t="s">
        <v>587</v>
      </c>
      <c r="C365" s="153" t="s">
        <v>881</v>
      </c>
    </row>
    <row r="366" spans="1:3">
      <c r="A366" t="s">
        <v>568</v>
      </c>
      <c r="B366" t="s">
        <v>588</v>
      </c>
      <c r="C366" s="153" t="s">
        <v>882</v>
      </c>
    </row>
    <row r="367" spans="1:3">
      <c r="A367" t="s">
        <v>568</v>
      </c>
      <c r="B367" t="s">
        <v>557</v>
      </c>
      <c r="C367" s="153" t="s">
        <v>883</v>
      </c>
    </row>
    <row r="368" spans="1:3">
      <c r="A368" t="s">
        <v>568</v>
      </c>
      <c r="B368" t="s">
        <v>589</v>
      </c>
      <c r="C368" s="153" t="s">
        <v>884</v>
      </c>
    </row>
    <row r="369" spans="1:3">
      <c r="A369" t="s">
        <v>568</v>
      </c>
      <c r="B369" t="s">
        <v>453</v>
      </c>
      <c r="C369" s="153" t="s">
        <v>885</v>
      </c>
    </row>
    <row r="370" spans="1:3">
      <c r="A370" t="s">
        <v>568</v>
      </c>
      <c r="B370" t="s">
        <v>590</v>
      </c>
      <c r="C370" s="153" t="s">
        <v>886</v>
      </c>
    </row>
    <row r="371" spans="1:3">
      <c r="A371" t="s">
        <v>568</v>
      </c>
      <c r="B371" t="s">
        <v>591</v>
      </c>
      <c r="C371" s="153" t="s">
        <v>887</v>
      </c>
    </row>
    <row r="372" spans="1:3">
      <c r="A372" t="s">
        <v>568</v>
      </c>
      <c r="B372" t="s">
        <v>558</v>
      </c>
      <c r="C372" s="153" t="s">
        <v>888</v>
      </c>
    </row>
    <row r="373" spans="1:3">
      <c r="A373" t="s">
        <v>568</v>
      </c>
      <c r="B373" t="s">
        <v>592</v>
      </c>
      <c r="C373" s="153" t="s">
        <v>889</v>
      </c>
    </row>
    <row r="374" spans="1:3">
      <c r="A374" t="s">
        <v>568</v>
      </c>
      <c r="B374" t="s">
        <v>454</v>
      </c>
      <c r="C374" s="153" t="s">
        <v>890</v>
      </c>
    </row>
    <row r="375" spans="1:3">
      <c r="A375" t="s">
        <v>568</v>
      </c>
      <c r="B375" t="s">
        <v>593</v>
      </c>
      <c r="C375" s="153" t="s">
        <v>891</v>
      </c>
    </row>
    <row r="376" spans="1:3">
      <c r="A376" t="s">
        <v>568</v>
      </c>
      <c r="B376" t="s">
        <v>594</v>
      </c>
      <c r="C376" s="153" t="s">
        <v>892</v>
      </c>
    </row>
    <row r="377" spans="1:3">
      <c r="A377" t="s">
        <v>568</v>
      </c>
      <c r="B377" t="s">
        <v>559</v>
      </c>
      <c r="C377" s="153" t="s">
        <v>893</v>
      </c>
    </row>
    <row r="378" spans="1:3">
      <c r="A378" t="s">
        <v>568</v>
      </c>
      <c r="B378" t="s">
        <v>595</v>
      </c>
      <c r="C378" s="153" t="s">
        <v>894</v>
      </c>
    </row>
    <row r="379" spans="1:3">
      <c r="A379" t="s">
        <v>568</v>
      </c>
      <c r="B379" t="s">
        <v>455</v>
      </c>
      <c r="C379" s="153" t="s">
        <v>895</v>
      </c>
    </row>
    <row r="380" spans="1:3">
      <c r="A380" t="s">
        <v>568</v>
      </c>
      <c r="B380" t="s">
        <v>596</v>
      </c>
      <c r="C380" s="153" t="s">
        <v>896</v>
      </c>
    </row>
    <row r="381" spans="1:3">
      <c r="A381" t="s">
        <v>568</v>
      </c>
      <c r="B381" t="s">
        <v>597</v>
      </c>
      <c r="C381" s="153" t="s">
        <v>897</v>
      </c>
    </row>
    <row r="382" spans="1:3">
      <c r="A382" t="s">
        <v>568</v>
      </c>
      <c r="B382" t="s">
        <v>560</v>
      </c>
      <c r="C382" s="153" t="s">
        <v>898</v>
      </c>
    </row>
    <row r="383" spans="1:3">
      <c r="A383" t="s">
        <v>568</v>
      </c>
      <c r="B383" t="s">
        <v>598</v>
      </c>
      <c r="C383" s="153" t="s">
        <v>899</v>
      </c>
    </row>
    <row r="384" spans="1:3">
      <c r="A384" t="s">
        <v>568</v>
      </c>
      <c r="B384" t="s">
        <v>456</v>
      </c>
      <c r="C384" s="153" t="s">
        <v>900</v>
      </c>
    </row>
    <row r="385" spans="1:3">
      <c r="A385" t="s">
        <v>568</v>
      </c>
      <c r="B385" t="s">
        <v>599</v>
      </c>
      <c r="C385" s="153" t="s">
        <v>901</v>
      </c>
    </row>
    <row r="386" spans="1:3">
      <c r="A386" t="s">
        <v>568</v>
      </c>
      <c r="B386" t="s">
        <v>600</v>
      </c>
      <c r="C386" s="153" t="s">
        <v>902</v>
      </c>
    </row>
    <row r="387" spans="1:3">
      <c r="A387" t="s">
        <v>568</v>
      </c>
      <c r="B387" t="s">
        <v>561</v>
      </c>
      <c r="C387" s="153" t="s">
        <v>903</v>
      </c>
    </row>
    <row r="388" spans="1:3">
      <c r="A388" t="s">
        <v>568</v>
      </c>
      <c r="B388" t="s">
        <v>601</v>
      </c>
      <c r="C388" s="153" t="s">
        <v>904</v>
      </c>
    </row>
    <row r="389" spans="1:3">
      <c r="A389" t="s">
        <v>568</v>
      </c>
      <c r="B389" t="s">
        <v>457</v>
      </c>
      <c r="C389" s="153" t="s">
        <v>905</v>
      </c>
    </row>
    <row r="390" spans="1:3">
      <c r="A390" t="s">
        <v>568</v>
      </c>
      <c r="B390" t="s">
        <v>602</v>
      </c>
      <c r="C390" s="153" t="s">
        <v>906</v>
      </c>
    </row>
    <row r="391" spans="1:3">
      <c r="A391" t="s">
        <v>568</v>
      </c>
      <c r="B391" t="s">
        <v>603</v>
      </c>
      <c r="C391" s="153" t="s">
        <v>907</v>
      </c>
    </row>
    <row r="392" spans="1:3">
      <c r="A392" t="s">
        <v>568</v>
      </c>
      <c r="B392" t="s">
        <v>562</v>
      </c>
      <c r="C392" s="153" t="s">
        <v>908</v>
      </c>
    </row>
    <row r="393" spans="1:3">
      <c r="A393" t="s">
        <v>568</v>
      </c>
      <c r="B393" t="s">
        <v>604</v>
      </c>
      <c r="C393" s="153" t="s">
        <v>909</v>
      </c>
    </row>
    <row r="394" spans="1:3">
      <c r="A394" t="s">
        <v>568</v>
      </c>
      <c r="B394" t="s">
        <v>458</v>
      </c>
      <c r="C394" s="153" t="s">
        <v>910</v>
      </c>
    </row>
    <row r="395" spans="1:3">
      <c r="A395" t="s">
        <v>568</v>
      </c>
      <c r="B395" t="s">
        <v>605</v>
      </c>
      <c r="C395" s="153" t="s">
        <v>911</v>
      </c>
    </row>
    <row r="396" spans="1:3">
      <c r="A396" t="s">
        <v>568</v>
      </c>
      <c r="B396" t="s">
        <v>606</v>
      </c>
      <c r="C396" s="153" t="s">
        <v>912</v>
      </c>
    </row>
    <row r="397" spans="1:3">
      <c r="A397" t="s">
        <v>568</v>
      </c>
      <c r="B397" t="s">
        <v>563</v>
      </c>
      <c r="C397" s="153" t="s">
        <v>913</v>
      </c>
    </row>
    <row r="398" spans="1:3">
      <c r="A398" t="s">
        <v>568</v>
      </c>
      <c r="B398" t="s">
        <v>607</v>
      </c>
      <c r="C398" s="153" t="s">
        <v>914</v>
      </c>
    </row>
    <row r="399" spans="1:3">
      <c r="A399" t="s">
        <v>568</v>
      </c>
      <c r="B399" t="s">
        <v>459</v>
      </c>
      <c r="C399" s="153" t="s">
        <v>915</v>
      </c>
    </row>
    <row r="400" spans="1:3">
      <c r="A400" t="s">
        <v>568</v>
      </c>
      <c r="B400" t="s">
        <v>608</v>
      </c>
      <c r="C400" s="153" t="s">
        <v>916</v>
      </c>
    </row>
    <row r="401" spans="1:3">
      <c r="A401" t="s">
        <v>568</v>
      </c>
      <c r="B401" t="s">
        <v>609</v>
      </c>
      <c r="C401" s="153" t="s">
        <v>917</v>
      </c>
    </row>
    <row r="402" spans="1:3">
      <c r="A402" t="s">
        <v>568</v>
      </c>
      <c r="B402" t="s">
        <v>564</v>
      </c>
      <c r="C402" s="153" t="s">
        <v>918</v>
      </c>
    </row>
    <row r="403" spans="1:3">
      <c r="A403" t="s">
        <v>568</v>
      </c>
      <c r="B403" t="s">
        <v>610</v>
      </c>
      <c r="C403" s="153" t="s">
        <v>919</v>
      </c>
    </row>
    <row r="404" spans="1:3">
      <c r="A404" t="s">
        <v>568</v>
      </c>
      <c r="B404" t="s">
        <v>460</v>
      </c>
      <c r="C404" s="153" t="s">
        <v>920</v>
      </c>
    </row>
    <row r="405" spans="1:3">
      <c r="A405" t="s">
        <v>568</v>
      </c>
      <c r="B405" t="s">
        <v>611</v>
      </c>
      <c r="C405" s="153" t="s">
        <v>921</v>
      </c>
    </row>
    <row r="406" spans="1:3">
      <c r="A406" t="s">
        <v>568</v>
      </c>
      <c r="B406" t="s">
        <v>612</v>
      </c>
      <c r="C406" s="153" t="s">
        <v>922</v>
      </c>
    </row>
    <row r="407" spans="1:3">
      <c r="A407" t="s">
        <v>568</v>
      </c>
      <c r="B407" t="s">
        <v>565</v>
      </c>
      <c r="C407" s="153" t="s">
        <v>923</v>
      </c>
    </row>
    <row r="408" spans="1:3">
      <c r="A408" t="s">
        <v>568</v>
      </c>
      <c r="B408" t="s">
        <v>613</v>
      </c>
      <c r="C408" s="153" t="s">
        <v>924</v>
      </c>
    </row>
    <row r="409" spans="1:3">
      <c r="A409" t="s">
        <v>568</v>
      </c>
      <c r="B409" t="s">
        <v>461</v>
      </c>
      <c r="C409" s="153" t="s">
        <v>925</v>
      </c>
    </row>
    <row r="410" spans="1:3">
      <c r="A410" t="s">
        <v>568</v>
      </c>
      <c r="B410" t="s">
        <v>614</v>
      </c>
      <c r="C410" s="153" t="s">
        <v>926</v>
      </c>
    </row>
    <row r="411" spans="1:3">
      <c r="A411" t="s">
        <v>568</v>
      </c>
      <c r="B411" t="s">
        <v>615</v>
      </c>
      <c r="C411" s="153" t="s">
        <v>927</v>
      </c>
    </row>
    <row r="412" spans="1:3">
      <c r="A412" t="s">
        <v>568</v>
      </c>
      <c r="B412" t="s">
        <v>566</v>
      </c>
      <c r="C412" s="153" t="s">
        <v>928</v>
      </c>
    </row>
    <row r="413" spans="1:3">
      <c r="A413" t="s">
        <v>568</v>
      </c>
      <c r="B413" t="s">
        <v>616</v>
      </c>
      <c r="C413" s="153" t="s">
        <v>929</v>
      </c>
    </row>
    <row r="414" spans="1:3">
      <c r="A414" t="s">
        <v>568</v>
      </c>
      <c r="B414" t="s">
        <v>462</v>
      </c>
      <c r="C414" s="153" t="s">
        <v>930</v>
      </c>
    </row>
    <row r="415" spans="1:3">
      <c r="A415" t="s">
        <v>568</v>
      </c>
      <c r="B415" t="s">
        <v>617</v>
      </c>
      <c r="C415" s="153" t="s">
        <v>931</v>
      </c>
    </row>
    <row r="416" spans="1:3">
      <c r="A416" t="s">
        <v>568</v>
      </c>
      <c r="B416" t="s">
        <v>618</v>
      </c>
      <c r="C416" s="153" t="s">
        <v>932</v>
      </c>
    </row>
    <row r="417" spans="1:3">
      <c r="A417" t="s">
        <v>568</v>
      </c>
      <c r="B417" t="s">
        <v>567</v>
      </c>
      <c r="C417" s="153" t="s">
        <v>933</v>
      </c>
    </row>
    <row r="418" spans="1:3">
      <c r="A418" t="s">
        <v>568</v>
      </c>
      <c r="B418" t="s">
        <v>619</v>
      </c>
      <c r="C418" s="153" t="s">
        <v>934</v>
      </c>
    </row>
    <row r="419" spans="1:3">
      <c r="A419" t="s">
        <v>568</v>
      </c>
      <c r="B419" t="s">
        <v>463</v>
      </c>
      <c r="C419" s="153" t="s">
        <v>935</v>
      </c>
    </row>
    <row r="420" spans="1:3">
      <c r="A420" t="s">
        <v>568</v>
      </c>
      <c r="B420" t="s">
        <v>620</v>
      </c>
      <c r="C420" s="153" t="s">
        <v>936</v>
      </c>
    </row>
    <row r="421" spans="1:3">
      <c r="A421" t="s">
        <v>568</v>
      </c>
      <c r="B421" t="s">
        <v>621</v>
      </c>
      <c r="C421" s="153" t="s">
        <v>937</v>
      </c>
    </row>
    <row r="422" spans="1:3">
      <c r="A422" t="s">
        <v>568</v>
      </c>
      <c r="B422" t="s">
        <v>622</v>
      </c>
      <c r="C422" s="153" t="s">
        <v>938</v>
      </c>
    </row>
    <row r="423" spans="1:3">
      <c r="A423" t="s">
        <v>568</v>
      </c>
      <c r="B423" t="s">
        <v>623</v>
      </c>
      <c r="C423" s="153" t="s">
        <v>939</v>
      </c>
    </row>
    <row r="424" spans="1:3">
      <c r="A424" t="s">
        <v>568</v>
      </c>
      <c r="B424" t="s">
        <v>464</v>
      </c>
      <c r="C424" s="153" t="s">
        <v>940</v>
      </c>
    </row>
    <row r="425" spans="1:3">
      <c r="A425" t="s">
        <v>568</v>
      </c>
      <c r="B425" t="s">
        <v>624</v>
      </c>
      <c r="C425" s="153" t="s">
        <v>941</v>
      </c>
    </row>
    <row r="426" spans="1:3">
      <c r="A426" t="s">
        <v>568</v>
      </c>
      <c r="B426" t="s">
        <v>625</v>
      </c>
      <c r="C426" s="153" t="s">
        <v>942</v>
      </c>
    </row>
    <row r="427" spans="1:3">
      <c r="A427" t="s">
        <v>568</v>
      </c>
      <c r="B427" t="s">
        <v>626</v>
      </c>
      <c r="C427" s="153" t="s">
        <v>943</v>
      </c>
    </row>
    <row r="428" spans="1:3">
      <c r="A428" t="s">
        <v>568</v>
      </c>
      <c r="B428" t="s">
        <v>627</v>
      </c>
      <c r="C428" s="153" t="s">
        <v>944</v>
      </c>
    </row>
    <row r="429" spans="1:3">
      <c r="A429" t="s">
        <v>568</v>
      </c>
      <c r="B429" t="s">
        <v>465</v>
      </c>
      <c r="C429" s="153" t="s">
        <v>945</v>
      </c>
    </row>
    <row r="430" spans="1:3">
      <c r="A430" t="s">
        <v>568</v>
      </c>
      <c r="B430" t="s">
        <v>628</v>
      </c>
      <c r="C430" s="153" t="s">
        <v>946</v>
      </c>
    </row>
    <row r="431" spans="1:3">
      <c r="A431" t="s">
        <v>568</v>
      </c>
      <c r="B431" t="s">
        <v>629</v>
      </c>
      <c r="C431" s="153" t="s">
        <v>947</v>
      </c>
    </row>
    <row r="432" spans="1:3">
      <c r="A432" t="s">
        <v>568</v>
      </c>
      <c r="B432" t="s">
        <v>630</v>
      </c>
      <c r="C432" s="153" t="s">
        <v>948</v>
      </c>
    </row>
    <row r="433" spans="1:3">
      <c r="A433" t="s">
        <v>568</v>
      </c>
      <c r="B433" t="s">
        <v>631</v>
      </c>
      <c r="C433" s="153" t="s">
        <v>949</v>
      </c>
    </row>
    <row r="434" spans="1:3">
      <c r="A434" t="s">
        <v>568</v>
      </c>
      <c r="B434" t="s">
        <v>466</v>
      </c>
      <c r="C434" s="153" t="s">
        <v>950</v>
      </c>
    </row>
    <row r="435" spans="1:3">
      <c r="A435" t="s">
        <v>568</v>
      </c>
      <c r="B435" t="s">
        <v>632</v>
      </c>
      <c r="C435" s="153" t="s">
        <v>951</v>
      </c>
    </row>
    <row r="436" spans="1:3">
      <c r="A436" t="s">
        <v>568</v>
      </c>
      <c r="B436" t="s">
        <v>633</v>
      </c>
      <c r="C436" s="153" t="s">
        <v>952</v>
      </c>
    </row>
    <row r="437" spans="1:3">
      <c r="A437" t="s">
        <v>568</v>
      </c>
      <c r="B437" t="s">
        <v>634</v>
      </c>
      <c r="C437" s="153" t="s">
        <v>953</v>
      </c>
    </row>
    <row r="438" spans="1:3">
      <c r="A438" t="s">
        <v>568</v>
      </c>
      <c r="B438" t="s">
        <v>635</v>
      </c>
      <c r="C438" s="153" t="s">
        <v>954</v>
      </c>
    </row>
    <row r="439" spans="1:3">
      <c r="A439" t="s">
        <v>568</v>
      </c>
      <c r="B439" t="s">
        <v>467</v>
      </c>
      <c r="C439" s="153" t="s">
        <v>955</v>
      </c>
    </row>
    <row r="440" spans="1:3">
      <c r="A440" t="s">
        <v>568</v>
      </c>
      <c r="B440" t="s">
        <v>636</v>
      </c>
      <c r="C440" s="153" t="s">
        <v>956</v>
      </c>
    </row>
    <row r="441" spans="1:3">
      <c r="A441" t="s">
        <v>568</v>
      </c>
      <c r="B441" t="s">
        <v>637</v>
      </c>
      <c r="C441" s="153" t="s">
        <v>957</v>
      </c>
    </row>
    <row r="442" spans="1:3">
      <c r="A442" t="s">
        <v>568</v>
      </c>
      <c r="B442" t="s">
        <v>638</v>
      </c>
      <c r="C442" s="153" t="s">
        <v>958</v>
      </c>
    </row>
    <row r="443" spans="1:3">
      <c r="A443" t="s">
        <v>568</v>
      </c>
      <c r="B443" t="s">
        <v>639</v>
      </c>
      <c r="C443" s="153" t="s">
        <v>959</v>
      </c>
    </row>
    <row r="444" spans="1:3">
      <c r="A444" t="s">
        <v>568</v>
      </c>
      <c r="B444" t="s">
        <v>468</v>
      </c>
      <c r="C444" s="153" t="s">
        <v>960</v>
      </c>
    </row>
    <row r="445" spans="1:3">
      <c r="A445" t="s">
        <v>568</v>
      </c>
      <c r="B445" t="s">
        <v>640</v>
      </c>
      <c r="C445" s="153" t="s">
        <v>961</v>
      </c>
    </row>
    <row r="446" spans="1:3">
      <c r="A446" t="s">
        <v>568</v>
      </c>
      <c r="B446" t="s">
        <v>641</v>
      </c>
      <c r="C446" s="153" t="s">
        <v>962</v>
      </c>
    </row>
    <row r="447" spans="1:3">
      <c r="A447" t="s">
        <v>568</v>
      </c>
      <c r="B447" t="s">
        <v>642</v>
      </c>
      <c r="C447" s="153" t="s">
        <v>963</v>
      </c>
    </row>
    <row r="448" spans="1:3">
      <c r="A448" t="s">
        <v>568</v>
      </c>
      <c r="B448" t="s">
        <v>643</v>
      </c>
      <c r="C448" s="153" t="s">
        <v>964</v>
      </c>
    </row>
    <row r="449" spans="1:3">
      <c r="A449" t="s">
        <v>568</v>
      </c>
      <c r="B449" t="s">
        <v>469</v>
      </c>
      <c r="C449" s="153" t="s">
        <v>965</v>
      </c>
    </row>
    <row r="450" spans="1:3">
      <c r="A450" t="s">
        <v>568</v>
      </c>
      <c r="B450" t="s">
        <v>644</v>
      </c>
      <c r="C450" s="153" t="s">
        <v>966</v>
      </c>
    </row>
    <row r="451" spans="1:3">
      <c r="A451" t="s">
        <v>568</v>
      </c>
      <c r="B451" t="s">
        <v>645</v>
      </c>
      <c r="C451" s="153" t="s">
        <v>967</v>
      </c>
    </row>
    <row r="452" spans="1:3">
      <c r="A452" t="s">
        <v>568</v>
      </c>
      <c r="B452" t="s">
        <v>646</v>
      </c>
      <c r="C452" s="153" t="s">
        <v>968</v>
      </c>
    </row>
    <row r="453" spans="1:3">
      <c r="A453" t="s">
        <v>568</v>
      </c>
      <c r="B453" t="s">
        <v>647</v>
      </c>
      <c r="C453" s="153" t="s">
        <v>969</v>
      </c>
    </row>
    <row r="454" spans="1:3">
      <c r="A454" t="s">
        <v>568</v>
      </c>
      <c r="B454" t="s">
        <v>470</v>
      </c>
      <c r="C454" s="153" t="s">
        <v>970</v>
      </c>
    </row>
    <row r="455" spans="1:3">
      <c r="A455" t="s">
        <v>568</v>
      </c>
      <c r="B455" t="s">
        <v>648</v>
      </c>
      <c r="C455" s="153" t="s">
        <v>971</v>
      </c>
    </row>
    <row r="456" spans="1:3">
      <c r="A456" t="s">
        <v>568</v>
      </c>
      <c r="B456" t="s">
        <v>649</v>
      </c>
      <c r="C456" s="153" t="s">
        <v>972</v>
      </c>
    </row>
    <row r="457" spans="1:3">
      <c r="A457" t="s">
        <v>568</v>
      </c>
      <c r="B457" t="s">
        <v>650</v>
      </c>
      <c r="C457" s="153" t="s">
        <v>973</v>
      </c>
    </row>
    <row r="458" spans="1:3">
      <c r="A458" t="s">
        <v>568</v>
      </c>
      <c r="B458" t="s">
        <v>651</v>
      </c>
      <c r="C458" s="153" t="s">
        <v>974</v>
      </c>
    </row>
    <row r="459" spans="1:3">
      <c r="A459" t="s">
        <v>568</v>
      </c>
      <c r="B459" t="s">
        <v>471</v>
      </c>
      <c r="C459" s="153" t="s">
        <v>975</v>
      </c>
    </row>
    <row r="460" spans="1:3">
      <c r="A460" t="s">
        <v>568</v>
      </c>
      <c r="B460" t="s">
        <v>652</v>
      </c>
      <c r="C460" s="153" t="s">
        <v>976</v>
      </c>
    </row>
    <row r="461" spans="1:3">
      <c r="A461" t="s">
        <v>568</v>
      </c>
      <c r="B461" t="s">
        <v>653</v>
      </c>
      <c r="C461" s="153" t="s">
        <v>977</v>
      </c>
    </row>
    <row r="462" spans="1:3">
      <c r="A462" t="s">
        <v>568</v>
      </c>
      <c r="B462" t="s">
        <v>654</v>
      </c>
      <c r="C462" s="153" t="s">
        <v>978</v>
      </c>
    </row>
    <row r="463" spans="1:3">
      <c r="A463" t="s">
        <v>568</v>
      </c>
      <c r="B463" t="s">
        <v>655</v>
      </c>
      <c r="C463" s="153" t="s">
        <v>979</v>
      </c>
    </row>
    <row r="464" spans="1:3">
      <c r="A464" t="s">
        <v>568</v>
      </c>
      <c r="B464" t="s">
        <v>472</v>
      </c>
      <c r="C464" s="153" t="s">
        <v>980</v>
      </c>
    </row>
    <row r="465" spans="1:3">
      <c r="A465" t="s">
        <v>568</v>
      </c>
      <c r="B465" t="s">
        <v>656</v>
      </c>
      <c r="C465" s="153" t="s">
        <v>981</v>
      </c>
    </row>
    <row r="466" spans="1:3">
      <c r="A466" t="s">
        <v>568</v>
      </c>
      <c r="B466" t="s">
        <v>657</v>
      </c>
      <c r="C466" s="153" t="s">
        <v>84</v>
      </c>
    </row>
    <row r="467" spans="1:3">
      <c r="A467" t="s">
        <v>568</v>
      </c>
      <c r="B467" t="s">
        <v>658</v>
      </c>
      <c r="C467" s="153" t="s">
        <v>84</v>
      </c>
    </row>
    <row r="468" spans="1:3">
      <c r="A468" t="s">
        <v>568</v>
      </c>
      <c r="B468" t="s">
        <v>659</v>
      </c>
      <c r="C468" s="153" t="s">
        <v>84</v>
      </c>
    </row>
    <row r="469" spans="1:3">
      <c r="A469" t="s">
        <v>568</v>
      </c>
      <c r="B469" t="s">
        <v>660</v>
      </c>
      <c r="C469" s="153" t="s">
        <v>84</v>
      </c>
    </row>
    <row r="470" spans="1:3">
      <c r="A470" t="s">
        <v>568</v>
      </c>
      <c r="B470" t="s">
        <v>661</v>
      </c>
      <c r="C470" s="153" t="s">
        <v>84</v>
      </c>
    </row>
    <row r="471" spans="1:3">
      <c r="A471" t="s">
        <v>568</v>
      </c>
      <c r="B471" t="s">
        <v>662</v>
      </c>
      <c r="C471" s="153" t="s">
        <v>84</v>
      </c>
    </row>
    <row r="472" spans="1:3">
      <c r="A472" t="s">
        <v>568</v>
      </c>
      <c r="B472" t="s">
        <v>663</v>
      </c>
      <c r="C472" s="153" t="s">
        <v>84</v>
      </c>
    </row>
    <row r="473" spans="1:3">
      <c r="A473" t="s">
        <v>568</v>
      </c>
      <c r="B473" t="s">
        <v>664</v>
      </c>
      <c r="C473" s="153" t="s">
        <v>84</v>
      </c>
    </row>
    <row r="474" spans="1:3">
      <c r="A474" t="s">
        <v>568</v>
      </c>
      <c r="B474" t="s">
        <v>665</v>
      </c>
      <c r="C474" s="153" t="s">
        <v>84</v>
      </c>
    </row>
    <row r="475" spans="1:3">
      <c r="A475" t="s">
        <v>568</v>
      </c>
      <c r="B475" t="s">
        <v>666</v>
      </c>
      <c r="C475" s="153" t="s">
        <v>84</v>
      </c>
    </row>
    <row r="476" spans="1:3">
      <c r="A476" t="s">
        <v>568</v>
      </c>
      <c r="B476" t="s">
        <v>667</v>
      </c>
      <c r="C476" s="153" t="s">
        <v>84</v>
      </c>
    </row>
    <row r="477" spans="1:3">
      <c r="A477" t="s">
        <v>568</v>
      </c>
      <c r="B477" t="s">
        <v>668</v>
      </c>
      <c r="C477" s="153" t="s">
        <v>84</v>
      </c>
    </row>
    <row r="478" spans="1:3">
      <c r="A478" t="s">
        <v>568</v>
      </c>
      <c r="B478" t="s">
        <v>669</v>
      </c>
      <c r="C478" s="153" t="s">
        <v>84</v>
      </c>
    </row>
    <row r="479" spans="1:3">
      <c r="A479" t="s">
        <v>568</v>
      </c>
      <c r="B479" t="s">
        <v>670</v>
      </c>
      <c r="C479" s="153" t="s">
        <v>84</v>
      </c>
    </row>
    <row r="480" spans="1:3">
      <c r="A480" t="s">
        <v>568</v>
      </c>
      <c r="B480" t="s">
        <v>671</v>
      </c>
      <c r="C480" s="153" t="s">
        <v>84</v>
      </c>
    </row>
    <row r="481" spans="1:3">
      <c r="A481" t="s">
        <v>568</v>
      </c>
      <c r="B481" t="s">
        <v>672</v>
      </c>
      <c r="C481" s="153" t="s">
        <v>84</v>
      </c>
    </row>
    <row r="482" spans="1:3">
      <c r="A482" t="s">
        <v>568</v>
      </c>
      <c r="B482" t="s">
        <v>673</v>
      </c>
      <c r="C482" s="153" t="s">
        <v>84</v>
      </c>
    </row>
    <row r="483" spans="1:3">
      <c r="A483" t="s">
        <v>568</v>
      </c>
      <c r="B483" t="s">
        <v>674</v>
      </c>
      <c r="C483" s="153" t="s">
        <v>84</v>
      </c>
    </row>
    <row r="484" spans="1:3">
      <c r="A484" t="s">
        <v>568</v>
      </c>
      <c r="B484" t="s">
        <v>675</v>
      </c>
      <c r="C484" s="153" t="s">
        <v>84</v>
      </c>
    </row>
    <row r="485" spans="1:3">
      <c r="A485" t="s">
        <v>568</v>
      </c>
      <c r="B485" t="s">
        <v>676</v>
      </c>
      <c r="C485" s="153" t="s">
        <v>84</v>
      </c>
    </row>
    <row r="486" spans="1:3">
      <c r="A486" t="s">
        <v>568</v>
      </c>
      <c r="B486" t="s">
        <v>475</v>
      </c>
      <c r="C486" s="153" t="s">
        <v>982</v>
      </c>
    </row>
    <row r="487" spans="1:3">
      <c r="A487" t="s">
        <v>568</v>
      </c>
      <c r="B487" t="s">
        <v>677</v>
      </c>
      <c r="C487" s="153" t="s">
        <v>983</v>
      </c>
    </row>
    <row r="488" spans="1:3">
      <c r="A488" t="s">
        <v>568</v>
      </c>
      <c r="B488" t="s">
        <v>478</v>
      </c>
      <c r="C488" s="153" t="s">
        <v>984</v>
      </c>
    </row>
    <row r="489" spans="1:3">
      <c r="A489" t="s">
        <v>568</v>
      </c>
      <c r="B489" t="s">
        <v>481</v>
      </c>
      <c r="C489" s="153" t="s">
        <v>985</v>
      </c>
    </row>
    <row r="490" spans="1:3">
      <c r="A490" t="s">
        <v>678</v>
      </c>
      <c r="B490" t="s">
        <v>679</v>
      </c>
      <c r="C490" s="153" t="s">
        <v>986</v>
      </c>
    </row>
    <row r="491" spans="1:3">
      <c r="A491" t="s">
        <v>678</v>
      </c>
      <c r="B491" t="s">
        <v>680</v>
      </c>
      <c r="C491" s="153" t="s">
        <v>987</v>
      </c>
    </row>
    <row r="492" spans="1:3">
      <c r="A492" t="s">
        <v>678</v>
      </c>
      <c r="B492" t="s">
        <v>545</v>
      </c>
      <c r="C492" s="153" t="s">
        <v>988</v>
      </c>
    </row>
    <row r="493" spans="1:3">
      <c r="A493" t="s">
        <v>678</v>
      </c>
      <c r="B493" t="s">
        <v>681</v>
      </c>
      <c r="C493" s="153" t="s">
        <v>989</v>
      </c>
    </row>
    <row r="494" spans="1:3">
      <c r="A494" t="s">
        <v>678</v>
      </c>
      <c r="B494" t="s">
        <v>682</v>
      </c>
      <c r="C494" s="153" t="s">
        <v>990</v>
      </c>
    </row>
    <row r="495" spans="1:3">
      <c r="A495" t="s">
        <v>678</v>
      </c>
      <c r="B495" t="s">
        <v>437</v>
      </c>
      <c r="C495" s="153" t="s">
        <v>991</v>
      </c>
    </row>
    <row r="496" spans="1:3">
      <c r="A496" t="s">
        <v>678</v>
      </c>
      <c r="B496" t="s">
        <v>683</v>
      </c>
      <c r="C496" s="153" t="s">
        <v>992</v>
      </c>
    </row>
    <row r="497" spans="1:3">
      <c r="A497" t="s">
        <v>678</v>
      </c>
      <c r="B497" t="s">
        <v>269</v>
      </c>
      <c r="C497" s="153" t="s">
        <v>993</v>
      </c>
    </row>
    <row r="498" spans="1:3">
      <c r="A498" t="s">
        <v>678</v>
      </c>
      <c r="B498" t="s">
        <v>270</v>
      </c>
      <c r="C498" s="153" t="s">
        <v>994</v>
      </c>
    </row>
    <row r="499" spans="1:3">
      <c r="A499" t="s">
        <v>678</v>
      </c>
      <c r="B499" t="s">
        <v>271</v>
      </c>
      <c r="C499" s="153" t="s">
        <v>995</v>
      </c>
    </row>
    <row r="500" spans="1:3">
      <c r="A500" t="s">
        <v>678</v>
      </c>
      <c r="B500" t="s">
        <v>494</v>
      </c>
      <c r="C500" s="153" t="s">
        <v>996</v>
      </c>
    </row>
    <row r="501" spans="1:3">
      <c r="A501" t="s">
        <v>678</v>
      </c>
      <c r="B501" t="s">
        <v>684</v>
      </c>
      <c r="C501" s="153" t="s">
        <v>997</v>
      </c>
    </row>
    <row r="502" spans="1:3">
      <c r="A502" t="s">
        <v>678</v>
      </c>
      <c r="B502" t="s">
        <v>685</v>
      </c>
      <c r="C502" s="153" t="s">
        <v>998</v>
      </c>
    </row>
    <row r="503" spans="1:3">
      <c r="A503" t="s">
        <v>678</v>
      </c>
      <c r="B503" t="s">
        <v>686</v>
      </c>
      <c r="C503" s="153" t="s">
        <v>999</v>
      </c>
    </row>
    <row r="504" spans="1:3">
      <c r="A504" t="s">
        <v>678</v>
      </c>
      <c r="B504" t="s">
        <v>687</v>
      </c>
      <c r="C504" s="153" t="s">
        <v>1000</v>
      </c>
    </row>
    <row r="505" spans="1:3">
      <c r="A505" t="s">
        <v>678</v>
      </c>
      <c r="B505" t="s">
        <v>438</v>
      </c>
      <c r="C505" s="153" t="s">
        <v>1001</v>
      </c>
    </row>
    <row r="506" spans="1:3">
      <c r="A506" t="s">
        <v>678</v>
      </c>
      <c r="B506" t="s">
        <v>688</v>
      </c>
      <c r="C506" s="153" t="s">
        <v>1002</v>
      </c>
    </row>
    <row r="507" spans="1:3">
      <c r="A507" t="s">
        <v>678</v>
      </c>
      <c r="B507" t="s">
        <v>272</v>
      </c>
      <c r="C507" s="153" t="s">
        <v>993</v>
      </c>
    </row>
    <row r="508" spans="1:3">
      <c r="A508" t="s">
        <v>678</v>
      </c>
      <c r="B508" t="s">
        <v>273</v>
      </c>
      <c r="C508" s="153" t="s">
        <v>994</v>
      </c>
    </row>
    <row r="509" spans="1:3">
      <c r="A509" t="s">
        <v>678</v>
      </c>
      <c r="B509" t="s">
        <v>274</v>
      </c>
      <c r="C509" s="153" t="s">
        <v>1003</v>
      </c>
    </row>
    <row r="510" spans="1:3">
      <c r="A510" t="s">
        <v>678</v>
      </c>
      <c r="B510" t="s">
        <v>501</v>
      </c>
      <c r="C510" s="153" t="s">
        <v>1004</v>
      </c>
    </row>
    <row r="511" spans="1:3">
      <c r="A511" t="s">
        <v>678</v>
      </c>
      <c r="B511" t="s">
        <v>689</v>
      </c>
      <c r="C511" s="153" t="s">
        <v>1005</v>
      </c>
    </row>
    <row r="512" spans="1:3">
      <c r="A512" t="s">
        <v>678</v>
      </c>
      <c r="B512" t="s">
        <v>690</v>
      </c>
      <c r="C512" s="153" t="s">
        <v>1006</v>
      </c>
    </row>
    <row r="513" spans="1:3">
      <c r="A513" t="s">
        <v>678</v>
      </c>
      <c r="B513" t="s">
        <v>691</v>
      </c>
      <c r="C513" s="153" t="s">
        <v>1007</v>
      </c>
    </row>
    <row r="514" spans="1:3">
      <c r="A514" t="s">
        <v>678</v>
      </c>
      <c r="B514" t="s">
        <v>692</v>
      </c>
      <c r="C514" s="153" t="s">
        <v>1008</v>
      </c>
    </row>
    <row r="515" spans="1:3">
      <c r="A515" t="s">
        <v>678</v>
      </c>
      <c r="B515" t="s">
        <v>439</v>
      </c>
      <c r="C515" s="153" t="s">
        <v>1009</v>
      </c>
    </row>
    <row r="516" spans="1:3">
      <c r="A516" t="s">
        <v>678</v>
      </c>
      <c r="B516" t="s">
        <v>693</v>
      </c>
      <c r="C516" s="153" t="s">
        <v>1010</v>
      </c>
    </row>
    <row r="517" spans="1:3">
      <c r="A517" t="s">
        <v>678</v>
      </c>
      <c r="B517" t="s">
        <v>275</v>
      </c>
      <c r="C517" s="153" t="s">
        <v>993</v>
      </c>
    </row>
    <row r="518" spans="1:3">
      <c r="A518" t="s">
        <v>678</v>
      </c>
      <c r="B518" t="s">
        <v>276</v>
      </c>
      <c r="C518" s="153" t="s">
        <v>994</v>
      </c>
    </row>
    <row r="519" spans="1:3">
      <c r="A519" t="s">
        <v>678</v>
      </c>
      <c r="B519" t="s">
        <v>277</v>
      </c>
      <c r="C519" s="153" t="s">
        <v>1011</v>
      </c>
    </row>
    <row r="520" spans="1:3">
      <c r="A520" t="s">
        <v>678</v>
      </c>
      <c r="B520" t="s">
        <v>508</v>
      </c>
      <c r="C520" s="153" t="s">
        <v>1012</v>
      </c>
    </row>
    <row r="521" spans="1:3">
      <c r="A521" t="s">
        <v>678</v>
      </c>
      <c r="B521" t="s">
        <v>694</v>
      </c>
      <c r="C521" s="153" t="s">
        <v>1013</v>
      </c>
    </row>
    <row r="522" spans="1:3">
      <c r="A522" t="s">
        <v>678</v>
      </c>
      <c r="B522" t="s">
        <v>695</v>
      </c>
      <c r="C522" s="153" t="s">
        <v>1014</v>
      </c>
    </row>
    <row r="523" spans="1:3">
      <c r="A523" t="s">
        <v>678</v>
      </c>
      <c r="B523" t="s">
        <v>696</v>
      </c>
      <c r="C523" s="153" t="s">
        <v>1015</v>
      </c>
    </row>
    <row r="524" spans="1:3">
      <c r="A524" t="s">
        <v>678</v>
      </c>
      <c r="B524" t="s">
        <v>697</v>
      </c>
      <c r="C524" s="153" t="s">
        <v>1016</v>
      </c>
    </row>
    <row r="525" spans="1:3">
      <c r="A525" t="s">
        <v>678</v>
      </c>
      <c r="B525" t="s">
        <v>440</v>
      </c>
      <c r="C525" s="153" t="s">
        <v>1017</v>
      </c>
    </row>
    <row r="526" spans="1:3">
      <c r="A526" t="s">
        <v>678</v>
      </c>
      <c r="B526" t="s">
        <v>698</v>
      </c>
      <c r="C526" s="153" t="s">
        <v>1018</v>
      </c>
    </row>
    <row r="527" spans="1:3">
      <c r="A527" t="s">
        <v>678</v>
      </c>
      <c r="B527" t="s">
        <v>278</v>
      </c>
      <c r="C527" s="153" t="s">
        <v>993</v>
      </c>
    </row>
    <row r="528" spans="1:3">
      <c r="A528" t="s">
        <v>678</v>
      </c>
      <c r="B528" t="s">
        <v>279</v>
      </c>
      <c r="C528" s="153" t="s">
        <v>994</v>
      </c>
    </row>
    <row r="529" spans="1:3">
      <c r="A529" t="s">
        <v>678</v>
      </c>
      <c r="B529" t="s">
        <v>280</v>
      </c>
      <c r="C529" s="153" t="s">
        <v>1019</v>
      </c>
    </row>
    <row r="530" spans="1:3">
      <c r="A530" t="s">
        <v>678</v>
      </c>
      <c r="B530" t="s">
        <v>515</v>
      </c>
      <c r="C530" s="153" t="s">
        <v>1020</v>
      </c>
    </row>
    <row r="531" spans="1:3">
      <c r="A531" t="s">
        <v>678</v>
      </c>
      <c r="B531" t="s">
        <v>699</v>
      </c>
      <c r="C531" s="153" t="s">
        <v>1021</v>
      </c>
    </row>
    <row r="532" spans="1:3">
      <c r="A532" t="s">
        <v>678</v>
      </c>
      <c r="B532" t="s">
        <v>700</v>
      </c>
      <c r="C532" s="153" t="s">
        <v>1022</v>
      </c>
    </row>
    <row r="533" spans="1:3">
      <c r="A533" t="s">
        <v>678</v>
      </c>
      <c r="B533" t="s">
        <v>701</v>
      </c>
      <c r="C533" s="153" t="s">
        <v>1023</v>
      </c>
    </row>
    <row r="534" spans="1:3">
      <c r="A534" t="s">
        <v>678</v>
      </c>
      <c r="B534" t="s">
        <v>702</v>
      </c>
      <c r="C534" s="153" t="s">
        <v>1024</v>
      </c>
    </row>
    <row r="535" spans="1:3">
      <c r="A535" t="s">
        <v>678</v>
      </c>
      <c r="B535" t="s">
        <v>441</v>
      </c>
      <c r="C535" s="153" t="s">
        <v>1025</v>
      </c>
    </row>
    <row r="536" spans="1:3">
      <c r="A536" t="s">
        <v>678</v>
      </c>
      <c r="B536" t="s">
        <v>703</v>
      </c>
      <c r="C536" s="153" t="s">
        <v>1026</v>
      </c>
    </row>
    <row r="537" spans="1:3">
      <c r="A537" t="s">
        <v>678</v>
      </c>
      <c r="B537" t="s">
        <v>281</v>
      </c>
      <c r="C537" s="153" t="s">
        <v>993</v>
      </c>
    </row>
    <row r="538" spans="1:3">
      <c r="A538" t="s">
        <v>678</v>
      </c>
      <c r="B538" t="s">
        <v>282</v>
      </c>
      <c r="C538" s="153" t="s">
        <v>994</v>
      </c>
    </row>
    <row r="539" spans="1:3">
      <c r="A539" t="s">
        <v>678</v>
      </c>
      <c r="B539" t="s">
        <v>283</v>
      </c>
      <c r="C539" s="153" t="s">
        <v>1027</v>
      </c>
    </row>
    <row r="540" spans="1:3">
      <c r="A540" t="s">
        <v>678</v>
      </c>
      <c r="B540" t="s">
        <v>522</v>
      </c>
      <c r="C540" s="153" t="s">
        <v>1028</v>
      </c>
    </row>
    <row r="541" spans="1:3">
      <c r="A541" t="s">
        <v>678</v>
      </c>
      <c r="B541" t="s">
        <v>704</v>
      </c>
      <c r="C541" s="153" t="s">
        <v>1029</v>
      </c>
    </row>
    <row r="542" spans="1:3">
      <c r="A542" t="s">
        <v>678</v>
      </c>
      <c r="B542" t="s">
        <v>705</v>
      </c>
      <c r="C542" s="153" t="s">
        <v>1030</v>
      </c>
    </row>
    <row r="543" spans="1:3">
      <c r="A543" t="s">
        <v>678</v>
      </c>
      <c r="B543" t="s">
        <v>546</v>
      </c>
      <c r="C543" s="153" t="s">
        <v>1031</v>
      </c>
    </row>
    <row r="544" spans="1:3">
      <c r="A544" t="s">
        <v>678</v>
      </c>
      <c r="B544" t="s">
        <v>706</v>
      </c>
      <c r="C544" s="153" t="s">
        <v>1032</v>
      </c>
    </row>
    <row r="545" spans="1:3">
      <c r="A545" t="s">
        <v>678</v>
      </c>
      <c r="B545" t="s">
        <v>442</v>
      </c>
      <c r="C545" s="153" t="s">
        <v>1033</v>
      </c>
    </row>
    <row r="546" spans="1:3">
      <c r="A546" t="s">
        <v>678</v>
      </c>
      <c r="B546" t="s">
        <v>707</v>
      </c>
      <c r="C546" s="153" t="s">
        <v>1034</v>
      </c>
    </row>
    <row r="547" spans="1:3">
      <c r="A547" t="s">
        <v>678</v>
      </c>
      <c r="B547" t="s">
        <v>284</v>
      </c>
      <c r="C547" s="153" t="s">
        <v>993</v>
      </c>
    </row>
    <row r="548" spans="1:3">
      <c r="A548" t="s">
        <v>678</v>
      </c>
      <c r="B548" t="s">
        <v>285</v>
      </c>
      <c r="C548" s="153" t="s">
        <v>994</v>
      </c>
    </row>
    <row r="549" spans="1:3">
      <c r="A549" t="s">
        <v>678</v>
      </c>
      <c r="B549" t="s">
        <v>286</v>
      </c>
      <c r="C549" s="153" t="s">
        <v>1035</v>
      </c>
    </row>
    <row r="550" spans="1:3">
      <c r="A550" t="s">
        <v>678</v>
      </c>
      <c r="B550" t="s">
        <v>529</v>
      </c>
      <c r="C550" s="153" t="s">
        <v>1036</v>
      </c>
    </row>
    <row r="551" spans="1:3">
      <c r="A551" t="s">
        <v>678</v>
      </c>
      <c r="B551" t="s">
        <v>708</v>
      </c>
      <c r="C551" s="153" t="s">
        <v>1037</v>
      </c>
    </row>
    <row r="552" spans="1:3">
      <c r="A552" t="s">
        <v>678</v>
      </c>
      <c r="B552" t="s">
        <v>709</v>
      </c>
      <c r="C552" s="153" t="s">
        <v>1038</v>
      </c>
    </row>
    <row r="553" spans="1:3">
      <c r="A553" t="s">
        <v>678</v>
      </c>
      <c r="B553" t="s">
        <v>547</v>
      </c>
      <c r="C553" s="153" t="s">
        <v>1039</v>
      </c>
    </row>
    <row r="554" spans="1:3">
      <c r="A554" t="s">
        <v>678</v>
      </c>
      <c r="B554" t="s">
        <v>710</v>
      </c>
      <c r="C554" s="153" t="s">
        <v>1040</v>
      </c>
    </row>
    <row r="555" spans="1:3">
      <c r="A555" t="s">
        <v>678</v>
      </c>
      <c r="B555" t="s">
        <v>443</v>
      </c>
      <c r="C555" s="153" t="s">
        <v>1041</v>
      </c>
    </row>
    <row r="556" spans="1:3">
      <c r="A556" t="s">
        <v>678</v>
      </c>
      <c r="B556" t="s">
        <v>711</v>
      </c>
      <c r="C556" s="153" t="s">
        <v>1042</v>
      </c>
    </row>
    <row r="557" spans="1:3">
      <c r="A557" t="s">
        <v>678</v>
      </c>
      <c r="B557" t="s">
        <v>287</v>
      </c>
      <c r="C557" s="153" t="s">
        <v>993</v>
      </c>
    </row>
    <row r="558" spans="1:3">
      <c r="A558" t="s">
        <v>678</v>
      </c>
      <c r="B558" t="s">
        <v>288</v>
      </c>
      <c r="C558" s="153" t="s">
        <v>994</v>
      </c>
    </row>
    <row r="559" spans="1:3">
      <c r="A559" t="s">
        <v>678</v>
      </c>
      <c r="B559" t="s">
        <v>289</v>
      </c>
      <c r="C559" s="153" t="s">
        <v>1043</v>
      </c>
    </row>
    <row r="560" spans="1:3">
      <c r="A560" t="s">
        <v>678</v>
      </c>
      <c r="B560" t="s">
        <v>536</v>
      </c>
      <c r="C560" s="153" t="s">
        <v>1044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16</vt:i4>
      </vt:variant>
    </vt:vector>
  </HeadingPairs>
  <TitlesOfParts>
    <vt:vector size="30" baseType="lpstr">
      <vt:lpstr>home</vt:lpstr>
      <vt:lpstr>login</vt:lpstr>
      <vt:lpstr>menu</vt:lpstr>
      <vt:lpstr>article</vt:lpstr>
      <vt:lpstr>client</vt:lpstr>
      <vt:lpstr>reception</vt:lpstr>
      <vt:lpstr>panier</vt:lpstr>
      <vt:lpstr>facture</vt:lpstr>
      <vt:lpstr>historique_vente</vt:lpstr>
      <vt:lpstr>suivi_facture</vt:lpstr>
      <vt:lpstr>payement</vt:lpstr>
      <vt:lpstr>fidélisation</vt:lpstr>
      <vt:lpstr>layout</vt:lpstr>
      <vt:lpstr>ExtractionFormules</vt:lpstr>
      <vt:lpstr>nr_art_reception</vt:lpstr>
      <vt:lpstr>facture!nr_article</vt:lpstr>
      <vt:lpstr>fidélisation!nr_article</vt:lpstr>
      <vt:lpstr>historique_vente!nr_article</vt:lpstr>
      <vt:lpstr>payement!nr_article</vt:lpstr>
      <vt:lpstr>reception!nr_article</vt:lpstr>
      <vt:lpstr>suivi_facture!nr_article</vt:lpstr>
      <vt:lpstr>nr_article</vt:lpstr>
      <vt:lpstr>facture!nr_client</vt:lpstr>
      <vt:lpstr>fidélisation!nr_client</vt:lpstr>
      <vt:lpstr>historique_vente!nr_client</vt:lpstr>
      <vt:lpstr>payement!nr_client</vt:lpstr>
      <vt:lpstr>reception!nr_client</vt:lpstr>
      <vt:lpstr>suivi_facture!nr_client</vt:lpstr>
      <vt:lpstr>nr_client</vt:lpstr>
      <vt:lpstr>nr_fac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SASSE</dc:creator>
  <cp:lastModifiedBy>FRANCIS</cp:lastModifiedBy>
  <cp:lastPrinted>2020-01-24T13:14:54Z</cp:lastPrinted>
  <dcterms:created xsi:type="dcterms:W3CDTF">2020-01-15T09:02:11Z</dcterms:created>
  <dcterms:modified xsi:type="dcterms:W3CDTF">2021-05-22T05:30:08Z</dcterms:modified>
</cp:coreProperties>
</file>