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ccol\Downloads\"/>
    </mc:Choice>
  </mc:AlternateContent>
  <xr:revisionPtr revIDLastSave="0" documentId="13_ncr:1_{F7B684CA-213C-4B5A-BC27-93E5FFFEDCC0}" xr6:coauthVersionLast="47" xr6:coauthVersionMax="47" xr10:uidLastSave="{00000000-0000-0000-0000-000000000000}"/>
  <bookViews>
    <workbookView xWindow="-108" yWindow="-108" windowWidth="61656" windowHeight="16776" xr2:uid="{1CEA4E53-87BA-4259-9F61-17B7D686CBFB}"/>
  </bookViews>
  <sheets>
    <sheet name="Salaires détaillés" sheetId="1" r:id="rId1"/>
  </sheets>
  <externalReferences>
    <externalReference r:id="rId2"/>
  </externalReferences>
  <definedNames>
    <definedName name="ANNEES_EXERCICES">[1]Paramètres!$C$4:$J$4</definedName>
    <definedName name="COT_MAX_AE">[1]Paramètres!$C$18:$J$18</definedName>
    <definedName name="DEBUT_EXERCICE">[1]Paramètres!$C$6:$J$6</definedName>
    <definedName name="DEPT1">[1]Paramètres!#REF!</definedName>
    <definedName name="DEPT2">[1]Paramètres!#REF!</definedName>
    <definedName name="DEPT3">[1]Paramètres!#REF!</definedName>
    <definedName name="DEPT4">[1]Paramètres!#REF!</definedName>
    <definedName name="DEPT5">[1]Paramètres!#REF!</definedName>
    <definedName name="EMPLOYÉS">'Salaires détaillés'!$B$8:$B$8</definedName>
    <definedName name="EXEMPTION_RRQ">[1]Paramètres!$C$22:$J$22</definedName>
    <definedName name="FIN_EXERCICE">[1]Paramètres!$C$7:$J$7</definedName>
    <definedName name="MASSE_ASSOCIEES">[1]Paramètres!$C$49:$J$49</definedName>
    <definedName name="MAX_AE">[1]Paramètres!$C$14:$J$14</definedName>
    <definedName name="MAX_CNT">[1]Paramètres!$C$39:$J$39</definedName>
    <definedName name="MAX_FDRCMO">[1]Paramètres!$C$44:$J$44</definedName>
    <definedName name="MAX_RQAP">[1]Paramètres!$C$29:$J$29</definedName>
    <definedName name="MAX_RRQ">[1]Paramètres!$C$21:$J$21</definedName>
    <definedName name="MAX_SST">[1]Paramètres!$C$34:$J$34</definedName>
    <definedName name="MAX2_RRQ">[1]Paramètres!$C$23:$J$23</definedName>
    <definedName name="PAIE1">[1]Paramètres!$C$55:$J$55</definedName>
    <definedName name="PAIE26">[1]Paramètres!$C$80:$J$80</definedName>
    <definedName name="TAUX_CNT">[1]Paramètres!$C$40:$J$40</definedName>
    <definedName name="TAUX_FDRCMO">[1]Paramètres!$C$45:$J$45</definedName>
    <definedName name="TAUX_FSS">[1]Paramètres!#REF!</definedName>
    <definedName name="TAUX_RQAP">[1]Paramètres!$C$30:$J$30</definedName>
    <definedName name="TAUX_RRQ">[1]Paramètres!$C$24:$J$24</definedName>
    <definedName name="TAUX_SST">[1]Paramètres!$C$35:$J$35</definedName>
    <definedName name="TAUX2_RRQ">[1]Paramètres!$C$25:$J$25</definedName>
    <definedName name="TX_AE">[1]Paramètres!$C$17:$J$17</definedName>
    <definedName name="VERS_BONIS">[1]Paramètres!$C$8:$J$8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R8" i="1" s="1"/>
  <c r="M8" i="1"/>
  <c r="J8" i="1"/>
  <c r="CI3" i="1"/>
  <c r="CG3" i="1"/>
  <c r="BX3" i="1"/>
  <c r="BR3" i="1"/>
  <c r="CI2" i="1"/>
  <c r="CG2" i="1"/>
  <c r="BX2" i="1"/>
  <c r="BV2" i="1"/>
  <c r="BR2" i="1"/>
  <c r="BX4" i="1" l="1"/>
  <c r="CI4" i="1"/>
  <c r="BR4" i="1"/>
  <c r="BZ3" i="1"/>
  <c r="CG4" i="1"/>
  <c r="V8" i="1"/>
  <c r="AU8" i="1"/>
  <c r="AU5" i="1" l="1"/>
  <c r="AT5" i="1"/>
  <c r="AT8" i="1"/>
  <c r="BI8" i="1" s="1"/>
  <c r="AQ5" i="1"/>
  <c r="AQ8" i="1"/>
  <c r="AR8" i="1"/>
  <c r="AR5" i="1"/>
  <c r="AV8" i="1"/>
  <c r="AV5" i="1"/>
  <c r="AK5" i="1"/>
  <c r="AK8" i="1"/>
  <c r="AN8" i="1"/>
  <c r="AN5" i="1"/>
  <c r="AL8" i="1"/>
  <c r="AL5" i="1"/>
  <c r="AP8" i="1"/>
  <c r="AP5" i="1"/>
  <c r="AS5" i="1"/>
  <c r="AS8" i="1"/>
  <c r="AM8" i="1"/>
  <c r="AM5" i="1"/>
  <c r="BJ8" i="1"/>
  <c r="AO8" i="1"/>
  <c r="AO5" i="1"/>
  <c r="BB8" i="1" l="1"/>
  <c r="BA8" i="1"/>
  <c r="BC8" i="1"/>
  <c r="BK8" i="1"/>
  <c r="BF8" i="1"/>
  <c r="BD8" i="1"/>
  <c r="BG8" i="1"/>
  <c r="BH8" i="1"/>
  <c r="BE8" i="1"/>
  <c r="AW8" i="1"/>
  <c r="AZ8" i="1"/>
  <c r="BO8" i="1" l="1"/>
  <c r="BP8" i="1" s="1"/>
  <c r="BL8" i="1"/>
  <c r="BQ8" i="1" l="1"/>
  <c r="BR8" i="1" s="1"/>
  <c r="CD8" i="1"/>
  <c r="CE8" i="1" l="1"/>
  <c r="CF8" i="1" s="1"/>
  <c r="BS8" i="1"/>
  <c r="BT8" i="1" s="1"/>
  <c r="BU8" i="1" l="1"/>
  <c r="CG8" i="1"/>
  <c r="BV8" i="1" l="1"/>
  <c r="BW8" i="1" s="1"/>
  <c r="CH8" i="1"/>
  <c r="CI8" i="1" l="1"/>
  <c r="BX8" i="1"/>
  <c r="BY8" i="1" s="1"/>
  <c r="BZ8" i="1" l="1"/>
  <c r="CJ8" i="1"/>
  <c r="CA8" i="1" l="1"/>
  <c r="CK8" i="1"/>
  <c r="CL8" i="1" l="1"/>
  <c r="CM8" i="1" l="1"/>
  <c r="CN8" i="1" l="1"/>
  <c r="CO8" i="1" l="1"/>
  <c r="CP8" i="1" l="1"/>
</calcChain>
</file>

<file path=xl/sharedStrings.xml><?xml version="1.0" encoding="utf-8"?>
<sst xmlns="http://schemas.openxmlformats.org/spreadsheetml/2006/main" count="57" uniqueCount="44">
  <si>
    <t>Entreprise inc.</t>
  </si>
  <si>
    <t>Modélisation des salaires</t>
  </si>
  <si>
    <t>Date de début d'exercice</t>
  </si>
  <si>
    <t>Versement</t>
  </si>
  <si>
    <t>Maximum rémunération assujettie</t>
  </si>
  <si>
    <t>Exemption générale</t>
  </si>
  <si>
    <t>Date de fin d'exercice</t>
  </si>
  <si>
    <t>Ventes</t>
  </si>
  <si>
    <t>Taux de cotisation de l'employeur</t>
  </si>
  <si>
    <t>Cotisation maximale</t>
  </si>
  <si>
    <t>%</t>
  </si>
  <si>
    <t>Avantages imposables du Québec (part employeur de l'assurance collective, cotisations professionnelles, etc.)</t>
  </si>
  <si>
    <t>Calcul des charges salariales mensuelles en fonction du nombre de jours ouvrables</t>
  </si>
  <si>
    <t>Calcul de la provision mensuelle des bonis</t>
  </si>
  <si>
    <t>Cotisation de l'employeur au régime de rentes du Québec (RRQ)</t>
  </si>
  <si>
    <r>
      <t>Cotisation</t>
    </r>
    <r>
      <rPr>
        <b/>
        <sz val="11"/>
        <color rgb="FFFF0000"/>
        <rFont val="Aptos Narrow"/>
        <family val="2"/>
        <scheme val="minor"/>
      </rPr>
      <t xml:space="preserve"> </t>
    </r>
    <r>
      <rPr>
        <b/>
        <sz val="11"/>
        <color rgb="FFFF0000"/>
        <rFont val="Aptos Narrow"/>
        <family val="2"/>
      </rPr>
      <t>supplémentaire</t>
    </r>
    <r>
      <rPr>
        <b/>
        <sz val="11"/>
        <color theme="3" tint="0.249977111117893"/>
        <rFont val="Aptos Narrow"/>
        <family val="2"/>
        <scheme val="minor"/>
      </rPr>
      <t xml:space="preserve"> de l'employeur au régime de rentes du Québec (RRQ)</t>
    </r>
  </si>
  <si>
    <t>Nom employé</t>
  </si>
  <si>
    <t>Titre d'emploi</t>
  </si>
  <si>
    <t>Département</t>
  </si>
  <si>
    <t>Production</t>
  </si>
  <si>
    <t>R&amp;D</t>
  </si>
  <si>
    <t>Admin</t>
  </si>
  <si>
    <t>Autre</t>
  </si>
  <si>
    <t>Total activités</t>
  </si>
  <si>
    <t>Taux horaire</t>
  </si>
  <si>
    <t>Nb. Heures par semaine</t>
  </si>
  <si>
    <t>Salaire par période</t>
  </si>
  <si>
    <t>Salaire de base annuel</t>
  </si>
  <si>
    <t>Date d'embauche</t>
  </si>
  <si>
    <t>Date de départ 
(si connue)</t>
  </si>
  <si>
    <t>% Augmentation prévue</t>
  </si>
  <si>
    <t>Nouveau salaire</t>
  </si>
  <si>
    <t>Date du changement de salaire</t>
  </si>
  <si>
    <t>% Bonis salaire de base</t>
  </si>
  <si>
    <t>% Commissions sur ventes</t>
  </si>
  <si>
    <t>Jours ouvrés travaillés</t>
  </si>
  <si>
    <t>Charge de l'exercice</t>
  </si>
  <si>
    <t>Boni de l'année précédente</t>
  </si>
  <si>
    <t>Cotisation accumulée</t>
  </si>
  <si>
    <t>Employé 1</t>
  </si>
  <si>
    <t>Président</t>
  </si>
  <si>
    <t>En novembre, la cotisation atteint le maximum (en BR4) à la ligne 8, soit 4339,20 $ et donc, la deuxième cotisation débute en novembre à CF8 jusqu'à ce qu'elle atteigne son maximum de 396 $ en CG4.</t>
  </si>
  <si>
    <t>En janvier, la nouvelle année commence et les cotisations recommencent à zéro. Cependant, elle devrait se calculer uniquement à partir du mois de juillet lorsque BS8 à BY8 atteint le maximum de la nouvelle année en BX4.</t>
  </si>
  <si>
    <t xml:space="preserve">C'est ce que je ne suis pas capable de faire.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</si>
</sst>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 * #,##0.00_)_ ;_ * \(#,##0.00\)_ ;_ * &quot;-&quot;??_)_ ;_ @_ "/>
    <numFmt numFmtId="164" formatCode="_ * #,##0_)_ ;_ * \(#,##0\)_ ;_ * &quot;-&quot;??_)_ ;_ @_ "/>
    <numFmt numFmtId="165" formatCode="0.0%"/>
    <numFmt numFmtId="166" formatCode="_ * #,##0.00_)\ _$_ ;_ * \(#,##0.00\)\ _$_ ;_ * &quot;-&quot;??_)\ _$_ ;_ @_ "/>
    <numFmt numFmtId="167" formatCode="_ * #,##0.000_)\ _$_ ;_ * \(#,##0.000\)\ _$_ ;_ * &quot;-&quot;???_)\ _$_ ;_ @_ "/>
    <numFmt numFmtId="168" formatCode="0.000%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1"/>
      <color theme="3" tint="0.249977111117893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rgb="FFFF0000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dotted">
        <color theme="3" tint="0.499984740745262"/>
      </left>
      <right style="dotted">
        <color theme="3" tint="0.499984740745262"/>
      </right>
      <top style="dotted">
        <color theme="3" tint="0.499984740745262"/>
      </top>
      <bottom style="dotted">
        <color theme="3" tint="0.499984740745262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theme="3" tint="0.499984740745262"/>
      </left>
      <right style="dotted">
        <color theme="3" tint="0.499984740745262"/>
      </right>
      <top/>
      <bottom style="dotted">
        <color theme="3" tint="0.499984740745262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4" fillId="0" borderId="1" xfId="0" applyFont="1" applyBorder="1"/>
    <xf numFmtId="9" fontId="0" fillId="0" borderId="0" xfId="2" applyFont="1" applyAlignment="1">
      <alignment horizontal="center"/>
    </xf>
    <xf numFmtId="43" fontId="0" fillId="0" borderId="0" xfId="1" applyFont="1"/>
    <xf numFmtId="43" fontId="0" fillId="0" borderId="0" xfId="1" applyFont="1" applyAlignment="1">
      <alignment horizontal="center"/>
    </xf>
    <xf numFmtId="164" fontId="0" fillId="0" borderId="0" xfId="1" applyNumberFormat="1" applyFont="1"/>
    <xf numFmtId="0" fontId="5" fillId="0" borderId="0" xfId="0" applyFont="1"/>
    <xf numFmtId="0" fontId="2" fillId="0" borderId="0" xfId="0" applyFont="1"/>
    <xf numFmtId="9" fontId="0" fillId="0" borderId="0" xfId="1" applyNumberFormat="1" applyFont="1"/>
    <xf numFmtId="14" fontId="0" fillId="0" borderId="0" xfId="0" applyNumberFormat="1"/>
    <xf numFmtId="164" fontId="0" fillId="0" borderId="0" xfId="0" applyNumberFormat="1"/>
    <xf numFmtId="166" fontId="0" fillId="0" borderId="0" xfId="0" applyNumberFormat="1"/>
    <xf numFmtId="167" fontId="0" fillId="0" borderId="0" xfId="0" applyNumberFormat="1"/>
    <xf numFmtId="43" fontId="0" fillId="0" borderId="0" xfId="1" applyFont="1" applyFill="1"/>
    <xf numFmtId="164" fontId="0" fillId="0" borderId="2" xfId="1" applyNumberFormat="1" applyFont="1" applyBorder="1"/>
    <xf numFmtId="168" fontId="0" fillId="0" borderId="0" xfId="2" applyNumberFormat="1" applyFont="1"/>
    <xf numFmtId="168" fontId="0" fillId="0" borderId="0" xfId="2" applyNumberFormat="1" applyFont="1" applyFill="1"/>
    <xf numFmtId="43" fontId="2" fillId="0" borderId="0" xfId="1" applyFont="1"/>
    <xf numFmtId="0" fontId="3" fillId="0" borderId="3" xfId="1" applyNumberFormat="1" applyFont="1" applyBorder="1"/>
    <xf numFmtId="10" fontId="0" fillId="0" borderId="0" xfId="2" applyNumberFormat="1" applyFont="1"/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9" fontId="0" fillId="0" borderId="0" xfId="2" applyFont="1" applyBorder="1" applyAlignment="1">
      <alignment horizontal="centerContinuous"/>
    </xf>
    <xf numFmtId="43" fontId="0" fillId="0" borderId="0" xfId="1" applyFont="1" applyBorder="1" applyAlignment="1">
      <alignment horizontal="centerContinuous"/>
    </xf>
    <xf numFmtId="43" fontId="0" fillId="0" borderId="0" xfId="1" applyFont="1" applyAlignment="1">
      <alignment horizontal="centerContinuous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9" fontId="3" fillId="0" borderId="5" xfId="2" applyFont="1" applyBorder="1" applyAlignment="1">
      <alignment horizontal="center" vertical="center" wrapText="1"/>
    </xf>
    <xf numFmtId="43" fontId="3" fillId="0" borderId="5" xfId="1" applyFont="1" applyBorder="1" applyAlignment="1">
      <alignment horizontal="center" vertical="center" wrapText="1"/>
    </xf>
    <xf numFmtId="43" fontId="3" fillId="0" borderId="6" xfId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14" fontId="3" fillId="0" borderId="5" xfId="0" applyNumberFormat="1" applyFont="1" applyBorder="1" applyAlignment="1">
      <alignment horizontal="center" vertical="center" wrapText="1"/>
    </xf>
    <xf numFmtId="14" fontId="3" fillId="0" borderId="6" xfId="0" applyNumberFormat="1" applyFont="1" applyBorder="1" applyAlignment="1">
      <alignment horizontal="center" vertical="center" wrapText="1"/>
    </xf>
    <xf numFmtId="43" fontId="3" fillId="0" borderId="0" xfId="1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7" xfId="0" applyBorder="1"/>
    <xf numFmtId="9" fontId="0" fillId="0" borderId="7" xfId="2" applyFont="1" applyBorder="1" applyAlignment="1">
      <alignment horizontal="center"/>
    </xf>
    <xf numFmtId="9" fontId="0" fillId="0" borderId="0" xfId="0" applyNumberFormat="1" applyAlignment="1">
      <alignment horizontal="center"/>
    </xf>
    <xf numFmtId="43" fontId="0" fillId="0" borderId="7" xfId="1" applyFont="1" applyBorder="1"/>
    <xf numFmtId="43" fontId="0" fillId="0" borderId="0" xfId="1" applyFont="1" applyBorder="1"/>
    <xf numFmtId="14" fontId="0" fillId="0" borderId="7" xfId="0" applyNumberFormat="1" applyBorder="1"/>
    <xf numFmtId="165" fontId="0" fillId="0" borderId="7" xfId="2" applyNumberFormat="1" applyFont="1" applyBorder="1" applyAlignment="1">
      <alignment horizontal="center"/>
    </xf>
    <xf numFmtId="164" fontId="0" fillId="0" borderId="7" xfId="1" applyNumberFormat="1" applyFont="1" applyBorder="1"/>
    <xf numFmtId="14" fontId="0" fillId="0" borderId="7" xfId="1" applyNumberFormat="1" applyFont="1" applyBorder="1"/>
    <xf numFmtId="164" fontId="0" fillId="0" borderId="0" xfId="1" applyNumberFormat="1" applyFont="1" applyFill="1"/>
    <xf numFmtId="164" fontId="0" fillId="2" borderId="0" xfId="1" applyNumberFormat="1" applyFont="1" applyFill="1"/>
  </cellXfs>
  <cellStyles count="3">
    <cellStyle name="Milliers" xfId="1" builtinId="3"/>
    <cellStyle name="Normal" xfId="0" builtinId="0"/>
    <cellStyle name="Pourcentage" xfId="2" builtinId="5"/>
  </cellStyles>
  <dxfs count="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4996185186315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netorg18283699.sharepoint.com/sites/jmccpa/Documents%20partages/Templates%20JMC%20CPA/Mod&#233;lisation%20des%20salaires%20-%20Ann&#233;e%20civile1.xlsx" TargetMode="External"/><Relationship Id="rId1" Type="http://schemas.openxmlformats.org/officeDocument/2006/relationships/externalLinkPath" Target="https://netorg18283699.sharepoint.com/sites/jmccpa/Documents%20partages/Templates%20JMC%20CPA/Mod&#233;lisation%20des%20salaires%20-%20Ann&#233;e%20civile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 des salaires"/>
      <sheetName val="État des résultats"/>
      <sheetName val="Salaires détaillés"/>
      <sheetName val="Avantages sociaux"/>
      <sheetName val="Paramètres"/>
      <sheetName val="Notes"/>
    </sheetNames>
    <sheetDataSet>
      <sheetData sheetId="0" refreshError="1"/>
      <sheetData sheetId="1" refreshError="1"/>
      <sheetData sheetId="2"/>
      <sheetData sheetId="3" refreshError="1"/>
      <sheetData sheetId="4">
        <row r="4">
          <cell r="C4">
            <v>2023</v>
          </cell>
          <cell r="D4">
            <v>2024</v>
          </cell>
          <cell r="E4">
            <v>2025</v>
          </cell>
          <cell r="F4">
            <v>2026</v>
          </cell>
          <cell r="G4">
            <v>2027</v>
          </cell>
          <cell r="H4">
            <v>2028</v>
          </cell>
          <cell r="I4">
            <v>2029</v>
          </cell>
          <cell r="J4">
            <v>2030</v>
          </cell>
        </row>
        <row r="6">
          <cell r="C6">
            <v>44927</v>
          </cell>
          <cell r="D6">
            <v>45292</v>
          </cell>
          <cell r="E6">
            <v>45901</v>
          </cell>
        </row>
        <row r="7">
          <cell r="C7">
            <v>45291</v>
          </cell>
          <cell r="D7">
            <v>45657</v>
          </cell>
          <cell r="E7">
            <v>46265</v>
          </cell>
        </row>
        <row r="8">
          <cell r="D8">
            <v>45307</v>
          </cell>
          <cell r="E8">
            <v>45934</v>
          </cell>
        </row>
        <row r="14">
          <cell r="C14">
            <v>61500</v>
          </cell>
          <cell r="D14">
            <v>63200</v>
          </cell>
          <cell r="E14">
            <v>65700</v>
          </cell>
          <cell r="F14">
            <v>70000</v>
          </cell>
        </row>
        <row r="17">
          <cell r="C17">
            <v>1.7779999999999997E-2</v>
          </cell>
          <cell r="D17">
            <v>1.848E-2</v>
          </cell>
          <cell r="E17">
            <v>1.8339999999999999E-2</v>
          </cell>
          <cell r="F17">
            <v>1.8339999999999999E-2</v>
          </cell>
        </row>
        <row r="18">
          <cell r="C18">
            <v>1093.4699999999998</v>
          </cell>
          <cell r="D18">
            <v>1167.9359999999999</v>
          </cell>
          <cell r="E18">
            <v>1204.9379999999999</v>
          </cell>
          <cell r="F18">
            <v>1283.8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</row>
        <row r="21">
          <cell r="C21">
            <v>66600</v>
          </cell>
          <cell r="D21">
            <v>68500</v>
          </cell>
          <cell r="E21">
            <v>71300</v>
          </cell>
          <cell r="F21">
            <v>73439</v>
          </cell>
        </row>
        <row r="22">
          <cell r="C22">
            <v>3500</v>
          </cell>
          <cell r="D22">
            <v>3500</v>
          </cell>
          <cell r="E22">
            <v>3500</v>
          </cell>
          <cell r="F22">
            <v>3500</v>
          </cell>
        </row>
        <row r="23">
          <cell r="C23">
            <v>0</v>
          </cell>
          <cell r="D23">
            <v>73200</v>
          </cell>
          <cell r="E23">
            <v>81200</v>
          </cell>
          <cell r="F23">
            <v>83636</v>
          </cell>
        </row>
        <row r="24">
          <cell r="C24">
            <v>6.4000000000000001E-2</v>
          </cell>
          <cell r="D24">
            <v>6.4000000000000001E-2</v>
          </cell>
          <cell r="E24">
            <v>6.4000000000000001E-2</v>
          </cell>
          <cell r="F24">
            <v>6.4000000000000001E-2</v>
          </cell>
        </row>
        <row r="25">
          <cell r="C25">
            <v>0</v>
          </cell>
          <cell r="D25">
            <v>0.04</v>
          </cell>
          <cell r="E25">
            <v>0.04</v>
          </cell>
          <cell r="F25">
            <v>0.04</v>
          </cell>
        </row>
        <row r="29">
          <cell r="C29">
            <v>91000</v>
          </cell>
          <cell r="D29">
            <v>94000</v>
          </cell>
          <cell r="E29">
            <v>98000</v>
          </cell>
          <cell r="F29">
            <v>100940</v>
          </cell>
        </row>
        <row r="30">
          <cell r="C30">
            <v>6.9199999999999999E-3</v>
          </cell>
          <cell r="D30">
            <v>6.9199999999999999E-3</v>
          </cell>
          <cell r="E30">
            <v>6.9199999999999999E-3</v>
          </cell>
          <cell r="F30">
            <v>6.9199999999999999E-3</v>
          </cell>
        </row>
        <row r="34">
          <cell r="C34">
            <v>88000</v>
          </cell>
          <cell r="D34">
            <v>94000</v>
          </cell>
          <cell r="E34">
            <v>98000</v>
          </cell>
          <cell r="F34">
            <v>100940</v>
          </cell>
        </row>
        <row r="35">
          <cell r="C35">
            <v>4.4000000000000003E-3</v>
          </cell>
          <cell r="D35">
            <v>4.4000000000000003E-3</v>
          </cell>
          <cell r="E35">
            <v>4.4000000000000003E-3</v>
          </cell>
          <cell r="F35">
            <v>4.4000000000000003E-3</v>
          </cell>
        </row>
        <row r="39">
          <cell r="C39">
            <v>88000</v>
          </cell>
          <cell r="D39">
            <v>94000</v>
          </cell>
          <cell r="E39">
            <v>98000</v>
          </cell>
          <cell r="F39">
            <v>100940</v>
          </cell>
        </row>
        <row r="40">
          <cell r="C40">
            <v>5.9999999999999995E-4</v>
          </cell>
          <cell r="D40">
            <v>5.9999999999999995E-4</v>
          </cell>
          <cell r="E40">
            <v>5.9999999999999995E-4</v>
          </cell>
          <cell r="F40">
            <v>5.9999999999999995E-4</v>
          </cell>
        </row>
        <row r="44">
          <cell r="C44">
            <v>2000000</v>
          </cell>
          <cell r="D44">
            <v>2000000</v>
          </cell>
          <cell r="E44">
            <v>2000000</v>
          </cell>
          <cell r="F44">
            <v>2000000</v>
          </cell>
        </row>
        <row r="45">
          <cell r="C45">
            <v>0.01</v>
          </cell>
          <cell r="D45">
            <v>0.01</v>
          </cell>
          <cell r="E45">
            <v>0.01</v>
          </cell>
          <cell r="F45">
            <v>0.01</v>
          </cell>
        </row>
        <row r="49">
          <cell r="C49">
            <v>2900000</v>
          </cell>
          <cell r="D49">
            <v>2950000</v>
          </cell>
          <cell r="E49">
            <v>3000000</v>
          </cell>
          <cell r="F49">
            <v>4000000</v>
          </cell>
        </row>
        <row r="55">
          <cell r="C55">
            <v>44938</v>
          </cell>
          <cell r="D55">
            <v>45302</v>
          </cell>
          <cell r="E55">
            <v>45666</v>
          </cell>
          <cell r="F55">
            <v>46030</v>
          </cell>
          <cell r="G55">
            <v>46394</v>
          </cell>
          <cell r="H55">
            <v>46758</v>
          </cell>
          <cell r="I55">
            <v>47122</v>
          </cell>
          <cell r="J55">
            <v>47486</v>
          </cell>
        </row>
        <row r="80">
          <cell r="C80">
            <v>45288</v>
          </cell>
          <cell r="D80">
            <v>45652</v>
          </cell>
          <cell r="E80">
            <v>46016</v>
          </cell>
          <cell r="F80">
            <v>46380</v>
          </cell>
          <cell r="G80">
            <v>46744</v>
          </cell>
          <cell r="H80">
            <v>47108</v>
          </cell>
          <cell r="I80">
            <v>47472</v>
          </cell>
          <cell r="J80">
            <v>47836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15C5B-4F04-4928-9196-49E28027374E}">
  <dimension ref="B1:GB15"/>
  <sheetViews>
    <sheetView showGridLines="0" tabSelected="1" zoomScale="80" zoomScaleNormal="80" workbookViewId="0">
      <pane xSplit="35" ySplit="7" topLeftCell="BI8" activePane="bottomRight" state="frozen"/>
      <selection pane="topRight" activeCell="AD1" sqref="AD1"/>
      <selection pane="bottomLeft" activeCell="A8" sqref="A8"/>
      <selection pane="bottomRight" activeCell="CD8" sqref="CD8"/>
    </sheetView>
  </sheetViews>
  <sheetFormatPr baseColWidth="10" defaultColWidth="11.44140625" defaultRowHeight="14.4" outlineLevelCol="1" x14ac:dyDescent="0.3"/>
  <cols>
    <col min="1" max="1" width="3.6640625" customWidth="1"/>
    <col min="2" max="2" width="23.109375" customWidth="1"/>
    <col min="3" max="4" width="23.109375" hidden="1" customWidth="1" outlineLevel="1"/>
    <col min="5" max="10" width="10.33203125" style="2" hidden="1" customWidth="1" outlineLevel="1"/>
    <col min="11" max="11" width="11.5546875" style="3" hidden="1" customWidth="1" outlineLevel="1"/>
    <col min="12" max="13" width="12.6640625" style="3" hidden="1" customWidth="1" outlineLevel="1"/>
    <col min="14" max="14" width="11.44140625" style="3" customWidth="1" collapsed="1"/>
    <col min="15" max="15" width="11.33203125" customWidth="1"/>
    <col min="16" max="16" width="11.5546875" customWidth="1"/>
    <col min="17" max="19" width="13.6640625" style="3" customWidth="1"/>
    <col min="20" max="20" width="11.44140625" style="3" customWidth="1"/>
    <col min="21" max="21" width="12.109375" style="3" customWidth="1"/>
    <col min="22" max="23" width="11.44140625" style="4" customWidth="1"/>
    <col min="24" max="35" width="11.5546875" style="3" customWidth="1"/>
    <col min="36" max="36" width="11.44140625" style="3"/>
    <col min="37" max="41" width="11.5546875" customWidth="1"/>
    <col min="42" max="42" width="12.44140625" bestFit="1" customWidth="1"/>
    <col min="43" max="48" width="11.5546875" customWidth="1"/>
    <col min="49" max="65" width="12.44140625" customWidth="1"/>
    <col min="66" max="95" width="11.5546875" customWidth="1"/>
  </cols>
  <sheetData>
    <row r="1" spans="2:95" ht="25.8" x14ac:dyDescent="0.5">
      <c r="B1" s="1" t="s">
        <v>0</v>
      </c>
    </row>
    <row r="2" spans="2:95" ht="15.6" x14ac:dyDescent="0.3">
      <c r="B2" s="6" t="s">
        <v>1</v>
      </c>
      <c r="D2" s="7"/>
      <c r="K2" s="8"/>
      <c r="X2"/>
      <c r="Y2"/>
      <c r="Z2"/>
      <c r="AA2"/>
      <c r="AB2"/>
      <c r="AC2"/>
      <c r="AD2"/>
      <c r="AE2"/>
      <c r="AF2"/>
      <c r="AG2"/>
      <c r="AH2"/>
      <c r="AI2"/>
      <c r="AJ2"/>
      <c r="AK2" t="s">
        <v>2</v>
      </c>
      <c r="AM2" s="9">
        <v>45901</v>
      </c>
      <c r="AQ2" s="3"/>
      <c r="AS2" s="10"/>
      <c r="AW2" s="11"/>
      <c r="AX2" t="s">
        <v>3</v>
      </c>
      <c r="AY2" s="9">
        <v>45934</v>
      </c>
      <c r="BC2" s="12"/>
      <c r="BD2" s="12"/>
      <c r="BO2" t="s">
        <v>4</v>
      </c>
      <c r="BR2" s="3">
        <f>IF(OR(ISNA(_xlfn.XLOOKUP($B$4,ANNEES_EXERCICES,MAX_RRQ,"")),_xlfn.XLOOKUP($B$4,ANNEES_EXERCICES,MAX_RRQ,"")=0),"",
_xlfn.XLOOKUP($B$4,ANNEES_EXERCICES,MAX_RRQ,""))</f>
        <v>71300</v>
      </c>
      <c r="BT2" t="s">
        <v>5</v>
      </c>
      <c r="BV2" s="3">
        <f>IF(OR(ISNA(_xlfn.XLOOKUP($B$4,ANNEES_EXERCICES,EXEMPTION_RRQ,"")),_xlfn.XLOOKUP($B$4,ANNEES_EXERCICES,EXEMPTION_RRQ,"")=0),"",
_xlfn.XLOOKUP($B$4,ANNEES_EXERCICES,EXEMPTION_RRQ,""))</f>
        <v>3500</v>
      </c>
      <c r="BX2" s="3">
        <f>IF(OR(ISNA(_xlfn.XLOOKUP(($B$4+1),ANNEES_EXERCICES,MAX_RRQ,"")),_xlfn.XLOOKUP(($B$4+1),ANNEES_EXERCICES,MAX_RRQ,"")=0),"",
_xlfn.XLOOKUP(($B$4+1),ANNEES_EXERCICES,MAX_RRQ,""))</f>
        <v>73439</v>
      </c>
      <c r="BY2" s="3"/>
      <c r="CD2" t="s">
        <v>4</v>
      </c>
      <c r="CG2" s="13">
        <f>IF(OR(ISNA(_xlfn.XLOOKUP($B$4,ANNEES_EXERCICES,MAX2_RRQ,"")),_xlfn.XLOOKUP($B$4,ANNEES_EXERCICES,MAX2_RRQ,"")=0),"",
_xlfn.XLOOKUP($B$4,ANNEES_EXERCICES,MAX2_RRQ,""))</f>
        <v>81200</v>
      </c>
      <c r="CI2" s="13">
        <f>IF(OR(ISNA(_xlfn.XLOOKUP(($B$4+1),ANNEES_EXERCICES,MAX2_RRQ,"")),_xlfn.XLOOKUP(($B$4+1),ANNEES_EXERCICES,MAX2_RRQ,"")=0),"",
_xlfn.XLOOKUP(($B$4+1),ANNEES_EXERCICES,MAX2_RRQ,""))</f>
        <v>83636</v>
      </c>
      <c r="CL2" s="3"/>
      <c r="CN2" s="3"/>
    </row>
    <row r="3" spans="2:95" x14ac:dyDescent="0.3">
      <c r="O3" s="3"/>
      <c r="X3"/>
      <c r="Y3"/>
      <c r="Z3"/>
      <c r="AA3"/>
      <c r="AB3"/>
      <c r="AC3"/>
      <c r="AD3"/>
      <c r="AE3"/>
      <c r="AF3"/>
      <c r="AG3"/>
      <c r="AH3"/>
      <c r="AI3"/>
      <c r="AJ3"/>
      <c r="AK3" t="s">
        <v>6</v>
      </c>
      <c r="AM3" s="9">
        <v>46265</v>
      </c>
      <c r="AO3" s="12"/>
      <c r="AP3" s="3"/>
      <c r="AQ3" s="12"/>
      <c r="AR3" s="12"/>
      <c r="AS3" s="12"/>
      <c r="BO3" s="15" t="s">
        <v>8</v>
      </c>
      <c r="BR3" s="15">
        <f>IF(OR(ISNA(_xlfn.XLOOKUP($B$4,ANNEES_EXERCICES,TAUX_RRQ,"")),_xlfn.XLOOKUP($B$4,ANNEES_EXERCICES,TAUX_RRQ,"")=0),"",
_xlfn.XLOOKUP($B$4,ANNEES_EXERCICES,TAUX_RRQ,""))</f>
        <v>6.4000000000000001E-2</v>
      </c>
      <c r="BW3" s="3"/>
      <c r="BX3" s="15">
        <f>IF(OR(ISNA(_xlfn.XLOOKUP(($B$4+1),ANNEES_EXERCICES,TAUX_RRQ,"")),_xlfn.XLOOKUP(($B$4+1),ANNEES_EXERCICES,TAUX_RRQ,"")=0),"",
_xlfn.XLOOKUP(($B$4+1),ANNEES_EXERCICES,TAUX_RRQ,""))</f>
        <v>6.4000000000000001E-2</v>
      </c>
      <c r="BZ3" s="11">
        <f>BR2-BV2</f>
        <v>67800</v>
      </c>
      <c r="CD3" s="16" t="s">
        <v>8</v>
      </c>
      <c r="CG3" s="16">
        <f>IF(OR(ISNA(_xlfn.XLOOKUP($B$4,ANNEES_EXERCICES,TAUX2_RRQ,"")),_xlfn.XLOOKUP($B$4,ANNEES_EXERCICES,TAUX2_RRQ,"")=0),"",
_xlfn.XLOOKUP($B$4,ANNEES_EXERCICES,TAUX2_RRQ,""))</f>
        <v>0.04</v>
      </c>
      <c r="CI3" s="16">
        <f>IF(OR(ISNA(_xlfn.XLOOKUP($B$4,ANNEES_EXERCICES,TAUX2_RRQ,"")),_xlfn.XLOOKUP($B$4,ANNEES_EXERCICES,TAUX2_RRQ,"")=0),"",
_xlfn.XLOOKUP($B$4,ANNEES_EXERCICES,TAUX2_RRQ,""))</f>
        <v>0.04</v>
      </c>
      <c r="CL3" s="17"/>
    </row>
    <row r="4" spans="2:95" x14ac:dyDescent="0.3">
      <c r="B4" s="18">
        <v>2025</v>
      </c>
      <c r="O4" s="3"/>
      <c r="X4"/>
      <c r="Y4"/>
      <c r="Z4"/>
      <c r="AA4"/>
      <c r="AB4"/>
      <c r="AC4"/>
      <c r="AD4"/>
      <c r="AE4"/>
      <c r="AF4"/>
      <c r="AG4"/>
      <c r="AH4"/>
      <c r="AI4"/>
      <c r="AJ4"/>
      <c r="AM4" s="9"/>
      <c r="BO4" s="3" t="s">
        <v>9</v>
      </c>
      <c r="BR4" s="3">
        <f>(BR2-BV2)*BR3</f>
        <v>4339.2</v>
      </c>
      <c r="BW4" s="19"/>
      <c r="BX4" s="3">
        <f>(BX2-BV2)*BX3</f>
        <v>4476.0960000000005</v>
      </c>
      <c r="BZ4" s="12"/>
      <c r="CA4" s="11"/>
      <c r="CB4" s="11"/>
      <c r="CD4" s="13" t="s">
        <v>9</v>
      </c>
      <c r="CG4" s="13">
        <f>(CG2-BR2)*CG3</f>
        <v>396</v>
      </c>
      <c r="CI4" s="13">
        <f>(CI2-BX2)*CI3</f>
        <v>407.88</v>
      </c>
      <c r="CJ4" s="11"/>
      <c r="CL4" s="19"/>
    </row>
    <row r="5" spans="2:95" x14ac:dyDescent="0.3">
      <c r="E5" s="2" t="s">
        <v>10</v>
      </c>
      <c r="F5" s="2" t="s">
        <v>10</v>
      </c>
      <c r="G5" s="2" t="s">
        <v>10</v>
      </c>
      <c r="H5" s="2" t="s">
        <v>10</v>
      </c>
      <c r="I5" s="2" t="s">
        <v>10</v>
      </c>
      <c r="J5" s="2" t="s">
        <v>10</v>
      </c>
      <c r="N5" s="20">
        <v>52</v>
      </c>
      <c r="Q5" s="20"/>
      <c r="R5" s="20"/>
      <c r="S5" s="20"/>
      <c r="W5"/>
      <c r="AK5" s="21">
        <f t="shared" ref="AK5:AV5" si="0">IF(ISNUMBER(AK7),NETWORKDAYS(DATE(YEAR(AK7),MONTH(AK7),1),AK7),"")</f>
        <v>22</v>
      </c>
      <c r="AL5" s="21">
        <f t="shared" si="0"/>
        <v>23</v>
      </c>
      <c r="AM5" s="21">
        <f t="shared" si="0"/>
        <v>20</v>
      </c>
      <c r="AN5" s="21">
        <f t="shared" si="0"/>
        <v>23</v>
      </c>
      <c r="AO5" s="21">
        <f t="shared" si="0"/>
        <v>22</v>
      </c>
      <c r="AP5" s="21">
        <f t="shared" si="0"/>
        <v>20</v>
      </c>
      <c r="AQ5" s="21">
        <f t="shared" si="0"/>
        <v>22</v>
      </c>
      <c r="AR5" s="21">
        <f t="shared" si="0"/>
        <v>22</v>
      </c>
      <c r="AS5" s="21">
        <f t="shared" si="0"/>
        <v>21</v>
      </c>
      <c r="AT5" s="21">
        <f t="shared" si="0"/>
        <v>22</v>
      </c>
      <c r="AU5" s="21">
        <f t="shared" si="0"/>
        <v>23</v>
      </c>
      <c r="AV5" s="21">
        <f t="shared" si="0"/>
        <v>21</v>
      </c>
    </row>
    <row r="6" spans="2:95" ht="15" thickBot="1" x14ac:dyDescent="0.35">
      <c r="C6" s="22"/>
      <c r="D6" s="23"/>
      <c r="E6" s="24"/>
      <c r="F6" s="24"/>
      <c r="G6" s="24"/>
      <c r="H6" s="24"/>
      <c r="I6" s="24"/>
      <c r="J6" s="24"/>
      <c r="K6" s="25"/>
      <c r="L6" s="25"/>
      <c r="M6" s="25"/>
      <c r="T6" s="4"/>
      <c r="U6" s="4"/>
      <c r="W6"/>
      <c r="X6" s="22" t="s">
        <v>11</v>
      </c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K6" s="22" t="s">
        <v>12</v>
      </c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Z6" s="22" t="s">
        <v>13</v>
      </c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O6" s="22" t="s">
        <v>14</v>
      </c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D6" s="22" t="s">
        <v>15</v>
      </c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</row>
    <row r="7" spans="2:95" s="37" customFormat="1" ht="43.95" customHeight="1" thickBot="1" x14ac:dyDescent="0.35">
      <c r="B7" s="27" t="s">
        <v>16</v>
      </c>
      <c r="C7" s="28" t="s">
        <v>17</v>
      </c>
      <c r="D7" s="28" t="s">
        <v>18</v>
      </c>
      <c r="E7" s="29" t="s">
        <v>19</v>
      </c>
      <c r="F7" s="29" t="s">
        <v>7</v>
      </c>
      <c r="G7" s="29" t="s">
        <v>20</v>
      </c>
      <c r="H7" s="29" t="s">
        <v>21</v>
      </c>
      <c r="I7" s="29" t="s">
        <v>22</v>
      </c>
      <c r="J7" s="29" t="s">
        <v>23</v>
      </c>
      <c r="K7" s="30" t="s">
        <v>24</v>
      </c>
      <c r="L7" s="30" t="s">
        <v>25</v>
      </c>
      <c r="M7" s="30" t="s">
        <v>26</v>
      </c>
      <c r="N7" s="30" t="s">
        <v>27</v>
      </c>
      <c r="O7" s="28" t="s">
        <v>28</v>
      </c>
      <c r="P7" s="28" t="s">
        <v>29</v>
      </c>
      <c r="Q7" s="30" t="s">
        <v>30</v>
      </c>
      <c r="R7" s="30" t="s">
        <v>31</v>
      </c>
      <c r="S7" s="30" t="s">
        <v>32</v>
      </c>
      <c r="T7" s="30" t="s">
        <v>33</v>
      </c>
      <c r="U7" s="30" t="s">
        <v>34</v>
      </c>
      <c r="V7" s="31" t="s">
        <v>35</v>
      </c>
      <c r="W7"/>
      <c r="X7" s="32">
        <v>45930</v>
      </c>
      <c r="Y7" s="33">
        <v>45961</v>
      </c>
      <c r="Z7" s="33">
        <v>45991</v>
      </c>
      <c r="AA7" s="33">
        <v>46022</v>
      </c>
      <c r="AB7" s="33">
        <v>46053</v>
      </c>
      <c r="AC7" s="33">
        <v>46081</v>
      </c>
      <c r="AD7" s="33">
        <v>46112</v>
      </c>
      <c r="AE7" s="33">
        <v>46142</v>
      </c>
      <c r="AF7" s="33">
        <v>46173</v>
      </c>
      <c r="AG7" s="33">
        <v>46203</v>
      </c>
      <c r="AH7" s="33">
        <v>46234</v>
      </c>
      <c r="AI7" s="34">
        <v>46265</v>
      </c>
      <c r="AJ7" s="35"/>
      <c r="AK7" s="32">
        <v>45930</v>
      </c>
      <c r="AL7" s="33">
        <v>45961</v>
      </c>
      <c r="AM7" s="33">
        <v>45991</v>
      </c>
      <c r="AN7" s="33">
        <v>46022</v>
      </c>
      <c r="AO7" s="33">
        <v>46053</v>
      </c>
      <c r="AP7" s="33">
        <v>46081</v>
      </c>
      <c r="AQ7" s="33">
        <v>46112</v>
      </c>
      <c r="AR7" s="33">
        <v>46142</v>
      </c>
      <c r="AS7" s="33">
        <v>46173</v>
      </c>
      <c r="AT7" s="33">
        <v>46203</v>
      </c>
      <c r="AU7" s="33">
        <v>46234</v>
      </c>
      <c r="AV7" s="33">
        <v>46265</v>
      </c>
      <c r="AW7" s="36" t="s">
        <v>36</v>
      </c>
      <c r="AY7" s="37" t="s">
        <v>37</v>
      </c>
      <c r="AZ7" s="32">
        <v>45930</v>
      </c>
      <c r="BA7" s="33">
        <v>45961</v>
      </c>
      <c r="BB7" s="33">
        <v>45991</v>
      </c>
      <c r="BC7" s="33">
        <v>46022</v>
      </c>
      <c r="BD7" s="33">
        <v>46053</v>
      </c>
      <c r="BE7" s="33">
        <v>46081</v>
      </c>
      <c r="BF7" s="33">
        <v>46112</v>
      </c>
      <c r="BG7" s="33">
        <v>46142</v>
      </c>
      <c r="BH7" s="33">
        <v>46173</v>
      </c>
      <c r="BI7" s="33">
        <v>46203</v>
      </c>
      <c r="BJ7" s="33">
        <v>46234</v>
      </c>
      <c r="BK7" s="33">
        <v>46265</v>
      </c>
      <c r="BL7" s="36" t="s">
        <v>36</v>
      </c>
      <c r="BN7" s="27" t="s">
        <v>38</v>
      </c>
      <c r="BO7" s="33">
        <v>45930</v>
      </c>
      <c r="BP7" s="33">
        <v>45961</v>
      </c>
      <c r="BQ7" s="33">
        <v>45991</v>
      </c>
      <c r="BR7" s="33">
        <v>46022</v>
      </c>
      <c r="BS7" s="33">
        <v>46053</v>
      </c>
      <c r="BT7" s="33">
        <v>46081</v>
      </c>
      <c r="BU7" s="33">
        <v>46112</v>
      </c>
      <c r="BV7" s="33">
        <v>46142</v>
      </c>
      <c r="BW7" s="33">
        <v>46173</v>
      </c>
      <c r="BX7" s="33">
        <v>46203</v>
      </c>
      <c r="BY7" s="33">
        <v>46234</v>
      </c>
      <c r="BZ7" s="33">
        <v>46265</v>
      </c>
      <c r="CA7" s="36" t="s">
        <v>36</v>
      </c>
      <c r="CC7" s="27" t="s">
        <v>38</v>
      </c>
      <c r="CD7" s="33">
        <v>45930</v>
      </c>
      <c r="CE7" s="33">
        <v>45961</v>
      </c>
      <c r="CF7" s="33">
        <v>45991</v>
      </c>
      <c r="CG7" s="33">
        <v>46022</v>
      </c>
      <c r="CH7" s="33">
        <v>46053</v>
      </c>
      <c r="CI7" s="33">
        <v>46081</v>
      </c>
      <c r="CJ7" s="33">
        <v>46112</v>
      </c>
      <c r="CK7" s="33">
        <v>46142</v>
      </c>
      <c r="CL7" s="33">
        <v>46173</v>
      </c>
      <c r="CM7" s="33">
        <v>46203</v>
      </c>
      <c r="CN7" s="33">
        <v>46234</v>
      </c>
      <c r="CO7" s="33">
        <v>46265</v>
      </c>
      <c r="CP7" s="36" t="s">
        <v>36</v>
      </c>
    </row>
    <row r="8" spans="2:95" x14ac:dyDescent="0.3">
      <c r="B8" s="38" t="s">
        <v>39</v>
      </c>
      <c r="C8" s="38" t="s">
        <v>40</v>
      </c>
      <c r="D8" s="38" t="s">
        <v>21</v>
      </c>
      <c r="E8" s="39">
        <v>0.05</v>
      </c>
      <c r="F8" s="39">
        <v>0.1</v>
      </c>
      <c r="G8" s="39">
        <v>0.15</v>
      </c>
      <c r="H8" s="39">
        <v>0.7</v>
      </c>
      <c r="I8" s="39"/>
      <c r="J8" s="40">
        <f>IF(SUM(E8:I8)=0,"",SUM(E8:I8))</f>
        <v>1</v>
      </c>
      <c r="K8" s="41">
        <v>40</v>
      </c>
      <c r="L8" s="41">
        <v>57</v>
      </c>
      <c r="M8" s="42">
        <f>K8*L8</f>
        <v>2280</v>
      </c>
      <c r="N8" s="5">
        <f t="shared" ref="N8" si="1">K8*L8*$N$5</f>
        <v>118560</v>
      </c>
      <c r="O8" s="43">
        <v>43167</v>
      </c>
      <c r="P8" s="43"/>
      <c r="Q8" s="44">
        <v>3.5000000000000003E-2</v>
      </c>
      <c r="R8" s="45">
        <f>IF(Q8="","",N8*(1+Q8))</f>
        <v>122709.59999999999</v>
      </c>
      <c r="S8" s="46">
        <v>45717</v>
      </c>
      <c r="T8" s="39">
        <v>0.5</v>
      </c>
      <c r="U8" s="39"/>
      <c r="V8" s="20">
        <f>IF(AND(O8="",P8=""),"",IF(OR($AM$2="",$AM$3=""),0,IF(AND(O8="",P8=""),0,IF(YEAR(O8)&gt;$B$4,0,IF(AND(P8&lt;&gt;"",YEAR(P8)&lt;$B$4),0,IF(NETWORKDAYS(MAX(O8,$AM$2),IF(P8&lt;&gt;"",MIN(P8,$AM$3),$AM$3))&lt;0,"Revoir dates",NETWORKDAYS(MAX(O8,$AM$2),IF(P8&lt;&gt;"",MIN(P8,$AM$3),$AM$3))))))))</f>
        <v>261</v>
      </c>
      <c r="W8"/>
      <c r="X8" s="41">
        <v>252</v>
      </c>
      <c r="Y8" s="41">
        <v>252</v>
      </c>
      <c r="Z8" s="41">
        <v>252</v>
      </c>
      <c r="AA8" s="41">
        <v>252</v>
      </c>
      <c r="AB8" s="41">
        <v>252</v>
      </c>
      <c r="AC8" s="41">
        <v>252</v>
      </c>
      <c r="AD8" s="41">
        <v>252</v>
      </c>
      <c r="AE8" s="41">
        <v>252</v>
      </c>
      <c r="AF8" s="41">
        <v>252</v>
      </c>
      <c r="AG8" s="41">
        <v>252</v>
      </c>
      <c r="AH8" s="41">
        <v>252</v>
      </c>
      <c r="AI8" s="41">
        <v>252</v>
      </c>
      <c r="AJ8" s="5"/>
      <c r="AK8" s="47">
        <f>_xlfn.LET(
   _xlpm.Jrs_an,NETWORKDAYS(DATE(YEAR(AK$7),1,1),DATE(YEAR(AK$7),12,31)),
   _xlpm.premier,MAX(EOMONTH(AK$7,-1)+1,$O8),
   _xlpm.dernier,MIN(AK$7,$P8),
   _xlpm.Jrs_Mois,IF(_xlpm.premier&gt;_xlpm.dernier,0,NETWORKDAYS(_xlpm.premier,_xlpm.dernier)),
   _xlpm.Jrs2_Mois,IF(OR($S8="",$S8&gt;_xlpm.dernier,_xlpm.premier&gt;_xlpm.dernier),0,NETWORKDAYS(MAX(_xlpm.premier,$S8),_xlpm.dernier)),
   IF(AK$7="", 0, ($N8*(_xlpm.Jrs_Mois-_xlpm.Jrs2_Mois)+IF($R8="",0,$R8*_xlpm.Jrs2_Mois))/_xlpm.Jrs_an)
)</f>
        <v>10343.337931034481</v>
      </c>
      <c r="AL8" s="47">
        <f t="shared" ref="AL8:AV8" si="2">_xlfn.LET(
   _xlpm.Jrs_an,NETWORKDAYS(DATE(YEAR(AL$7),1,1),DATE(YEAR(AL$7),12,31)),
   _xlpm.premier,MAX(EOMONTH(AL$7,-1)+1,$O8),
   _xlpm.dernier,MIN(AL$7,$P8),
   _xlpm.Jrs_Mois,IF(_xlpm.premier&gt;_xlpm.dernier,0,NETWORKDAYS(_xlpm.premier,_xlpm.dernier)),
   _xlpm.Jrs2_Mois,IF(OR($S8="",$S8&gt;_xlpm.dernier,_xlpm.premier&gt;_xlpm.dernier),0,NETWORKDAYS(MAX(_xlpm.premier,$S8),_xlpm.dernier)),
   IF(AL$7="", 0, ($N8*(_xlpm.Jrs_Mois-_xlpm.Jrs2_Mois)+IF($R8="",0,$R8*_xlpm.Jrs2_Mois))/_xlpm.Jrs_an)
)</f>
        <v>10813.489655172412</v>
      </c>
      <c r="AM8" s="47">
        <f t="shared" si="2"/>
        <v>9403.0344827586214</v>
      </c>
      <c r="AN8" s="47">
        <f t="shared" si="2"/>
        <v>10813.489655172412</v>
      </c>
      <c r="AO8" s="47">
        <f t="shared" si="2"/>
        <v>10343.337931034481</v>
      </c>
      <c r="AP8" s="47">
        <f t="shared" si="2"/>
        <v>9403.0344827586214</v>
      </c>
      <c r="AQ8" s="47">
        <f t="shared" si="2"/>
        <v>10343.337931034481</v>
      </c>
      <c r="AR8" s="47">
        <f t="shared" si="2"/>
        <v>10343.337931034481</v>
      </c>
      <c r="AS8" s="47">
        <f t="shared" si="2"/>
        <v>9873.1862068965511</v>
      </c>
      <c r="AT8" s="47">
        <f t="shared" si="2"/>
        <v>10343.337931034481</v>
      </c>
      <c r="AU8" s="47">
        <f t="shared" si="2"/>
        <v>10813.489655172412</v>
      </c>
      <c r="AV8" s="47">
        <f t="shared" si="2"/>
        <v>9873.1862068965511</v>
      </c>
      <c r="AW8" s="5">
        <f>SUM(AK8:AV8)</f>
        <v>122709.59999999999</v>
      </c>
      <c r="AX8" s="5"/>
      <c r="AY8" s="14">
        <v>5000</v>
      </c>
      <c r="AZ8" s="5">
        <f>IF(AK8=0,0,AK8*$T8)</f>
        <v>5171.6689655172404</v>
      </c>
      <c r="BA8" s="5">
        <f>IF(AL8=0,0,AL8*$T8)</f>
        <v>5406.7448275862062</v>
      </c>
      <c r="BB8" s="5">
        <f>IF(AM8=0,0,AM8*$T8)</f>
        <v>4701.5172413793107</v>
      </c>
      <c r="BC8" s="5">
        <f>IF(AN8=0,0,AN8*$T8)</f>
        <v>5406.7448275862062</v>
      </c>
      <c r="BD8" s="5">
        <f>IF(AO8=0,0,AO8*$T8)</f>
        <v>5171.6689655172404</v>
      </c>
      <c r="BE8" s="5">
        <f>IF(AP8=0,0,AP8*$T8)</f>
        <v>4701.5172413793107</v>
      </c>
      <c r="BF8" s="5">
        <f>IF(AQ8=0,0,AQ8*$T8)</f>
        <v>5171.6689655172404</v>
      </c>
      <c r="BG8" s="5">
        <f>IF(AR8=0,0,AR8*$T8)</f>
        <v>5171.6689655172404</v>
      </c>
      <c r="BH8" s="5">
        <f>IF(AS8=0,0,AS8*$T8)</f>
        <v>4936.5931034482755</v>
      </c>
      <c r="BI8" s="5">
        <f>IF(AT8=0,0,AT8*$T8)</f>
        <v>5171.6689655172404</v>
      </c>
      <c r="BJ8" s="5">
        <f>IF(AU8=0,0,AU8*$T8)</f>
        <v>5406.7448275862062</v>
      </c>
      <c r="BK8" s="5">
        <f>IF(AV8=0,0,AV8*$T8)</f>
        <v>4936.5931034482755</v>
      </c>
      <c r="BL8" s="5">
        <f>SUM(AZ8:BK8)</f>
        <v>61354.799999999996</v>
      </c>
      <c r="BM8" s="5"/>
      <c r="BN8" s="45">
        <v>2500</v>
      </c>
      <c r="BO8" s="5">
        <f>MAX(0,
    IF(AK8=0, 0,
        MIN(
            (AK8 + X8 + IF(MONTH(BO$7) = MONTH($AY$2), $AY$8, 0)) *
            IF(YEAR(BO$7) &gt; YEAR($AY$2), $BX$3, $BR$3),
            IF(YEAR(BO$7) &gt; YEAR($AY$2),
                $BX$4 - SUMIF($BO$7:BO$7,"&gt;="&amp;DATE(YEAR(BO$7),1,1),$BN8:BN8),
                $BR$4 - SUMIF($BO$7:BO$7,"&gt;="&amp;DATE(YEAR($AY$2),1,1),$BN8:BN8)
            )
        )
    )
)</f>
        <v>678.10162758620675</v>
      </c>
      <c r="BP8" s="5">
        <f>MAX(0,
    IF(AL8=0, 0,
        MIN(
            (AL8 + Y8 + IF(MONTH(BP$7) = MONTH($AY$2), $AY$8, 0)) *
            IF(YEAR(BP$7) &gt; YEAR($AY$2), $BX$3, $BR$3),
            IF(YEAR(BP$7) &gt; YEAR($AY$2),
                $BX$4 - SUMIF($BO$7:BP$7,"&gt;="&amp;DATE(YEAR(BP$7),1,1),$BN8:BO8),
                $BR$4 - SUMIF($BO$7:BP$7,"&gt;="&amp;DATE(YEAR($AY$2),1,1),$BN8:BO8)
            )
        )
    )
)</f>
        <v>1028.1913379310345</v>
      </c>
      <c r="BQ8" s="48">
        <f>MAX(0,
    IF(AM8=0, 0,
        MIN(
            (AM8 + Z8 + IF(MONTH(BQ$7) = MONTH($AY$2), $AY$8, 0)) *
            IF(YEAR(BQ$7) &gt; YEAR($AY$2), $BX$3, $BR$3),
            IF(YEAR(BQ$7) &gt; YEAR($AY$2),
                $BX$4 - SUMIF($BO$7:BQ$7,"&gt;="&amp;DATE(YEAR(BQ$7),1,1),$BN8:BP8),
                $BR$4 - SUMIF($BO$7:BQ$7,"&gt;="&amp;DATE(YEAR($AY$2),1,1),$BN8:BP8)
            )
        )
    )
)</f>
        <v>132.90703448275872</v>
      </c>
      <c r="BR8" s="5">
        <f>MAX(0,
    IF(AN8=0, 0,
        MIN(
            (AN8 + AA8 + IF(MONTH(BR$7) = MONTH($AY$2), $AY$8, 0)) *
            IF(YEAR(BR$7) &gt; YEAR($AY$2), $BX$3, $BR$3),
            IF(YEAR(BR$7) &gt; YEAR($AY$2),
                $BX$4 - SUMIF($BO$7:BR$7,"&gt;="&amp;DATE(YEAR(BR$7),1,1),$BN8:BQ8),
                $BR$4 - SUMIF($BO$7:BR$7,"&gt;="&amp;DATE(YEAR($AY$2),1,1),$BN8:BQ8)
            )
        )
    )
)</f>
        <v>0</v>
      </c>
      <c r="BS8" s="5">
        <f>MAX(0,
    IF(AO8=0, 0,
        MIN(
            (AO8 + AB8 + IF(MONTH(BS$7) = MONTH($AY$2), $AY$8, 0)) *
            IF(YEAR(BS$7) &gt; YEAR($AY$2), $BX$3, $BR$3),
            IF(YEAR(BS$7) &gt; YEAR($AY$2),
                $BX$4 - SUMIF($BO$7:BS$7,"&gt;="&amp;DATE(YEAR(BS$7),1,1),$BN8:BR8),
                $BR$4 - SUMIF($BO$7:BS$7,"&gt;="&amp;DATE(YEAR($AY$2),1,1),$BN8:BR8)
            )
        )
    )
)</f>
        <v>678.10162758620675</v>
      </c>
      <c r="BT8" s="5">
        <f>MAX(0,
    IF(AP8=0, 0,
        MIN(
            (AP8 + AC8 + IF(MONTH(BT$7) = MONTH($AY$2), $AY$8, 0)) *
            IF(YEAR(BT$7) &gt; YEAR($AY$2), $BX$3, $BR$3),
            IF(YEAR(BT$7) &gt; YEAR($AY$2),
                $BX$4 - SUMIF($BO$7:BT$7,"&gt;="&amp;DATE(YEAR(BT$7),1,1),$BN8:BS8),
                $BR$4 - SUMIF($BO$7:BT$7,"&gt;="&amp;DATE(YEAR($AY$2),1,1),$BN8:BS8)
            )
        )
    )
)</f>
        <v>617.92220689655176</v>
      </c>
      <c r="BU8" s="5">
        <f>MAX(0,
    IF(AQ8=0, 0,
        MIN(
            (AQ8 + AD8 + IF(MONTH(BU$7) = MONTH($AY$2), $AY$8, 0)) *
            IF(YEAR(BU$7) &gt; YEAR($AY$2), $BX$3, $BR$3),
            IF(YEAR(BU$7) &gt; YEAR($AY$2),
                $BX$4 - SUMIF($BO$7:BU$7,"&gt;="&amp;DATE(YEAR(BU$7),1,1),$BN8:BT8),
                $BR$4 - SUMIF($BO$7:BU$7,"&gt;="&amp;DATE(YEAR($AY$2),1,1),$BN8:BT8)
            )
        )
    )
)</f>
        <v>678.10162758620675</v>
      </c>
      <c r="BV8" s="47">
        <f>MAX(0,
    IF(AR8=0, 0,
        MIN(
            (AR8 + AE8 + IF(MONTH(BV$7) = MONTH($AY$2), $AY$8, 0)) *
            IF(YEAR(BV$7) &gt; YEAR($AY$2), $BX$3, $BR$3),
            IF(YEAR(BV$7) &gt; YEAR($AY$2),
                $BX$4 - SUMIF($BO$7:BV$7,"&gt;="&amp;DATE(YEAR(BV$7),1,1),$BN8:BU8),
                $BR$4 - SUMIF($BO$7:BV$7,"&gt;="&amp;DATE(YEAR($AY$2),1,1),$BN8:BU8)
            )
        )
    )
)</f>
        <v>678.10162758620675</v>
      </c>
      <c r="BW8" s="5">
        <f>MAX(0,
    IF(AS8=0, 0,
        MIN(
            (AS8 + AF8 + IF(MONTH(BW$7) = MONTH($AY$2), $AY$8, 0)) *
            IF(YEAR(BW$7) &gt; YEAR($AY$2), $BX$3, $BR$3),
            IF(YEAR(BW$7) &gt; YEAR($AY$2),
                $BX$4 - SUMIF($BO$7:BW$7,"&gt;="&amp;DATE(YEAR(BW$7),1,1),$BN8:BV8),
                $BR$4 - SUMIF($BO$7:BW$7,"&gt;="&amp;DATE(YEAR($AY$2),1,1),$BN8:BV8)
            )
        )
    )
)</f>
        <v>648.01191724137925</v>
      </c>
      <c r="BX8" s="5">
        <f>MAX(0,
    IF(AT8=0, 0,
        MIN(
            (AT8 + AG8 + IF(MONTH(BX$7) = MONTH($AY$2), $AY$8, 0)) *
            IF(YEAR(BX$7) &gt; YEAR($AY$2), $BX$3, $BR$3),
            IF(YEAR(BX$7) &gt; YEAR($AY$2),
                $BX$4 - SUMIF($BO$7:BX$7,"&gt;="&amp;DATE(YEAR(BX$7),1,1),$BN8:BW8),
                $BR$4 - SUMIF($BO$7:BX$7,"&gt;="&amp;DATE(YEAR($AY$2),1,1),$BN8:BW8)
            )
        )
    )
)</f>
        <v>678.10162758620675</v>
      </c>
      <c r="BY8" s="5">
        <f>MAX(0,
    IF(AU8=0, 0,
        MIN(
            (AU8 + AH8 + IF(MONTH(BY$7) = MONTH($AY$2), $AY$8, 0)) *
            IF(YEAR(BY$7) &gt; YEAR($AY$2), $BX$3, $BR$3),
            IF(YEAR(BY$7) &gt; YEAR($AY$2),
                $BX$4 - SUMIF($BO$7:BY$7,"&gt;="&amp;DATE(YEAR(BY$7),1,1),$BN8:BX8),
                $BR$4 - SUMIF($BO$7:BY$7,"&gt;="&amp;DATE(YEAR($AY$2),1,1),$BN8:BX8)
            )
        )
    )
)</f>
        <v>497.75536551724281</v>
      </c>
      <c r="BZ8" s="5">
        <f>MAX(0,
    IF(AV8=0, 0,
        MIN(
            (AV8 + AI8 + IF(MONTH(BZ$7) = MONTH($AY$2), $AY$8, 0)) *
            IF(YEAR(BZ$7) &gt; YEAR($AY$2), $BX$3, $BR$3),
            IF(YEAR(BZ$7) &gt; YEAR($AY$2),
                $BX$4 - SUMIF($BO$7:BZ$7,"&gt;="&amp;DATE(YEAR(BZ$7),1,1),$BN8:BY8),
                $BR$4 - SUMIF($BO$7:BZ$7,"&gt;="&amp;DATE(YEAR($AY$2),1,1),$BN8:BY8)
            )
        )
    )
)</f>
        <v>0</v>
      </c>
      <c r="CA8" s="5">
        <f>SUM(BO8:BZ8)</f>
        <v>6315.2960000000003</v>
      </c>
      <c r="CB8" s="5"/>
      <c r="CC8" s="45"/>
      <c r="CD8" s="5">
        <f>MAX(0,
    IF(AK8=0, 0,
        MIN(
            (AK8 + X8 + IF(MONTH(CD$7) = MONTH($AY$2), $AY8, 0)) *
            IF(YEAR(CD$7) &gt; YEAR($AY$2),
                $CI$3,
                IF(SUM($BN8:BO8) &gt;= $BR$4, $CG$3, 0)
            ),
            IF(YEAR(CD$7) &gt; YEAR($AY$2),
                $CI$4 - SUMIF($CD$7:CD$7,"&gt;="&amp;DATE(YEAR(CD$7),1,1), $CC8:CC8),
                IF(SUM($BN8:BO8) &gt;= $BR$4,
                    $CG$4 - SUMIF($CD$7:CD$7,"&gt;="&amp;DATE(YEAR($AY$2),1,1), $CC8:CC8),
                    0
                )
            )
        )
    )
)</f>
        <v>0</v>
      </c>
      <c r="CE8" s="5">
        <f>MAX(0,
    IF(AL8=0, 0,
        MIN(
            (AL8 + Y8 + IF(MONTH(CE$7) = MONTH($AY$2), $AY8, 0)) *
            IF(YEAR(CE$7) &gt; YEAR($AY$2),
                $CI$3,
                IF(SUM($BN8:BP8) &gt;= $BR$4, $CG$3, 0)
            ),
            IF(YEAR(CE$7) &gt; YEAR($AY$2),
                $CI$4 - SUMIF($CD$7:CE$7,"&gt;="&amp;DATE(YEAR(CE$7),1,1), $CC8:CD8),
                IF(SUM($BN8:BP8) &gt;= $BR$4,
                    $CG$4 - SUMIF($CD$7:CE$7,"&gt;="&amp;DATE(YEAR($AY$2),1,1), $CC8:CD8),
                    0
                )
            )
        )
    )
)</f>
        <v>0</v>
      </c>
      <c r="CF8" s="48">
        <f>MAX(0,
    IF(AM8=0, 0,
        MIN(
            (AM8 + Z8 + IF(MONTH(CF$7) = MONTH($AY$2), $AY8, 0)) *
            IF(YEAR(CF$7) &gt; YEAR($AY$2),
                $CI$3,
                IF(SUM($BN8:BQ8) &gt;= $BR$4, $CG$3, 0)
            ),
            IF(YEAR(CF$7) &gt; YEAR($AY$2),
                $CI$4 - SUMIF($CD$7:CF$7,"&gt;="&amp;DATE(YEAR(CF$7),1,1), $CC8:CE8),
                IF(SUM($BN8:BQ8) &gt;= $BR$4,
                    $CG$4 - SUMIF($CD$7:CF$7,"&gt;="&amp;DATE(YEAR($AY$2),1,1), $CC8:CE8),
                    0
                )
            )
        )
    )
)</f>
        <v>386.20137931034486</v>
      </c>
      <c r="CG8" s="5">
        <f>MAX(0,
    IF(AN8=0, 0,
        MIN(
            (AN8 + AA8 + IF(MONTH(CG$7) = MONTH($AY$2), $AY8, 0)) *
            IF(YEAR(CG$7) &gt; YEAR($AY$2),
                $CI$3,
                IF(SUM($BN8:BR8) &gt;= $BR$4, $CG$3, 0)
            ),
            IF(YEAR(CG$7) &gt; YEAR($AY$2),
                $CI$4 - SUMIF($CD$7:CG$7,"&gt;="&amp;DATE(YEAR(CG$7),1,1), $CC8:CF8),
                IF(SUM($BN8:BR8) &gt;= $BR$4,
                    $CG$4 - SUMIF($CD$7:CG$7,"&gt;="&amp;DATE(YEAR($AY$2),1,1), $CC8:CF8),
                    0
                )
            )
        )
    )
)</f>
        <v>9.798620689655138</v>
      </c>
      <c r="CH8" s="5">
        <f>MAX(0,
    IF(AO8=0, 0,
        MIN(
            (AO8 + AB8 + IF(MONTH(CH$7) = MONTH($AY$2), $AY8, 0)) *
            IF(YEAR(CH$7) &gt; YEAR($AY$2),
                $CI$3,
                IF(SUM($BN8:BS8) &gt;= $BR$4, $CG$3, 0)
            ),
            IF(YEAR(CH$7) &gt; YEAR($AY$2),
                $CI$4 - SUMIF($CD$7:CH$7,"&gt;="&amp;DATE(YEAR(CH$7),1,1), $CC8:CG8),
                IF(SUM($BN8:BS8) &gt;= $BR$4,
                    $CG$4 - SUMIF($CD$7:CH$7,"&gt;="&amp;DATE(YEAR($AY$2),1,1), $CC8:CG8),
                    0
                )
            )
        )
    )
)</f>
        <v>398.08137931034486</v>
      </c>
      <c r="CI8" s="5">
        <f>MAX(0,
    IF(AP8=0, 0,
        MIN(
            (AP8 + AC8 + IF(MONTH(CI$7) = MONTH($AY$2), $AY8, 0)) *
            IF(YEAR(CI$7) &gt; YEAR($AY$2),
                $CI$3,
                IF(SUM($BN8:BT8) &gt;= $BR$4, $CG$3, 0)
            ),
            IF(YEAR(CI$7) &gt; YEAR($AY$2),
                $CI$4 - SUMIF($CD$7:CI$7,"&gt;="&amp;DATE(YEAR(CI$7),1,1), $CC8:CH8),
                IF(SUM($BN8:BT8) &gt;= $BR$4,
                    $CG$4 - SUMIF($CD$7:CI$7,"&gt;="&amp;DATE(YEAR($AY$2),1,1), $CC8:CH8),
                    0
                )
            )
        )
    )
)</f>
        <v>0</v>
      </c>
      <c r="CJ8" s="5">
        <f>MAX(0,
    IF(AQ8=0, 0,
        MIN(
            (AQ8 + AD8 + IF(MONTH(CJ$7) = MONTH($AY$2), $AY8, 0)) *
            IF(YEAR(CJ$7) &gt; YEAR($AY$2),
                $CI$3,
                IF(SUM($BN8:BU8) &gt;= $BR$4, $CG$3, 0)
            ),
            IF(YEAR(CJ$7) &gt; YEAR($AY$2),
                $CI$4 - SUMIF($CD$7:CJ$7,"&gt;="&amp;DATE(YEAR(CJ$7),1,1), $CC8:CI8),
                IF(SUM($BN8:BU8) &gt;= $BR$4,
                    $CG$4 - SUMIF($CD$7:CJ$7,"&gt;="&amp;DATE(YEAR($AY$2),1,1), $CC8:CI8),
                    0
                )
            )
        )
    )
)</f>
        <v>0</v>
      </c>
      <c r="CK8" s="5">
        <f>MAX(0,
    IF(AR8=0, 0,
        MIN(
            (AR8 + AE8 + IF(MONTH(CK$7) = MONTH($AY$2), $AY8, 0)) *
            IF(YEAR(CK$7) &gt; YEAR($AY$2),
                $CI$3,
                IF(SUM($BN8:BV8) &gt;= $BR$4, $CG$3, 0)
            ),
            IF(YEAR(CK$7) &gt; YEAR($AY$2),
                $CI$4 - SUMIF($CD$7:CK$7,"&gt;="&amp;DATE(YEAR(CK$7),1,1), $CC8:CJ8),
                IF(SUM($BN8:BV8) &gt;= $BR$4,
                    $CG$4 - SUMIF($CD$7:CK$7,"&gt;="&amp;DATE(YEAR($AY$2),1,1), $CC8:CJ8),
                    0
                )
            )
        )
    )
)</f>
        <v>0</v>
      </c>
      <c r="CL8" s="5">
        <f>MAX(0,
    IF(AS8=0, 0,
        MIN(
            (AS8 + AF8 + IF(MONTH(CL$7) = MONTH($AY$2), $AY8, 0)) *
            IF(YEAR(CL$7) &gt; YEAR($AY$2),
                $CI$3,
                IF(SUM($BN8:BW8) &gt;= $BR$4, $CG$3, 0)
            ),
            IF(YEAR(CL$7) &gt; YEAR($AY$2),
                $CI$4 - SUMIF($CD$7:CL$7,"&gt;="&amp;DATE(YEAR(CL$7),1,1), $CC8:CK8),
                IF(SUM($BN8:BW8) &gt;= $BR$4,
                    $CG$4 - SUMIF($CD$7:CL$7,"&gt;="&amp;DATE(YEAR($AY$2),1,1), $CC8:CK8),
                    0
                )
            )
        )
    )
)</f>
        <v>0</v>
      </c>
      <c r="CM8" s="5">
        <f>MAX(0,
    IF(AT8=0, 0,
        MIN(
            (AT8 + AG8 + IF(MONTH(CM$7) = MONTH($AY$2), $AY8, 0)) *
            IF(YEAR(CM$7) &gt; YEAR($AY$2),
                $CI$3,
                IF(SUM($BN8:BX8) &gt;= $BR$4, $CG$3, 0)
            ),
            IF(YEAR(CM$7) &gt; YEAR($AY$2),
                $CI$4 - SUMIF($CD$7:CM$7,"&gt;="&amp;DATE(YEAR(CM$7),1,1), $CC8:CL8),
                IF(SUM($BN8:BX8) &gt;= $BR$4,
                    $CG$4 - SUMIF($CD$7:CM$7,"&gt;="&amp;DATE(YEAR($AY$2),1,1), $CC8:CL8),
                    0
                )
            )
        )
    )
)</f>
        <v>0</v>
      </c>
      <c r="CN8" s="5">
        <f>MAX(0,
    IF(AU8=0, 0,
        MIN(
            (AU8 + AH8 + IF(MONTH(CN$7) = MONTH($AY$2), $AY8, 0)) *
            IF(YEAR(CN$7) &gt; YEAR($AY$2),
                $CI$3,
                IF(SUM($BN8:BY8) &gt;= $BR$4, $CG$3, 0)
            ),
            IF(YEAR(CN$7) &gt; YEAR($AY$2),
                $CI$4 - SUMIF($CD$7:CN$7,"&gt;="&amp;DATE(YEAR(CN$7),1,1), $CC8:CM8),
                IF(SUM($BN8:BY8) &gt;= $BR$4,
                    $CG$4 - SUMIF($CD$7:CN$7,"&gt;="&amp;DATE(YEAR($AY$2),1,1), $CC8:CM8),
                    0
                )
            )
        )
    )
)</f>
        <v>0</v>
      </c>
      <c r="CO8" s="5">
        <f>MAX(0,
    IF(AV8=0, 0,
        MIN(
            (AV8 + AI8 + IF(MONTH(CO$7) = MONTH($AY$2), $AY8, 0)) *
            IF(YEAR(CO$7) &gt; YEAR($AY$2),
                $CI$3,
                IF(SUM($BN8:BZ8) &gt;= $BR$4, $CG$3, 0)
            ),
            IF(YEAR(CO$7) &gt; YEAR($AY$2),
                $CI$4 - SUMIF($CD$7:CO$7,"&gt;="&amp;DATE(YEAR(CO$7),1,1), $CC8:CN8),
                IF(SUM($BN8:BZ8) &gt;= $BR$4,
                    $CG$4 - SUMIF($CD$7:CO$7,"&gt;="&amp;DATE(YEAR($AY$2),1,1), $CC8:CN8),
                    0
                )
            )
        )
    )
)</f>
        <v>0</v>
      </c>
      <c r="CP8" s="5">
        <f t="shared" ref="CP8" si="3">SUM(CD8:CO8)</f>
        <v>794.0813793103448</v>
      </c>
      <c r="CQ8" s="5"/>
    </row>
    <row r="12" spans="2:95" x14ac:dyDescent="0.3">
      <c r="BN12" t="s">
        <v>41</v>
      </c>
    </row>
    <row r="14" spans="2:95" x14ac:dyDescent="0.3">
      <c r="BN14" t="s">
        <v>42</v>
      </c>
    </row>
    <row r="15" spans="2:95" x14ac:dyDescent="0.3">
      <c r="BN15" t="s">
        <v>43</v>
      </c>
    </row>
  </sheetData>
  <conditionalFormatting sqref="J8">
    <cfRule type="cellIs" dxfId="6" priority="10" operator="notEqual">
      <formula>100%</formula>
    </cfRule>
  </conditionalFormatting>
  <conditionalFormatting sqref="V8">
    <cfRule type="cellIs" dxfId="5" priority="9" operator="lessThan">
      <formula>0</formula>
    </cfRule>
  </conditionalFormatting>
  <conditionalFormatting sqref="X8:AI8">
    <cfRule type="expression" dxfId="4" priority="11">
      <formula>OR(X$7&lt;$O8,AND($P8&lt;&gt;"",X$7&gt;EOMONTH($P8,0)))</formula>
    </cfRule>
  </conditionalFormatting>
  <conditionalFormatting sqref="BN8">
    <cfRule type="expression" dxfId="1" priority="7">
      <formula>MONTH($BO$7)=1</formula>
    </cfRule>
  </conditionalFormatting>
  <conditionalFormatting sqref="CC8">
    <cfRule type="expression" dxfId="0" priority="6">
      <formula>MONTH($CD$7)=1</formula>
    </cfRule>
  </conditionalFormatting>
  <dataValidations count="2">
    <dataValidation type="custom" allowBlank="1" showInputMessage="1" showErrorMessage="1" errorTitle="Cotisation accumulée" error="Il ne peut y avoir de cotisation accumulée si le premier mois de l'exercice est janvier." sqref="CC8" xr:uid="{E54088C0-EEC5-4AB6-840E-F9E7EAD56FB1}">
      <formula1>MONTH($CD$7)&lt;&gt;1</formula1>
    </dataValidation>
    <dataValidation type="custom" allowBlank="1" showInputMessage="1" showErrorMessage="1" errorTitle="Cotisation accumulée" error="Il ne peut y avoir de cotisation accumulée si le premier mois de l'exercice est janvier" sqref="BN8" xr:uid="{B9DC7591-7E6E-4D87-B1BA-993DB9568D14}">
      <formula1>MONTH($BO$7)&lt;&gt;1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Salaires détaillés</vt:lpstr>
      <vt:lpstr>EMPLOYÉS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Mc Collough</dc:creator>
  <cp:lastModifiedBy>Jimmy Mc Collough</cp:lastModifiedBy>
  <dcterms:created xsi:type="dcterms:W3CDTF">2025-03-23T19:21:51Z</dcterms:created>
  <dcterms:modified xsi:type="dcterms:W3CDTF">2025-03-23T19:35:02Z</dcterms:modified>
</cp:coreProperties>
</file>