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loicc\OneDrive\Bureau\"/>
    </mc:Choice>
  </mc:AlternateContent>
  <xr:revisionPtr revIDLastSave="0" documentId="8_{AA8082CA-07B3-4C03-8F6D-7BE69633A632}" xr6:coauthVersionLast="47" xr6:coauthVersionMax="47" xr10:uidLastSave="{00000000-0000-0000-0000-000000000000}"/>
  <bookViews>
    <workbookView xWindow="-108" yWindow="-108" windowWidth="23256" windowHeight="12576" tabRatio="928" activeTab="4" xr2:uid="{00000000-000D-0000-FFFF-FFFF00000000}"/>
  </bookViews>
  <sheets>
    <sheet name="ARTICLE" sheetId="17" r:id="rId1"/>
    <sheet name="ORDER" sheetId="18" r:id="rId2"/>
    <sheet name="FOURNISSEUR" sheetId="24" r:id="rId3"/>
    <sheet name="AGENTS" sheetId="23" r:id="rId4"/>
    <sheet name="CONFIG" sheetId="26" r:id="rId5"/>
    <sheet name="Bdd" sheetId="12" state="hidden" r:id="rId6"/>
  </sheets>
  <definedNames>
    <definedName name="Activite">CONFIG!$I$47:$I$54</definedName>
    <definedName name="Agent">Tableau8[Nom]</definedName>
    <definedName name="Article">Tableau9[Numéro Article]</definedName>
    <definedName name="Fournisseur">Tableau1[Nom]</definedName>
    <definedName name="Natures">CONFIG!$I$8:$I$11</definedName>
    <definedName name="NomArticles">Tableau9[Nom]</definedName>
    <definedName name="Order_ID">Tableau2[N°Commande]</definedName>
    <definedName name="TEST">Tableau9[[Numéro Article]:[Statuts]]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7" l="1"/>
  <c r="J8" i="17"/>
  <c r="J7" i="17"/>
  <c r="J6" i="17"/>
  <c r="R48" i="26" s="1"/>
  <c r="S54" i="26"/>
  <c r="S53" i="26"/>
  <c r="S52" i="26"/>
  <c r="S51" i="26"/>
  <c r="S50" i="26"/>
  <c r="S49" i="26"/>
  <c r="S48" i="26"/>
  <c r="S47" i="26"/>
  <c r="R54" i="26"/>
  <c r="R53" i="26"/>
  <c r="R52" i="26"/>
  <c r="R51" i="26"/>
  <c r="R50" i="26"/>
  <c r="R49" i="26"/>
  <c r="R47" i="26"/>
  <c r="L47" i="26"/>
  <c r="M53" i="26"/>
  <c r="Q54" i="26"/>
  <c r="P54" i="26"/>
  <c r="Q53" i="26"/>
  <c r="P53" i="26"/>
  <c r="Q52" i="26"/>
  <c r="P52" i="26"/>
  <c r="Q51" i="26"/>
  <c r="P51" i="26"/>
  <c r="Q50" i="26"/>
  <c r="P50" i="26"/>
  <c r="Q49" i="26"/>
  <c r="P49" i="26"/>
  <c r="Q48" i="26"/>
  <c r="P48" i="26"/>
  <c r="Q47" i="26"/>
  <c r="P47" i="26"/>
  <c r="O54" i="26"/>
  <c r="N54" i="26"/>
  <c r="M54" i="26"/>
  <c r="L54" i="26"/>
  <c r="K54" i="26"/>
  <c r="O53" i="26"/>
  <c r="N53" i="26"/>
  <c r="L53" i="26"/>
  <c r="J54" i="26"/>
  <c r="J53" i="26"/>
  <c r="I3" i="17"/>
  <c r="E54" i="26"/>
  <c r="D54" i="26"/>
  <c r="D53" i="26"/>
  <c r="L9" i="17" l="1"/>
  <c r="L8" i="17"/>
  <c r="L7" i="17"/>
  <c r="L6" i="17"/>
  <c r="D3" i="18"/>
  <c r="E3" i="17" l="1"/>
  <c r="D50" i="26" l="1"/>
  <c r="M50" i="26" l="1"/>
  <c r="K53" i="26"/>
  <c r="O52" i="26"/>
  <c r="N52" i="26"/>
  <c r="M52" i="26"/>
  <c r="L52" i="26"/>
  <c r="K52" i="26"/>
  <c r="J52" i="26"/>
  <c r="O51" i="26"/>
  <c r="N51" i="26"/>
  <c r="M51" i="26"/>
  <c r="L51" i="26"/>
  <c r="K51" i="26"/>
  <c r="J51" i="26"/>
  <c r="O50" i="26"/>
  <c r="N50" i="26"/>
  <c r="L50" i="26"/>
  <c r="K50" i="26"/>
  <c r="J50" i="26"/>
  <c r="N49" i="26"/>
  <c r="N48" i="26"/>
  <c r="O47" i="26"/>
  <c r="N47" i="26"/>
  <c r="M47" i="26"/>
  <c r="J47" i="26"/>
  <c r="O48" i="26" l="1"/>
  <c r="F52" i="26" l="1"/>
  <c r="E52" i="26"/>
  <c r="D52" i="26"/>
  <c r="K47" i="26"/>
  <c r="E48" i="26"/>
  <c r="G4" i="18" s="1"/>
  <c r="D48" i="26"/>
  <c r="D4" i="18" s="1"/>
  <c r="L49" i="26"/>
  <c r="K49" i="26"/>
  <c r="L48" i="26"/>
  <c r="K48" i="26"/>
  <c r="O49" i="26"/>
  <c r="D51" i="26"/>
  <c r="I4" i="17" s="1"/>
  <c r="J48" i="26" l="1"/>
  <c r="M48" i="26"/>
  <c r="I5" i="24" l="1"/>
  <c r="I6" i="24"/>
  <c r="I8" i="24"/>
  <c r="I9" i="24"/>
  <c r="I10" i="24"/>
  <c r="I11" i="24"/>
  <c r="I12" i="24"/>
  <c r="I13" i="24"/>
  <c r="I7" i="24"/>
  <c r="E53" i="26" l="1"/>
  <c r="J49" i="26" l="1"/>
  <c r="D47" i="26"/>
  <c r="E4" i="17" s="1"/>
  <c r="E21" i="26"/>
  <c r="E20" i="26"/>
  <c r="E19" i="26"/>
  <c r="M49" i="26" l="1"/>
  <c r="D49" i="26"/>
  <c r="I7" i="23"/>
  <c r="I8" i="23"/>
  <c r="G1" i="12" l="1"/>
  <c r="H1" i="12" l="1"/>
  <c r="F1" i="12" l="1"/>
  <c r="C1" i="12"/>
</calcChain>
</file>

<file path=xl/sharedStrings.xml><?xml version="1.0" encoding="utf-8"?>
<sst xmlns="http://schemas.openxmlformats.org/spreadsheetml/2006/main" count="226" uniqueCount="157">
  <si>
    <t>Id</t>
  </si>
  <si>
    <t>Début</t>
  </si>
  <si>
    <t>Ne pas Effacer</t>
  </si>
  <si>
    <t>Ne pas Effacer cette ligne 0</t>
  </si>
  <si>
    <t>Myriam</t>
  </si>
  <si>
    <t>Elsa</t>
  </si>
  <si>
    <t>Julia</t>
  </si>
  <si>
    <t>Hervé</t>
  </si>
  <si>
    <t>Commande</t>
  </si>
  <si>
    <t>Activités</t>
  </si>
  <si>
    <t>A</t>
  </si>
  <si>
    <t>B</t>
  </si>
  <si>
    <t>D</t>
  </si>
  <si>
    <t>Id_Bdd</t>
  </si>
  <si>
    <t>Réalisé</t>
  </si>
  <si>
    <t>Absence</t>
  </si>
  <si>
    <t>Durée</t>
  </si>
  <si>
    <t>Absence-</t>
  </si>
  <si>
    <t>Maladie</t>
  </si>
  <si>
    <t>Congés</t>
  </si>
  <si>
    <t>Accueil</t>
  </si>
  <si>
    <t>Entretien</t>
  </si>
  <si>
    <t>EFZE@HOTMAIL.com</t>
  </si>
  <si>
    <t>France</t>
  </si>
  <si>
    <t>PARIS</t>
  </si>
  <si>
    <t>9 rue des peuplier</t>
  </si>
  <si>
    <t>8 rue des peuplier</t>
  </si>
  <si>
    <t>7 rue des peuplier</t>
  </si>
  <si>
    <t>6 rue des peuplier</t>
  </si>
  <si>
    <t>5 rue des peuplier</t>
  </si>
  <si>
    <t>4 rue des peuplier</t>
  </si>
  <si>
    <t>3 rue des peuplier</t>
  </si>
  <si>
    <t>2 rue des peuplier</t>
  </si>
  <si>
    <t>Agent2</t>
  </si>
  <si>
    <t>1 rue des peuplier</t>
  </si>
  <si>
    <t>Agent1</t>
  </si>
  <si>
    <t>Groupe</t>
  </si>
  <si>
    <t>Mail</t>
  </si>
  <si>
    <t>Téléphone</t>
  </si>
  <si>
    <t>Pays</t>
  </si>
  <si>
    <t>Ville</t>
  </si>
  <si>
    <t>Code Postale</t>
  </si>
  <si>
    <t>Adresse</t>
  </si>
  <si>
    <t>Nom</t>
  </si>
  <si>
    <t>Fournisseur 9</t>
  </si>
  <si>
    <t>Fournisseur 8</t>
  </si>
  <si>
    <t>Fournisseur 7</t>
  </si>
  <si>
    <t>Fournisseur 6</t>
  </si>
  <si>
    <t>Fournisseur 5</t>
  </si>
  <si>
    <t>Fournisseur 4</t>
  </si>
  <si>
    <t>Fournisseur 3</t>
  </si>
  <si>
    <t>Fournisseur 2</t>
  </si>
  <si>
    <t>Fournisseur 1</t>
  </si>
  <si>
    <t>Numéro Article</t>
  </si>
  <si>
    <t>Description</t>
  </si>
  <si>
    <t>Activité</t>
  </si>
  <si>
    <t>Prix Unitaire</t>
  </si>
  <si>
    <t>Stock</t>
  </si>
  <si>
    <t>Valeur Stock</t>
  </si>
  <si>
    <t>Stock Mini</t>
  </si>
  <si>
    <t>Alerte</t>
  </si>
  <si>
    <t>Statuts</t>
  </si>
  <si>
    <t>Vide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</si>
  <si>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</si>
  <si>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</si>
  <si>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</si>
  <si>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</si>
  <si>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</si>
  <si>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</si>
  <si>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</si>
  <si>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</si>
  <si>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</si>
  <si>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</si>
  <si>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&gt;10</t>
  </si>
  <si>
    <t>Suffixe</t>
  </si>
  <si>
    <t>Article</t>
  </si>
  <si>
    <t>ART-</t>
  </si>
  <si>
    <t>Order</t>
  </si>
  <si>
    <t>Reservation</t>
  </si>
  <si>
    <t>RESA-</t>
  </si>
  <si>
    <t>Agencement</t>
  </si>
  <si>
    <t>Chauffage</t>
  </si>
  <si>
    <t>Electricité</t>
  </si>
  <si>
    <t>Peinture</t>
  </si>
  <si>
    <t>Plomberie</t>
  </si>
  <si>
    <t>Serrurerie</t>
  </si>
  <si>
    <t>N°Commande</t>
  </si>
  <si>
    <t>Date</t>
  </si>
  <si>
    <t>N°Article</t>
  </si>
  <si>
    <t>Nombre</t>
  </si>
  <si>
    <t>Prix</t>
  </si>
  <si>
    <t>Prix Total</t>
  </si>
  <si>
    <t>Fournisseur</t>
  </si>
  <si>
    <t>Contrôle</t>
  </si>
  <si>
    <t>Check</t>
  </si>
  <si>
    <t>Bon de Commande</t>
  </si>
  <si>
    <t>Agents</t>
  </si>
  <si>
    <t>Tableau de Bord</t>
  </si>
  <si>
    <t>Widget 1</t>
  </si>
  <si>
    <t>Valeurs du stock</t>
  </si>
  <si>
    <t>Widget 2</t>
  </si>
  <si>
    <t>Article en commande</t>
  </si>
  <si>
    <t>Widget 3</t>
  </si>
  <si>
    <t>Quantité stock critique</t>
  </si>
  <si>
    <t>Widget 4</t>
  </si>
  <si>
    <t>Quantité d'Article en stock</t>
  </si>
  <si>
    <t>Widget 5</t>
  </si>
  <si>
    <t>Volume du stock</t>
  </si>
  <si>
    <t>Widget 6</t>
  </si>
  <si>
    <t>Top 3 Articles Utilisés</t>
  </si>
  <si>
    <t>Nav Items</t>
  </si>
  <si>
    <t>Page 1</t>
  </si>
  <si>
    <t>Page 2</t>
  </si>
  <si>
    <t>Articles</t>
  </si>
  <si>
    <t>Page 3</t>
  </si>
  <si>
    <t>Page 4</t>
  </si>
  <si>
    <t>Page 5</t>
  </si>
  <si>
    <t>Mouvement de Stock</t>
  </si>
  <si>
    <t>Page 6</t>
  </si>
  <si>
    <t>Fournisseurs</t>
  </si>
  <si>
    <t>Page 7</t>
  </si>
  <si>
    <t>Page 8</t>
  </si>
  <si>
    <t>Configuration</t>
  </si>
  <si>
    <t>LISTE DES ARTICLES</t>
  </si>
  <si>
    <t>SUIVI DE COMMANDES</t>
  </si>
  <si>
    <t>Valeur des Articles en Commandes</t>
  </si>
  <si>
    <t>LISTE DES FOURNISSEURS</t>
  </si>
  <si>
    <t>LISTE DES AGENTS</t>
  </si>
  <si>
    <t>CONFIGURATION</t>
  </si>
  <si>
    <t>Article en commande en €</t>
  </si>
  <si>
    <t>Images</t>
  </si>
  <si>
    <t>Nature</t>
  </si>
  <si>
    <t>Widget 7</t>
  </si>
  <si>
    <t>Widget 8</t>
  </si>
  <si>
    <t>Quantité Outillages</t>
  </si>
  <si>
    <t>Quantité Machines</t>
  </si>
  <si>
    <t>Jardinerie</t>
  </si>
  <si>
    <t>Machines</t>
  </si>
  <si>
    <t>Outillages</t>
  </si>
  <si>
    <t>Natures</t>
  </si>
  <si>
    <t>Produits</t>
  </si>
  <si>
    <t>CDE-</t>
  </si>
  <si>
    <t>Quantité Outillages en €</t>
  </si>
  <si>
    <t>Quantité Machines en €</t>
  </si>
  <si>
    <t>ART-00001</t>
  </si>
  <si>
    <t>TETETE</t>
  </si>
  <si>
    <t>RFSFQFGQFD</t>
  </si>
  <si>
    <t>Active</t>
  </si>
  <si>
    <t>ART-00002</t>
  </si>
  <si>
    <t>TEST</t>
  </si>
  <si>
    <t>TEST1</t>
  </si>
  <si>
    <t>ART-00003</t>
  </si>
  <si>
    <t>ABCD</t>
  </si>
  <si>
    <t>AZEERTY</t>
  </si>
  <si>
    <t>ART-00004</t>
  </si>
  <si>
    <t>TEST2</t>
  </si>
  <si>
    <t>JHJKHKJ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</si>
</sst>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164" formatCode="_(&quot;€&quot;* #,##0.00_);_(&quot;€&quot;* \(#,##0.00\);_(&quot;€&quot;* &quot;-&quot;??_);_(@_)"/>
    <numFmt numFmtId="165" formatCode="#,##0.00\ &quot;€&quot;"/>
    <numFmt numFmtId="166" formatCode="&quot;   Article à Commander !!!&quot;"/>
    <numFmt numFmtId="167" formatCode="_-* #,##0.00\ [$€-40C]_-;\-* #,##0.00\ [$€-40C]_-;_-* &quot;-&quot;??\ [$€-40C]_-;_-@_-"/>
    <numFmt numFmtId="168" formatCode="0#&quot; &quot;##&quot; &quot;##&quot; &quot;##&quot; &quot;##"/>
    <numFmt numFmtId="169" formatCode="_-* #,##0.00\ _€_-;\-* #,##0.0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mbria"/>
      <family val="1"/>
    </font>
    <font>
      <b/>
      <sz val="11"/>
      <color theme="1"/>
      <name val="Cambria"/>
      <family val="1"/>
    </font>
    <font>
      <b/>
      <sz val="11"/>
      <color theme="0"/>
      <name val="Cambria"/>
      <family val="1"/>
    </font>
    <font>
      <b/>
      <sz val="14"/>
      <color theme="1"/>
      <name val="Cambria"/>
      <family val="1"/>
    </font>
    <font>
      <b/>
      <sz val="20"/>
      <color theme="1"/>
      <name val="Cambria"/>
      <family val="1"/>
    </font>
    <font>
      <b/>
      <sz val="36"/>
      <color theme="1"/>
      <name val="Cambria"/>
      <family val="1"/>
    </font>
    <font>
      <b/>
      <u/>
      <sz val="14"/>
      <color theme="10"/>
      <name val="Cambria"/>
      <family val="1"/>
    </font>
    <font>
      <sz val="10"/>
      <name val="Arial"/>
      <family val="2"/>
    </font>
    <font>
      <u/>
      <sz val="10"/>
      <color indexed="12"/>
      <name val="Arial"/>
      <family val="2"/>
    </font>
    <font>
      <sz val="14"/>
      <color theme="1"/>
      <name val="Cambria"/>
      <family val="1"/>
    </font>
    <font>
      <b/>
      <u/>
      <sz val="14"/>
      <color theme="1"/>
      <name val="Cambria"/>
      <family val="1"/>
    </font>
    <font>
      <u/>
      <sz val="14"/>
      <color theme="1"/>
      <name val="Cambria"/>
      <family val="1"/>
    </font>
    <font>
      <b/>
      <sz val="16"/>
      <color theme="0"/>
      <name val="Cambria"/>
      <family val="1"/>
    </font>
    <font>
      <sz val="16"/>
      <color theme="1"/>
      <name val="Cambria"/>
      <family val="1"/>
    </font>
    <font>
      <sz val="11"/>
      <color theme="1"/>
      <name val="Cambria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</borders>
  <cellStyleXfs count="8">
    <xf numFmtId="0" fontId="0" fillId="0" borderId="0"/>
    <xf numFmtId="0" fontId="1" fillId="0" borderId="0" applyFill="0" applyProtection="0"/>
    <xf numFmtId="164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>
      <alignment vertical="top"/>
      <protection locked="0"/>
    </xf>
    <xf numFmtId="9" fontId="14" fillId="0" borderId="0" applyFont="0" applyFill="0" applyBorder="0" applyAlignment="0" applyProtection="0"/>
    <xf numFmtId="169" fontId="14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2" borderId="0" xfId="0" applyFont="1" applyFill="1" applyAlignment="1">
      <alignment horizontal="center" wrapText="1"/>
    </xf>
    <xf numFmtId="22" fontId="0" fillId="0" borderId="0" xfId="0" applyNumberFormat="1"/>
    <xf numFmtId="0" fontId="0" fillId="4" borderId="0" xfId="0" applyFill="1" applyAlignment="1">
      <alignment horizontal="center"/>
    </xf>
    <xf numFmtId="0" fontId="0" fillId="4" borderId="0" xfId="0" applyFill="1"/>
    <xf numFmtId="22" fontId="0" fillId="4" borderId="0" xfId="0" applyNumberFormat="1" applyFill="1"/>
    <xf numFmtId="22" fontId="3" fillId="2" borderId="0" xfId="0" applyNumberFormat="1" applyFont="1" applyFill="1" applyAlignment="1">
      <alignment horizontal="center" wrapText="1"/>
    </xf>
    <xf numFmtId="0" fontId="3" fillId="2" borderId="0" xfId="0" applyNumberFormat="1" applyFont="1" applyFill="1" applyAlignment="1">
      <alignment horizontal="center" wrapText="1"/>
    </xf>
    <xf numFmtId="0" fontId="0" fillId="4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19" fontId="0" fillId="0" borderId="0" xfId="0" applyNumberForma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7" fillId="0" borderId="0" xfId="0" applyFont="1"/>
    <xf numFmtId="165" fontId="11" fillId="0" borderId="0" xfId="0" applyNumberFormat="1" applyFont="1" applyAlignment="1">
      <alignment horizontal="left" vertical="top"/>
    </xf>
    <xf numFmtId="0" fontId="11" fillId="0" borderId="0" xfId="0" applyFont="1" applyAlignment="1">
      <alignment horizontal="left" vertical="top"/>
    </xf>
    <xf numFmtId="0" fontId="12" fillId="0" borderId="15" xfId="0" applyFont="1" applyBorder="1" applyAlignment="1">
      <alignment horizontal="left" vertical="center"/>
    </xf>
    <xf numFmtId="0" fontId="0" fillId="0" borderId="15" xfId="0" applyBorder="1"/>
    <xf numFmtId="0" fontId="11" fillId="0" borderId="0" xfId="0" applyFont="1"/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167" fontId="10" fillId="0" borderId="17" xfId="0" applyNumberFormat="1" applyFont="1" applyBorder="1" applyAlignment="1">
      <alignment horizontal="center" vertical="center"/>
    </xf>
    <xf numFmtId="0" fontId="10" fillId="0" borderId="17" xfId="0" applyNumberFormat="1" applyFont="1" applyBorder="1" applyAlignment="1">
      <alignment horizontal="center" vertical="center"/>
    </xf>
    <xf numFmtId="0" fontId="10" fillId="0" borderId="18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3" fillId="0" borderId="6" xfId="3" applyFont="1" applyBorder="1" applyAlignment="1">
      <alignment horizontal="center" vertical="center"/>
    </xf>
    <xf numFmtId="168" fontId="10" fillId="0" borderId="6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68" fontId="10" fillId="0" borderId="3" xfId="0" applyNumberFormat="1" applyFont="1" applyBorder="1" applyAlignment="1">
      <alignment horizontal="center" vertical="center"/>
    </xf>
    <xf numFmtId="0" fontId="13" fillId="0" borderId="3" xfId="3" applyFont="1" applyBorder="1" applyAlignment="1">
      <alignment horizontal="center" vertical="center"/>
    </xf>
    <xf numFmtId="0" fontId="7" fillId="0" borderId="15" xfId="0" applyFont="1" applyBorder="1"/>
    <xf numFmtId="0" fontId="12" fillId="0" borderId="15" xfId="0" applyFont="1" applyBorder="1" applyAlignment="1">
      <alignment horizontal="left"/>
    </xf>
    <xf numFmtId="0" fontId="7" fillId="0" borderId="15" xfId="0" applyFont="1" applyBorder="1" applyAlignment="1">
      <alignment vertical="center"/>
    </xf>
    <xf numFmtId="0" fontId="16" fillId="3" borderId="12" xfId="0" applyFont="1" applyFill="1" applyBorder="1" applyAlignment="1">
      <alignment horizontal="center"/>
    </xf>
    <xf numFmtId="165" fontId="16" fillId="3" borderId="12" xfId="0" applyNumberFormat="1" applyFont="1" applyFill="1" applyBorder="1" applyAlignment="1">
      <alignment horizontal="center"/>
    </xf>
    <xf numFmtId="0" fontId="16" fillId="4" borderId="12" xfId="0" applyFont="1" applyFill="1" applyBorder="1" applyAlignment="1">
      <alignment horizontal="center" vertical="center"/>
    </xf>
    <xf numFmtId="0" fontId="17" fillId="0" borderId="11" xfId="0" applyFont="1" applyBorder="1"/>
    <xf numFmtId="0" fontId="16" fillId="0" borderId="0" xfId="0" applyFont="1"/>
    <xf numFmtId="0" fontId="16" fillId="3" borderId="13" xfId="0" applyFont="1" applyFill="1" applyBorder="1" applyAlignment="1">
      <alignment horizontal="center"/>
    </xf>
    <xf numFmtId="0" fontId="16" fillId="4" borderId="14" xfId="0" applyFont="1" applyFill="1" applyBorder="1"/>
    <xf numFmtId="0" fontId="18" fillId="0" borderId="11" xfId="0" applyFont="1" applyBorder="1"/>
    <xf numFmtId="0" fontId="16" fillId="0" borderId="11" xfId="0" applyFont="1" applyBorder="1"/>
    <xf numFmtId="165" fontId="16" fillId="3" borderId="12" xfId="2" applyNumberFormat="1" applyFont="1" applyFill="1" applyBorder="1" applyAlignment="1">
      <alignment horizontal="center"/>
    </xf>
    <xf numFmtId="0" fontId="19" fillId="6" borderId="0" xfId="0" applyFont="1" applyFill="1" applyAlignment="1">
      <alignment horizontal="center"/>
    </xf>
    <xf numFmtId="0" fontId="19" fillId="6" borderId="0" xfId="0" applyFont="1" applyFill="1"/>
    <xf numFmtId="0" fontId="10" fillId="0" borderId="17" xfId="0" applyNumberFormat="1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7" fillId="0" borderId="0" xfId="0" applyFont="1" applyBorder="1" applyAlignment="1" applyProtection="1">
      <alignment horizontal="left" vertical="center"/>
    </xf>
    <xf numFmtId="0" fontId="11" fillId="0" borderId="0" xfId="0" applyFont="1" applyBorder="1" applyAlignment="1" applyProtection="1">
      <alignment horizontal="left" vertical="top"/>
    </xf>
    <xf numFmtId="0" fontId="7" fillId="0" borderId="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/>
    </xf>
    <xf numFmtId="165" fontId="11" fillId="0" borderId="0" xfId="0" applyNumberFormat="1" applyFont="1" applyAlignment="1" applyProtection="1">
      <alignment horizontal="left" vertical="top"/>
    </xf>
    <xf numFmtId="0" fontId="11" fillId="0" borderId="0" xfId="0" applyFont="1" applyAlignment="1" applyProtection="1">
      <alignment horizontal="left" vertical="top"/>
    </xf>
    <xf numFmtId="0" fontId="8" fillId="0" borderId="0" xfId="0" applyFont="1" applyAlignment="1" applyProtection="1">
      <alignment horizontal="center" vertical="center"/>
    </xf>
    <xf numFmtId="0" fontId="20" fillId="0" borderId="4" xfId="0" applyFont="1" applyBorder="1" applyAlignment="1" applyProtection="1">
      <alignment horizontal="center" vertical="center"/>
    </xf>
    <xf numFmtId="0" fontId="20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/>
    </xf>
    <xf numFmtId="0" fontId="10" fillId="0" borderId="17" xfId="0" applyFont="1" applyBorder="1" applyAlignment="1" applyProtection="1">
      <alignment horizontal="center" vertical="center"/>
    </xf>
    <xf numFmtId="0" fontId="10" fillId="0" borderId="17" xfId="0" applyFont="1" applyBorder="1" applyAlignment="1" applyProtection="1">
      <alignment horizontal="left" vertical="top" wrapText="1"/>
    </xf>
    <xf numFmtId="165" fontId="10" fillId="0" borderId="17" xfId="2" applyNumberFormat="1" applyFont="1" applyBorder="1" applyAlignment="1" applyProtection="1">
      <alignment horizontal="center" vertical="center"/>
    </xf>
    <xf numFmtId="166" fontId="10" fillId="0" borderId="17" xfId="0" applyNumberFormat="1" applyFont="1" applyBorder="1" applyAlignment="1" applyProtection="1">
      <alignment horizontal="center" vertical="center"/>
    </xf>
    <xf numFmtId="166" fontId="10" fillId="0" borderId="22" xfId="0" applyNumberFormat="1" applyFont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 vertical="center"/>
    </xf>
    <xf numFmtId="0" fontId="16" fillId="0" borderId="0" xfId="0" applyFont="1" applyAlignment="1" applyProtection="1">
      <alignment horizontal="left" vertical="top" wrapText="1"/>
    </xf>
    <xf numFmtId="0" fontId="20" fillId="0" borderId="20" xfId="0" applyFont="1" applyBorder="1" applyAlignment="1">
      <alignment horizontal="center" vertical="center"/>
    </xf>
    <xf numFmtId="0" fontId="20" fillId="0" borderId="19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14" fontId="10" fillId="0" borderId="17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7" fillId="0" borderId="15" xfId="0" applyFont="1" applyBorder="1" applyAlignment="1" applyProtection="1">
      <alignment horizontal="center" vertical="center"/>
    </xf>
    <xf numFmtId="0" fontId="12" fillId="0" borderId="15" xfId="0" applyFont="1" applyBorder="1" applyAlignment="1" applyProtection="1">
      <alignment horizontal="left" vertical="center"/>
    </xf>
    <xf numFmtId="0" fontId="21" fillId="0" borderId="2" xfId="0" applyFont="1" applyBorder="1" applyAlignment="1" applyProtection="1">
      <alignment horizontal="center" vertical="center"/>
    </xf>
    <xf numFmtId="0" fontId="21" fillId="0" borderId="3" xfId="0" applyFont="1" applyBorder="1" applyAlignment="1" applyProtection="1">
      <alignment horizontal="center" vertical="center"/>
    </xf>
    <xf numFmtId="0" fontId="21" fillId="0" borderId="1" xfId="0" applyFont="1" applyBorder="1" applyAlignment="1" applyProtection="1">
      <alignment horizontal="center" vertical="center"/>
    </xf>
    <xf numFmtId="7" fontId="10" fillId="0" borderId="17" xfId="0" applyNumberFormat="1" applyFont="1" applyBorder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</cellXfs>
  <cellStyles count="8">
    <cellStyle name="Lien hypertexte" xfId="3" builtinId="8"/>
    <cellStyle name="Lien hypertexte 2" xfId="5" xr:uid="{B6614F67-B56D-4FC6-A453-2BB3304B2175}"/>
    <cellStyle name="Milliers 2" xfId="7" xr:uid="{DC5A154A-68D0-45BC-85F6-119EEEBFD172}"/>
    <cellStyle name="Monétaire" xfId="2" builtinId="4"/>
    <cellStyle name="Normal" xfId="0" builtinId="0"/>
    <cellStyle name="Normal 2" xfId="1" xr:uid="{00000000-0005-0000-0000-000002000000}"/>
    <cellStyle name="Normal 3" xfId="4" xr:uid="{61B0FC3A-3139-4CDE-9493-667BA9A16BCE}"/>
    <cellStyle name="Pourcentage 2" xfId="6" xr:uid="{53F13C93-F7E3-4709-8261-3DC92272BEF4}"/>
  </cellStyles>
  <dxfs count="73">
    <dxf>
      <fill>
        <patternFill>
          <bgColor rgb="FF00B050"/>
        </patternFill>
      </fill>
    </dxf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4"/>
        <color theme="10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168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theme="1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mbria"/>
        <family val="1"/>
        <scheme val="none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4"/>
        <color theme="10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168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167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167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top style="thin">
          <color theme="0"/>
        </top>
      </border>
    </dxf>
    <dxf>
      <border diagonalUp="0" diagonalDown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/>
        <strike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166" formatCode="&quot;   Article à Commander !!!&quot;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indexed="64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166" formatCode="&quot;   Article à Commander !!!&quot;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left" vertical="top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protection locked="1" hidden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D60093"/>
      <color rgb="FFCCFF33"/>
      <color rgb="FF00FF00"/>
      <color rgb="FF99FF99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svg"/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svg"/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svg"/><Relationship Id="rId1" Type="http://schemas.openxmlformats.org/officeDocument/2006/relationships/image" Target="../media/image8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svg"/><Relationship Id="rId1" Type="http://schemas.openxmlformats.org/officeDocument/2006/relationships/image" Target="../media/image1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116579</xdr:colOff>
      <xdr:row>2</xdr:row>
      <xdr:rowOff>201935</xdr:rowOff>
    </xdr:from>
    <xdr:to>
      <xdr:col>1</xdr:col>
      <xdr:colOff>1377240</xdr:colOff>
      <xdr:row>3</xdr:row>
      <xdr:rowOff>229885</xdr:rowOff>
    </xdr:to>
    <xdr:pic macro="[0]!Bt_ajoutart"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8756" y="2025000"/>
          <a:ext cx="1260661" cy="365933"/>
        </a:xfrm>
        <a:prstGeom prst="rect">
          <a:avLst/>
        </a:prstGeom>
      </xdr:spPr>
    </xdr:pic>
    <xdr:clientData/>
  </xdr:twoCellAnchor>
  <xdr:twoCellAnchor editAs="absolute">
    <xdr:from>
      <xdr:col>3</xdr:col>
      <xdr:colOff>1722062</xdr:colOff>
      <xdr:row>1</xdr:row>
      <xdr:rowOff>80711</xdr:rowOff>
    </xdr:from>
    <xdr:to>
      <xdr:col>3</xdr:col>
      <xdr:colOff>2242177</xdr:colOff>
      <xdr:row>1</xdr:row>
      <xdr:rowOff>600826</xdr:rowOff>
    </xdr:to>
    <xdr:pic>
      <xdr:nvPicPr>
        <xdr:cNvPr id="21" name="Graphique 20" descr="Bon inventaire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4912444" y="1258534"/>
          <a:ext cx="520115" cy="52011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194834</xdr:colOff>
      <xdr:row>2</xdr:row>
      <xdr:rowOff>256051</xdr:rowOff>
    </xdr:from>
    <xdr:to>
      <xdr:col>1</xdr:col>
      <xdr:colOff>1470878</xdr:colOff>
      <xdr:row>3</xdr:row>
      <xdr:rowOff>280636</xdr:rowOff>
    </xdr:to>
    <xdr:pic macro="[0]!Bt_order"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221" y="2079116"/>
          <a:ext cx="1276044" cy="362568"/>
        </a:xfrm>
        <a:prstGeom prst="rect">
          <a:avLst/>
        </a:prstGeom>
      </xdr:spPr>
    </xdr:pic>
    <xdr:clientData/>
  </xdr:twoCellAnchor>
  <xdr:twoCellAnchor editAs="oneCell">
    <xdr:from>
      <xdr:col>3</xdr:col>
      <xdr:colOff>1677801</xdr:colOff>
      <xdr:row>1</xdr:row>
      <xdr:rowOff>103245</xdr:rowOff>
    </xdr:from>
    <xdr:to>
      <xdr:col>3</xdr:col>
      <xdr:colOff>2158498</xdr:colOff>
      <xdr:row>1</xdr:row>
      <xdr:rowOff>631390</xdr:rowOff>
    </xdr:to>
    <xdr:pic>
      <xdr:nvPicPr>
        <xdr:cNvPr id="20" name="Graphique 19" descr="Chariot de courses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5205124" y="1283116"/>
          <a:ext cx="487177" cy="52814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983234</xdr:colOff>
      <xdr:row>1</xdr:row>
      <xdr:rowOff>60222</xdr:rowOff>
    </xdr:from>
    <xdr:to>
      <xdr:col>4</xdr:col>
      <xdr:colOff>63797</xdr:colOff>
      <xdr:row>1</xdr:row>
      <xdr:rowOff>582222</xdr:rowOff>
    </xdr:to>
    <xdr:pic>
      <xdr:nvPicPr>
        <xdr:cNvPr id="18" name="Graphique 17" descr="Réseaux sociaux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981299" y="1238045"/>
          <a:ext cx="524675" cy="522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1622145</xdr:colOff>
      <xdr:row>1</xdr:row>
      <xdr:rowOff>71696</xdr:rowOff>
    </xdr:from>
    <xdr:to>
      <xdr:col>2</xdr:col>
      <xdr:colOff>2144145</xdr:colOff>
      <xdr:row>1</xdr:row>
      <xdr:rowOff>593696</xdr:rowOff>
    </xdr:to>
    <xdr:pic>
      <xdr:nvPicPr>
        <xdr:cNvPr id="11" name="Graphique 10" descr="Badge d'employé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592306" y="1249519"/>
          <a:ext cx="522000" cy="522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1081859</xdr:colOff>
      <xdr:row>1</xdr:row>
      <xdr:rowOff>163274</xdr:rowOff>
    </xdr:from>
    <xdr:to>
      <xdr:col>2</xdr:col>
      <xdr:colOff>1603859</xdr:colOff>
      <xdr:row>2</xdr:row>
      <xdr:rowOff>13989</xdr:rowOff>
    </xdr:to>
    <xdr:pic>
      <xdr:nvPicPr>
        <xdr:cNvPr id="27" name="Graphique 26" descr="Engrenage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3824357" y="1342560"/>
          <a:ext cx="522000" cy="522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</xdr:colOff>
          <xdr:row>3</xdr:row>
          <xdr:rowOff>152400</xdr:rowOff>
        </xdr:from>
        <xdr:to>
          <xdr:col>6</xdr:col>
          <xdr:colOff>944880</xdr:colOff>
          <xdr:row>5</xdr:row>
          <xdr:rowOff>68580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11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2318390-B6FE-499E-BCC9-F3DD438D01D2}" name="Tableau9" displayName="Tableau9" ref="B5:Y9" totalsRowShown="0" headerRowDxfId="72" dataDxfId="70" headerRowBorderDxfId="71" tableBorderDxfId="69" totalsRowBorderDxfId="68">
  <autoFilter ref="B5:Y9" xr:uid="{F607BC4C-B810-4465-9B3D-6289A5CA126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</autoFilter>
  <tableColumns count="24">
    <tableColumn id="1" xr3:uid="{876E262E-5166-49A7-831F-8E203F8B2171}" name="Numéro Article" dataDxfId="67"/>
    <tableColumn id="21" xr3:uid="{95DD99AA-1AAA-44C6-92A6-ECDF11B42967}" name="Nature" dataDxfId="66"/>
    <tableColumn id="2" xr3:uid="{3AFBA6C3-FC78-4581-9272-B7B5FDFCC24D}" name="Nom" dataDxfId="65"/>
    <tableColumn id="3" xr3:uid="{D75F0043-DC66-4DE1-B318-F63F38914A44}" name="Description" dataDxfId="64"/>
    <tableColumn id="24" xr3:uid="{58D66E49-3A66-4575-A814-B1F60FFA1F7E}" name="Activité" dataDxfId="63"/>
    <tableColumn id="23" xr3:uid="{258674A1-9E71-4935-827B-6749B804B468}" name="Images" dataDxfId="62"/>
    <tableColumn id="4" xr3:uid="{AD45A83D-62AB-4E79-BB4E-B1AAF0E23F09}" name="Prix Unitaire" dataDxfId="61"/>
    <tableColumn id="5" xr3:uid="{35C5F025-D82A-4938-9D4A-7127F3E5BB35}" name="Stock" dataDxfId="60">
      <calculatedColumnFormula>SUMIFS(#REF!,#REF!,Tableau9[[#This Row],[Numéro Article]],#REF!,"Entrée")-SUMIFS(#REF!,#REF!,Tableau9[[#This Row],[Numéro Article]],#REF!,"Sortie")</calculatedColumnFormula>
    </tableColumn>
    <tableColumn id="6" xr3:uid="{36ECF4D2-2669-4456-93FF-E658DC3DB14B}" name="Valeur Stock" dataDxfId="59" dataCellStyle="Monétaire">
      <calculatedColumnFormula>Tableau9[[#This Row],[Prix Unitaire]]*Tableau9[[#This Row],[Stock]]</calculatedColumnFormula>
    </tableColumn>
    <tableColumn id="7" xr3:uid="{0C3F8BD8-C474-4F0F-A979-A39D80EB93A1}" name="Stock Mini" dataDxfId="58"/>
    <tableColumn id="8" xr3:uid="{D3C45D05-3105-4140-9B96-93514BCA28F3}" name="Alerte" dataDxfId="57">
      <calculatedColumnFormula>IF(I6&lt;K6,1,"")</calculatedColumnFormula>
    </tableColumn>
    <tableColumn id="22" xr3:uid="{11C0F374-0DEC-41EC-A925-0611AF73CEAC}" name="Statuts" dataDxfId="56"/>
    <tableColumn id="9" xr3:uid="{41178DDF-D41B-4CF2-8937-AF6325C1DDAA}" name="Vide" dataDxfId="55"/>
    <tableColumn id="10" xr3:uid="{DCEA012E-FC92-4ECA-A774-CB0131DDE811}" name="1" dataDxfId="54"/>
    <tableColumn id="11" xr3:uid="{34DAF9EC-4D8D-4CA8-AE39-B9FFBF5EDC6F}" name="2" dataDxfId="53"/>
    <tableColumn id="12" xr3:uid="{B7AACF3C-BCA3-43A0-9898-645DF7720055}" name="3" dataDxfId="52"/>
    <tableColumn id="13" xr3:uid="{3F57B28A-8985-48D0-BE88-6F0894C70684}" name="4" dataDxfId="51"/>
    <tableColumn id="14" xr3:uid="{013167D8-D373-4CC9-867F-F0AD06EA39DE}" name="5" dataDxfId="50"/>
    <tableColumn id="15" xr3:uid="{778D1F20-13D6-4738-AB5B-3E634D30ADA8}" name="6" dataDxfId="49"/>
    <tableColumn id="16" xr3:uid="{21277C9A-EC2E-4726-8BF3-32C2EEF7B3BE}" name="7" dataDxfId="48"/>
    <tableColumn id="17" xr3:uid="{5323E9DB-6E7B-414F-83D5-22DEB7C0294E}" name="8" dataDxfId="47"/>
    <tableColumn id="18" xr3:uid="{5467C318-2E0A-420A-A037-ED137102C8B4}" name="9" dataDxfId="46"/>
    <tableColumn id="19" xr3:uid="{DBB3651F-56B9-4903-BE05-25C20758B868}" name="10" dataDxfId="45"/>
    <tableColumn id="20" xr3:uid="{BEA660CD-BF10-49A8-A995-5131FE453C6C}" name="&gt;10" dataDxfId="44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4F0AA7F-4459-4DDE-93C9-F0FA27C74DC3}" name="Tableau2" displayName="Tableau2" ref="B5:L6" insertRow="1" totalsRowShown="0" headerRowDxfId="43" dataDxfId="41" headerRowBorderDxfId="42" tableBorderDxfId="40" totalsRowBorderDxfId="39">
  <autoFilter ref="B5:L6" xr:uid="{C37E8257-5463-4125-9AAD-5390C8F9ADB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EFA95345-8701-4990-ABC7-527E94A426BA}" name="N°Commande" dataDxfId="38"/>
    <tableColumn id="2" xr3:uid="{8710AF7C-B3AB-4A31-88E0-FC276FF507E0}" name="Date" dataDxfId="37"/>
    <tableColumn id="3" xr3:uid="{59FC9E3B-07C0-46C2-B382-B4227DEE2B9A}" name="N°Article" dataDxfId="36"/>
    <tableColumn id="12" xr3:uid="{491A5FC1-5DF3-43F3-90DE-8C27C37D766C}" name="Activité" dataDxfId="35"/>
    <tableColumn id="4" xr3:uid="{945E7E88-1716-4A1C-9DDE-4047704B6837}" name="Nom" dataDxfId="34"/>
    <tableColumn id="5" xr3:uid="{465EB071-8F4E-4B24-A368-320822D17D11}" name="Nombre" dataDxfId="33"/>
    <tableColumn id="6" xr3:uid="{69B53F2E-1C97-483F-9522-5C0112966BF4}" name="Prix" dataDxfId="32"/>
    <tableColumn id="7" xr3:uid="{A96C8AE6-BA5E-4AAF-9880-D511F48A2B41}" name="Prix Total" dataDxfId="31">
      <calculatedColumnFormula>G6*H6</calculatedColumnFormula>
    </tableColumn>
    <tableColumn id="8" xr3:uid="{C6DFE9ED-30BA-4326-AE91-C84B3ECCF24E}" name="Fournisseur" dataDxfId="30"/>
    <tableColumn id="9" xr3:uid="{C9BCFFFC-67ED-4F81-9CC9-7F3975EF0BBA}" name="Contrôle" dataDxfId="29">
      <calculatedColumnFormula array="1">IFERROR(INDEX(#REF!,MATCH(1,(Tableau2[[#This Row],[N°Commande]]=#REF!)*(Tableau2[[#This Row],[N°Article]]=#REF!),0)),"")</calculatedColumnFormula>
    </tableColumn>
    <tableColumn id="10" xr3:uid="{79B0DD5B-6D7D-4308-9B92-F62D87DFF16E}" name="Check" dataDxfId="28">
      <calculatedColumnFormula>IF(Tableau2[[#This Row],[Contrôle]]=Tableau2[[#This Row],[Nombre]],"Cloturé","En Cours")</calculatedColumnFormula>
    </tableColumn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7D470A-D57F-4F36-911D-AAD5CF0ACE2C}" name="Tableau1" displayName="Tableau1" ref="B4:I13" totalsRowShown="0" headerRowDxfId="27" dataDxfId="26">
  <autoFilter ref="B4:I1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300-000001000000}" name="Nom" dataDxfId="25"/>
    <tableColumn id="2" xr3:uid="{00000000-0010-0000-0300-000002000000}" name="Adresse" dataDxfId="24"/>
    <tableColumn id="3" xr3:uid="{00000000-0010-0000-0300-000003000000}" name="Code Postale" dataDxfId="23"/>
    <tableColumn id="4" xr3:uid="{00000000-0010-0000-0300-000004000000}" name="Ville" dataDxfId="22"/>
    <tableColumn id="5" xr3:uid="{00000000-0010-0000-0300-000005000000}" name="Pays" dataDxfId="21"/>
    <tableColumn id="6" xr3:uid="{00000000-0010-0000-0300-000006000000}" name="Téléphone" dataDxfId="20"/>
    <tableColumn id="7" xr3:uid="{00000000-0010-0000-0300-000007000000}" name="Mail" dataDxfId="19" dataCellStyle="Lien hypertexte"/>
    <tableColumn id="8" xr3:uid="{00000000-0010-0000-0300-000008000000}" name="Groupe" dataDxfId="18">
      <calculatedColumnFormula>CONCATENATE(C5,"-",D5," ",E5,"-",LEFT(F5,2))</calculatedColumnFormula>
    </tableColumn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8F5DCD-2BAA-4DFD-A3C8-5C0C273F4D18}" name="Tableau8" displayName="Tableau8" ref="B6:I8" totalsRowShown="0" headerRowDxfId="17" dataDxfId="16" tableBorderDxfId="15">
  <autoFilter ref="B6:I8" xr:uid="{00000000-0009-0000-0100-000008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400-000001000000}" name="Nom" dataDxfId="14"/>
    <tableColumn id="2" xr3:uid="{00000000-0010-0000-0400-000002000000}" name="Adresse" dataDxfId="13"/>
    <tableColumn id="3" xr3:uid="{00000000-0010-0000-0400-000003000000}" name="Code Postale" dataDxfId="12"/>
    <tableColumn id="4" xr3:uid="{00000000-0010-0000-0400-000004000000}" name="Ville" dataDxfId="11"/>
    <tableColumn id="5" xr3:uid="{00000000-0010-0000-0400-000005000000}" name="Pays" dataDxfId="10"/>
    <tableColumn id="6" xr3:uid="{00000000-0010-0000-0400-000006000000}" name="Téléphone" dataDxfId="9"/>
    <tableColumn id="7" xr3:uid="{00000000-0010-0000-0400-000007000000}" name="Mail" dataDxfId="8" dataCellStyle="Lien hypertexte"/>
    <tableColumn id="8" xr3:uid="{00000000-0010-0000-0400-000008000000}" name="Groupe" dataDxfId="7">
      <calculatedColumnFormula>CONCATENATE(C7,"-",D7," ",E7,"-",LEFT(F7,2))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EFZE@HOTMAIL.com" TargetMode="External"/><Relationship Id="rId3" Type="http://schemas.openxmlformats.org/officeDocument/2006/relationships/hyperlink" Target="mailto:EFZE@HOTMAIL.com" TargetMode="External"/><Relationship Id="rId7" Type="http://schemas.openxmlformats.org/officeDocument/2006/relationships/hyperlink" Target="mailto:EFZE@HOTMAIL.com" TargetMode="External"/><Relationship Id="rId12" Type="http://schemas.openxmlformats.org/officeDocument/2006/relationships/table" Target="../tables/table3.xml"/><Relationship Id="rId2" Type="http://schemas.openxmlformats.org/officeDocument/2006/relationships/hyperlink" Target="mailto:EFZE@HOTMAIL.com" TargetMode="External"/><Relationship Id="rId1" Type="http://schemas.openxmlformats.org/officeDocument/2006/relationships/hyperlink" Target="mailto:EFZE@HOTMAIL.com" TargetMode="External"/><Relationship Id="rId6" Type="http://schemas.openxmlformats.org/officeDocument/2006/relationships/hyperlink" Target="mailto:EFZE@HOTMAIL.com" TargetMode="External"/><Relationship Id="rId11" Type="http://schemas.openxmlformats.org/officeDocument/2006/relationships/drawing" Target="../drawings/drawing3.xml"/><Relationship Id="rId5" Type="http://schemas.openxmlformats.org/officeDocument/2006/relationships/hyperlink" Target="mailto:EFZE@HOT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EFZE@HOTMAIL.com" TargetMode="External"/><Relationship Id="rId9" Type="http://schemas.openxmlformats.org/officeDocument/2006/relationships/hyperlink" Target="mailto:EFZE@HOT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hyperlink" Target="mailto:EFZE@HOTMAIL.com" TargetMode="External"/><Relationship Id="rId1" Type="http://schemas.openxmlformats.org/officeDocument/2006/relationships/hyperlink" Target="mailto:EFZE@HOTMAIL.com" TargetMode="Externa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2AC7C-C4E9-482A-BE2B-5B149DB22AC6}">
  <sheetPr codeName="Feuil7">
    <tabColor rgb="FF00B050"/>
  </sheetPr>
  <dimension ref="A1:AA9"/>
  <sheetViews>
    <sheetView showGridLines="0" topLeftCell="B1" zoomScale="55" zoomScaleNormal="55" workbookViewId="0">
      <pane ySplit="5" topLeftCell="A6" activePane="bottomLeft" state="frozen"/>
      <selection pane="bottomLeft" activeCell="I6" sqref="I6"/>
    </sheetView>
  </sheetViews>
  <sheetFormatPr baseColWidth="10" defaultColWidth="10.77734375" defaultRowHeight="105" customHeight="1" x14ac:dyDescent="0.3"/>
  <cols>
    <col min="1" max="1" width="1.21875" style="51" customWidth="1"/>
    <col min="2" max="2" width="24.109375" style="68" customWidth="1"/>
    <col min="3" max="3" width="20.21875" style="68" customWidth="1"/>
    <col min="4" max="4" width="56.5546875" style="68" customWidth="1"/>
    <col min="5" max="5" width="50.5546875" style="69" customWidth="1"/>
    <col min="6" max="6" width="16.5546875" style="68" customWidth="1"/>
    <col min="7" max="7" width="37.6640625" style="68" customWidth="1"/>
    <col min="8" max="8" width="19.6640625" style="68" bestFit="1" customWidth="1"/>
    <col min="9" max="9" width="18.109375" style="68" customWidth="1"/>
    <col min="10" max="10" width="19.5546875" style="68" customWidth="1"/>
    <col min="11" max="11" width="16.44140625" style="68" bestFit="1" customWidth="1"/>
    <col min="12" max="12" width="36.109375" style="68" bestFit="1" customWidth="1"/>
    <col min="13" max="13" width="11.21875" style="68" customWidth="1"/>
    <col min="14" max="14" width="5.21875" style="51" bestFit="1" customWidth="1"/>
    <col min="15" max="25" width="4.44140625" style="51" customWidth="1"/>
    <col min="26" max="16384" width="10.77734375" style="51"/>
  </cols>
  <sheetData>
    <row r="1" spans="1:27" ht="92.55" customHeight="1" x14ac:dyDescent="0.3"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</row>
    <row r="2" spans="1:27" ht="51" customHeight="1" thickBot="1" x14ac:dyDescent="0.35">
      <c r="A2" s="77"/>
      <c r="B2" s="78" t="s">
        <v>123</v>
      </c>
      <c r="C2" s="78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</row>
    <row r="3" spans="1:27" ht="26.55" customHeight="1" thickTop="1" x14ac:dyDescent="0.3">
      <c r="B3" s="51"/>
      <c r="C3" s="51"/>
      <c r="D3" s="52"/>
      <c r="E3" s="53" t="str">
        <f>CONFIG!$C$47</f>
        <v>Valeurs du stock</v>
      </c>
      <c r="F3" s="51"/>
      <c r="G3" s="51"/>
      <c r="H3" s="51"/>
      <c r="I3" s="53" t="str">
        <f>CONFIG!$C$51</f>
        <v>Volume du stock</v>
      </c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</row>
    <row r="4" spans="1:27" ht="37.5" customHeight="1" x14ac:dyDescent="0.3">
      <c r="B4" s="51"/>
      <c r="C4" s="51"/>
      <c r="D4" s="55"/>
      <c r="E4" s="56">
        <f>CONFIG!$D$47</f>
        <v>0</v>
      </c>
      <c r="F4" s="51"/>
      <c r="G4" s="51"/>
      <c r="H4" s="51"/>
      <c r="I4" s="57">
        <f>CONFIG!$D$51</f>
        <v>0</v>
      </c>
      <c r="J4" s="51"/>
      <c r="K4" s="51"/>
      <c r="L4" s="51"/>
      <c r="M4" s="51"/>
      <c r="O4" s="58">
        <v>1</v>
      </c>
      <c r="P4" s="58">
        <v>2</v>
      </c>
      <c r="Q4" s="58">
        <v>3</v>
      </c>
      <c r="R4" s="58">
        <v>4</v>
      </c>
      <c r="S4" s="58">
        <v>5</v>
      </c>
      <c r="T4" s="58">
        <v>6</v>
      </c>
      <c r="U4" s="58">
        <v>7</v>
      </c>
      <c r="V4" s="58">
        <v>8</v>
      </c>
      <c r="W4" s="58">
        <v>9</v>
      </c>
      <c r="X4" s="58">
        <v>10</v>
      </c>
    </row>
    <row r="5" spans="1:27" ht="35.549999999999997" customHeight="1" x14ac:dyDescent="0.3">
      <c r="B5" s="59" t="s">
        <v>53</v>
      </c>
      <c r="C5" s="59" t="s">
        <v>131</v>
      </c>
      <c r="D5" s="60" t="s">
        <v>43</v>
      </c>
      <c r="E5" s="60" t="s">
        <v>54</v>
      </c>
      <c r="F5" s="60" t="s">
        <v>55</v>
      </c>
      <c r="G5" s="60" t="s">
        <v>130</v>
      </c>
      <c r="H5" s="60" t="s">
        <v>56</v>
      </c>
      <c r="I5" s="60" t="s">
        <v>57</v>
      </c>
      <c r="J5" s="60" t="s">
        <v>58</v>
      </c>
      <c r="K5" s="60" t="s">
        <v>59</v>
      </c>
      <c r="L5" s="60" t="s">
        <v>60</v>
      </c>
      <c r="M5" s="60" t="s">
        <v>61</v>
      </c>
      <c r="N5" s="61" t="s">
        <v>62</v>
      </c>
      <c r="O5" s="61" t="s">
        <v>63</v>
      </c>
      <c r="P5" s="61" t="s">
        <v>64</v>
      </c>
      <c r="Q5" s="61" t="s">
        <v>65</v>
      </c>
      <c r="R5" s="61" t="s">
        <v>66</v>
      </c>
      <c r="S5" s="61" t="s">
        <v>67</v>
      </c>
      <c r="T5" s="61" t="s">
        <v>68</v>
      </c>
      <c r="U5" s="61" t="s">
        <v>69</v>
      </c>
      <c r="V5" s="61" t="s">
        <v>70</v>
      </c>
      <c r="W5" s="61" t="s">
        <v>71</v>
      </c>
      <c r="X5" s="61" t="s">
        <v>72</v>
      </c>
      <c r="Y5" s="62" t="s">
        <v>73</v>
      </c>
    </row>
    <row r="6" spans="1:27" ht="105" customHeight="1" x14ac:dyDescent="0.3">
      <c r="B6" s="63" t="s">
        <v>144</v>
      </c>
      <c r="C6" s="63" t="s">
        <v>137</v>
      </c>
      <c r="D6" s="63" t="s">
        <v>145</v>
      </c>
      <c r="E6" s="64" t="s">
        <v>146</v>
      </c>
      <c r="F6" s="63" t="s">
        <v>81</v>
      </c>
      <c r="G6" s="63"/>
      <c r="H6" s="82">
        <v>3</v>
      </c>
      <c r="I6" s="50"/>
      <c r="J6" s="65">
        <f>Tableau9[[#This Row],[Prix Unitaire]]*Tableau9[[#This Row],[Stock]]</f>
        <v>0</v>
      </c>
      <c r="K6" s="63">
        <v>4</v>
      </c>
      <c r="L6" s="66">
        <f>IF(I6&lt;K6,1,"")</f>
        <v>1</v>
      </c>
      <c r="M6" s="67" t="s">
        <v>147</v>
      </c>
      <c r="N6" s="79"/>
      <c r="O6" s="80"/>
      <c r="P6" s="80"/>
      <c r="Q6" s="80"/>
      <c r="R6" s="80"/>
      <c r="S6" s="80"/>
      <c r="T6" s="80"/>
      <c r="U6" s="80"/>
      <c r="V6" s="80"/>
      <c r="W6" s="80"/>
      <c r="X6" s="80"/>
      <c r="Y6" s="81"/>
    </row>
    <row r="7" spans="1:27" ht="105" customHeight="1" x14ac:dyDescent="0.3">
      <c r="B7" s="63" t="s">
        <v>148</v>
      </c>
      <c r="C7" s="63" t="s">
        <v>140</v>
      </c>
      <c r="D7" s="63" t="s">
        <v>149</v>
      </c>
      <c r="E7" s="64" t="s">
        <v>150</v>
      </c>
      <c r="F7" s="63" t="s">
        <v>80</v>
      </c>
      <c r="G7" s="63"/>
      <c r="H7" s="82">
        <v>3</v>
      </c>
      <c r="I7" s="50"/>
      <c r="J7" s="65">
        <f>Tableau9[[#This Row],[Prix Unitaire]]*Tableau9[[#This Row],[Stock]]</f>
        <v>0</v>
      </c>
      <c r="K7" s="63">
        <v>4</v>
      </c>
      <c r="L7" s="66">
        <f>IF(I7&lt;K7,1,"")</f>
        <v>1</v>
      </c>
      <c r="M7" s="67" t="s">
        <v>147</v>
      </c>
      <c r="N7" s="83"/>
      <c r="O7" s="84"/>
      <c r="P7" s="84"/>
      <c r="Q7" s="84"/>
      <c r="R7" s="84"/>
      <c r="S7" s="84"/>
      <c r="T7" s="84"/>
      <c r="U7" s="84"/>
      <c r="V7" s="84"/>
      <c r="W7" s="84"/>
      <c r="X7" s="84"/>
      <c r="Y7" s="85"/>
    </row>
    <row r="8" spans="1:27" ht="105" customHeight="1" x14ac:dyDescent="0.3">
      <c r="B8" s="63" t="s">
        <v>151</v>
      </c>
      <c r="C8" s="63" t="s">
        <v>140</v>
      </c>
      <c r="D8" s="63" t="s">
        <v>152</v>
      </c>
      <c r="E8" s="64" t="s">
        <v>153</v>
      </c>
      <c r="F8" s="63" t="s">
        <v>83</v>
      </c>
      <c r="G8" s="63"/>
      <c r="H8" s="82">
        <v>3</v>
      </c>
      <c r="I8" s="50"/>
      <c r="J8" s="65">
        <f>Tableau9[[#This Row],[Prix Unitaire]]*Tableau9[[#This Row],[Stock]]</f>
        <v>0</v>
      </c>
      <c r="K8" s="63">
        <v>2</v>
      </c>
      <c r="L8" s="66">
        <f>IF(I8&lt;K8,1,"")</f>
        <v>1</v>
      </c>
      <c r="M8" s="67" t="s">
        <v>147</v>
      </c>
      <c r="N8" s="83"/>
      <c r="O8" s="84"/>
      <c r="P8" s="84"/>
      <c r="Q8" s="84"/>
      <c r="R8" s="84"/>
      <c r="S8" s="84"/>
      <c r="T8" s="84"/>
      <c r="U8" s="84"/>
      <c r="V8" s="84"/>
      <c r="W8" s="84"/>
      <c r="X8" s="84"/>
      <c r="Y8" s="85"/>
    </row>
    <row r="9" spans="1:27" ht="105" customHeight="1" x14ac:dyDescent="0.3">
      <c r="B9" s="63" t="s">
        <v>154</v>
      </c>
      <c r="C9" s="63" t="s">
        <v>137</v>
      </c>
      <c r="D9" s="63" t="s">
        <v>155</v>
      </c>
      <c r="E9" s="64" t="s">
        <v>156</v>
      </c>
      <c r="F9" s="63" t="s">
        <v>82</v>
      </c>
      <c r="G9" s="63"/>
      <c r="H9" s="82">
        <v>3</v>
      </c>
      <c r="I9" s="50"/>
      <c r="J9" s="65">
        <f>Tableau9[[#This Row],[Prix Unitaire]]*Tableau9[[#This Row],[Stock]]</f>
        <v>0</v>
      </c>
      <c r="K9" s="63">
        <v>4</v>
      </c>
      <c r="L9" s="66">
        <f>IF(I9&lt;K9,1,"")</f>
        <v>1</v>
      </c>
      <c r="M9" s="67" t="s">
        <v>147</v>
      </c>
      <c r="N9" s="83"/>
      <c r="O9" s="84"/>
      <c r="P9" s="84"/>
      <c r="Q9" s="84"/>
      <c r="R9" s="84"/>
      <c r="S9" s="84"/>
      <c r="T9" s="84"/>
      <c r="U9" s="84"/>
      <c r="V9" s="84"/>
      <c r="W9" s="84"/>
      <c r="X9" s="84"/>
      <c r="Y9" s="85"/>
    </row>
  </sheetData>
  <conditionalFormatting sqref="O6:Y9">
    <cfRule type="expression" dxfId="6" priority="6">
      <formula>$B6&lt;&gt;""</formula>
    </cfRule>
  </conditionalFormatting>
  <conditionalFormatting sqref="O6:X9">
    <cfRule type="expression" dxfId="5" priority="4">
      <formula>AND($B6&lt;&gt;"",$I6&lt;$K6,$I6&gt;=O$4)</formula>
    </cfRule>
    <cfRule type="expression" dxfId="4" priority="5">
      <formula>AND($B6&lt;&gt;"",$I6&gt;=$K6,$I6&gt;=O$4)</formula>
    </cfRule>
  </conditionalFormatting>
  <conditionalFormatting sqref="Y6:Y9">
    <cfRule type="expression" dxfId="3" priority="2">
      <formula>AND($B6&lt;&gt;"",$I6&lt;=$K6,$I6&gt;$X$4)</formula>
    </cfRule>
    <cfRule type="expression" dxfId="2" priority="3">
      <formula>AND($B6&lt;&gt;"",$I6&gt;=$K6,$I6&gt;$X$4)</formula>
    </cfRule>
  </conditionalFormatting>
  <conditionalFormatting sqref="N6:N9">
    <cfRule type="expression" dxfId="1" priority="1">
      <formula>$B6&lt;&gt;""</formula>
    </cfRule>
  </conditionalFormatting>
  <dataValidations count="1">
    <dataValidation type="list" allowBlank="1" showInputMessage="1" showErrorMessage="1" sqref="M10:M21" xr:uid="{79FD6414-C609-4977-BD46-A339A45F4782}">
      <formula1>"Active,Inactive"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08" id="{728CCA90-7B9F-4773-AB5F-7DE69FD6A26E}">
            <x14:iconSet iconSet="3Arrows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Arrows" iconId="0"/>
            </x14:iconSet>
          </x14:cfRule>
          <xm:sqref>L6:M9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C1670-2B87-4238-AE5E-DD7AC94AA11E}">
  <sheetPr codeName="Feuil8">
    <tabColor rgb="FF00B050"/>
  </sheetPr>
  <dimension ref="A1:Q6"/>
  <sheetViews>
    <sheetView showGridLines="0" showRowColHeaders="0" zoomScale="55" zoomScaleNormal="55" workbookViewId="0">
      <pane ySplit="5" topLeftCell="A6" activePane="bottomLeft" state="frozen"/>
      <selection pane="bottomLeft" activeCell="J1" sqref="J1"/>
    </sheetView>
  </sheetViews>
  <sheetFormatPr baseColWidth="10" defaultRowHeight="35.549999999999997" customHeight="1" x14ac:dyDescent="0.3"/>
  <cols>
    <col min="1" max="1" width="2" customWidth="1"/>
    <col min="2" max="2" width="34" customWidth="1"/>
    <col min="3" max="3" width="19.33203125" style="74" customWidth="1"/>
    <col min="4" max="4" width="35" customWidth="1"/>
    <col min="5" max="5" width="39.88671875" customWidth="1"/>
    <col min="6" max="6" width="80.6640625" customWidth="1"/>
    <col min="7" max="7" width="16.109375" customWidth="1"/>
    <col min="8" max="8" width="23" style="75" customWidth="1"/>
    <col min="9" max="9" width="24.44140625" style="75" customWidth="1"/>
    <col min="10" max="10" width="58.21875" customWidth="1"/>
    <col min="11" max="11" width="17.21875" customWidth="1"/>
    <col min="12" max="12" width="31" customWidth="1"/>
  </cols>
  <sheetData>
    <row r="1" spans="1:17" ht="93" customHeight="1" x14ac:dyDescent="0.3">
      <c r="C1"/>
    </row>
    <row r="2" spans="1:17" ht="51" customHeight="1" thickBot="1" x14ac:dyDescent="0.35">
      <c r="A2" s="21"/>
      <c r="B2" s="20" t="s">
        <v>124</v>
      </c>
      <c r="C2" s="21"/>
      <c r="D2" s="21"/>
      <c r="E2" s="21"/>
      <c r="F2" s="21"/>
      <c r="G2" s="21"/>
      <c r="H2" s="76"/>
      <c r="I2" s="76"/>
      <c r="J2" s="21"/>
      <c r="K2" s="21"/>
      <c r="L2" s="21"/>
      <c r="M2" s="21"/>
      <c r="N2" s="21"/>
      <c r="O2" s="21"/>
      <c r="P2" s="21"/>
      <c r="Q2" s="21"/>
    </row>
    <row r="3" spans="1:17" ht="26.55" customHeight="1" thickTop="1" x14ac:dyDescent="0.4">
      <c r="C3"/>
      <c r="D3" s="19" t="str">
        <f>CONFIG!$C$48</f>
        <v>Article en commande</v>
      </c>
      <c r="G3" s="22" t="s">
        <v>125</v>
      </c>
    </row>
    <row r="4" spans="1:17" ht="37.950000000000003" customHeight="1" x14ac:dyDescent="0.3">
      <c r="C4"/>
      <c r="D4" s="19">
        <f>CONFIG!D48</f>
        <v>0</v>
      </c>
      <c r="G4" s="18">
        <f>CONFIG!$E$48</f>
        <v>0</v>
      </c>
    </row>
    <row r="5" spans="1:17" ht="35.549999999999997" customHeight="1" x14ac:dyDescent="0.3">
      <c r="B5" s="70" t="s">
        <v>86</v>
      </c>
      <c r="C5" s="71" t="s">
        <v>87</v>
      </c>
      <c r="D5" s="71" t="s">
        <v>88</v>
      </c>
      <c r="E5" s="71" t="s">
        <v>55</v>
      </c>
      <c r="F5" s="71" t="s">
        <v>43</v>
      </c>
      <c r="G5" s="71" t="s">
        <v>89</v>
      </c>
      <c r="H5" s="71" t="s">
        <v>90</v>
      </c>
      <c r="I5" s="71" t="s">
        <v>91</v>
      </c>
      <c r="J5" s="71" t="s">
        <v>92</v>
      </c>
      <c r="K5" s="71" t="s">
        <v>93</v>
      </c>
      <c r="L5" s="72" t="s">
        <v>94</v>
      </c>
    </row>
    <row r="6" spans="1:17" ht="35.549999999999997" customHeight="1" x14ac:dyDescent="0.3">
      <c r="B6" s="23"/>
      <c r="C6" s="73"/>
      <c r="D6" s="24"/>
      <c r="E6" s="24"/>
      <c r="F6" s="24"/>
      <c r="G6" s="24"/>
      <c r="H6" s="25"/>
      <c r="I6" s="25"/>
      <c r="J6" s="24"/>
      <c r="K6" s="26"/>
      <c r="L6" s="27"/>
    </row>
  </sheetData>
  <conditionalFormatting sqref="B6:L6">
    <cfRule type="expression" dxfId="0" priority="1">
      <formula>$L6="Cloturé"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543214-55C3-496A-A487-A1EA1F6FF13F}">
  <sheetPr codeName="Feuil12">
    <tabColor rgb="FF00B050"/>
  </sheetPr>
  <dimension ref="A1:O13"/>
  <sheetViews>
    <sheetView showGridLines="0" showRowColHeaders="0" zoomScale="62" zoomScaleNormal="62" workbookViewId="0">
      <selection activeCell="E17" sqref="E17"/>
    </sheetView>
  </sheetViews>
  <sheetFormatPr baseColWidth="10" defaultColWidth="10.77734375" defaultRowHeight="35.549999999999997" customHeight="1" x14ac:dyDescent="0.3"/>
  <cols>
    <col min="1" max="1" width="1.109375" style="13" customWidth="1"/>
    <col min="2" max="2" width="36.6640625" style="13" customWidth="1"/>
    <col min="3" max="3" width="33.77734375" style="13" customWidth="1"/>
    <col min="4" max="4" width="20.6640625" style="13" customWidth="1"/>
    <col min="5" max="5" width="35.77734375" style="13" customWidth="1"/>
    <col min="6" max="6" width="24.88671875" style="13" customWidth="1"/>
    <col min="7" max="7" width="27.77734375" style="13" customWidth="1"/>
    <col min="8" max="8" width="51.5546875" style="13" customWidth="1"/>
    <col min="9" max="9" width="40" style="13" customWidth="1"/>
    <col min="10" max="16384" width="10.77734375" style="13"/>
  </cols>
  <sheetData>
    <row r="1" spans="1:15" ht="93" customHeight="1" x14ac:dyDescent="0.3"/>
    <row r="2" spans="1:15" ht="52.95" customHeight="1" thickBot="1" x14ac:dyDescent="0.35">
      <c r="A2" s="28"/>
      <c r="B2" s="20" t="s">
        <v>126</v>
      </c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</row>
    <row r="3" spans="1:15" ht="35.549999999999997" customHeight="1" thickTop="1" x14ac:dyDescent="0.3"/>
    <row r="4" spans="1:15" ht="35.549999999999997" customHeight="1" x14ac:dyDescent="0.3">
      <c r="B4" s="13" t="s">
        <v>43</v>
      </c>
      <c r="C4" s="13" t="s">
        <v>42</v>
      </c>
      <c r="D4" s="13" t="s">
        <v>41</v>
      </c>
      <c r="E4" s="13" t="s">
        <v>40</v>
      </c>
      <c r="F4" s="13" t="s">
        <v>39</v>
      </c>
      <c r="G4" s="13" t="s">
        <v>38</v>
      </c>
      <c r="H4" s="13" t="s">
        <v>37</v>
      </c>
      <c r="I4" s="13" t="s">
        <v>36</v>
      </c>
    </row>
    <row r="5" spans="1:15" ht="35.549999999999997" customHeight="1" x14ac:dyDescent="0.3">
      <c r="B5" s="32" t="s">
        <v>52</v>
      </c>
      <c r="C5" s="32" t="s">
        <v>34</v>
      </c>
      <c r="D5" s="32">
        <v>75000</v>
      </c>
      <c r="E5" s="32" t="s">
        <v>24</v>
      </c>
      <c r="F5" s="32" t="s">
        <v>23</v>
      </c>
      <c r="G5" s="33">
        <v>883823432</v>
      </c>
      <c r="H5" s="34" t="s">
        <v>22</v>
      </c>
      <c r="I5" s="32" t="str">
        <f t="shared" ref="I5:I6" si="0">CONCATENATE(D5," ",E5,"-",LEFT(F5,2))</f>
        <v>75000 PARIS-Fr</v>
      </c>
    </row>
    <row r="6" spans="1:15" ht="35.549999999999997" customHeight="1" x14ac:dyDescent="0.3">
      <c r="B6" s="32" t="s">
        <v>51</v>
      </c>
      <c r="C6" s="32" t="s">
        <v>32</v>
      </c>
      <c r="D6" s="32">
        <v>75001</v>
      </c>
      <c r="E6" s="32" t="s">
        <v>24</v>
      </c>
      <c r="F6" s="32" t="s">
        <v>23</v>
      </c>
      <c r="G6" s="33">
        <v>883823433</v>
      </c>
      <c r="H6" s="34" t="s">
        <v>22</v>
      </c>
      <c r="I6" s="32" t="str">
        <f t="shared" si="0"/>
        <v>75001 PARIS-Fr</v>
      </c>
    </row>
    <row r="7" spans="1:15" ht="35.549999999999997" customHeight="1" x14ac:dyDescent="0.3">
      <c r="B7" s="32" t="s">
        <v>50</v>
      </c>
      <c r="C7" s="32" t="s">
        <v>31</v>
      </c>
      <c r="D7" s="32">
        <v>75002</v>
      </c>
      <c r="E7" s="32" t="s">
        <v>24</v>
      </c>
      <c r="F7" s="32" t="s">
        <v>23</v>
      </c>
      <c r="G7" s="33">
        <v>883823434</v>
      </c>
      <c r="H7" s="34" t="s">
        <v>22</v>
      </c>
      <c r="I7" s="32" t="str">
        <f>CONCATENATE(D7," ",E7,"-",LEFT(F7,2))</f>
        <v>75002 PARIS-Fr</v>
      </c>
    </row>
    <row r="8" spans="1:15" ht="35.549999999999997" customHeight="1" x14ac:dyDescent="0.3">
      <c r="B8" s="32" t="s">
        <v>49</v>
      </c>
      <c r="C8" s="32" t="s">
        <v>30</v>
      </c>
      <c r="D8" s="32">
        <v>75003</v>
      </c>
      <c r="E8" s="32" t="s">
        <v>24</v>
      </c>
      <c r="F8" s="32" t="s">
        <v>23</v>
      </c>
      <c r="G8" s="33">
        <v>883823435</v>
      </c>
      <c r="H8" s="34" t="s">
        <v>22</v>
      </c>
      <c r="I8" s="32" t="str">
        <f t="shared" ref="I8:I13" si="1">CONCATENATE(D8," ",E8,"-",LEFT(F8,2))</f>
        <v>75003 PARIS-Fr</v>
      </c>
    </row>
    <row r="9" spans="1:15" ht="35.549999999999997" customHeight="1" x14ac:dyDescent="0.3">
      <c r="B9" s="32" t="s">
        <v>48</v>
      </c>
      <c r="C9" s="32" t="s">
        <v>29</v>
      </c>
      <c r="D9" s="32">
        <v>75004</v>
      </c>
      <c r="E9" s="32" t="s">
        <v>24</v>
      </c>
      <c r="F9" s="32" t="s">
        <v>23</v>
      </c>
      <c r="G9" s="33">
        <v>883823436</v>
      </c>
      <c r="H9" s="34" t="s">
        <v>22</v>
      </c>
      <c r="I9" s="32" t="str">
        <f t="shared" si="1"/>
        <v>75004 PARIS-Fr</v>
      </c>
    </row>
    <row r="10" spans="1:15" ht="35.549999999999997" customHeight="1" x14ac:dyDescent="0.3">
      <c r="B10" s="32" t="s">
        <v>47</v>
      </c>
      <c r="C10" s="32" t="s">
        <v>28</v>
      </c>
      <c r="D10" s="32">
        <v>75005</v>
      </c>
      <c r="E10" s="32" t="s">
        <v>24</v>
      </c>
      <c r="F10" s="32" t="s">
        <v>23</v>
      </c>
      <c r="G10" s="33">
        <v>883823437</v>
      </c>
      <c r="H10" s="34" t="s">
        <v>22</v>
      </c>
      <c r="I10" s="32" t="str">
        <f t="shared" si="1"/>
        <v>75005 PARIS-Fr</v>
      </c>
    </row>
    <row r="11" spans="1:15" ht="35.549999999999997" customHeight="1" x14ac:dyDescent="0.3">
      <c r="B11" s="32" t="s">
        <v>46</v>
      </c>
      <c r="C11" s="32" t="s">
        <v>27</v>
      </c>
      <c r="D11" s="32">
        <v>75006</v>
      </c>
      <c r="E11" s="32" t="s">
        <v>24</v>
      </c>
      <c r="F11" s="32" t="s">
        <v>23</v>
      </c>
      <c r="G11" s="33">
        <v>883823438</v>
      </c>
      <c r="H11" s="34" t="s">
        <v>22</v>
      </c>
      <c r="I11" s="32" t="str">
        <f t="shared" si="1"/>
        <v>75006 PARIS-Fr</v>
      </c>
    </row>
    <row r="12" spans="1:15" ht="35.549999999999997" customHeight="1" x14ac:dyDescent="0.3">
      <c r="B12" s="32" t="s">
        <v>45</v>
      </c>
      <c r="C12" s="32" t="s">
        <v>26</v>
      </c>
      <c r="D12" s="32">
        <v>75007</v>
      </c>
      <c r="E12" s="32" t="s">
        <v>24</v>
      </c>
      <c r="F12" s="32" t="s">
        <v>23</v>
      </c>
      <c r="G12" s="33">
        <v>883823439</v>
      </c>
      <c r="H12" s="34" t="s">
        <v>22</v>
      </c>
      <c r="I12" s="32" t="str">
        <f t="shared" si="1"/>
        <v>75007 PARIS-Fr</v>
      </c>
    </row>
    <row r="13" spans="1:15" ht="35.549999999999997" customHeight="1" x14ac:dyDescent="0.3">
      <c r="B13" s="32" t="s">
        <v>44</v>
      </c>
      <c r="C13" s="32" t="s">
        <v>25</v>
      </c>
      <c r="D13" s="32">
        <v>75008</v>
      </c>
      <c r="E13" s="32" t="s">
        <v>24</v>
      </c>
      <c r="F13" s="32" t="s">
        <v>23</v>
      </c>
      <c r="G13" s="33">
        <v>883823440</v>
      </c>
      <c r="H13" s="34" t="s">
        <v>22</v>
      </c>
      <c r="I13" s="32" t="str">
        <f t="shared" si="1"/>
        <v>75008 PARIS-Fr</v>
      </c>
    </row>
  </sheetData>
  <hyperlinks>
    <hyperlink ref="H5" r:id="rId1" xr:uid="{5E6FAD8B-A976-4147-9E6A-9273F9F07C26}"/>
    <hyperlink ref="H6" r:id="rId2" xr:uid="{42078A51-A421-4942-8388-678E04158385}"/>
    <hyperlink ref="H7" r:id="rId3" xr:uid="{4A25D97A-65A0-4EC1-A0F3-F9C2E365C629}"/>
    <hyperlink ref="H8" r:id="rId4" xr:uid="{7C0C5540-520F-4436-A216-B5611C2872D4}"/>
    <hyperlink ref="H9" r:id="rId5" xr:uid="{0BD15CD4-04F7-46E0-B096-5E6895D495AD}"/>
    <hyperlink ref="H10" r:id="rId6" xr:uid="{2E655A8D-8439-4303-BFDA-70DA506A0517}"/>
    <hyperlink ref="H11" r:id="rId7" xr:uid="{86AA4903-C152-4B0D-BDA2-494633AE4184}"/>
    <hyperlink ref="H12" r:id="rId8" xr:uid="{32CF6F7E-1256-4D49-ABC2-AA045B9B976E}"/>
    <hyperlink ref="H13" r:id="rId9" xr:uid="{D5B6A784-1315-4482-BC55-89588BEF5603}"/>
  </hyperlinks>
  <pageMargins left="0.7" right="0.7" top="0.75" bottom="0.75" header="0.3" footer="0.3"/>
  <pageSetup paperSize="9" orientation="portrait" r:id="rId10"/>
  <drawing r:id="rId11"/>
  <tableParts count="1"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9CDD8-9962-49AD-9E5A-BBF5EC1AB0F5}">
  <sheetPr codeName="Feuil11">
    <tabColor rgb="FF00B050"/>
  </sheetPr>
  <dimension ref="A1:P8"/>
  <sheetViews>
    <sheetView showGridLines="0" showRowColHeaders="0" zoomScale="62" zoomScaleNormal="62" workbookViewId="0">
      <selection activeCell="E15" sqref="E15"/>
    </sheetView>
  </sheetViews>
  <sheetFormatPr baseColWidth="10" defaultColWidth="10.88671875" defaultRowHeight="35.549999999999997" customHeight="1" x14ac:dyDescent="0.3"/>
  <cols>
    <col min="1" max="1" width="1.21875" style="13" customWidth="1"/>
    <col min="2" max="2" width="41.21875" style="13" customWidth="1"/>
    <col min="3" max="3" width="33.77734375" style="13" customWidth="1"/>
    <col min="4" max="4" width="18.77734375" style="13" customWidth="1"/>
    <col min="5" max="5" width="33.77734375" style="13" customWidth="1"/>
    <col min="6" max="6" width="28.5546875" style="13" customWidth="1"/>
    <col min="7" max="7" width="21.33203125" style="13" customWidth="1"/>
    <col min="8" max="8" width="49.77734375" style="13" customWidth="1"/>
    <col min="9" max="9" width="43.88671875" style="13" customWidth="1"/>
    <col min="10" max="16384" width="10.88671875" style="13"/>
  </cols>
  <sheetData>
    <row r="1" spans="1:16" ht="93" customHeight="1" x14ac:dyDescent="0.3"/>
    <row r="2" spans="1:16" ht="52.95" customHeight="1" thickBot="1" x14ac:dyDescent="0.35">
      <c r="A2" s="28"/>
      <c r="B2" s="20" t="s">
        <v>127</v>
      </c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</row>
    <row r="3" spans="1:16" ht="35.549999999999997" customHeight="1" thickTop="1" x14ac:dyDescent="0.3"/>
    <row r="6" spans="1:16" ht="35.549999999999997" customHeight="1" x14ac:dyDescent="0.3">
      <c r="B6" s="16" t="s">
        <v>43</v>
      </c>
      <c r="C6" s="15" t="s">
        <v>42</v>
      </c>
      <c r="D6" s="15" t="s">
        <v>41</v>
      </c>
      <c r="E6" s="15" t="s">
        <v>40</v>
      </c>
      <c r="F6" s="15" t="s">
        <v>39</v>
      </c>
      <c r="G6" s="15" t="s">
        <v>38</v>
      </c>
      <c r="H6" s="15" t="s">
        <v>37</v>
      </c>
      <c r="I6" s="14" t="s">
        <v>36</v>
      </c>
    </row>
    <row r="7" spans="1:16" ht="35.549999999999997" customHeight="1" x14ac:dyDescent="0.3">
      <c r="B7" s="29" t="s">
        <v>35</v>
      </c>
      <c r="C7" s="29" t="s">
        <v>34</v>
      </c>
      <c r="D7" s="29">
        <v>75000</v>
      </c>
      <c r="E7" s="29" t="s">
        <v>24</v>
      </c>
      <c r="F7" s="29" t="s">
        <v>23</v>
      </c>
      <c r="G7" s="31">
        <v>883823432</v>
      </c>
      <c r="H7" s="30" t="s">
        <v>22</v>
      </c>
      <c r="I7" s="29" t="str">
        <f t="shared" ref="I7:I8" si="0">CONCATENATE(C7,"-",D7," ",E7,"-",LEFT(F7,2))</f>
        <v>1 rue des peuplier-75000 PARIS-Fr</v>
      </c>
    </row>
    <row r="8" spans="1:16" ht="35.549999999999997" customHeight="1" x14ac:dyDescent="0.3">
      <c r="B8" s="29" t="s">
        <v>33</v>
      </c>
      <c r="C8" s="29" t="s">
        <v>32</v>
      </c>
      <c r="D8" s="29">
        <v>75001</v>
      </c>
      <c r="E8" s="29" t="s">
        <v>24</v>
      </c>
      <c r="F8" s="29" t="s">
        <v>23</v>
      </c>
      <c r="G8" s="31">
        <v>883823433</v>
      </c>
      <c r="H8" s="30" t="s">
        <v>22</v>
      </c>
      <c r="I8" s="29" t="str">
        <f t="shared" si="0"/>
        <v>2 rue des peuplier-75001 PARIS-Fr</v>
      </c>
    </row>
  </sheetData>
  <hyperlinks>
    <hyperlink ref="H7" r:id="rId1" xr:uid="{764C4FA8-2395-4AE1-80B5-89C9B3096958}"/>
    <hyperlink ref="H8" r:id="rId2" xr:uid="{3F107B06-E64A-422A-AF95-322C3FA3FBFA}"/>
  </hyperlinks>
  <pageMargins left="0.7" right="0.7" top="0.75" bottom="0.75" header="0.3" footer="0.3"/>
  <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E83E1-2735-4FA3-A908-ED964D9174AF}">
  <sheetPr codeName="Feuil13">
    <tabColor rgb="FF00B050"/>
  </sheetPr>
  <dimension ref="A1:W54"/>
  <sheetViews>
    <sheetView showGridLines="0" showRowColHeaders="0" tabSelected="1" zoomScale="55" zoomScaleNormal="55" workbookViewId="0">
      <selection activeCell="N19" sqref="N19"/>
    </sheetView>
  </sheetViews>
  <sheetFormatPr baseColWidth="10" defaultColWidth="10.88671875" defaultRowHeight="13.8" x14ac:dyDescent="0.25"/>
  <cols>
    <col min="1" max="1" width="10.88671875" style="17"/>
    <col min="2" max="2" width="28.109375" style="17" bestFit="1" customWidth="1"/>
    <col min="3" max="3" width="34.88671875" style="17" bestFit="1" customWidth="1"/>
    <col min="4" max="4" width="14.109375" style="17" bestFit="1" customWidth="1"/>
    <col min="5" max="5" width="15.33203125" style="17" bestFit="1" customWidth="1"/>
    <col min="6" max="7" width="10.88671875" style="17"/>
    <col min="8" max="8" width="10.88671875" style="17" customWidth="1"/>
    <col min="9" max="9" width="16.6640625" style="17" customWidth="1"/>
    <col min="10" max="10" width="19.77734375" style="17" customWidth="1"/>
    <col min="11" max="11" width="25.21875" style="17" bestFit="1" customWidth="1"/>
    <col min="12" max="12" width="30.77734375" style="17" bestFit="1" customWidth="1"/>
    <col min="13" max="13" width="27.21875" style="17" bestFit="1" customWidth="1"/>
    <col min="14" max="14" width="31.44140625" style="17" customWidth="1"/>
    <col min="15" max="15" width="20" style="17" customWidth="1"/>
    <col min="16" max="16" width="22.33203125" style="17" bestFit="1" customWidth="1"/>
    <col min="17" max="17" width="23.109375" style="17" bestFit="1" customWidth="1"/>
    <col min="18" max="18" width="28.109375" style="17" bestFit="1" customWidth="1"/>
    <col min="19" max="19" width="28.77734375" style="17" bestFit="1" customWidth="1"/>
    <col min="20" max="20" width="25.88671875" style="17" bestFit="1" customWidth="1"/>
    <col min="21" max="16384" width="10.88671875" style="17"/>
  </cols>
  <sheetData>
    <row r="1" spans="1:23" ht="92.55" customHeight="1" x14ac:dyDescent="0.25"/>
    <row r="2" spans="1:23" ht="52.95" customHeight="1" thickBot="1" x14ac:dyDescent="0.75">
      <c r="A2" s="36" t="s">
        <v>128</v>
      </c>
      <c r="B2" s="37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</row>
    <row r="3" spans="1:23" ht="14.4" thickTop="1" x14ac:dyDescent="0.25"/>
    <row r="6" spans="1:23" ht="21" thickBot="1" x14ac:dyDescent="0.4">
      <c r="B6" s="48" t="s">
        <v>110</v>
      </c>
      <c r="C6" s="41"/>
      <c r="D6" s="42"/>
      <c r="E6" s="42"/>
      <c r="F6" s="42"/>
      <c r="G6" s="42"/>
      <c r="H6" s="42"/>
      <c r="I6" s="48" t="s">
        <v>139</v>
      </c>
      <c r="J6" s="41"/>
      <c r="K6" s="41"/>
      <c r="L6" s="42"/>
      <c r="M6" s="42"/>
      <c r="N6" s="42"/>
      <c r="O6" s="42"/>
      <c r="P6" s="42"/>
      <c r="Q6" s="42"/>
      <c r="R6" s="42"/>
      <c r="S6" s="42"/>
      <c r="T6" s="42"/>
    </row>
    <row r="7" spans="1:23" ht="18" thickBot="1" x14ac:dyDescent="0.35">
      <c r="B7" s="42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</row>
    <row r="8" spans="1:23" ht="18" thickBot="1" x14ac:dyDescent="0.35">
      <c r="B8" s="40" t="s">
        <v>111</v>
      </c>
      <c r="C8" s="38" t="s">
        <v>20</v>
      </c>
      <c r="D8" s="42"/>
      <c r="E8" s="42"/>
      <c r="F8" s="42"/>
      <c r="G8" s="42"/>
      <c r="H8" s="42"/>
      <c r="I8" s="38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</row>
    <row r="9" spans="1:23" ht="18" thickBot="1" x14ac:dyDescent="0.35">
      <c r="B9" s="40" t="s">
        <v>112</v>
      </c>
      <c r="C9" s="38" t="s">
        <v>113</v>
      </c>
      <c r="D9" s="42"/>
      <c r="E9" s="42"/>
      <c r="F9" s="42"/>
      <c r="G9" s="42"/>
      <c r="H9" s="42"/>
      <c r="I9" s="38" t="s">
        <v>138</v>
      </c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</row>
    <row r="10" spans="1:23" ht="18" thickBot="1" x14ac:dyDescent="0.35">
      <c r="B10" s="40" t="s">
        <v>114</v>
      </c>
      <c r="C10" s="38" t="s">
        <v>8</v>
      </c>
      <c r="D10" s="42"/>
      <c r="E10" s="42"/>
      <c r="F10" s="42"/>
      <c r="G10" s="42"/>
      <c r="H10" s="42"/>
      <c r="I10" s="38" t="s">
        <v>137</v>
      </c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</row>
    <row r="11" spans="1:23" ht="18" thickBot="1" x14ac:dyDescent="0.35">
      <c r="B11" s="40" t="s">
        <v>115</v>
      </c>
      <c r="C11" s="38" t="s">
        <v>95</v>
      </c>
      <c r="D11" s="42"/>
      <c r="E11" s="42"/>
      <c r="F11" s="42"/>
      <c r="G11" s="42"/>
      <c r="H11" s="42"/>
      <c r="I11" s="38" t="s">
        <v>140</v>
      </c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</row>
    <row r="12" spans="1:23" ht="18" thickBot="1" x14ac:dyDescent="0.35">
      <c r="B12" s="40" t="s">
        <v>116</v>
      </c>
      <c r="C12" s="38" t="s">
        <v>117</v>
      </c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</row>
    <row r="13" spans="1:23" ht="18" thickBot="1" x14ac:dyDescent="0.35">
      <c r="B13" s="40" t="s">
        <v>118</v>
      </c>
      <c r="C13" s="38" t="s">
        <v>119</v>
      </c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</row>
    <row r="14" spans="1:23" ht="18" thickBot="1" x14ac:dyDescent="0.35">
      <c r="B14" s="40" t="s">
        <v>120</v>
      </c>
      <c r="C14" s="38" t="s">
        <v>96</v>
      </c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</row>
    <row r="15" spans="1:23" ht="18" thickBot="1" x14ac:dyDescent="0.35">
      <c r="B15" s="40" t="s">
        <v>121</v>
      </c>
      <c r="C15" s="38" t="s">
        <v>122</v>
      </c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</row>
    <row r="16" spans="1:23" ht="17.399999999999999" x14ac:dyDescent="0.3"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</row>
    <row r="17" spans="2:20" ht="21" thickBot="1" x14ac:dyDescent="0.4">
      <c r="B17" s="48" t="s">
        <v>74</v>
      </c>
      <c r="C17" s="41"/>
      <c r="D17" s="41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</row>
    <row r="18" spans="2:20" ht="18" thickBot="1" x14ac:dyDescent="0.35"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</row>
    <row r="19" spans="2:20" ht="18.600000000000001" thickTop="1" thickBot="1" x14ac:dyDescent="0.35">
      <c r="B19" s="40" t="s">
        <v>75</v>
      </c>
      <c r="C19" s="38" t="s">
        <v>76</v>
      </c>
      <c r="D19" s="43">
        <v>5</v>
      </c>
      <c r="E19" s="44" t="str">
        <f>C19&amp;TEXT(D19, "00000")</f>
        <v>ART-00005</v>
      </c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</row>
    <row r="20" spans="2:20" ht="18.600000000000001" thickTop="1" thickBot="1" x14ac:dyDescent="0.35">
      <c r="B20" s="40" t="s">
        <v>77</v>
      </c>
      <c r="C20" s="38" t="s">
        <v>141</v>
      </c>
      <c r="D20" s="43">
        <v>1</v>
      </c>
      <c r="E20" s="44" t="str">
        <f>C20&amp;TEXT(D20, "00000")</f>
        <v>CDE-00001</v>
      </c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</row>
    <row r="21" spans="2:20" ht="18.600000000000001" thickTop="1" thickBot="1" x14ac:dyDescent="0.35">
      <c r="B21" s="40" t="s">
        <v>78</v>
      </c>
      <c r="C21" s="38" t="s">
        <v>79</v>
      </c>
      <c r="D21" s="43">
        <v>1</v>
      </c>
      <c r="E21" s="44" t="str">
        <f>C21&amp;TEXT(D21, "00000")</f>
        <v>RESA-00001</v>
      </c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</row>
    <row r="22" spans="2:20" ht="17.399999999999999" x14ac:dyDescent="0.3"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</row>
    <row r="23" spans="2:20" ht="17.399999999999999" x14ac:dyDescent="0.3"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</row>
    <row r="24" spans="2:20" ht="17.399999999999999" x14ac:dyDescent="0.3"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</row>
    <row r="25" spans="2:20" ht="17.399999999999999" x14ac:dyDescent="0.3">
      <c r="B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</row>
    <row r="26" spans="2:20" ht="17.399999999999999" x14ac:dyDescent="0.3"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</row>
    <row r="27" spans="2:20" ht="17.399999999999999" x14ac:dyDescent="0.3"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</row>
    <row r="28" spans="2:20" ht="17.399999999999999" x14ac:dyDescent="0.3"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</row>
    <row r="29" spans="2:20" ht="17.399999999999999" x14ac:dyDescent="0.3"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</row>
    <row r="30" spans="2:20" ht="17.399999999999999" x14ac:dyDescent="0.3"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</row>
    <row r="31" spans="2:20" ht="17.399999999999999" x14ac:dyDescent="0.3"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</row>
    <row r="32" spans="2:20" ht="17.399999999999999" x14ac:dyDescent="0.3"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</row>
    <row r="33" spans="2:20" ht="15" customHeight="1" x14ac:dyDescent="0.3"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</row>
    <row r="34" spans="2:20" ht="17.399999999999999" x14ac:dyDescent="0.3"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</row>
    <row r="35" spans="2:20" ht="17.399999999999999" x14ac:dyDescent="0.3"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</row>
    <row r="36" spans="2:20" ht="17.399999999999999" x14ac:dyDescent="0.3"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</row>
    <row r="37" spans="2:20" ht="17.399999999999999" x14ac:dyDescent="0.3"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</row>
    <row r="38" spans="2:20" ht="17.399999999999999" x14ac:dyDescent="0.3"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</row>
    <row r="39" spans="2:20" ht="17.399999999999999" x14ac:dyDescent="0.3"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</row>
    <row r="40" spans="2:20" ht="17.399999999999999" x14ac:dyDescent="0.3"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</row>
    <row r="41" spans="2:20" ht="17.399999999999999" x14ac:dyDescent="0.3"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</row>
    <row r="42" spans="2:20" ht="17.399999999999999" x14ac:dyDescent="0.3"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</row>
    <row r="43" spans="2:20" ht="17.399999999999999" x14ac:dyDescent="0.3"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</row>
    <row r="44" spans="2:20" ht="17.399999999999999" x14ac:dyDescent="0.3"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</row>
    <row r="45" spans="2:20" ht="21" thickBot="1" x14ac:dyDescent="0.4">
      <c r="B45" s="49" t="s">
        <v>97</v>
      </c>
      <c r="C45" s="45"/>
      <c r="D45" s="45"/>
      <c r="E45" s="42"/>
      <c r="F45" s="42"/>
      <c r="G45" s="42"/>
      <c r="H45" s="42"/>
      <c r="I45" s="49" t="s">
        <v>9</v>
      </c>
      <c r="J45" s="46"/>
      <c r="K45" s="46"/>
      <c r="L45" s="42"/>
      <c r="M45" s="42"/>
      <c r="N45" s="42"/>
      <c r="O45" s="42"/>
      <c r="P45" s="42"/>
      <c r="Q45" s="42"/>
      <c r="R45" s="42"/>
      <c r="S45" s="42"/>
      <c r="T45" s="42"/>
    </row>
    <row r="46" spans="2:20" ht="18" thickBot="1" x14ac:dyDescent="0.35">
      <c r="B46" s="42"/>
      <c r="C46" s="42"/>
      <c r="D46" s="42"/>
      <c r="E46" s="42"/>
      <c r="F46" s="42"/>
      <c r="G46" s="42"/>
      <c r="H46" s="42"/>
      <c r="I46" s="42"/>
      <c r="J46" s="40" t="s">
        <v>99</v>
      </c>
      <c r="K46" s="40" t="s">
        <v>101</v>
      </c>
      <c r="L46" s="40" t="s">
        <v>129</v>
      </c>
      <c r="M46" s="40" t="s">
        <v>103</v>
      </c>
      <c r="N46" s="40" t="s">
        <v>105</v>
      </c>
      <c r="O46" s="40" t="s">
        <v>107</v>
      </c>
      <c r="P46" s="40" t="s">
        <v>135</v>
      </c>
      <c r="Q46" s="40" t="s">
        <v>134</v>
      </c>
      <c r="R46" s="40" t="s">
        <v>143</v>
      </c>
      <c r="S46" s="40" t="s">
        <v>142</v>
      </c>
      <c r="T46" s="40" t="s">
        <v>109</v>
      </c>
    </row>
    <row r="47" spans="2:20" ht="18" thickBot="1" x14ac:dyDescent="0.35">
      <c r="B47" s="40" t="s">
        <v>98</v>
      </c>
      <c r="C47" s="38" t="s">
        <v>99</v>
      </c>
      <c r="D47" s="47">
        <f>SUM(Tableau9[Valeur Stock])</f>
        <v>0</v>
      </c>
      <c r="E47" s="42"/>
      <c r="F47" s="42"/>
      <c r="G47" s="42"/>
      <c r="H47" s="42"/>
      <c r="I47" s="40" t="s">
        <v>80</v>
      </c>
      <c r="J47" s="39">
        <f>IFERROR(SUMIF(Tableau9[Activité],"Agencement",Tableau9[Valeur Stock]),"")</f>
        <v>0</v>
      </c>
      <c r="K47" s="38">
        <f>COUNTIFS(Tableau2[Activité],"Agencement",Tableau2[Check],"En cours")</f>
        <v>0</v>
      </c>
      <c r="L47" s="39">
        <f>SUMIFS(Tableau2[Prix Total],Tableau2[Activité],"Agencement",Tableau2[Check],"En cours")</f>
        <v>0</v>
      </c>
      <c r="M47" s="38">
        <f>SUMIF(Tableau9[Activité],"Agencement",Tableau9[Alerte])</f>
        <v>1</v>
      </c>
      <c r="N47" s="38">
        <f>COUNTIFS(Tableau9[Activité],"Agencement",Tableau9[Statuts],"Active")</f>
        <v>1</v>
      </c>
      <c r="O47" s="38">
        <f>SUMIF(Tableau9[Activité],"Agencement",Tableau9[Stock])</f>
        <v>0</v>
      </c>
      <c r="P47" s="38">
        <f>COUNTIFS(Tableau9[Activité],"Agencement",Tableau9[Nature],"Machines")</f>
        <v>0</v>
      </c>
      <c r="Q47" s="38">
        <f>COUNTIFS(Tableau9[Activité],"Agencement",Tableau9[Nature],"Outillages")</f>
        <v>0</v>
      </c>
      <c r="R47" s="39">
        <f>SUMIFS(Tableau9[Valeur Stock],Tableau9[Activité],"Agencement",Tableau9[Nature],"Machines")</f>
        <v>0</v>
      </c>
      <c r="S47" s="39">
        <f>SUMIFS(Tableau9[Valeur Stock],Tableau9[Activité],"Agencement",Tableau9[Nature],"Outillages")</f>
        <v>0</v>
      </c>
      <c r="T47" s="38"/>
    </row>
    <row r="48" spans="2:20" ht="18" thickBot="1" x14ac:dyDescent="0.35">
      <c r="B48" s="40" t="s">
        <v>100</v>
      </c>
      <c r="C48" s="38" t="s">
        <v>101</v>
      </c>
      <c r="D48" s="38">
        <f>COUNTIF(Tableau2[Check],"En cours")</f>
        <v>0</v>
      </c>
      <c r="E48" s="47">
        <f>SUMIF(Tableau2[Check],"En cours",Tableau2[Prix Total])</f>
        <v>0</v>
      </c>
      <c r="F48" s="42"/>
      <c r="G48" s="42"/>
      <c r="H48" s="42"/>
      <c r="I48" s="40" t="s">
        <v>81</v>
      </c>
      <c r="J48" s="39">
        <f>IFERROR(SUMIF(Tableau9[Activité],"Chauffage",Tableau9[Valeur Stock]),"")</f>
        <v>0</v>
      </c>
      <c r="K48" s="38">
        <f>COUNTIFS(Tableau2[Activité],"Chauffage",Tableau2[Check],"En cours")</f>
        <v>0</v>
      </c>
      <c r="L48" s="39">
        <f>SUMIFS(Tableau2[Prix Total],Tableau2[Activité],"Chauffage",Tableau2[Check],"En cours")</f>
        <v>0</v>
      </c>
      <c r="M48" s="38">
        <f>SUMIF(Tableau9[Activité],"Chauffage",Tableau9[Alerte])</f>
        <v>1</v>
      </c>
      <c r="N48" s="38">
        <f>COUNTIFS(Tableau9[Activité],"Chauffage",Tableau9[Statuts],"Active")</f>
        <v>1</v>
      </c>
      <c r="O48" s="38">
        <f>SUMIF(Tableau9[Activité],"Chauffage",Tableau9[Stock])</f>
        <v>0</v>
      </c>
      <c r="P48" s="38">
        <f>COUNTIFS(Tableau9[Activité],"Chauffage",Tableau9[Nature],"Machines")</f>
        <v>1</v>
      </c>
      <c r="Q48" s="38">
        <f>COUNTIFS(Tableau9[Activité],"Chauffage",Tableau9[Nature],"Outillages")</f>
        <v>0</v>
      </c>
      <c r="R48" s="39">
        <f>SUMIFS(Tableau9[Valeur Stock],Tableau9[Activité],"Chauffage",Tableau9[Nature],"Machines")</f>
        <v>0</v>
      </c>
      <c r="S48" s="39">
        <f>SUMIFS(Tableau9[Valeur Stock],Tableau9[Activité],"Chauffage",Tableau9[Nature],"Outillages")</f>
        <v>0</v>
      </c>
      <c r="T48" s="38"/>
    </row>
    <row r="49" spans="2:20" ht="18" thickBot="1" x14ac:dyDescent="0.35">
      <c r="B49" s="40" t="s">
        <v>102</v>
      </c>
      <c r="C49" s="38" t="s">
        <v>103</v>
      </c>
      <c r="D49" s="38">
        <f>COUNTIF(Tableau9[Alerte],1)</f>
        <v>4</v>
      </c>
      <c r="E49" s="42"/>
      <c r="F49" s="42"/>
      <c r="G49" s="42"/>
      <c r="H49" s="42"/>
      <c r="I49" s="40" t="s">
        <v>21</v>
      </c>
      <c r="J49" s="39">
        <f>IFERROR(SUMIF(Tableau9[Activité],"Entretien",Tableau9[Valeur Stock]),"")</f>
        <v>0</v>
      </c>
      <c r="K49" s="38">
        <f>COUNTIFS(Tableau2[Activité],"Entretien",Tableau2[Check],"En cours")</f>
        <v>0</v>
      </c>
      <c r="L49" s="39">
        <f>SUMIFS(Tableau2[Prix Total],Tableau2[Activité],"Entretien",Tableau2[Check],"En cours")</f>
        <v>0</v>
      </c>
      <c r="M49" s="38">
        <f>SUMIF(Tableau9[Activité],"Entretien",Tableau9[Alerte])</f>
        <v>0</v>
      </c>
      <c r="N49" s="38">
        <f>COUNTIFS(Tableau9[Activité],"Entretien",Tableau9[Statuts],"Active")</f>
        <v>0</v>
      </c>
      <c r="O49" s="38">
        <f>SUMIF(Tableau9[Activité],"Entretien",Tableau9[Stock])</f>
        <v>0</v>
      </c>
      <c r="P49" s="38">
        <f>COUNTIFS(Tableau9[Activité],"Entretien",Tableau9[Nature],"Machines")</f>
        <v>0</v>
      </c>
      <c r="Q49" s="38">
        <f>COUNTIFS(Tableau9[Activité],"Entretien",Tableau9[Nature],"Outillages")</f>
        <v>0</v>
      </c>
      <c r="R49" s="39">
        <f>SUMIFS(Tableau9[Valeur Stock],Tableau9[Activité],"Entretien",Tableau9[Nature],"Machines")</f>
        <v>0</v>
      </c>
      <c r="S49" s="39">
        <f>SUMIFS(Tableau9[Valeur Stock],Tableau9[Activité],"Entretien",Tableau9[Nature],"Outillages")</f>
        <v>0</v>
      </c>
      <c r="T49" s="38"/>
    </row>
    <row r="50" spans="2:20" ht="18" thickBot="1" x14ac:dyDescent="0.35">
      <c r="B50" s="40" t="s">
        <v>104</v>
      </c>
      <c r="C50" s="38" t="s">
        <v>105</v>
      </c>
      <c r="D50" s="38">
        <f>COUNTIF(Tableau9[Statuts],"Active")</f>
        <v>4</v>
      </c>
      <c r="E50" s="42"/>
      <c r="F50" s="42"/>
      <c r="G50" s="42"/>
      <c r="H50" s="42"/>
      <c r="I50" s="40" t="s">
        <v>82</v>
      </c>
      <c r="J50" s="39">
        <f>IFERROR(SUMIF(Tableau9[Activité],"Electricité",Tableau9[Valeur Stock]),"")</f>
        <v>0</v>
      </c>
      <c r="K50" s="38">
        <f>COUNTIFS(Tableau2[Activité],"Electricité",Tableau2[Check],"En cours")</f>
        <v>0</v>
      </c>
      <c r="L50" s="39">
        <f>SUMIFS(Tableau2[Prix Total],Tableau2[Activité],"Electricité",Tableau2[Check],"En cours")</f>
        <v>0</v>
      </c>
      <c r="M50" s="38">
        <f>SUMIF(Tableau9[Activité],"Electricité",Tableau9[Alerte])</f>
        <v>1</v>
      </c>
      <c r="N50" s="38">
        <f>COUNTIFS(Tableau9[Activité],"Electricité",Tableau9[Statuts],"Active")</f>
        <v>1</v>
      </c>
      <c r="O50" s="38">
        <f>SUMIF(Tableau9[Activité],"Electricité",Tableau9[Stock])</f>
        <v>0</v>
      </c>
      <c r="P50" s="38">
        <f>COUNTIFS(Tableau9[Activité],"Electricité",Tableau9[Nature],"Machines")</f>
        <v>1</v>
      </c>
      <c r="Q50" s="38">
        <f>COUNTIFS(Tableau9[Activité],"Electricité",Tableau9[Nature],"Outillages")</f>
        <v>0</v>
      </c>
      <c r="R50" s="39">
        <f>SUMIFS(Tableau9[Valeur Stock],Tableau9[Activité],"Electricité",Tableau9[Nature],"Machines")</f>
        <v>0</v>
      </c>
      <c r="S50" s="39">
        <f>SUMIFS(Tableau9[Valeur Stock],Tableau9[Activité],"Electricité",Tableau9[Nature],"Outillages")</f>
        <v>0</v>
      </c>
      <c r="T50" s="38"/>
    </row>
    <row r="51" spans="2:20" ht="18" thickBot="1" x14ac:dyDescent="0.35">
      <c r="B51" s="40" t="s">
        <v>106</v>
      </c>
      <c r="C51" s="38" t="s">
        <v>107</v>
      </c>
      <c r="D51" s="38">
        <f>SUM(Tableau9[Stock])</f>
        <v>0</v>
      </c>
      <c r="E51" s="42"/>
      <c r="F51" s="42"/>
      <c r="G51" s="42"/>
      <c r="H51" s="42"/>
      <c r="I51" s="40" t="s">
        <v>83</v>
      </c>
      <c r="J51" s="39">
        <f>IFERROR(SUMIF(Tableau9[Activité],"Peinture",Tableau9[Valeur Stock]),"")</f>
        <v>0</v>
      </c>
      <c r="K51" s="38">
        <f>COUNTIFS(Tableau2[Activité],"Peinture",Tableau2[Check],"En cours")</f>
        <v>0</v>
      </c>
      <c r="L51" s="39">
        <f>SUMIFS(Tableau2[Prix Total],Tableau2[Activité],"Peinture",Tableau2[Check],"En cours")</f>
        <v>0</v>
      </c>
      <c r="M51" s="38">
        <f>SUMIF(Tableau9[Activité],"Peinture",Tableau9[Alerte])</f>
        <v>1</v>
      </c>
      <c r="N51" s="38">
        <f>COUNTIFS(Tableau9[Activité],"Peinture",Tableau9[Statuts],"Active")</f>
        <v>1</v>
      </c>
      <c r="O51" s="38">
        <f>SUMIF(Tableau9[Activité],"Peinture",Tableau9[Stock])</f>
        <v>0</v>
      </c>
      <c r="P51" s="38">
        <f>COUNTIFS(Tableau9[Activité],"Peinture",Tableau9[Nature],"Machines")</f>
        <v>0</v>
      </c>
      <c r="Q51" s="38">
        <f>COUNTIFS(Tableau9[Activité],"Peinture",Tableau9[Nature],"Outillages")</f>
        <v>0</v>
      </c>
      <c r="R51" s="39">
        <f>SUMIFS(Tableau9[Valeur Stock],Tableau9[Activité],"Peinture",Tableau9[Nature],"Machines")</f>
        <v>0</v>
      </c>
      <c r="S51" s="39">
        <f>SUMIFS(Tableau9[Valeur Stock],Tableau9[Activité],"Peinture",Tableau9[Nature],"Outillages")</f>
        <v>0</v>
      </c>
      <c r="T51" s="38"/>
    </row>
    <row r="52" spans="2:20" ht="18" thickBot="1" x14ac:dyDescent="0.35">
      <c r="B52" s="40" t="s">
        <v>108</v>
      </c>
      <c r="C52" s="38" t="s">
        <v>109</v>
      </c>
      <c r="D52" s="38" t="str">
        <f>IFERROR(INDEX(#REF!,MATCH(1,#REF!,0)),"")</f>
        <v/>
      </c>
      <c r="E52" s="38" t="str">
        <f>IFERROR(INDEX(#REF!,MATCH(2,#REF!,0)),"")</f>
        <v/>
      </c>
      <c r="F52" s="38" t="str">
        <f>IFERROR(INDEX(#REF!,MATCH(3,#REF!,0)),"")</f>
        <v/>
      </c>
      <c r="G52" s="42"/>
      <c r="H52" s="42"/>
      <c r="I52" s="40" t="s">
        <v>84</v>
      </c>
      <c r="J52" s="39">
        <f>IFERROR(SUMIF(Tableau9[Activité],"Plomberie",Tableau9[Valeur Stock]),"")</f>
        <v>0</v>
      </c>
      <c r="K52" s="38">
        <f>COUNTIFS(Tableau2[Activité],"Plomberie",Tableau2[Check],"En cours")</f>
        <v>0</v>
      </c>
      <c r="L52" s="39">
        <f>SUMIFS(Tableau2[Prix Total],Tableau2[Activité],"Plomberie",Tableau2[Check],"En cours")</f>
        <v>0</v>
      </c>
      <c r="M52" s="38">
        <f>SUMIF(Tableau9[Activité],"Plomberie",Tableau9[Alerte])</f>
        <v>0</v>
      </c>
      <c r="N52" s="38">
        <f>COUNTIFS(Tableau9[Activité],"Plomberie",Tableau9[Statuts],"Active")</f>
        <v>0</v>
      </c>
      <c r="O52" s="38">
        <f>SUMIF(Tableau9[Activité],"Plomberie",Tableau9[Stock])</f>
        <v>0</v>
      </c>
      <c r="P52" s="38">
        <f>COUNTIFS(Tableau9[Activité],"Plomberie",Tableau9[Nature],"Machines")</f>
        <v>0</v>
      </c>
      <c r="Q52" s="38">
        <f>COUNTIFS(Tableau9[Activité],"Plomberie",Tableau9[Nature],"Outillages")</f>
        <v>0</v>
      </c>
      <c r="R52" s="39">
        <f>SUMIFS(Tableau9[Valeur Stock],Tableau9[Activité],"Plomberie",Tableau9[Nature],"Machines")</f>
        <v>0</v>
      </c>
      <c r="S52" s="39">
        <f>SUMIFS(Tableau9[Valeur Stock],Tableau9[Activité],"Plomberie",Tableau9[Nature],"Outillages")</f>
        <v>0</v>
      </c>
      <c r="T52" s="38"/>
    </row>
    <row r="53" spans="2:20" ht="18" thickBot="1" x14ac:dyDescent="0.35">
      <c r="B53" s="40" t="s">
        <v>132</v>
      </c>
      <c r="C53" s="38" t="s">
        <v>134</v>
      </c>
      <c r="D53" s="38">
        <f>COUNTIF(Tableau9[Nature],"Outillages")</f>
        <v>0</v>
      </c>
      <c r="E53" s="39">
        <f>SUMIF(Tableau9[Nature],"Outillages",Tableau9[Valeur Stock])</f>
        <v>0</v>
      </c>
      <c r="F53" s="42"/>
      <c r="G53" s="42"/>
      <c r="H53" s="42"/>
      <c r="I53" s="40" t="s">
        <v>85</v>
      </c>
      <c r="J53" s="39">
        <f>IFERROR(SUMIF(Tableau9[Activité],"Serrurerie",Tableau9[Valeur Stock]),"")</f>
        <v>0</v>
      </c>
      <c r="K53" s="38">
        <f>COUNTIFS(Tableau2[Activité],"Serrurerie",Tableau2[Check],"En cours")</f>
        <v>0</v>
      </c>
      <c r="L53" s="39">
        <f>SUMIFS(Tableau2[Prix Total],Tableau2[Activité],"Serrurerie",Tableau2[Check],"En cours")</f>
        <v>0</v>
      </c>
      <c r="M53" s="38">
        <f>SUMIF(Tableau9[Activité],"Serrurerie",Tableau9[Alerte])</f>
        <v>0</v>
      </c>
      <c r="N53" s="38">
        <f>COUNTIFS(Tableau9[Activité],"Serrurerie",Tableau9[Statuts],"Active")</f>
        <v>0</v>
      </c>
      <c r="O53" s="38">
        <f>SUMIF(Tableau9[Activité],"Serrurerie",Tableau9[Stock])</f>
        <v>0</v>
      </c>
      <c r="P53" s="38">
        <f>COUNTIFS(Tableau9[Activité],"Serrurerie",Tableau9[Nature],"Machines")</f>
        <v>0</v>
      </c>
      <c r="Q53" s="38">
        <f>COUNTIFS(Tableau9[Activité],"Serrurerie",Tableau9[Nature],"Outillages")</f>
        <v>0</v>
      </c>
      <c r="R53" s="39">
        <f>SUMIFS(Tableau9[Valeur Stock],Tableau9[Activité],"Serrurerie",Tableau9[Nature],"Machines")</f>
        <v>0</v>
      </c>
      <c r="S53" s="39">
        <f>SUMIFS(Tableau9[Valeur Stock],Tableau9[Activité],"Serrurerie",Tableau9[Nature],"Outillages")</f>
        <v>0</v>
      </c>
      <c r="T53" s="38"/>
    </row>
    <row r="54" spans="2:20" ht="18" thickBot="1" x14ac:dyDescent="0.35">
      <c r="B54" s="40" t="s">
        <v>133</v>
      </c>
      <c r="C54" s="38" t="s">
        <v>135</v>
      </c>
      <c r="D54" s="38">
        <f>COUNTIF(Tableau9[Nature],"Machines")</f>
        <v>2</v>
      </c>
      <c r="E54" s="39">
        <f>SUMIF(Tableau9[Nature],"Machines",Tableau9[Valeur Stock])</f>
        <v>0</v>
      </c>
      <c r="F54" s="42"/>
      <c r="G54" s="42"/>
      <c r="H54" s="42"/>
      <c r="I54" s="40" t="s">
        <v>136</v>
      </c>
      <c r="J54" s="39">
        <f>IFERROR(SUMIF(Tableau9[Activité],"Jardinerie",Tableau9[Valeur Stock]),"")</f>
        <v>0</v>
      </c>
      <c r="K54" s="38">
        <f>COUNTIFS(Tableau2[Activité],"Jardinerie",Tableau2[Check],"En cours")</f>
        <v>0</v>
      </c>
      <c r="L54" s="39">
        <f>SUMIFS(Tableau2[Prix Total],Tableau2[Activité],"Jardinerie",Tableau2[Check],"En cours")</f>
        <v>0</v>
      </c>
      <c r="M54" s="38">
        <f>SUMIF(Tableau9[Activité],"Jardinerie",Tableau9[Alerte])</f>
        <v>0</v>
      </c>
      <c r="N54" s="38">
        <f>COUNTIFS(Tableau9[Activité],"Jardinerie",Tableau9[Statuts],"Active")</f>
        <v>0</v>
      </c>
      <c r="O54" s="38">
        <f>SUMIF(Tableau9[Activité],"Jardinerie",Tableau9[Stock])</f>
        <v>0</v>
      </c>
      <c r="P54" s="38">
        <f>COUNTIFS(Tableau9[Activité],"Jardinerie",Tableau9[Nature],"Machines")</f>
        <v>0</v>
      </c>
      <c r="Q54" s="38">
        <f>COUNTIFS(Tableau9[Activité],"Jardinerie",Tableau9[Nature],"Outillages")</f>
        <v>0</v>
      </c>
      <c r="R54" s="39">
        <f>SUMIFS(Tableau9[Valeur Stock],Tableau9[Activité],"Jardinerie",Tableau9[Nature],"Machines")</f>
        <v>0</v>
      </c>
      <c r="S54" s="39">
        <f>SUMIFS(Tableau9[Valeur Stock],Tableau9[Activité],"Jardinerie",Tableau9[Nature],"Outillages")</f>
        <v>0</v>
      </c>
      <c r="T54" s="39"/>
    </row>
  </sheetData>
  <phoneticPr fontId="4" type="noConversion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6"/>
  <dimension ref="A1:J8"/>
  <sheetViews>
    <sheetView topLeftCell="D1" zoomScale="96" zoomScaleNormal="96" workbookViewId="0">
      <pane ySplit="1" topLeftCell="A2" activePane="bottomLeft" state="frozen"/>
      <selection pane="bottomLeft" activeCell="D17" sqref="D17"/>
    </sheetView>
  </sheetViews>
  <sheetFormatPr baseColWidth="10" defaultRowHeight="14.4" x14ac:dyDescent="0.3"/>
  <cols>
    <col min="1" max="2" width="10.88671875" style="1"/>
    <col min="3" max="3" width="15.44140625" customWidth="1"/>
    <col min="4" max="4" width="15.88671875" style="4" bestFit="1" customWidth="1"/>
    <col min="5" max="5" width="15.88671875" style="11" bestFit="1" customWidth="1"/>
    <col min="6" max="6" width="15.44140625" customWidth="1"/>
    <col min="7" max="7" width="15.44140625" style="2" customWidth="1"/>
    <col min="8" max="8" width="23.21875" bestFit="1" customWidth="1"/>
    <col min="9" max="9" width="10.88671875" style="1"/>
    <col min="10" max="10" width="23.21875" bestFit="1" customWidth="1"/>
  </cols>
  <sheetData>
    <row r="1" spans="1:10" ht="28.5" customHeight="1" x14ac:dyDescent="0.3">
      <c r="A1" s="3" t="s">
        <v>13</v>
      </c>
      <c r="B1" s="3" t="s">
        <v>0</v>
      </c>
      <c r="C1" s="3" t="e">
        <f>#REF!</f>
        <v>#REF!</v>
      </c>
      <c r="D1" s="8" t="s">
        <v>1</v>
      </c>
      <c r="E1" s="9" t="s">
        <v>16</v>
      </c>
      <c r="F1" s="3" t="e">
        <f>#REF!</f>
        <v>#REF!</v>
      </c>
      <c r="G1" s="3" t="e">
        <f>#REF!</f>
        <v>#REF!</v>
      </c>
      <c r="H1" s="3" t="e">
        <f>#REF!</f>
        <v>#REF!</v>
      </c>
      <c r="I1" s="3" t="s">
        <v>14</v>
      </c>
      <c r="J1" s="3" t="s">
        <v>15</v>
      </c>
    </row>
    <row r="2" spans="1:10" x14ac:dyDescent="0.3">
      <c r="A2" s="5">
        <v>0</v>
      </c>
      <c r="B2" s="5">
        <v>0</v>
      </c>
      <c r="C2" s="6" t="s">
        <v>2</v>
      </c>
      <c r="D2" s="7">
        <v>43820.4375</v>
      </c>
      <c r="E2" s="10">
        <v>43820.5</v>
      </c>
      <c r="F2" s="6" t="s">
        <v>2</v>
      </c>
      <c r="G2" s="6" t="s">
        <v>2</v>
      </c>
      <c r="H2" s="6" t="s">
        <v>3</v>
      </c>
      <c r="I2" s="5">
        <v>0</v>
      </c>
      <c r="J2" s="6" t="s">
        <v>3</v>
      </c>
    </row>
    <row r="3" spans="1:10" x14ac:dyDescent="0.3">
      <c r="A3" s="1">
        <v>1</v>
      </c>
      <c r="B3" s="1">
        <v>2</v>
      </c>
      <c r="C3" t="s">
        <v>5</v>
      </c>
      <c r="D3" s="4">
        <v>44081.416666666664</v>
      </c>
      <c r="E3" s="12">
        <v>0.125</v>
      </c>
      <c r="F3" t="s">
        <v>11</v>
      </c>
      <c r="I3" s="1">
        <v>25</v>
      </c>
    </row>
    <row r="4" spans="1:10" x14ac:dyDescent="0.3">
      <c r="A4" s="1">
        <v>2</v>
      </c>
      <c r="B4" s="1">
        <v>2</v>
      </c>
      <c r="C4" t="s">
        <v>5</v>
      </c>
      <c r="D4" s="4">
        <v>44081.583333333336</v>
      </c>
      <c r="E4" s="12">
        <v>0.125</v>
      </c>
      <c r="H4" t="s">
        <v>17</v>
      </c>
      <c r="I4" s="1">
        <v>0</v>
      </c>
      <c r="J4" t="s">
        <v>18</v>
      </c>
    </row>
    <row r="5" spans="1:10" x14ac:dyDescent="0.3">
      <c r="A5" s="1">
        <v>3</v>
      </c>
      <c r="B5" s="1">
        <v>4</v>
      </c>
      <c r="C5" t="s">
        <v>7</v>
      </c>
      <c r="D5" s="4">
        <v>44081.375</v>
      </c>
      <c r="E5" s="12">
        <v>0.20833333333333334</v>
      </c>
      <c r="H5" t="s">
        <v>17</v>
      </c>
      <c r="I5" s="1">
        <v>0</v>
      </c>
      <c r="J5" t="s">
        <v>19</v>
      </c>
    </row>
    <row r="6" spans="1:10" x14ac:dyDescent="0.3">
      <c r="A6" s="1">
        <v>4</v>
      </c>
      <c r="B6" s="1">
        <v>3</v>
      </c>
      <c r="C6" t="s">
        <v>6</v>
      </c>
      <c r="D6" s="4">
        <v>44081.333333333336</v>
      </c>
      <c r="E6" s="12">
        <v>0.375</v>
      </c>
      <c r="F6" t="s">
        <v>11</v>
      </c>
      <c r="I6" s="1">
        <v>0</v>
      </c>
    </row>
    <row r="7" spans="1:10" x14ac:dyDescent="0.3">
      <c r="A7" s="1">
        <v>5</v>
      </c>
      <c r="B7" s="1">
        <v>1</v>
      </c>
      <c r="C7" t="s">
        <v>4</v>
      </c>
      <c r="D7" s="4">
        <v>44082.375</v>
      </c>
      <c r="E7" s="12">
        <v>0.40625</v>
      </c>
      <c r="F7" t="s">
        <v>10</v>
      </c>
      <c r="I7" s="1">
        <v>0</v>
      </c>
    </row>
    <row r="8" spans="1:10" x14ac:dyDescent="0.3">
      <c r="A8" s="1">
        <v>6</v>
      </c>
      <c r="B8" s="1">
        <v>3</v>
      </c>
      <c r="C8" t="s">
        <v>6</v>
      </c>
      <c r="D8" s="4">
        <v>44081.708333333336</v>
      </c>
      <c r="E8" s="12">
        <v>4.1666666666666664E-2</v>
      </c>
      <c r="F8" t="s">
        <v>12</v>
      </c>
      <c r="I8" s="1">
        <v>50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testets">
                <anchor moveWithCells="1" sizeWithCells="1">
                  <from>
                    <xdr:col>6</xdr:col>
                    <xdr:colOff>53340</xdr:colOff>
                    <xdr:row>3</xdr:row>
                    <xdr:rowOff>152400</xdr:rowOff>
                  </from>
                  <to>
                    <xdr:col>6</xdr:col>
                    <xdr:colOff>944880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ARTICLE</vt:lpstr>
      <vt:lpstr>ORDER</vt:lpstr>
      <vt:lpstr>FOURNISSEUR</vt:lpstr>
      <vt:lpstr>AGENTS</vt:lpstr>
      <vt:lpstr>CONFIG</vt:lpstr>
      <vt:lpstr>Bdd</vt:lpstr>
      <vt:lpstr>Activite</vt:lpstr>
      <vt:lpstr>Agent</vt:lpstr>
      <vt:lpstr>Article</vt:lpstr>
      <vt:lpstr>Fournisseur</vt:lpstr>
      <vt:lpstr>Natures</vt:lpstr>
      <vt:lpstr>NomArticles</vt:lpstr>
      <vt:lpstr>Order_ID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CHRISTON</dc:creator>
  <cp:lastModifiedBy>loicc</cp:lastModifiedBy>
  <cp:lastPrinted>2021-04-05T09:32:09Z</cp:lastPrinted>
  <dcterms:created xsi:type="dcterms:W3CDTF">2015-05-13T13:15:15Z</dcterms:created>
  <dcterms:modified xsi:type="dcterms:W3CDTF">2021-06-22T18:29:23Z</dcterms:modified>
</cp:coreProperties>
</file>