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5440" windowHeight="12300" activeTab="3"/>
  </bookViews>
  <sheets>
    <sheet name="PRESENTATIONS" sheetId="5" r:id="rId1"/>
    <sheet name="saisie" sheetId="1" r:id="rId2"/>
    <sheet name="Global" sheetId="7" r:id="rId3"/>
    <sheet name="Liste" sheetId="4" r:id="rId4"/>
    <sheet name="Voiture" sheetId="3" r:id="rId5"/>
    <sheet name="Prix carburant 2018" sheetId="8" r:id="rId6"/>
  </sheets>
  <definedNames>
    <definedName name="_xlnm._FilterDatabase" localSheetId="1" hidden="1">saisie!$C$2:$C$3</definedName>
    <definedName name="carburants">'Prix carburant 2018'!$C$1:$F$1</definedName>
    <definedName name="Date">saisie!$B$3:$B$4268</definedName>
    <definedName name="immatriculation">OFFSET(Liste!$B$2,,,COUNTA(Liste!$B:$B)-1)</definedName>
    <definedName name="_xlnm.Print_Titles" localSheetId="1">saisie!$B:$C,saisie!$2:$2</definedName>
    <definedName name="KmDepart">saisie!$E$3:$E$4268</definedName>
    <definedName name="Kmetrage">saisie!#REF!</definedName>
    <definedName name="KmParPlein">saisie!$N$3:$N$4268</definedName>
    <definedName name="KmRetour">saisie!$F$3:$F$4268</definedName>
    <definedName name="ListCars">Liste!$B$2:$B$42</definedName>
    <definedName name="NbLitres">Tableau1[Nb litres par plein]</definedName>
    <definedName name="NoCar">Liste!$B$1:$B$42</definedName>
    <definedName name="PrixAuLitre">saisie!$K$3:$K$4268</definedName>
    <definedName name="prixmaxi">Global!$E$4:$E$25</definedName>
    <definedName name="prixmini">Global!$D$4:$D$25</definedName>
    <definedName name="PrixParPlein">saisie!$L$3:$L$4268</definedName>
    <definedName name="PxPompe">OFFSET('Prix carburant 2018'!$A$2,,,COUNTA('Prix carburant 2018'!$A:$A)-1)</definedName>
    <definedName name="Station">saisie!$I$3:$I$4268</definedName>
    <definedName name="Stations">#REF!</definedName>
  </definedNames>
  <calcPr calcId="145621"/>
</workbook>
</file>

<file path=xl/calcChain.xml><?xml version="1.0" encoding="utf-8"?>
<calcChain xmlns="http://schemas.openxmlformats.org/spreadsheetml/2006/main">
  <c r="E19" i="3" l="1"/>
  <c r="D19" i="3"/>
  <c r="C19" i="3"/>
  <c r="B19" i="3"/>
  <c r="E17" i="3"/>
  <c r="D17" i="3"/>
  <c r="C17" i="3"/>
  <c r="B17" i="3"/>
  <c r="E15" i="3"/>
  <c r="D15" i="3"/>
  <c r="C15" i="3"/>
  <c r="B15" i="3"/>
  <c r="J9" i="3"/>
  <c r="I9" i="3"/>
  <c r="H9" i="3"/>
  <c r="G9" i="3"/>
  <c r="J7" i="3"/>
  <c r="I7" i="3"/>
  <c r="I17" i="3" s="1"/>
  <c r="H7" i="3"/>
  <c r="G7" i="3"/>
  <c r="J5" i="3"/>
  <c r="I5" i="3"/>
  <c r="H5" i="3"/>
  <c r="G5" i="3"/>
  <c r="D3" i="1"/>
  <c r="J15" i="3" l="1"/>
  <c r="J19" i="3"/>
  <c r="G17" i="3"/>
  <c r="H17" i="3"/>
  <c r="G15" i="3"/>
  <c r="G19" i="3"/>
  <c r="H15" i="3"/>
  <c r="H19" i="3"/>
  <c r="I15" i="3"/>
  <c r="I19" i="3"/>
  <c r="J17" i="3"/>
  <c r="I11" i="3"/>
  <c r="D21" i="3"/>
  <c r="K3" i="1"/>
  <c r="L3" i="1" s="1"/>
  <c r="B5" i="3" l="1"/>
  <c r="C5" i="3"/>
  <c r="E5" i="3"/>
  <c r="D5" i="3"/>
  <c r="N3" i="1" l="1"/>
  <c r="L32" i="3" l="1"/>
  <c r="M32" i="3" s="1"/>
  <c r="L33" i="3"/>
  <c r="M33" i="3" s="1"/>
  <c r="L34" i="3"/>
  <c r="M34" i="3" s="1"/>
  <c r="L35" i="3"/>
  <c r="M35" i="3" s="1"/>
  <c r="L36" i="3"/>
  <c r="M36" i="3" s="1"/>
  <c r="L37" i="3"/>
  <c r="M37" i="3" s="1"/>
  <c r="L38" i="3"/>
  <c r="M38" i="3" s="1"/>
  <c r="L39" i="3"/>
  <c r="M39" i="3" s="1"/>
  <c r="L40" i="3"/>
  <c r="M40" i="3" s="1"/>
  <c r="L41" i="3"/>
  <c r="M41" i="3" s="1"/>
  <c r="L42" i="3"/>
  <c r="M42" i="3" s="1"/>
  <c r="L43" i="3"/>
  <c r="M43" i="3" s="1"/>
  <c r="L44" i="3"/>
  <c r="M44" i="3" s="1"/>
  <c r="L45" i="3"/>
  <c r="M45" i="3" s="1"/>
  <c r="L46" i="3"/>
  <c r="M46" i="3" s="1"/>
  <c r="L47" i="3"/>
  <c r="M47" i="3" s="1"/>
  <c r="L48" i="3"/>
  <c r="M48" i="3" s="1"/>
  <c r="L49" i="3"/>
  <c r="M49" i="3" s="1"/>
  <c r="L50" i="3"/>
  <c r="M50" i="3" s="1"/>
  <c r="L51" i="3"/>
  <c r="M51" i="3" s="1"/>
  <c r="L52" i="3"/>
  <c r="M52" i="3" s="1"/>
  <c r="L53" i="3"/>
  <c r="M53" i="3" s="1"/>
  <c r="L54" i="3"/>
  <c r="M54" i="3" s="1"/>
  <c r="L55" i="3"/>
  <c r="M55" i="3" s="1"/>
  <c r="L56" i="3"/>
  <c r="M56" i="3" s="1"/>
  <c r="L57" i="3"/>
  <c r="M57" i="3" s="1"/>
  <c r="L58" i="3"/>
  <c r="M58" i="3" s="1"/>
  <c r="L59" i="3"/>
  <c r="M59" i="3" s="1"/>
  <c r="L60" i="3"/>
  <c r="M60" i="3" s="1"/>
  <c r="L61" i="3"/>
  <c r="M61" i="3" s="1"/>
  <c r="L22" i="3"/>
  <c r="M22" i="3" s="1"/>
  <c r="L23" i="3"/>
  <c r="M23" i="3" s="1"/>
  <c r="L24" i="3"/>
  <c r="M24" i="3" s="1"/>
  <c r="L25" i="3"/>
  <c r="M25" i="3" s="1"/>
  <c r="L26" i="3"/>
  <c r="M26" i="3" s="1"/>
  <c r="L27" i="3"/>
  <c r="M27" i="3" s="1"/>
  <c r="L28" i="3"/>
  <c r="M28" i="3" s="1"/>
  <c r="L29" i="3"/>
  <c r="M29" i="3" s="1"/>
  <c r="L30" i="3"/>
  <c r="M30" i="3" s="1"/>
  <c r="L31" i="3"/>
  <c r="M31" i="3" s="1"/>
  <c r="K3" i="5" l="1"/>
  <c r="L21" i="3"/>
  <c r="M21" i="3" s="1"/>
  <c r="L20" i="3"/>
  <c r="M20" i="3" s="1"/>
  <c r="L19" i="3"/>
  <c r="M19" i="3" s="1"/>
  <c r="L18" i="3"/>
  <c r="M18" i="3" s="1"/>
  <c r="L17" i="3"/>
  <c r="M17" i="3" s="1"/>
  <c r="L16" i="3"/>
  <c r="M16" i="3" s="1"/>
  <c r="L15" i="3"/>
  <c r="M15" i="3" s="1"/>
  <c r="L14" i="3"/>
  <c r="M14" i="3" s="1"/>
  <c r="L13" i="3"/>
  <c r="M13" i="3" s="1"/>
  <c r="L12" i="3"/>
  <c r="M12" i="3" s="1"/>
  <c r="L11" i="3"/>
  <c r="M11" i="3" s="1"/>
  <c r="L10" i="3"/>
  <c r="M10" i="3" s="1"/>
  <c r="L9" i="3"/>
  <c r="M9" i="3" s="1"/>
  <c r="L8" i="3"/>
  <c r="M8" i="3" s="1"/>
  <c r="L7" i="3"/>
  <c r="M7" i="3" s="1"/>
  <c r="L6" i="3"/>
  <c r="M6" i="3" s="1"/>
  <c r="L5" i="3"/>
  <c r="M5" i="3" s="1"/>
  <c r="L4" i="3"/>
  <c r="M4" i="3" s="1"/>
  <c r="E25" i="7" a="1"/>
  <c r="E25" i="7" s="1"/>
  <c r="D25" i="7" a="1"/>
  <c r="D25" i="7" s="1"/>
  <c r="C25" i="7"/>
  <c r="E24" i="7" a="1"/>
  <c r="E24" i="7" s="1"/>
  <c r="D24" i="7" a="1"/>
  <c r="D24" i="7" s="1"/>
  <c r="C24" i="7"/>
  <c r="E23" i="7" a="1"/>
  <c r="E23" i="7" s="1"/>
  <c r="D23" i="7" a="1"/>
  <c r="D23" i="7" s="1"/>
  <c r="C23" i="7"/>
  <c r="E22" i="7" a="1"/>
  <c r="E22" i="7" s="1"/>
  <c r="D22" i="7" a="1"/>
  <c r="D22" i="7" s="1"/>
  <c r="C22" i="7"/>
  <c r="L21" i="7"/>
  <c r="G18" i="5" s="1"/>
  <c r="E21" i="7" a="1"/>
  <c r="E21" i="7" s="1"/>
  <c r="D21" i="7" a="1"/>
  <c r="D21" i="7" s="1"/>
  <c r="C21" i="7"/>
  <c r="E20" i="7" a="1"/>
  <c r="E20" i="7" s="1"/>
  <c r="D20" i="7" a="1"/>
  <c r="D20" i="7" s="1"/>
  <c r="C20" i="7"/>
  <c r="E19" i="7" a="1"/>
  <c r="E19" i="7" s="1"/>
  <c r="D19" i="7" a="1"/>
  <c r="D19" i="7" s="1"/>
  <c r="C19" i="7"/>
  <c r="E18" i="7" a="1"/>
  <c r="E18" i="7" s="1"/>
  <c r="D18" i="7" a="1"/>
  <c r="D18" i="7" s="1"/>
  <c r="C18" i="7"/>
  <c r="E17" i="7" a="1"/>
  <c r="E17" i="7" s="1"/>
  <c r="D17" i="7" a="1"/>
  <c r="D17" i="7" s="1"/>
  <c r="C17" i="7"/>
  <c r="E16" i="7" a="1"/>
  <c r="E16" i="7" s="1"/>
  <c r="D16" i="7" a="1"/>
  <c r="D16" i="7" s="1"/>
  <c r="C16" i="7"/>
  <c r="E15" i="7" a="1"/>
  <c r="E15" i="7" s="1"/>
  <c r="D15" i="7" a="1"/>
  <c r="D15" i="7" s="1"/>
  <c r="C15" i="7"/>
  <c r="J14" i="7"/>
  <c r="J15" i="7" s="1"/>
  <c r="E14" i="7" a="1"/>
  <c r="E14" i="7" s="1"/>
  <c r="D14" i="7" a="1"/>
  <c r="D14" i="7" s="1"/>
  <c r="C14" i="7"/>
  <c r="E13" i="7" a="1"/>
  <c r="E13" i="7" s="1"/>
  <c r="D13" i="7" a="1"/>
  <c r="D13" i="7" s="1"/>
  <c r="C13" i="7"/>
  <c r="E12" i="7" a="1"/>
  <c r="E12" i="7" s="1"/>
  <c r="D12" i="7" a="1"/>
  <c r="D12" i="7" s="1"/>
  <c r="C12" i="7"/>
  <c r="Q11" i="7"/>
  <c r="B18" i="5" s="1"/>
  <c r="E11" i="7" a="1"/>
  <c r="E11" i="7" s="1"/>
  <c r="D11" i="7" a="1"/>
  <c r="D11" i="7" s="1"/>
  <c r="C11" i="7"/>
  <c r="E10" i="7" a="1"/>
  <c r="E10" i="7" s="1"/>
  <c r="D10" i="7" a="1"/>
  <c r="D10" i="7" s="1"/>
  <c r="C10" i="7"/>
  <c r="E9" i="7" a="1"/>
  <c r="E9" i="7" s="1"/>
  <c r="D9" i="7" a="1"/>
  <c r="D9" i="7" s="1"/>
  <c r="C9" i="7"/>
  <c r="E8" i="7" a="1"/>
  <c r="E8" i="7" s="1"/>
  <c r="D8" i="7" a="1"/>
  <c r="D8" i="7" s="1"/>
  <c r="C8" i="7"/>
  <c r="E7" i="7" a="1"/>
  <c r="E7" i="7" s="1"/>
  <c r="D7" i="7" a="1"/>
  <c r="D7" i="7" s="1"/>
  <c r="C7" i="7"/>
  <c r="E6" i="7" a="1"/>
  <c r="E6" i="7" s="1"/>
  <c r="D6" i="7" a="1"/>
  <c r="D6" i="7" s="1"/>
  <c r="C6" i="7"/>
  <c r="E5" i="7" a="1"/>
  <c r="E5" i="7" s="1"/>
  <c r="D5" i="7" a="1"/>
  <c r="D5" i="7" s="1"/>
  <c r="C5" i="7"/>
  <c r="O4" i="7"/>
  <c r="P4" i="7" s="1"/>
  <c r="Q4" i="7" s="1"/>
  <c r="R4" i="7" s="1"/>
  <c r="O6" i="7" s="1"/>
  <c r="K4" i="7"/>
  <c r="L4" i="7" s="1"/>
  <c r="M4" i="7" s="1"/>
  <c r="E4" i="7" a="1"/>
  <c r="E4" i="7" s="1"/>
  <c r="D4" i="7" a="1"/>
  <c r="D4" i="7" s="1"/>
  <c r="C4" i="7"/>
  <c r="O3" i="1"/>
  <c r="G4" i="3"/>
  <c r="H4" i="3" s="1"/>
  <c r="I4" i="3" s="1"/>
  <c r="J4" i="3" s="1"/>
  <c r="G6" i="3" s="1"/>
  <c r="C4" i="3"/>
  <c r="D4" i="3" s="1"/>
  <c r="B14" i="3"/>
  <c r="C14" i="3" s="1"/>
  <c r="O15" i="7" l="1"/>
  <c r="K14" i="7"/>
  <c r="L14" i="7" s="1"/>
  <c r="K15" i="7"/>
  <c r="P15" i="7" s="1"/>
  <c r="O14" i="7"/>
  <c r="P14" i="7" s="1"/>
  <c r="Q14" i="7" s="1"/>
  <c r="R14" i="7" s="1"/>
  <c r="O16" i="7" s="1"/>
  <c r="E23" i="5"/>
  <c r="L11" i="7"/>
  <c r="K5" i="7"/>
  <c r="P5" i="7" s="1"/>
  <c r="J5" i="7"/>
  <c r="O5" i="7" s="1"/>
  <c r="G9" i="7"/>
  <c r="H9" i="7" s="1"/>
  <c r="G5" i="7"/>
  <c r="H5" i="7" s="1"/>
  <c r="G8" i="7"/>
  <c r="H8" i="7" s="1"/>
  <c r="G4" i="7"/>
  <c r="H4" i="7" s="1"/>
  <c r="I21" i="3"/>
  <c r="Q21" i="7"/>
  <c r="M14" i="7"/>
  <c r="L15" i="7"/>
  <c r="Q15" i="7" s="1"/>
  <c r="P6" i="7"/>
  <c r="Q6" i="7" s="1"/>
  <c r="R6" i="7" s="1"/>
  <c r="O8" i="7" s="1"/>
  <c r="P8" i="7" s="1"/>
  <c r="Q8" i="7" s="1"/>
  <c r="R8" i="7" s="1"/>
  <c r="D14" i="3"/>
  <c r="E4" i="3"/>
  <c r="P16" i="7"/>
  <c r="Q16" i="7" s="1"/>
  <c r="R16" i="7" s="1"/>
  <c r="O18" i="7" s="1"/>
  <c r="P18" i="7" s="1"/>
  <c r="Q18" i="7" s="1"/>
  <c r="R18" i="7" s="1"/>
  <c r="H6" i="3"/>
  <c r="I6" i="3" s="1"/>
  <c r="J6" i="3" s="1"/>
  <c r="G8" i="3" s="1"/>
  <c r="H8" i="3" s="1"/>
  <c r="I8" i="3" s="1"/>
  <c r="J8" i="3" s="1"/>
  <c r="J6" i="7"/>
  <c r="M5" i="7"/>
  <c r="R5" i="7" s="1"/>
  <c r="G14" i="3"/>
  <c r="L5" i="7"/>
  <c r="Q5" i="7" s="1"/>
  <c r="E14" i="3" l="1"/>
  <c r="H14" i="3"/>
  <c r="I14" i="3" s="1"/>
  <c r="J14" i="3" s="1"/>
  <c r="G16" i="3" s="1"/>
  <c r="J7" i="7"/>
  <c r="O7" i="7" s="1"/>
  <c r="K6" i="7"/>
  <c r="B6" i="3"/>
  <c r="B7" i="3" s="1"/>
  <c r="J16" i="7"/>
  <c r="M15" i="7"/>
  <c r="R15" i="7" s="1"/>
  <c r="H16" i="3" l="1"/>
  <c r="I16" i="3" s="1"/>
  <c r="J16" i="3" s="1"/>
  <c r="G18" i="3" s="1"/>
  <c r="H18" i="3" s="1"/>
  <c r="I18" i="3" s="1"/>
  <c r="J18" i="3" s="1"/>
  <c r="K7" i="7"/>
  <c r="P7" i="7" s="1"/>
  <c r="L6" i="7"/>
  <c r="K16" i="7"/>
  <c r="J17" i="7"/>
  <c r="O17" i="7" s="1"/>
  <c r="C6" i="3"/>
  <c r="C7" i="3" s="1"/>
  <c r="B16" i="3"/>
  <c r="C16" i="3" l="1"/>
  <c r="L16" i="7"/>
  <c r="K17" i="7"/>
  <c r="P17" i="7" s="1"/>
  <c r="M6" i="7"/>
  <c r="L7" i="7"/>
  <c r="Q7" i="7" s="1"/>
  <c r="D6" i="3"/>
  <c r="D7" i="3" s="1"/>
  <c r="L17" i="7" l="1"/>
  <c r="Q17" i="7" s="1"/>
  <c r="M16" i="7"/>
  <c r="E6" i="3"/>
  <c r="E7" i="3" s="1"/>
  <c r="M7" i="7"/>
  <c r="R7" i="7" s="1"/>
  <c r="J8" i="7"/>
  <c r="D16" i="3"/>
  <c r="K8" i="7" l="1"/>
  <c r="J9" i="7"/>
  <c r="O9" i="7" s="1"/>
  <c r="E16" i="3"/>
  <c r="B8" i="3"/>
  <c r="B9" i="3" s="1"/>
  <c r="M17" i="7"/>
  <c r="R17" i="7" s="1"/>
  <c r="J18" i="7"/>
  <c r="B18" i="3" l="1"/>
  <c r="C8" i="3"/>
  <c r="C9" i="3" s="1"/>
  <c r="J19" i="7"/>
  <c r="O19" i="7" s="1"/>
  <c r="K18" i="7"/>
  <c r="L8" i="7"/>
  <c r="K9" i="7"/>
  <c r="P9" i="7" s="1"/>
  <c r="C18" i="3" l="1"/>
  <c r="D8" i="3"/>
  <c r="D9" i="3" s="1"/>
  <c r="M8" i="7"/>
  <c r="M9" i="7" s="1"/>
  <c r="R9" i="7" s="1"/>
  <c r="L9" i="7"/>
  <c r="Q9" i="7" s="1"/>
  <c r="K19" i="7"/>
  <c r="P19" i="7" s="1"/>
  <c r="L18" i="7"/>
  <c r="M18" i="7" l="1"/>
  <c r="M19" i="7" s="1"/>
  <c r="R19" i="7" s="1"/>
  <c r="L19" i="7"/>
  <c r="Q19" i="7" s="1"/>
  <c r="E8" i="3"/>
  <c r="E9" i="3" s="1"/>
  <c r="E11" i="3" s="1"/>
  <c r="D18" i="3"/>
  <c r="E18" i="3" l="1"/>
</calcChain>
</file>

<file path=xl/sharedStrings.xml><?xml version="1.0" encoding="utf-8"?>
<sst xmlns="http://schemas.openxmlformats.org/spreadsheetml/2006/main" count="154" uniqueCount="102">
  <si>
    <t>DATE</t>
  </si>
  <si>
    <t>CHAUFF</t>
  </si>
  <si>
    <t>COMPTEUR
DEPART</t>
  </si>
  <si>
    <t>COMPTEUR
RETOUR</t>
  </si>
  <si>
    <t>Total</t>
  </si>
  <si>
    <t>Prix maxi</t>
  </si>
  <si>
    <t>Prix mini</t>
  </si>
  <si>
    <t>Les 2 prix maxi</t>
  </si>
  <si>
    <t>Les 2 prix mini</t>
  </si>
  <si>
    <t>carburant</t>
  </si>
  <si>
    <t>Dépenses en carburant</t>
  </si>
  <si>
    <t>Kilométrage</t>
  </si>
  <si>
    <t>Consommation aux 100 Km</t>
  </si>
  <si>
    <t>Prix par plein</t>
  </si>
  <si>
    <t>Nb litres par plein</t>
  </si>
  <si>
    <t>Prix par litre</t>
  </si>
  <si>
    <t>Station</t>
  </si>
  <si>
    <t>Conso moy par plein</t>
  </si>
  <si>
    <t>Stations</t>
  </si>
  <si>
    <t>Consommation mensuelle</t>
  </si>
  <si>
    <t>Moyenne</t>
  </si>
  <si>
    <t>Toutes voitures confondues</t>
  </si>
  <si>
    <t>NOUS EN SOMME A</t>
  </si>
  <si>
    <t>POUR</t>
  </si>
  <si>
    <t>SOIT PAR MOIS</t>
  </si>
  <si>
    <t>NAFTAL ROND POINT</t>
  </si>
  <si>
    <t>NAFTAL CIEPTAL</t>
  </si>
  <si>
    <t>NAFTAL BAOUCHI</t>
  </si>
  <si>
    <t>Aujourd'hui, nous sommes le :</t>
  </si>
  <si>
    <t>029365 00 16</t>
  </si>
  <si>
    <t>00160 402 30</t>
  </si>
  <si>
    <t>00163 402 30</t>
  </si>
  <si>
    <t>00150 402 30</t>
  </si>
  <si>
    <t>180560 00 16</t>
  </si>
  <si>
    <t>01981 199 30</t>
  </si>
  <si>
    <t>00764 103 30</t>
  </si>
  <si>
    <t>01134 103 30</t>
  </si>
  <si>
    <t>00709 101 30</t>
  </si>
  <si>
    <t>00713 101 30</t>
  </si>
  <si>
    <t>113185 00 16</t>
  </si>
  <si>
    <t>43095 105 16</t>
  </si>
  <si>
    <t>05113 00 16</t>
  </si>
  <si>
    <t>00584 303 30</t>
  </si>
  <si>
    <t>180576 00 16</t>
  </si>
  <si>
    <t>180549 00 16</t>
  </si>
  <si>
    <t>00183 103 30</t>
  </si>
  <si>
    <t>17164 106 16</t>
  </si>
  <si>
    <t>180567 00 16</t>
  </si>
  <si>
    <t>157836 00 16</t>
  </si>
  <si>
    <t xml:space="preserve">   00265 103 30</t>
  </si>
  <si>
    <t>00250 301 30</t>
  </si>
  <si>
    <t>028169 00 16</t>
  </si>
  <si>
    <t>39812 107 16</t>
  </si>
  <si>
    <t>39815 107 16</t>
  </si>
  <si>
    <t>01524 104 30</t>
  </si>
  <si>
    <t>005762 00 16</t>
  </si>
  <si>
    <t>09279 00 16</t>
  </si>
  <si>
    <t>042912 00 16</t>
  </si>
  <si>
    <t>157838 00 16</t>
  </si>
  <si>
    <t>028689 00 16</t>
  </si>
  <si>
    <t>00689 101 30</t>
  </si>
  <si>
    <t>180587 00 16</t>
  </si>
  <si>
    <t>01059 103 30</t>
  </si>
  <si>
    <t>00401 302 30</t>
  </si>
  <si>
    <t>00039 100 30</t>
  </si>
  <si>
    <t>180570 00 16</t>
  </si>
  <si>
    <t>00706 101 30</t>
  </si>
  <si>
    <t>17160 106 16</t>
  </si>
  <si>
    <t>00714 101 30</t>
  </si>
  <si>
    <t>180583 00 16</t>
  </si>
  <si>
    <t>Type de véhicule</t>
  </si>
  <si>
    <t>Corolla</t>
  </si>
  <si>
    <t>Coaster 25 pl</t>
  </si>
  <si>
    <t>Hiace 15 / 09 PI</t>
  </si>
  <si>
    <t>Yaris</t>
  </si>
  <si>
    <t>Avensis</t>
  </si>
  <si>
    <t>Land Cruiser VX</t>
  </si>
  <si>
    <t>Boxer</t>
  </si>
  <si>
    <t>Corolla DXL</t>
  </si>
  <si>
    <t>Corolla DXLI</t>
  </si>
  <si>
    <t>Ambulance, Renault</t>
  </si>
  <si>
    <t>Land Cruiser</t>
  </si>
  <si>
    <t>IMMATRICULATION VOITURE</t>
  </si>
  <si>
    <t>TYPE DE VEHICULE</t>
  </si>
  <si>
    <t>Organisation Ourhoud</t>
  </si>
  <si>
    <t>Immatriculation Voiture</t>
  </si>
  <si>
    <t>Km Parcouru</t>
  </si>
  <si>
    <t>Super</t>
  </si>
  <si>
    <t>Normal</t>
  </si>
  <si>
    <t>Carburant</t>
  </si>
  <si>
    <t>prix à la pompe</t>
  </si>
  <si>
    <t xml:space="preserve">Choisir Type de Carburant </t>
  </si>
  <si>
    <t>Sans plomb</t>
  </si>
  <si>
    <t>SIRGHAZ</t>
  </si>
  <si>
    <t>41,62</t>
  </si>
  <si>
    <t>38,95</t>
  </si>
  <si>
    <t>41,97</t>
  </si>
  <si>
    <t>Sirghaz</t>
  </si>
  <si>
    <t>NAFTAL HIMAYA PLUS</t>
  </si>
  <si>
    <t>DDD</t>
  </si>
  <si>
    <t xml:space="preserve">N° D'immatriculation Voiture---&gt; 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</si>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</sst>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164" formatCode="0.00;[Red]0.00"/>
    <numFmt numFmtId="165" formatCode="dd/mm/yy;@"/>
    <numFmt numFmtId="166" formatCode="mmmm"/>
    <numFmt numFmtId="167" formatCode="00"/>
    <numFmt numFmtId="168" formatCode="[&lt;0.0001]&quot;&quot;;#,##0.000\ &quot;€&quot;"/>
    <numFmt numFmtId="169" formatCode="0.00&quot; litres&quot;"/>
    <numFmt numFmtId="170" formatCode="[=0]&quot;-&quot;;#,##0"/>
    <numFmt numFmtId="171" formatCode="[&lt;0.1]&quot;&quot;;0.00&quot; litres&quot;"/>
    <numFmt numFmtId="172" formatCode="#,##0&quot; km&quot;"/>
    <numFmt numFmtId="173" formatCode="#,##0&quot; litres&quot;"/>
    <numFmt numFmtId="174" formatCode="#,##0.00\ _€;[Red]#,##0.00\ _€"/>
    <numFmt numFmtId="175" formatCode="_-* #,##0.00\ [$DZD]_-;\-* #,##0.00\ [$DZD]_-;_-* &quot;-&quot;??\ [$DZD]_-;_-@_-"/>
  </numFmts>
  <fonts count="21" x14ac:knownFonts="1">
    <font>
      <sz val="12"/>
      <name val="Arial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2"/>
      <name val="Arial"/>
      <family val="2"/>
    </font>
    <font>
      <sz val="10"/>
      <color indexed="18"/>
      <name val="Arial"/>
      <family val="2"/>
    </font>
    <font>
      <b/>
      <sz val="11"/>
      <color indexed="43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28"/>
      <color rgb="FFFF0000"/>
      <name val="Arial"/>
      <family val="2"/>
    </font>
    <font>
      <b/>
      <sz val="22"/>
      <color rgb="FFFF0000"/>
      <name val="Arial"/>
      <family val="2"/>
    </font>
    <font>
      <sz val="31"/>
      <color rgb="FF0000FF"/>
      <name val="Matura MT Script Capitals"/>
      <family val="4"/>
    </font>
    <font>
      <b/>
      <sz val="11"/>
      <color theme="0"/>
      <name val="Arial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10"/>
      </right>
      <top style="thin">
        <color indexed="64"/>
      </top>
      <bottom/>
      <diagonal/>
    </border>
    <border>
      <left style="thick">
        <color indexed="1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 style="thick">
        <color indexed="12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thick">
        <color indexed="17"/>
      </left>
      <right/>
      <top style="thick">
        <color indexed="17"/>
      </top>
      <bottom style="thick">
        <color indexed="17"/>
      </bottom>
      <diagonal/>
    </border>
    <border>
      <left/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53"/>
      </left>
      <right/>
      <top style="thick">
        <color indexed="53"/>
      </top>
      <bottom style="thick">
        <color indexed="53"/>
      </bottom>
      <diagonal/>
    </border>
    <border>
      <left/>
      <right style="thick">
        <color indexed="53"/>
      </right>
      <top style="thick">
        <color indexed="53"/>
      </top>
      <bottom style="thick">
        <color indexed="53"/>
      </bottom>
      <diagonal/>
    </border>
    <border>
      <left/>
      <right/>
      <top/>
      <bottom style="thick">
        <color indexed="5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10"/>
      </right>
      <top/>
      <bottom style="thin">
        <color indexed="64"/>
      </bottom>
      <diagonal/>
    </border>
    <border>
      <left style="thick">
        <color indexed="10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Fill="1" applyBorder="1" applyAlignment="1">
      <alignment horizontal="centerContinuous" vertical="center"/>
    </xf>
    <xf numFmtId="0" fontId="8" fillId="0" borderId="0" xfId="0" applyFont="1" applyFill="1" applyBorder="1" applyAlignment="1">
      <alignment horizontal="centerContinuous" vertical="center"/>
    </xf>
    <xf numFmtId="2" fontId="2" fillId="2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Continuous" vertical="center"/>
    </xf>
    <xf numFmtId="170" fontId="2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3" borderId="0" xfId="0" applyFont="1" applyFill="1" applyAlignment="1">
      <alignment horizontal="right" vertical="center"/>
    </xf>
    <xf numFmtId="171" fontId="4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70" fontId="2" fillId="3" borderId="1" xfId="0" quotePrefix="1" applyNumberFormat="1" applyFont="1" applyFill="1" applyBorder="1" applyAlignment="1">
      <alignment horizontal="center" vertical="center"/>
    </xf>
    <xf numFmtId="170" fontId="2" fillId="0" borderId="0" xfId="0" applyNumberFormat="1" applyFont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Continuous" vertical="center"/>
    </xf>
    <xf numFmtId="172" fontId="7" fillId="3" borderId="2" xfId="0" applyNumberFormat="1" applyFont="1" applyFill="1" applyBorder="1" applyAlignment="1">
      <alignment horizontal="centerContinuous" vertical="center"/>
    </xf>
    <xf numFmtId="172" fontId="7" fillId="3" borderId="3" xfId="0" applyNumberFormat="1" applyFont="1" applyFill="1" applyBorder="1" applyAlignment="1">
      <alignment horizontal="centerContinuous" vertical="center"/>
    </xf>
    <xf numFmtId="173" fontId="7" fillId="3" borderId="3" xfId="0" applyNumberFormat="1" applyFont="1" applyFill="1" applyBorder="1" applyAlignment="1">
      <alignment horizontal="centerContinuous" vertical="center"/>
    </xf>
    <xf numFmtId="169" fontId="7" fillId="2" borderId="3" xfId="0" applyNumberFormat="1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6" fillId="0" borderId="3" xfId="0" applyFont="1" applyFill="1" applyBorder="1" applyAlignment="1">
      <alignment horizontal="centerContinuous" vertical="center"/>
    </xf>
    <xf numFmtId="0" fontId="4" fillId="0" borderId="0" xfId="0" applyFont="1"/>
    <xf numFmtId="0" fontId="6" fillId="0" borderId="0" xfId="0" applyFont="1" applyAlignment="1">
      <alignment horizontal="center"/>
    </xf>
    <xf numFmtId="167" fontId="9" fillId="4" borderId="4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0" xfId="0" quotePrefix="1" applyFont="1"/>
    <xf numFmtId="0" fontId="6" fillId="0" borderId="0" xfId="0" applyFont="1"/>
    <xf numFmtId="169" fontId="7" fillId="2" borderId="2" xfId="0" quotePrefix="1" applyNumberFormat="1" applyFont="1" applyFill="1" applyBorder="1" applyAlignment="1">
      <alignment horizontal="centerContinuous" vertical="center"/>
    </xf>
    <xf numFmtId="0" fontId="4" fillId="0" borderId="0" xfId="0" quotePrefix="1" applyFont="1" applyAlignment="1">
      <alignment vertical="center"/>
    </xf>
    <xf numFmtId="171" fontId="7" fillId="3" borderId="2" xfId="0" applyNumberFormat="1" applyFont="1" applyFill="1" applyBorder="1" applyAlignment="1">
      <alignment horizontal="centerContinuous" vertical="center"/>
    </xf>
    <xf numFmtId="171" fontId="4" fillId="5" borderId="5" xfId="0" applyNumberFormat="1" applyFont="1" applyFill="1" applyBorder="1" applyAlignment="1">
      <alignment vertical="center"/>
    </xf>
    <xf numFmtId="171" fontId="4" fillId="5" borderId="6" xfId="0" applyNumberFormat="1" applyFont="1" applyFill="1" applyBorder="1" applyAlignment="1">
      <alignment vertical="center"/>
    </xf>
    <xf numFmtId="0" fontId="0" fillId="5" borderId="0" xfId="0" applyFill="1"/>
    <xf numFmtId="165" fontId="12" fillId="0" borderId="0" xfId="0" applyNumberFormat="1" applyFont="1" applyFill="1" applyAlignment="1">
      <alignment horizontal="center" vertical="center"/>
    </xf>
    <xf numFmtId="167" fontId="12" fillId="0" borderId="0" xfId="0" applyNumberFormat="1" applyFont="1" applyFill="1" applyAlignment="1">
      <alignment horizontal="center" vertical="center"/>
    </xf>
    <xf numFmtId="3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4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7" fontId="12" fillId="0" borderId="7" xfId="0" applyNumberFormat="1" applyFont="1" applyFill="1" applyBorder="1" applyAlignment="1">
      <alignment horizontal="center" vertical="center"/>
    </xf>
    <xf numFmtId="3" fontId="12" fillId="0" borderId="7" xfId="0" applyNumberFormat="1" applyFont="1" applyFill="1" applyBorder="1" applyAlignment="1">
      <alignment horizontal="center" vertical="center"/>
    </xf>
    <xf numFmtId="164" fontId="12" fillId="0" borderId="7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174" fontId="12" fillId="0" borderId="8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4" fontId="12" fillId="0" borderId="0" xfId="0" applyNumberFormat="1" applyFont="1" applyAlignment="1">
      <alignment horizontal="center" vertical="center"/>
    </xf>
    <xf numFmtId="0" fontId="11" fillId="5" borderId="11" xfId="0" applyFont="1" applyFill="1" applyBorder="1"/>
    <xf numFmtId="0" fontId="11" fillId="5" borderId="12" xfId="0" applyFont="1" applyFill="1" applyBorder="1" applyAlignment="1">
      <alignment horizontal="center"/>
    </xf>
    <xf numFmtId="0" fontId="11" fillId="5" borderId="13" xfId="0" applyFont="1" applyFill="1" applyBorder="1"/>
    <xf numFmtId="0" fontId="0" fillId="5" borderId="14" xfId="0" applyFill="1" applyBorder="1"/>
    <xf numFmtId="0" fontId="0" fillId="5" borderId="0" xfId="0" applyFill="1" applyBorder="1"/>
    <xf numFmtId="0" fontId="0" fillId="5" borderId="15" xfId="0" applyFill="1" applyBorder="1"/>
    <xf numFmtId="0" fontId="2" fillId="10" borderId="0" xfId="0" applyFont="1" applyFill="1"/>
    <xf numFmtId="0" fontId="2" fillId="6" borderId="0" xfId="0" applyFont="1" applyFill="1" applyAlignment="1">
      <alignment horizontal="center" vertical="center"/>
    </xf>
    <xf numFmtId="175" fontId="7" fillId="2" borderId="2" xfId="0" quotePrefix="1" applyNumberFormat="1" applyFont="1" applyFill="1" applyBorder="1" applyAlignment="1">
      <alignment horizontal="center" vertical="center"/>
    </xf>
    <xf numFmtId="175" fontId="7" fillId="2" borderId="2" xfId="0" applyNumberFormat="1" applyFont="1" applyFill="1" applyBorder="1" applyAlignment="1">
      <alignment horizontal="center" vertical="center"/>
    </xf>
    <xf numFmtId="175" fontId="7" fillId="6" borderId="2" xfId="0" applyNumberFormat="1" applyFont="1" applyFill="1" applyBorder="1" applyAlignment="1">
      <alignment horizontal="centerContinuous" vertical="center"/>
    </xf>
    <xf numFmtId="175" fontId="7" fillId="6" borderId="3" xfId="0" applyNumberFormat="1" applyFont="1" applyFill="1" applyBorder="1" applyAlignment="1">
      <alignment horizontal="centerContinuous" vertical="center"/>
    </xf>
    <xf numFmtId="175" fontId="2" fillId="6" borderId="1" xfId="1" applyNumberFormat="1" applyFont="1" applyFill="1" applyBorder="1" applyAlignment="1">
      <alignment horizontal="center" vertical="center"/>
    </xf>
    <xf numFmtId="175" fontId="12" fillId="2" borderId="9" xfId="0" applyNumberFormat="1" applyFont="1" applyFill="1" applyBorder="1" applyAlignment="1">
      <alignment horizontal="center" vertical="center"/>
    </xf>
    <xf numFmtId="175" fontId="12" fillId="2" borderId="5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71" fontId="2" fillId="5" borderId="16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1" fontId="2" fillId="5" borderId="17" xfId="0" applyNumberFormat="1" applyFont="1" applyFill="1" applyBorder="1" applyAlignment="1">
      <alignment vertical="center"/>
    </xf>
    <xf numFmtId="0" fontId="2" fillId="2" borderId="3" xfId="0" quotePrefix="1" applyFont="1" applyFill="1" applyBorder="1" applyAlignment="1">
      <alignment vertical="center"/>
    </xf>
    <xf numFmtId="168" fontId="2" fillId="0" borderId="0" xfId="0" applyNumberFormat="1" applyFont="1" applyAlignment="1">
      <alignment vertical="center"/>
    </xf>
    <xf numFmtId="171" fontId="2" fillId="5" borderId="18" xfId="0" applyNumberFormat="1" applyFont="1" applyFill="1" applyBorder="1" applyAlignment="1">
      <alignment vertical="center"/>
    </xf>
    <xf numFmtId="175" fontId="2" fillId="7" borderId="19" xfId="1" applyNumberFormat="1" applyFont="1" applyFill="1" applyBorder="1" applyAlignment="1">
      <alignment vertical="center"/>
    </xf>
    <xf numFmtId="175" fontId="2" fillId="8" borderId="20" xfId="1" applyNumberFormat="1" applyFont="1" applyFill="1" applyBorder="1" applyAlignment="1">
      <alignment vertical="center"/>
    </xf>
    <xf numFmtId="175" fontId="2" fillId="7" borderId="21" xfId="1" applyNumberFormat="1" applyFont="1" applyFill="1" applyBorder="1" applyAlignment="1">
      <alignment vertical="center"/>
    </xf>
    <xf numFmtId="175" fontId="2" fillId="8" borderId="22" xfId="1" applyNumberFormat="1" applyFont="1" applyFill="1" applyBorder="1" applyAlignment="1">
      <alignment vertical="center"/>
    </xf>
    <xf numFmtId="175" fontId="2" fillId="7" borderId="23" xfId="1" applyNumberFormat="1" applyFont="1" applyFill="1" applyBorder="1" applyAlignment="1">
      <alignment vertical="center"/>
    </xf>
    <xf numFmtId="175" fontId="2" fillId="8" borderId="24" xfId="1" applyNumberFormat="1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14" fillId="0" borderId="0" xfId="0" applyFont="1"/>
    <xf numFmtId="14" fontId="16" fillId="0" borderId="25" xfId="0" applyNumberFormat="1" applyFont="1" applyBorder="1"/>
    <xf numFmtId="0" fontId="15" fillId="0" borderId="0" xfId="0" applyFont="1"/>
    <xf numFmtId="14" fontId="17" fillId="0" borderId="0" xfId="0" applyNumberFormat="1" applyFont="1"/>
    <xf numFmtId="167" fontId="9" fillId="4" borderId="0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6" fillId="11" borderId="0" xfId="0" applyFont="1" applyFill="1" applyAlignment="1">
      <alignment horizontal="center"/>
    </xf>
    <xf numFmtId="0" fontId="4" fillId="11" borderId="0" xfId="0" applyFont="1" applyFill="1"/>
    <xf numFmtId="0" fontId="18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2" borderId="10" xfId="0" applyNumberFormat="1" applyFont="1" applyFill="1" applyBorder="1" applyAlignment="1">
      <alignment horizontal="center" vertical="center"/>
    </xf>
    <xf numFmtId="0" fontId="12" fillId="0" borderId="35" xfId="0" applyNumberFormat="1" applyFont="1" applyFill="1" applyBorder="1" applyAlignment="1">
      <alignment horizontal="center" vertical="center"/>
    </xf>
    <xf numFmtId="0" fontId="10" fillId="0" borderId="0" xfId="0" applyFont="1"/>
    <xf numFmtId="0" fontId="19" fillId="12" borderId="1" xfId="0" applyFont="1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center"/>
    </xf>
    <xf numFmtId="14" fontId="20" fillId="0" borderId="1" xfId="0" applyNumberFormat="1" applyFont="1" applyBorder="1"/>
    <xf numFmtId="0" fontId="20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5" fontId="12" fillId="0" borderId="36" xfId="0" applyNumberFormat="1" applyFont="1" applyFill="1" applyBorder="1" applyAlignment="1">
      <alignment horizontal="center" vertical="center"/>
    </xf>
    <xf numFmtId="175" fontId="12" fillId="2" borderId="4" xfId="0" applyNumberFormat="1" applyFont="1" applyFill="1" applyBorder="1" applyAlignment="1">
      <alignment horizontal="center" vertical="center"/>
    </xf>
    <xf numFmtId="165" fontId="12" fillId="0" borderId="6" xfId="0" applyNumberFormat="1" applyFont="1" applyFill="1" applyBorder="1" applyAlignment="1">
      <alignment horizontal="center" vertical="center" wrapText="1"/>
    </xf>
    <xf numFmtId="167" fontId="12" fillId="0" borderId="26" xfId="0" applyNumberFormat="1" applyFont="1" applyFill="1" applyBorder="1" applyAlignment="1">
      <alignment horizontal="center" vertical="center" wrapText="1"/>
    </xf>
    <xf numFmtId="3" fontId="12" fillId="0" borderId="26" xfId="0" applyNumberFormat="1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174" fontId="12" fillId="0" borderId="38" xfId="0" applyNumberFormat="1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172" fontId="10" fillId="6" borderId="27" xfId="0" applyNumberFormat="1" applyFont="1" applyFill="1" applyBorder="1" applyAlignment="1">
      <alignment horizontal="center"/>
    </xf>
    <xf numFmtId="172" fontId="10" fillId="6" borderId="28" xfId="0" applyNumberFormat="1" applyFont="1" applyFill="1" applyBorder="1" applyAlignment="1">
      <alignment horizontal="center"/>
    </xf>
    <xf numFmtId="172" fontId="10" fillId="6" borderId="29" xfId="0" applyNumberFormat="1" applyFont="1" applyFill="1" applyBorder="1" applyAlignment="1">
      <alignment horizontal="center"/>
    </xf>
    <xf numFmtId="173" fontId="10" fillId="2" borderId="30" xfId="0" applyNumberFormat="1" applyFont="1" applyFill="1" applyBorder="1" applyAlignment="1">
      <alignment horizontal="center"/>
    </xf>
    <xf numFmtId="173" fontId="10" fillId="2" borderId="31" xfId="0" applyNumberFormat="1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0" fillId="9" borderId="32" xfId="0" applyFont="1" applyFill="1" applyBorder="1" applyAlignment="1">
      <alignment horizontal="center"/>
    </xf>
    <xf numFmtId="0" fontId="10" fillId="9" borderId="33" xfId="0" applyFont="1" applyFill="1" applyBorder="1" applyAlignment="1">
      <alignment horizontal="center"/>
    </xf>
    <xf numFmtId="0" fontId="11" fillId="5" borderId="34" xfId="0" applyFont="1" applyFill="1" applyBorder="1" applyAlignment="1">
      <alignment horizontal="center"/>
    </xf>
    <xf numFmtId="167" fontId="9" fillId="4" borderId="4" xfId="0" applyNumberFormat="1" applyFont="1" applyFill="1" applyBorder="1" applyAlignment="1" applyProtection="1">
      <alignment horizontal="center" vertical="center"/>
      <protection locked="0"/>
    </xf>
    <xf numFmtId="167" fontId="9" fillId="4" borderId="0" xfId="0" applyNumberFormat="1" applyFont="1" applyFill="1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8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5" formatCode="_-* #,##0.00\ [$DZD]_-;\-* #,##0.00\ [$DZD]_-;_-* &quot;-&quot;??\ [$DZD]_-;_-@_-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5" formatCode="_-* #,##0.00\ [$DZD]_-;\-* #,##0.00\ [$DZD]_-;_-* &quot;-&quot;??\ [$DZD]_-;_-@_-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5" formatCode="_-* #,##0.00\ [$DZD]_-;\-* #,##0.00\ [$DZD]_-;_-* &quot;-&quot;??\ [$DZD]_-;_-@_-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10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4" formatCode="#,##0.00\ _€;[Red]#,##0.00\ _€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ck">
          <color indexed="10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0;[Red]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ck">
          <color indexed="10"/>
        </left>
        <right style="thick">
          <color indexed="10"/>
        </right>
        <top style="thick">
          <color indexed="10"/>
        </top>
      </border>
    </dxf>
    <dxf>
      <border outline="0">
        <bottom style="thin">
          <color indexed="64"/>
        </bottom>
      </border>
    </dxf>
    <dxf>
      <fill>
        <patternFill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278130</xdr:colOff>
      <xdr:row>3</xdr:row>
      <xdr:rowOff>108585</xdr:rowOff>
    </xdr:from>
    <xdr:to>
      <xdr:col>7</xdr:col>
      <xdr:colOff>278130</xdr:colOff>
      <xdr:row>6</xdr:row>
      <xdr:rowOff>45822</xdr:rowOff>
    </xdr:to>
    <xdr:sp macro="" textlink="">
      <xdr:nvSpPr>
        <xdr:cNvPr id="7169" name="WordArt 1" descr="Granit"/>
        <xdr:cNvSpPr>
          <a:spLocks noChangeArrowheads="1" noChangeShapeType="1" noTextEdit="1"/>
        </xdr:cNvSpPr>
      </xdr:nvSpPr>
      <xdr:spPr bwMode="auto">
        <a:xfrm>
          <a:off x="2110740" y="1051560"/>
          <a:ext cx="4572000" cy="518160"/>
        </a:xfrm>
        <a:prstGeom prst="rect">
          <a:avLst/>
        </a:prstGeom>
      </xdr:spPr>
      <xdr:txBody>
        <a:bodyPr wrap="none" fromWordArt="1">
          <a:prstTxWarp prst="textCanUp">
            <a:avLst>
              <a:gd name="adj" fmla="val 85713"/>
            </a:avLst>
          </a:prstTxWarp>
        </a:bodyPr>
        <a:lstStyle/>
        <a:p>
          <a:pPr algn="ctr" rtl="0">
            <a:buNone/>
          </a:pPr>
          <a:r>
            <a:rPr lang="en-US" sz="3600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blipFill dpi="0" rotWithShape="0">
                <a:blip xmlns:r="http://schemas.openxmlformats.org/officeDocument/2006/relationships" r:embed="rId1">
                  <a:alphaModFix amt="67000"/>
                </a:blip>
                <a:srcRect/>
                <a:tile tx="0" ty="0" sx="100000" sy="100000" flip="none" algn="tl"/>
              </a:blipFill>
              <a:effectLst>
                <a:outerShdw dist="563972" dir="14049741" sx="125000" sy="125000" algn="tl" rotWithShape="0">
                  <a:srgbClr val="C7DFD3">
                    <a:alpha val="80000"/>
                  </a:srgbClr>
                </a:outerShdw>
              </a:effectLst>
              <a:latin typeface="Times New Roman"/>
              <a:cs typeface="Times New Roman"/>
            </a:rPr>
            <a:t>CARBURANT</a:t>
          </a:r>
        </a:p>
      </xdr:txBody>
    </xdr:sp>
    <xdr:clientData/>
  </xdr:twoCellAnchor>
  <xdr:twoCellAnchor editAs="oneCell">
    <xdr:from>
      <xdr:col>1</xdr:col>
      <xdr:colOff>7620</xdr:colOff>
      <xdr:row>8</xdr:row>
      <xdr:rowOff>7620</xdr:rowOff>
    </xdr:from>
    <xdr:to>
      <xdr:col>3</xdr:col>
      <xdr:colOff>906780</xdr:colOff>
      <xdr:row>14</xdr:row>
      <xdr:rowOff>182880</xdr:rowOff>
    </xdr:to>
    <xdr:pic>
      <xdr:nvPicPr>
        <xdr:cNvPr id="7420" name="Picture 2" descr="AAAAACDRT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" y="2225040"/>
          <a:ext cx="2727960" cy="131826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8</xdr:row>
      <xdr:rowOff>152400</xdr:rowOff>
    </xdr:from>
    <xdr:to>
      <xdr:col>7</xdr:col>
      <xdr:colOff>906780</xdr:colOff>
      <xdr:row>14</xdr:row>
      <xdr:rowOff>152400</xdr:rowOff>
    </xdr:to>
    <xdr:pic>
      <xdr:nvPicPr>
        <xdr:cNvPr id="7421" name="Picture 4" descr="COMPTEUR 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369820"/>
          <a:ext cx="182118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45720</xdr:colOff>
      <xdr:row>0</xdr:row>
      <xdr:rowOff>38100</xdr:rowOff>
    </xdr:from>
    <xdr:to>
      <xdr:col>1</xdr:col>
      <xdr:colOff>723900</xdr:colOff>
      <xdr:row>2</xdr:row>
      <xdr:rowOff>297180</xdr:rowOff>
    </xdr:to>
    <xdr:pic>
      <xdr:nvPicPr>
        <xdr:cNvPr id="7422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38100"/>
          <a:ext cx="1592580" cy="1051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510540</xdr:colOff>
      <xdr:row>3</xdr:row>
      <xdr:rowOff>0</xdr:rowOff>
    </xdr:from>
    <xdr:to>
      <xdr:col>24</xdr:col>
      <xdr:colOff>152401</xdr:colOff>
      <xdr:row>9</xdr:row>
      <xdr:rowOff>68580</xdr:rowOff>
    </xdr:to>
    <xdr:pic>
      <xdr:nvPicPr>
        <xdr:cNvPr id="2155" name="Picture 4" descr="Sans titre -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4200" y="3535680"/>
          <a:ext cx="2545080" cy="1211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2:O3" totalsRowShown="0" headerRowBorderDxfId="19" tableBorderDxfId="18">
  <autoFilter ref="B2:O3"/>
  <tableColumns count="14">
    <tableColumn id="1" name="DATE" dataDxfId="17"/>
    <tableColumn id="2" name="Immatriculation Voiture" dataDxfId="16"/>
    <tableColumn id="3" name="Type de véhicule" dataDxfId="15">
      <calculatedColumnFormula>IFERROR(VLOOKUP(Tableau1[Immatriculation Voiture],Tableau2[],2,FALSE),"")</calculatedColumnFormula>
    </tableColumn>
    <tableColumn id="4" name="COMPTEUR_x000a_DEPART" dataDxfId="14"/>
    <tableColumn id="5" name="COMPTEUR_x000a_RETOUR" dataDxfId="13"/>
    <tableColumn id="6" name="CHAUFF" dataDxfId="12"/>
    <tableColumn id="7" name="Nb litres par plein" dataDxfId="11"/>
    <tableColumn id="8" name="Station" dataDxfId="10"/>
    <tableColumn id="9" name="Carburant" dataDxfId="9"/>
    <tableColumn id="10" name="Prix par litre" dataDxfId="8">
      <calculatedColumnFormula>IFERROR(OFFSET('Prix carburant 2018'!$A$1,MATCH($B3,PxPompe,1),MATCH($J3,carburants,0)),"")</calculatedColumnFormula>
    </tableColumn>
    <tableColumn id="11" name="Prix par plein" dataDxfId="7">
      <calculatedColumnFormula>IF(H3=0,"",H3*K3)</calculatedColumnFormula>
    </tableColumn>
    <tableColumn id="12" name="Colonne1" dataDxfId="6"/>
    <tableColumn id="13" name="Km Parcouru" dataDxfId="5">
      <calculatedColumnFormula>IF(F3="","",F3-E3)</calculatedColumnFormula>
    </tableColumn>
    <tableColumn id="14" name="Conso moy par plein" dataDxfId="4">
      <calculatedColumnFormula>IF( F3=0,"",H3/N3*100)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C42" totalsRowShown="0" headerRowDxfId="3" dataDxfId="2">
  <autoFilter ref="B1:C42"/>
  <tableColumns count="2">
    <tableColumn id="1" name="IMMATRICULATION VOITURE" dataDxfId="1"/>
    <tableColumn id="2" name="TYPE DE VEHICU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2"/>
  </sheetPr>
  <dimension ref="B2:K24"/>
  <sheetViews>
    <sheetView workbookViewId="0">
      <selection activeCell="E23" sqref="E23:F23"/>
    </sheetView>
  </sheetViews>
  <sheetFormatPr baseColWidth="10" defaultRowHeight="15" x14ac:dyDescent="0.2"/>
  <cols>
    <col min="9" max="9" width="18.5546875" bestFit="1" customWidth="1"/>
    <col min="11" max="11" width="23" bestFit="1" customWidth="1"/>
  </cols>
  <sheetData>
    <row r="2" spans="2:11" ht="46.5" thickBot="1" x14ac:dyDescent="1.05">
      <c r="C2" s="97" t="s">
        <v>84</v>
      </c>
      <c r="F2" s="89"/>
      <c r="G2" s="89"/>
      <c r="H2" s="89"/>
      <c r="I2" s="90"/>
      <c r="J2" s="87" t="s">
        <v>28</v>
      </c>
    </row>
    <row r="3" spans="2:11" ht="36.75" thickTop="1" thickBot="1" x14ac:dyDescent="0.55000000000000004">
      <c r="K3" s="88">
        <f ca="1">TODAY()</f>
        <v>43129</v>
      </c>
    </row>
    <row r="4" spans="2:11" ht="15.75" thickTop="1" x14ac:dyDescent="0.2"/>
    <row r="15" spans="2:11" ht="15.75" thickBot="1" x14ac:dyDescent="0.25"/>
    <row r="16" spans="2:11" ht="16.5" thickTop="1" x14ac:dyDescent="0.25">
      <c r="B16" s="57"/>
      <c r="C16" s="58" t="s">
        <v>22</v>
      </c>
      <c r="D16" s="59"/>
      <c r="G16" s="125" t="s">
        <v>23</v>
      </c>
      <c r="H16" s="125"/>
    </row>
    <row r="17" spans="2:8" ht="15.75" thickBot="1" x14ac:dyDescent="0.25">
      <c r="B17" s="60"/>
      <c r="C17" s="61"/>
      <c r="D17" s="62"/>
      <c r="G17" s="40"/>
      <c r="H17" s="40"/>
    </row>
    <row r="18" spans="2:8" ht="17.25" thickTop="1" thickBot="1" x14ac:dyDescent="0.3">
      <c r="B18" s="120">
        <f>SUM(Global!Q11)</f>
        <v>23</v>
      </c>
      <c r="C18" s="121"/>
      <c r="D18" s="122"/>
      <c r="G18" s="123">
        <f>SUM(Global!L21)</f>
        <v>200</v>
      </c>
      <c r="H18" s="124"/>
    </row>
    <row r="19" spans="2:8" ht="15.75" thickTop="1" x14ac:dyDescent="0.2"/>
    <row r="22" spans="2:8" ht="16.5" thickBot="1" x14ac:dyDescent="0.3">
      <c r="E22" s="128" t="s">
        <v>24</v>
      </c>
      <c r="F22" s="128"/>
    </row>
    <row r="23" spans="2:8" ht="17.25" thickTop="1" thickBot="1" x14ac:dyDescent="0.3">
      <c r="E23" s="126">
        <f>SUM(Global!Q11:R11)</f>
        <v>23</v>
      </c>
      <c r="F23" s="127"/>
    </row>
    <row r="24" spans="2:8" ht="15.75" thickTop="1" x14ac:dyDescent="0.2"/>
  </sheetData>
  <mergeCells count="5">
    <mergeCell ref="B18:D18"/>
    <mergeCell ref="G18:H18"/>
    <mergeCell ref="G16:H16"/>
    <mergeCell ref="E23:F23"/>
    <mergeCell ref="E22:F22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2"/>
  </sheetPr>
  <dimension ref="B1:U3"/>
  <sheetViews>
    <sheetView zoomScale="85" zoomScaleNormal="85" workbookViewId="0">
      <selection activeCell="J3" sqref="J3"/>
    </sheetView>
  </sheetViews>
  <sheetFormatPr baseColWidth="10" defaultColWidth="11.5546875" defaultRowHeight="15" x14ac:dyDescent="0.2"/>
  <cols>
    <col min="1" max="1" width="1.6640625" style="1" customWidth="1"/>
    <col min="2" max="2" width="9.21875" style="52" customWidth="1"/>
    <col min="3" max="3" width="21.5546875" style="53" customWidth="1"/>
    <col min="4" max="4" width="17.21875" style="53" customWidth="1"/>
    <col min="5" max="5" width="11.88671875" style="54" customWidth="1"/>
    <col min="6" max="6" width="10.88671875" style="54" customWidth="1"/>
    <col min="7" max="7" width="11.44140625" style="55" customWidth="1"/>
    <col min="8" max="8" width="15.109375" style="55" customWidth="1"/>
    <col min="9" max="9" width="18.109375" style="55" customWidth="1"/>
    <col min="10" max="10" width="21" style="55" customWidth="1"/>
    <col min="11" max="11" width="11.21875" style="56" customWidth="1"/>
    <col min="12" max="12" width="13.33203125" style="55" customWidth="1"/>
    <col min="13" max="13" width="8.21875" style="55" hidden="1" customWidth="1"/>
    <col min="14" max="14" width="13" style="55" customWidth="1"/>
    <col min="15" max="15" width="17.33203125" style="55" customWidth="1"/>
    <col min="16" max="16" width="4.77734375" style="1" customWidth="1"/>
    <col min="17" max="17" width="9.33203125" customWidth="1"/>
    <col min="18" max="21" width="10.88671875" customWidth="1"/>
    <col min="22" max="16384" width="11.5546875" style="1"/>
  </cols>
  <sheetData>
    <row r="1" spans="2:21" ht="11.25" customHeight="1" x14ac:dyDescent="0.2">
      <c r="B1" s="41"/>
      <c r="C1" s="42"/>
      <c r="D1" s="42"/>
      <c r="E1" s="43"/>
      <c r="F1" s="43"/>
      <c r="G1" s="44"/>
      <c r="H1" s="44"/>
      <c r="I1" s="44"/>
      <c r="J1" s="44"/>
      <c r="K1" s="45"/>
      <c r="L1" s="44"/>
      <c r="M1" s="44"/>
      <c r="N1" s="44"/>
      <c r="O1" s="46"/>
    </row>
    <row r="2" spans="2:21" s="12" customFormat="1" ht="42.75" customHeight="1" x14ac:dyDescent="0.2">
      <c r="B2" s="110" t="s">
        <v>0</v>
      </c>
      <c r="C2" s="111" t="s">
        <v>85</v>
      </c>
      <c r="D2" s="111" t="s">
        <v>70</v>
      </c>
      <c r="E2" s="112" t="s">
        <v>2</v>
      </c>
      <c r="F2" s="112" t="s">
        <v>3</v>
      </c>
      <c r="G2" s="113" t="s">
        <v>1</v>
      </c>
      <c r="H2" s="113" t="s">
        <v>14</v>
      </c>
      <c r="I2" s="113" t="s">
        <v>16</v>
      </c>
      <c r="J2" s="114" t="s">
        <v>89</v>
      </c>
      <c r="K2" s="115" t="s">
        <v>15</v>
      </c>
      <c r="L2" s="116" t="s">
        <v>13</v>
      </c>
      <c r="M2" s="117" t="s">
        <v>101</v>
      </c>
      <c r="N2" s="118" t="s">
        <v>86</v>
      </c>
      <c r="O2" s="119" t="s">
        <v>17</v>
      </c>
      <c r="Q2"/>
      <c r="R2"/>
      <c r="S2"/>
      <c r="T2"/>
      <c r="U2"/>
    </row>
    <row r="3" spans="2:21" s="6" customFormat="1" x14ac:dyDescent="0.2">
      <c r="B3" s="108">
        <v>43127</v>
      </c>
      <c r="C3" s="47" t="s">
        <v>30</v>
      </c>
      <c r="D3" s="47" t="str">
        <f>IFERROR(VLOOKUP(Tableau1[Immatriculation Voiture],Tableau2[],2,FALSE),"")</f>
        <v>Coaster 25 pl</v>
      </c>
      <c r="E3" s="48">
        <v>22300</v>
      </c>
      <c r="F3" s="48">
        <v>22500</v>
      </c>
      <c r="G3" s="48" t="s">
        <v>99</v>
      </c>
      <c r="H3" s="49">
        <v>23</v>
      </c>
      <c r="I3" s="50" t="s">
        <v>98</v>
      </c>
      <c r="J3" s="101" t="s">
        <v>97</v>
      </c>
      <c r="K3" s="51">
        <f ca="1">IFERROR(OFFSET('Prix carburant 2018'!$A$1,MATCH($B3,PxPompe,1),MATCH($J3,carburants,0)),"")</f>
        <v>9</v>
      </c>
      <c r="L3" s="70">
        <f ca="1">IF(H3=0,"",H3*K3)</f>
        <v>207</v>
      </c>
      <c r="M3" s="71">
        <v>1.196</v>
      </c>
      <c r="N3" s="100">
        <f>IF(F3="","",F3-E3)</f>
        <v>200</v>
      </c>
      <c r="O3" s="109">
        <f t="shared" ref="O3" si="0">IF( F3=0,"",H3/N3*100)</f>
        <v>11.5</v>
      </c>
      <c r="Q3"/>
      <c r="R3"/>
      <c r="S3"/>
      <c r="T3"/>
      <c r="U3"/>
    </row>
  </sheetData>
  <phoneticPr fontId="0" type="noConversion"/>
  <conditionalFormatting sqref="B3:O3">
    <cfRule type="expression" dxfId="20" priority="1" stopIfTrue="1">
      <formula>MOD(ROW(),2)</formula>
    </cfRule>
  </conditionalFormatting>
  <dataValidations count="1">
    <dataValidation type="list" showInputMessage="1" showErrorMessage="1" sqref="C3">
      <formula1>ListCars</formula1>
    </dataValidation>
  </dataValidations>
  <pageMargins left="0.78740157480314965" right="0.59055118110236227" top="0.59055118110236227" bottom="0.59055118110236227" header="0.51181102362204722" footer="0.51181102362204722"/>
  <pageSetup paperSize="9" pageOrder="overThenDown" orientation="portrait" r:id="rId1"/>
  <headerFooter alignWithMargins="0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'Prix carburant 2018'!$C$1:$G$1</xm:f>
          </x14:formula1>
          <xm:sqref>J3</xm:sqref>
        </x14:dataValidation>
        <x14:dataValidation type="list" allowBlank="1" showInputMessage="1" showErrorMessage="1">
          <x14:formula1>
            <xm:f>Global!$B$3:$B$8</xm:f>
          </x14:formula1>
          <xm:sqref>I3</xm:sqref>
        </x14:dataValidation>
        <x14:dataValidation type="list" allowBlank="1" showInputMessage="1" showErrorMessage="1">
          <x14:formula1>
            <xm:f>Liste!$B$1:$B$42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R30"/>
  <sheetViews>
    <sheetView workbookViewId="0">
      <selection activeCell="G4" sqref="G4"/>
    </sheetView>
  </sheetViews>
  <sheetFormatPr baseColWidth="10" defaultColWidth="11.5546875" defaultRowHeight="12.75" x14ac:dyDescent="0.2"/>
  <cols>
    <col min="1" max="1" width="0.88671875" style="6" customWidth="1"/>
    <col min="2" max="2" width="16" style="6" customWidth="1"/>
    <col min="3" max="3" width="11.109375" style="6" customWidth="1"/>
    <col min="4" max="4" width="9" style="6" customWidth="1"/>
    <col min="5" max="5" width="9.33203125" style="6" customWidth="1"/>
    <col min="6" max="6" width="1.109375" style="6" customWidth="1"/>
    <col min="7" max="7" width="9.88671875" style="6" customWidth="1"/>
    <col min="8" max="8" width="15.88671875" style="6" customWidth="1"/>
    <col min="9" max="9" width="2.33203125" style="6" customWidth="1"/>
    <col min="10" max="10" width="12.21875" style="6" customWidth="1"/>
    <col min="11" max="11" width="11.77734375" style="6" customWidth="1"/>
    <col min="12" max="12" width="12.44140625" style="6" customWidth="1"/>
    <col min="13" max="13" width="12.6640625" style="6" customWidth="1"/>
    <col min="14" max="14" width="1.109375" style="6" customWidth="1"/>
    <col min="15" max="15" width="8.6640625" style="6" customWidth="1"/>
    <col min="16" max="17" width="9.109375" style="6" customWidth="1"/>
    <col min="18" max="18" width="8.77734375" style="6" customWidth="1"/>
    <col min="19" max="16384" width="11.5546875" style="6"/>
  </cols>
  <sheetData>
    <row r="1" spans="2:18" ht="15.75" customHeight="1" x14ac:dyDescent="0.2">
      <c r="B1" s="10" t="s">
        <v>21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2:18" x14ac:dyDescent="0.2">
      <c r="B2" s="22"/>
      <c r="C2" s="22"/>
      <c r="D2" s="22"/>
      <c r="E2" s="22"/>
      <c r="G2" s="72"/>
      <c r="H2" s="72"/>
      <c r="J2" s="22"/>
      <c r="K2" s="22"/>
      <c r="L2" s="22"/>
      <c r="M2" s="22"/>
      <c r="N2" s="22"/>
      <c r="O2" s="22"/>
      <c r="P2" s="22"/>
      <c r="Q2" s="22"/>
      <c r="R2" s="22"/>
    </row>
    <row r="3" spans="2:18" ht="13.5" thickBot="1" x14ac:dyDescent="0.25">
      <c r="B3" s="3" t="s">
        <v>18</v>
      </c>
      <c r="C3" s="3" t="s">
        <v>9</v>
      </c>
      <c r="D3" s="3" t="s">
        <v>6</v>
      </c>
      <c r="E3" s="3" t="s">
        <v>5</v>
      </c>
      <c r="G3" s="2" t="s">
        <v>8</v>
      </c>
      <c r="H3" s="2"/>
      <c r="J3" s="2" t="s">
        <v>10</v>
      </c>
      <c r="K3" s="2"/>
      <c r="L3" s="2"/>
      <c r="M3" s="2"/>
      <c r="O3" s="7" t="s">
        <v>19</v>
      </c>
      <c r="P3" s="73"/>
      <c r="Q3" s="73"/>
      <c r="R3" s="73"/>
    </row>
    <row r="4" spans="2:18" ht="13.5" thickTop="1" x14ac:dyDescent="0.2">
      <c r="B4" s="64" t="s">
        <v>98</v>
      </c>
      <c r="C4" s="74">
        <f ca="1">SUMIF(Station,$B4,NbLitres)+ROW()/100000</f>
        <v>23.000039999999998</v>
      </c>
      <c r="D4" s="80">
        <f t="array" aca="1" ref="D4" ca="1">MIN(IF(Station=$B4,PrixAuLitre))+ROW()/100000</f>
        <v>9.0000400000000003</v>
      </c>
      <c r="E4" s="81">
        <f t="array" aca="1" ref="E4" ca="1">MAX(IF(Station=$B4,PrixAuLitre))+ROW()/100000</f>
        <v>9.0000400000000003</v>
      </c>
      <c r="G4" s="65">
        <f ca="1">IF(COUNTA(Station)&lt;ROWS(G$4:G4),"",SMALL(prixmini,ROWS(G$4:G4)+COUNTIF(prixmini,"&lt;0,01")))</f>
        <v>5.0000000000000002E-5</v>
      </c>
      <c r="H4" s="75">
        <f ca="1">IF(G4="","",INDEX(Station,MATCH(G4,prixmini,0)))</f>
        <v>0</v>
      </c>
      <c r="J4" s="4">
        <v>38353</v>
      </c>
      <c r="K4" s="4">
        <f>DATE(YEAR(J4),MONTH(J4)+1,1)</f>
        <v>38384</v>
      </c>
      <c r="L4" s="4">
        <f>DATE(YEAR(K4),MONTH(K4)+1,1)</f>
        <v>38412</v>
      </c>
      <c r="M4" s="4">
        <f>DATE(YEAR(L4),MONTH(L4)+1,1)</f>
        <v>38443</v>
      </c>
      <c r="O4" s="4">
        <f>J4</f>
        <v>38353</v>
      </c>
      <c r="P4" s="4">
        <f>DATE(YEAR(O4),MONTH(O4)+1,1)</f>
        <v>38384</v>
      </c>
      <c r="Q4" s="4">
        <f>DATE(YEAR(P4),MONTH(P4)+1,1)</f>
        <v>38412</v>
      </c>
      <c r="R4" s="4">
        <f>DATE(YEAR(Q4),MONTH(Q4)+1,1)</f>
        <v>38443</v>
      </c>
    </row>
    <row r="5" spans="2:18" x14ac:dyDescent="0.2">
      <c r="B5" s="63" t="s">
        <v>25</v>
      </c>
      <c r="C5" s="76">
        <f ca="1">SUMIF(Station,$B5,NbLitres)+ROW()/100000</f>
        <v>5.0000000000000002E-5</v>
      </c>
      <c r="D5" s="82">
        <f t="array" aca="1" ref="D5" ca="1">MIN(IF(Station=$B5,PrixAuLitre))+ROW()/100000</f>
        <v>5.0000000000000002E-5</v>
      </c>
      <c r="E5" s="83">
        <f t="array" aca="1" ref="E5" ca="1">MAX(IF(Station=$B5,PrixAuLitre))+ROW()/100000</f>
        <v>5.0000000000000002E-5</v>
      </c>
      <c r="G5" s="66" t="str">
        <f>IF(COUNTA(Station)&lt;ROWS(G$4:G5),"",SMALL(prixmini,ROWS(G$4:G5)+COUNTIF(prixmini,"&lt;0,01")))</f>
        <v/>
      </c>
      <c r="H5" s="75" t="str">
        <f>IF(G5="","",INDEX(Station,MATCH(G5,prixmini,0)))</f>
        <v/>
      </c>
      <c r="J5" s="69">
        <f ca="1">SUMPRODUCT((Date&gt;0)*(MONTH(Date)=MONTH(J4)),PrixParPlein)</f>
        <v>207</v>
      </c>
      <c r="K5" s="69">
        <f ca="1">SUMPRODUCT((Date&gt;0)*(MONTH(Date)=MONTH(K4)),PrixParPlein)</f>
        <v>0</v>
      </c>
      <c r="L5" s="69">
        <f ca="1">SUMPRODUCT((Date&gt;0)*(MONTH(Date)=MONTH(L4)),PrixParPlein)</f>
        <v>0</v>
      </c>
      <c r="M5" s="69">
        <f ca="1">SUMPRODUCT((Date&gt;0)*(MONTH(Date)=MONTH(M4)),PrixParPlein)</f>
        <v>0</v>
      </c>
      <c r="O5" s="11" t="e">
        <f ca="1">IF(J5&gt;0,SUMPRODUCT((Date&gt;0)*(MONTH(Date)=MONTH(O4)),NbLitres),"")</f>
        <v>#VALUE!</v>
      </c>
      <c r="P5" s="11" t="str">
        <f ca="1">IF(K5&gt;0,SUMPRODUCT((Date&gt;0)*(MONTH(Date)=MONTH(P4)),NbLitres),"")</f>
        <v/>
      </c>
      <c r="Q5" s="11" t="str">
        <f ca="1">IF(L5&gt;0,SUMPRODUCT((Date&gt;0)*(MONTH(Date)=MONTH(Q4)),NbLitres),"")</f>
        <v/>
      </c>
      <c r="R5" s="11" t="str">
        <f ca="1">IF(M5&gt;0,SUMPRODUCT((Date&gt;0)*(MONTH(Date)=MONTH(R4)),NbLitres),"")</f>
        <v/>
      </c>
    </row>
    <row r="6" spans="2:18" x14ac:dyDescent="0.2">
      <c r="B6" s="64" t="s">
        <v>26</v>
      </c>
      <c r="C6" s="76">
        <f ca="1">SUMIF(Station,$B6,NbLitres)+ROW()/100000</f>
        <v>6.0000000000000002E-5</v>
      </c>
      <c r="D6" s="82">
        <f t="array" aca="1" ref="D6" ca="1">MIN(IF(Station=$B6,PrixAuLitre))+ROW()/100000</f>
        <v>6.0000000000000002E-5</v>
      </c>
      <c r="E6" s="83">
        <f t="array" aca="1" ref="E6" ca="1">MAX(IF(Station=$B6,PrixAuLitre))+ROW()/100000</f>
        <v>6.0000000000000002E-5</v>
      </c>
      <c r="J6" s="4">
        <f>DATE(YEAR(J4),MONTH(M4)+1,1)</f>
        <v>38473</v>
      </c>
      <c r="K6" s="4">
        <f>DATE(YEAR(J6),MONTH(J6)+1,1)</f>
        <v>38504</v>
      </c>
      <c r="L6" s="4">
        <f>DATE(YEAR(K6),MONTH(K6)+1,1)</f>
        <v>38534</v>
      </c>
      <c r="M6" s="4">
        <f>DATE(YEAR(L6),MONTH(L6)+1,1)</f>
        <v>38565</v>
      </c>
      <c r="O6" s="4">
        <f>DATE(YEAR(O4),MONTH(R4)+1,1)</f>
        <v>38473</v>
      </c>
      <c r="P6" s="4">
        <f>DATE(YEAR(O6),MONTH(O6)+1,1)</f>
        <v>38504</v>
      </c>
      <c r="Q6" s="4">
        <f>DATE(YEAR(P6),MONTH(P6)+1,1)</f>
        <v>38534</v>
      </c>
      <c r="R6" s="4">
        <f>DATE(YEAR(Q6),MONTH(Q6)+1,1)</f>
        <v>38565</v>
      </c>
    </row>
    <row r="7" spans="2:18" x14ac:dyDescent="0.2">
      <c r="B7" s="64" t="s">
        <v>27</v>
      </c>
      <c r="C7" s="76">
        <f ca="1">SUMIF(Station,$B7,NbLitres)+ROW()/100000</f>
        <v>6.9999999999999994E-5</v>
      </c>
      <c r="D7" s="82">
        <f t="array" aca="1" ref="D7" ca="1">MIN(IF(Station=$B7,PrixAuLitre))+ROW()/100000</f>
        <v>6.9999999999999994E-5</v>
      </c>
      <c r="E7" s="83">
        <f t="array" aca="1" ref="E7" ca="1">MAX(IF(Station=$B7,PrixAuLitre))+ROW()/100000</f>
        <v>6.9999999999999994E-5</v>
      </c>
      <c r="G7" s="2" t="s">
        <v>7</v>
      </c>
      <c r="H7" s="2"/>
      <c r="J7" s="69">
        <f ca="1">SUMPRODUCT((Date&gt;0)*(MONTH(Date)=MONTH(J6)),PrixParPlein)</f>
        <v>0</v>
      </c>
      <c r="K7" s="69">
        <f ca="1">SUMPRODUCT((Date&gt;0)*(MONTH(Date)=MONTH(K6)),PrixParPlein)</f>
        <v>0</v>
      </c>
      <c r="L7" s="69">
        <f ca="1">SUMPRODUCT((Date&gt;0)*(MONTH(Date)=MONTH(L6)),PrixParPlein)</f>
        <v>0</v>
      </c>
      <c r="M7" s="69">
        <f ca="1">SUMPRODUCT((Date&gt;0)*(MONTH(Date)=MONTH(M6)),PrixParPlein)</f>
        <v>0</v>
      </c>
      <c r="O7" s="11" t="str">
        <f ca="1">IF(J7&gt;0,SUMPRODUCT((Date&gt;0)*(MONTH(Date)=MONTH(O6)),NbLitres),"")</f>
        <v/>
      </c>
      <c r="P7" s="11" t="str">
        <f ca="1">IF(K7&gt;0,SUMPRODUCT((Date&gt;0)*(MONTH(Date)=MONTH(P6)),NbLitres),"")</f>
        <v/>
      </c>
      <c r="Q7" s="11" t="str">
        <f ca="1">IF(L7&gt;0,SUMPRODUCT((Date&gt;0)*(MONTH(Date)=MONTH(Q6)),NbLitres),"")</f>
        <v/>
      </c>
      <c r="R7" s="11" t="str">
        <f ca="1">IF(M7&gt;0,SUMPRODUCT((Date&gt;0)*(MONTH(Date)=MONTH(R6)),NbLitres),"")</f>
        <v/>
      </c>
    </row>
    <row r="8" spans="2:18" x14ac:dyDescent="0.2">
      <c r="B8" s="64"/>
      <c r="C8" s="76">
        <f ca="1">SUMIF(Station,$B8,NbLitres)+ROW()/100000</f>
        <v>8.0000000000000007E-5</v>
      </c>
      <c r="D8" s="82">
        <f t="array" aca="1" ref="D8" ca="1">MIN(IF(Station=$B8,PrixAuLitre))+ROW()/100000</f>
        <v>8.0000000000000007E-5</v>
      </c>
      <c r="E8" s="83">
        <f t="array" aca="1" ref="E8" ca="1">MAX(IF(Station=$B8,PrixAuLitre))+ROW()/100000</f>
        <v>8.0000000000000007E-5</v>
      </c>
      <c r="G8" s="66">
        <f ca="1">IF(COUNTA(Station)&lt;ROWS(G$8:G8),"",LARGE(prixmaxi,ROWS(G$8:G8)))</f>
        <v>9.0000400000000003</v>
      </c>
      <c r="H8" s="77" t="str">
        <f ca="1">IF(G8="","",INDEX(Station,MATCH(G8,prixmaxi,0)))</f>
        <v>NAFTAL HIMAYA PLUS</v>
      </c>
      <c r="J8" s="4">
        <f>DATE(YEAR(J6),MONTH(M6)+1,1)</f>
        <v>38596</v>
      </c>
      <c r="K8" s="4">
        <f>DATE(YEAR(J8),MONTH(J8)+1,1)</f>
        <v>38626</v>
      </c>
      <c r="L8" s="4">
        <f>DATE(YEAR(K8),MONTH(K8)+1,1)</f>
        <v>38657</v>
      </c>
      <c r="M8" s="4">
        <f>DATE(YEAR(L8),MONTH(L8)+1,1)</f>
        <v>38687</v>
      </c>
      <c r="O8" s="4">
        <f>DATE(YEAR(O6),MONTH(R6)+1,1)</f>
        <v>38596</v>
      </c>
      <c r="P8" s="4">
        <f>DATE(YEAR(O8),MONTH(O8)+1,1)</f>
        <v>38626</v>
      </c>
      <c r="Q8" s="4">
        <f>DATE(YEAR(P8),MONTH(P8)+1,1)</f>
        <v>38657</v>
      </c>
      <c r="R8" s="4">
        <f>DATE(YEAR(Q8),MONTH(Q8)+1,1)</f>
        <v>38687</v>
      </c>
    </row>
    <row r="9" spans="2:18" x14ac:dyDescent="0.2">
      <c r="B9" s="86"/>
      <c r="C9" s="76">
        <f t="shared" ref="C9:C25" ca="1" si="0">SUMIF(Station,$B9,NbLitres)+ROW()/100000</f>
        <v>9.0000000000000006E-5</v>
      </c>
      <c r="D9" s="82">
        <f t="array" aca="1" ref="D9" ca="1">MIN(IF(Station=$B9,PrixAuLitre))+ROW()/100000</f>
        <v>9.0000000000000006E-5</v>
      </c>
      <c r="E9" s="83">
        <f t="array" aca="1" ref="E9" ca="1">MAX(IF(Station=$B9,PrixAuLitre))+ROW()/100000</f>
        <v>9.0000000000000006E-5</v>
      </c>
      <c r="G9" s="66" t="str">
        <f>IF(COUNTA(Station)&lt;ROWS(G$8:G9),"",LARGE(prixmaxi,ROWS(G$8:G9)))</f>
        <v/>
      </c>
      <c r="H9" s="77" t="str">
        <f>IF(G9="","",INDEX(Station,MATCH(G9,prixmaxi,0)))</f>
        <v/>
      </c>
      <c r="J9" s="69">
        <f ca="1">SUMPRODUCT((Date&gt;0)*(MONTH(Date)=MONTH(J8)),PrixParPlein)</f>
        <v>0</v>
      </c>
      <c r="K9" s="69">
        <f ca="1">SUMPRODUCT((Date&gt;0)*(MONTH(Date)=MONTH(K8)),PrixParPlein)</f>
        <v>0</v>
      </c>
      <c r="L9" s="69">
        <f ca="1">SUMPRODUCT((Date&gt;0)*(MONTH(Date)=MONTH(L8)),PrixParPlein)</f>
        <v>0</v>
      </c>
      <c r="M9" s="69">
        <f ca="1">SUMPRODUCT((Date&gt;0)*(MONTH(Date)=MONTH(M8)),PrixParPlein)</f>
        <v>0</v>
      </c>
      <c r="O9" s="11" t="str">
        <f ca="1">IF(J9&gt;0,SUMPRODUCT((Date&gt;0)*(MONTH(Date)=MONTH(O8)),NbLitres),"")</f>
        <v/>
      </c>
      <c r="P9" s="11" t="str">
        <f ca="1">IF(K9&gt;0,SUMPRODUCT((Date&gt;0)*(MONTH(Date)=MONTH(P8)),NbLitres),"")</f>
        <v/>
      </c>
      <c r="Q9" s="11" t="str">
        <f ca="1">IF(L9&gt;0,SUMPRODUCT((Date&gt;0)*(MONTH(Date)=MONTH(Q8)),NbLitres),"")</f>
        <v/>
      </c>
      <c r="R9" s="11" t="str">
        <f ca="1">IF(M9&gt;0,SUMPRODUCT((Date&gt;0)*(MONTH(Date)=MONTH(R8)),NbLitres),"")</f>
        <v/>
      </c>
    </row>
    <row r="10" spans="2:18" x14ac:dyDescent="0.2">
      <c r="B10" s="86"/>
      <c r="C10" s="76">
        <f t="shared" ca="1" si="0"/>
        <v>1E-4</v>
      </c>
      <c r="D10" s="82">
        <f t="array" aca="1" ref="D10" ca="1">MIN(IF(Station=$B10,PrixAuLitre))+ROW()/100000</f>
        <v>1E-4</v>
      </c>
      <c r="E10" s="83">
        <f t="array" aca="1" ref="E10" ca="1">MAX(IF(Station=$B10,PrixAuLitre))+ROW()/100000</f>
        <v>1E-4</v>
      </c>
      <c r="F10" s="78"/>
      <c r="I10" s="78"/>
      <c r="J10" s="18"/>
      <c r="K10" s="5"/>
    </row>
    <row r="11" spans="2:18" x14ac:dyDescent="0.2">
      <c r="B11" s="86"/>
      <c r="C11" s="76">
        <f t="shared" ca="1" si="0"/>
        <v>1.1E-4</v>
      </c>
      <c r="D11" s="82">
        <f t="array" aca="1" ref="D11" ca="1">MIN(IF(Station=$B11,PrixAuLitre))+ROW()/100000</f>
        <v>1.1E-4</v>
      </c>
      <c r="E11" s="83">
        <f t="array" aca="1" ref="E11" ca="1">MAX(IF(Station=$B11,PrixAuLitre))+ROW()/100000</f>
        <v>1.1E-4</v>
      </c>
      <c r="J11" s="18"/>
      <c r="K11" s="2" t="s">
        <v>4</v>
      </c>
      <c r="L11" s="67">
        <f ca="1">SUM(PrixParPlein)</f>
        <v>207</v>
      </c>
      <c r="M11" s="68"/>
      <c r="P11" s="2" t="s">
        <v>4</v>
      </c>
      <c r="Q11" s="37">
        <f>SUM(NbLitres)</f>
        <v>23</v>
      </c>
      <c r="R11" s="25"/>
    </row>
    <row r="12" spans="2:18" x14ac:dyDescent="0.2">
      <c r="B12" s="86"/>
      <c r="C12" s="76">
        <f t="shared" ca="1" si="0"/>
        <v>1.2E-4</v>
      </c>
      <c r="D12" s="82">
        <f t="array" aca="1" ref="D12" ca="1">MIN(IF(Station=$B12,PrixAuLitre))+ROW()/100000</f>
        <v>1.2E-4</v>
      </c>
      <c r="E12" s="83">
        <f t="array" aca="1" ref="E12" ca="1">MAX(IF(Station=$B12,PrixAuLitre))+ROW()/100000</f>
        <v>1.2E-4</v>
      </c>
      <c r="J12" s="18"/>
      <c r="K12" s="5"/>
    </row>
    <row r="13" spans="2:18" x14ac:dyDescent="0.2">
      <c r="B13" s="86"/>
      <c r="C13" s="76">
        <f t="shared" ca="1" si="0"/>
        <v>1.2999999999999999E-4</v>
      </c>
      <c r="D13" s="82">
        <f t="array" aca="1" ref="D13" ca="1">MIN(IF(Station=$B13,PrixAuLitre))+ROW()/100000</f>
        <v>1.2999999999999999E-4</v>
      </c>
      <c r="E13" s="83">
        <f t="array" aca="1" ref="E13" ca="1">MAX(IF(Station=$B13,PrixAuLitre))+ROW()/100000</f>
        <v>1.2999999999999999E-4</v>
      </c>
      <c r="J13" s="7" t="s">
        <v>11</v>
      </c>
      <c r="K13" s="73"/>
      <c r="L13" s="73"/>
      <c r="M13" s="73"/>
      <c r="N13" s="78"/>
      <c r="O13" s="7" t="s">
        <v>12</v>
      </c>
      <c r="P13" s="73"/>
      <c r="Q13" s="73"/>
      <c r="R13" s="73"/>
    </row>
    <row r="14" spans="2:18" x14ac:dyDescent="0.2">
      <c r="B14" s="86"/>
      <c r="C14" s="76">
        <f t="shared" ca="1" si="0"/>
        <v>1.3999999999999999E-4</v>
      </c>
      <c r="D14" s="82">
        <f t="array" aca="1" ref="D14" ca="1">MIN(IF(Station=$B14,PrixAuLitre))+ROW()/100000</f>
        <v>1.3999999999999999E-4</v>
      </c>
      <c r="E14" s="83">
        <f t="array" aca="1" ref="E14" ca="1">MAX(IF(Station=$B14,PrixAuLitre))+ROW()/100000</f>
        <v>1.3999999999999999E-4</v>
      </c>
      <c r="J14" s="4">
        <f>J4</f>
        <v>38353</v>
      </c>
      <c r="K14" s="4">
        <f>DATE(YEAR(J14),MONTH(J14)+1,1)</f>
        <v>38384</v>
      </c>
      <c r="L14" s="4">
        <f>DATE(YEAR(K14),MONTH(K14)+1,1)</f>
        <v>38412</v>
      </c>
      <c r="M14" s="4">
        <f>DATE(YEAR(L14),MONTH(L14)+1,1)</f>
        <v>38443</v>
      </c>
      <c r="O14" s="4">
        <f>J14</f>
        <v>38353</v>
      </c>
      <c r="P14" s="4">
        <f>DATE(YEAR(O14),MONTH(O14)+1,1)</f>
        <v>38384</v>
      </c>
      <c r="Q14" s="4">
        <f>DATE(YEAR(P14),MONTH(P14)+1,1)</f>
        <v>38412</v>
      </c>
      <c r="R14" s="4">
        <f>DATE(YEAR(Q14),MONTH(Q14)+1,1)</f>
        <v>38443</v>
      </c>
    </row>
    <row r="15" spans="2:18" x14ac:dyDescent="0.2">
      <c r="B15" s="86"/>
      <c r="C15" s="76">
        <f t="shared" ca="1" si="0"/>
        <v>1.4999999999999999E-4</v>
      </c>
      <c r="D15" s="82">
        <f t="array" aca="1" ref="D15" ca="1">MIN(IF(Station=$B15,PrixAuLitre))+ROW()/100000</f>
        <v>1.4999999999999999E-4</v>
      </c>
      <c r="E15" s="83">
        <f t="array" aca="1" ref="E15" ca="1">MAX(IF(Station=$B15,PrixAuLitre))+ROW()/100000</f>
        <v>1.4999999999999999E-4</v>
      </c>
      <c r="J15" s="17">
        <f>SUMPRODUCT((Date&gt;0)*(MONTH(Date)=MONTH(J14))*(KmRetour-KmDepart))</f>
        <v>200</v>
      </c>
      <c r="K15" s="11">
        <f>SUMPRODUCT((Date&gt;0)*(MONTH(Date)=MONTH(K14))*(KmRetour-KmDepart))</f>
        <v>0</v>
      </c>
      <c r="L15" s="11">
        <f>SUMPRODUCT((Date&gt;0)*(MONTH(Date)=MONTH(L14))*(KmRetour-KmDepart))</f>
        <v>0</v>
      </c>
      <c r="M15" s="11">
        <f>SUMPRODUCT((Date&gt;0)*(MONTH(Date)=MONTH(M14))*(KmRetour-KmDepart))</f>
        <v>0</v>
      </c>
      <c r="O15" s="9" t="e">
        <f>IF(J15&gt;0,SUMPRODUCT((Date&gt;0)*(MONTH(Date)=MONTH(O14)),NbLitres)/J15*100,"")</f>
        <v>#VALUE!</v>
      </c>
      <c r="P15" s="9" t="str">
        <f>IF(K15&gt;0,SUMPRODUCT((Date&gt;0)*(MONTH(Date)=MONTH(P14)),NbLitres)/K15*100,"")</f>
        <v/>
      </c>
      <c r="Q15" s="9" t="str">
        <f>IF(L15&gt;0,SUMPRODUCT((Date&gt;0)*(MONTH(Date)=MONTH(Q14)),NbLitres)/L15*100,"")</f>
        <v/>
      </c>
      <c r="R15" s="9" t="str">
        <f>IF(M15&gt;0,SUMPRODUCT((Date&gt;0)*(MONTH(Date)=MONTH(R14)),NbLitres)/M15*100,"")</f>
        <v/>
      </c>
    </row>
    <row r="16" spans="2:18" x14ac:dyDescent="0.2">
      <c r="B16" s="86"/>
      <c r="C16" s="76">
        <f t="shared" ca="1" si="0"/>
        <v>1.6000000000000001E-4</v>
      </c>
      <c r="D16" s="82">
        <f t="array" aca="1" ref="D16" ca="1">MIN(IF(Station=$B16,PrixAuLitre))+ROW()/100000</f>
        <v>1.6000000000000001E-4</v>
      </c>
      <c r="E16" s="83">
        <f t="array" aca="1" ref="E16" ca="1">MAX(IF(Station=$B16,PrixAuLitre))+ROW()/100000</f>
        <v>1.6000000000000001E-4</v>
      </c>
      <c r="J16" s="4">
        <f>DATE(YEAR(J14),MONTH(M14)+1,1)</f>
        <v>38473</v>
      </c>
      <c r="K16" s="4">
        <f>DATE(YEAR(J16),MONTH(J16)+1,1)</f>
        <v>38504</v>
      </c>
      <c r="L16" s="4">
        <f>DATE(YEAR(K16),MONTH(K16)+1,1)</f>
        <v>38534</v>
      </c>
      <c r="M16" s="4">
        <f>DATE(YEAR(L16),MONTH(L16)+1,1)</f>
        <v>38565</v>
      </c>
      <c r="O16" s="4">
        <f>DATE(YEAR(O14),MONTH(R14)+1,1)</f>
        <v>38473</v>
      </c>
      <c r="P16" s="4">
        <f>DATE(YEAR(O16),MONTH(O16)+1,1)</f>
        <v>38504</v>
      </c>
      <c r="Q16" s="4">
        <f>DATE(YEAR(P16),MONTH(P16)+1,1)</f>
        <v>38534</v>
      </c>
      <c r="R16" s="4">
        <f>DATE(YEAR(Q16),MONTH(Q16)+1,1)</f>
        <v>38565</v>
      </c>
    </row>
    <row r="17" spans="2:18" x14ac:dyDescent="0.2">
      <c r="B17" s="86"/>
      <c r="C17" s="76">
        <f t="shared" ca="1" si="0"/>
        <v>1.7000000000000001E-4</v>
      </c>
      <c r="D17" s="82">
        <f t="array" aca="1" ref="D17" ca="1">MIN(IF(Station=$B17,PrixAuLitre))+ROW()/100000</f>
        <v>1.7000000000000001E-4</v>
      </c>
      <c r="E17" s="83">
        <f t="array" aca="1" ref="E17" ca="1">MAX(IF(Station=$B17,PrixAuLitre))+ROW()/100000</f>
        <v>1.7000000000000001E-4</v>
      </c>
      <c r="J17" s="11">
        <f>SUMPRODUCT((Date&gt;0)*(MONTH(Date)=MONTH(J16))*(KmRetour-KmDepart))</f>
        <v>0</v>
      </c>
      <c r="K17" s="11">
        <f>SUMPRODUCT((Date&gt;0)*(MONTH(Date)=MONTH(K16))*(KmRetour-KmDepart))</f>
        <v>0</v>
      </c>
      <c r="L17" s="11">
        <f>SUMPRODUCT((Date&gt;0)*(MONTH(Date)=MONTH(L16))*(KmRetour-KmDepart))</f>
        <v>0</v>
      </c>
      <c r="M17" s="11">
        <f>SUMPRODUCT((Date&gt;0)*(MONTH(Date)=MONTH(M16))*(KmRetour-KmDepart))</f>
        <v>0</v>
      </c>
      <c r="O17" s="9" t="str">
        <f>IF(J17&gt;0,SUMPRODUCT((Date&gt;0)*(MONTH(Date)=MONTH(O16)),NbLitres)/J17*100,"")</f>
        <v/>
      </c>
      <c r="P17" s="9" t="str">
        <f>IF(K17&gt;0,SUMPRODUCT((Date&gt;0)*(MONTH(Date)=MONTH(P16)),NbLitres)/K17*100,"")</f>
        <v/>
      </c>
      <c r="Q17" s="9" t="str">
        <f>IF(L17&gt;0,SUMPRODUCT((Date&gt;0)*(MONTH(Date)=MONTH(Q16)),NbLitres)/L17*100,"")</f>
        <v/>
      </c>
      <c r="R17" s="9" t="str">
        <f>IF(M17&gt;0,SUMPRODUCT((Date&gt;0)*(MONTH(Date)=MONTH(R16)),NbLitres)/M17*100,"")</f>
        <v/>
      </c>
    </row>
    <row r="18" spans="2:18" x14ac:dyDescent="0.2">
      <c r="B18" s="86"/>
      <c r="C18" s="76">
        <f t="shared" ca="1" si="0"/>
        <v>1.8000000000000001E-4</v>
      </c>
      <c r="D18" s="82">
        <f t="array" aca="1" ref="D18" ca="1">MIN(IF(Station=$B18,PrixAuLitre))+ROW()/100000</f>
        <v>1.8000000000000001E-4</v>
      </c>
      <c r="E18" s="83">
        <f t="array" aca="1" ref="E18" ca="1">MAX(IF(Station=$B18,PrixAuLitre))+ROW()/100000</f>
        <v>1.8000000000000001E-4</v>
      </c>
      <c r="J18" s="4">
        <f>DATE(YEAR(J16),MONTH(M16)+1,1)</f>
        <v>38596</v>
      </c>
      <c r="K18" s="4">
        <f>DATE(YEAR(J18),MONTH(J18)+1,1)</f>
        <v>38626</v>
      </c>
      <c r="L18" s="4">
        <f>DATE(YEAR(K18),MONTH(K18)+1,1)</f>
        <v>38657</v>
      </c>
      <c r="M18" s="4">
        <f>DATE(YEAR(L18),MONTH(L18)+1,1)</f>
        <v>38687</v>
      </c>
      <c r="O18" s="4">
        <f>DATE(YEAR(O16),MONTH(R16)+1,1)</f>
        <v>38596</v>
      </c>
      <c r="P18" s="4">
        <f>DATE(YEAR(O18),MONTH(O18)+1,1)</f>
        <v>38626</v>
      </c>
      <c r="Q18" s="4">
        <f>DATE(YEAR(P18),MONTH(P18)+1,1)</f>
        <v>38657</v>
      </c>
      <c r="R18" s="4">
        <f>DATE(YEAR(Q18),MONTH(Q18)+1,1)</f>
        <v>38687</v>
      </c>
    </row>
    <row r="19" spans="2:18" x14ac:dyDescent="0.2">
      <c r="B19" s="86"/>
      <c r="C19" s="76">
        <f t="shared" ca="1" si="0"/>
        <v>1.9000000000000001E-4</v>
      </c>
      <c r="D19" s="82">
        <f t="array" aca="1" ref="D19" ca="1">MIN(IF(Station=$B19,PrixAuLitre))+ROW()/100000</f>
        <v>1.9000000000000001E-4</v>
      </c>
      <c r="E19" s="83">
        <f t="array" aca="1" ref="E19" ca="1">MAX(IF(Station=$B19,PrixAuLitre))+ROW()/100000</f>
        <v>1.9000000000000001E-4</v>
      </c>
      <c r="J19" s="11">
        <f>SUMPRODUCT((Date&gt;0)*(MONTH(Date)=MONTH(J18))*(KmRetour-KmDepart))</f>
        <v>0</v>
      </c>
      <c r="K19" s="11">
        <f>SUMPRODUCT((Date&gt;0)*(MONTH(Date)=MONTH(K18))*(KmRetour-KmDepart))</f>
        <v>0</v>
      </c>
      <c r="L19" s="11">
        <f>SUMPRODUCT((Date&gt;0)*(MONTH(Date)=MONTH(L18))*(KmRetour-KmDepart))</f>
        <v>0</v>
      </c>
      <c r="M19" s="11">
        <f>SUMPRODUCT((Date&gt;0)*(MONTH(Date)=MONTH(M18))*(KmRetour-KmDepart))</f>
        <v>0</v>
      </c>
      <c r="O19" s="9" t="str">
        <f>IF(J19&gt;0,SUMPRODUCT((Date&gt;0)*(MONTH(Date)=MONTH(O18)),NbLitres)/J19*100,"")</f>
        <v/>
      </c>
      <c r="P19" s="9" t="str">
        <f>IF(K19&gt;0,SUMPRODUCT((Date&gt;0)*(MONTH(Date)=MONTH(P18)),NbLitres)/K19*100,"")</f>
        <v/>
      </c>
      <c r="Q19" s="9" t="str">
        <f>IF(L19&gt;0,SUMPRODUCT((Date&gt;0)*(MONTH(Date)=MONTH(Q18)),NbLitres)/L19*100,"")</f>
        <v/>
      </c>
      <c r="R19" s="9" t="str">
        <f>IF(M19&gt;0,SUMPRODUCT((Date&gt;0)*(MONTH(Date)=MONTH(R18)),NbLitres)/M19*100,"")</f>
        <v/>
      </c>
    </row>
    <row r="20" spans="2:18" x14ac:dyDescent="0.2">
      <c r="B20" s="86"/>
      <c r="C20" s="76">
        <f t="shared" ca="1" si="0"/>
        <v>2.0000000000000001E-4</v>
      </c>
      <c r="D20" s="82">
        <f t="array" aca="1" ref="D20" ca="1">MIN(IF(Station=$B20,PrixAuLitre))+ROW()/100000</f>
        <v>2.0000000000000001E-4</v>
      </c>
      <c r="E20" s="83">
        <f t="array" aca="1" ref="E20" ca="1">MAX(IF(Station=$B20,PrixAuLitre))+ROW()/100000</f>
        <v>2.0000000000000001E-4</v>
      </c>
    </row>
    <row r="21" spans="2:18" x14ac:dyDescent="0.2">
      <c r="B21" s="86"/>
      <c r="C21" s="76">
        <f t="shared" ca="1" si="0"/>
        <v>2.1000000000000001E-4</v>
      </c>
      <c r="D21" s="82">
        <f t="array" aca="1" ref="D21" ca="1">MIN(IF(Station=$B21,PrixAuLitre))+ROW()/100000</f>
        <v>2.1000000000000001E-4</v>
      </c>
      <c r="E21" s="83">
        <f t="array" aca="1" ref="E21" ca="1">MAX(IF(Station=$B21,PrixAuLitre))+ROW()/100000</f>
        <v>2.1000000000000001E-4</v>
      </c>
      <c r="K21" s="2" t="s">
        <v>4</v>
      </c>
      <c r="L21" s="23">
        <f>SUMPRODUCT((KmRetour-KmDepart)*1)</f>
        <v>200</v>
      </c>
      <c r="M21" s="24"/>
      <c r="P21" s="20" t="s">
        <v>20</v>
      </c>
      <c r="Q21" s="35">
        <f>IF(L21=0,"",Q11/L21*100)</f>
        <v>11.5</v>
      </c>
      <c r="R21" s="26"/>
    </row>
    <row r="22" spans="2:18" x14ac:dyDescent="0.2">
      <c r="B22" s="86"/>
      <c r="C22" s="76">
        <f t="shared" ca="1" si="0"/>
        <v>2.2000000000000001E-4</v>
      </c>
      <c r="D22" s="82">
        <f t="array" aca="1" ref="D22" ca="1">MIN(IF(Station=$B22,PrixAuLitre))+ROW()/100000</f>
        <v>2.2000000000000001E-4</v>
      </c>
      <c r="E22" s="83">
        <f t="array" aca="1" ref="E22" ca="1">MAX(IF(Station=$B22,PrixAuLitre))+ROW()/100000</f>
        <v>2.2000000000000001E-4</v>
      </c>
    </row>
    <row r="23" spans="2:18" x14ac:dyDescent="0.2">
      <c r="B23" s="86"/>
      <c r="C23" s="76">
        <f t="shared" ca="1" si="0"/>
        <v>2.3000000000000001E-4</v>
      </c>
      <c r="D23" s="82">
        <f t="array" aca="1" ref="D23" ca="1">MIN(IF(Station=$B23,PrixAuLitre))+ROW()/100000</f>
        <v>2.3000000000000001E-4</v>
      </c>
      <c r="E23" s="83">
        <f t="array" aca="1" ref="E23" ca="1">MAX(IF(Station=$B23,PrixAuLitre))+ROW()/100000</f>
        <v>2.3000000000000001E-4</v>
      </c>
    </row>
    <row r="24" spans="2:18" x14ac:dyDescent="0.2">
      <c r="B24" s="86"/>
      <c r="C24" s="76">
        <f t="shared" ca="1" si="0"/>
        <v>2.4000000000000001E-4</v>
      </c>
      <c r="D24" s="82">
        <f t="array" aca="1" ref="D24" ca="1">MIN(IF(Station=$B24,PrixAuLitre))+ROW()/100000</f>
        <v>2.4000000000000001E-4</v>
      </c>
      <c r="E24" s="83">
        <f t="array" aca="1" ref="E24" ca="1">MAX(IF(Station=$B24,PrixAuLitre))+ROW()/100000</f>
        <v>2.4000000000000001E-4</v>
      </c>
    </row>
    <row r="25" spans="2:18" ht="13.5" thickBot="1" x14ac:dyDescent="0.25">
      <c r="B25" s="86"/>
      <c r="C25" s="79">
        <f t="shared" ca="1" si="0"/>
        <v>2.5000000000000001E-4</v>
      </c>
      <c r="D25" s="84">
        <f t="array" aca="1" ref="D25" ca="1">MIN(IF(Station=$B25,PrixAuLitre))+ROW()/100000</f>
        <v>2.5000000000000001E-4</v>
      </c>
      <c r="E25" s="85">
        <f t="array" aca="1" ref="E25" ca="1">MAX(IF(Station=$B25,PrixAuLitre))+ROW()/100000</f>
        <v>2.5000000000000001E-4</v>
      </c>
    </row>
    <row r="26" spans="2:18" ht="13.5" thickTop="1" x14ac:dyDescent="0.2"/>
    <row r="27" spans="2:18" x14ac:dyDescent="0.2">
      <c r="C27" s="16"/>
    </row>
    <row r="28" spans="2:18" x14ac:dyDescent="0.2">
      <c r="C28" s="15"/>
      <c r="D28" s="15"/>
    </row>
    <row r="29" spans="2:18" x14ac:dyDescent="0.2">
      <c r="C29" s="15"/>
      <c r="D29" s="15"/>
    </row>
    <row r="30" spans="2:18" x14ac:dyDescent="0.2">
      <c r="C30" s="15"/>
      <c r="D30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0"/>
  </sheetPr>
  <dimension ref="B1:G46"/>
  <sheetViews>
    <sheetView tabSelected="1" workbookViewId="0">
      <selection activeCell="G6" sqref="G6"/>
    </sheetView>
  </sheetViews>
  <sheetFormatPr baseColWidth="10" defaultColWidth="11.5546875" defaultRowHeight="12.75" x14ac:dyDescent="0.2"/>
  <cols>
    <col min="1" max="1" width="1.77734375" style="29" customWidth="1"/>
    <col min="2" max="2" width="22.77734375" style="99" customWidth="1"/>
    <col min="3" max="3" width="16" style="99" customWidth="1"/>
    <col min="4" max="4" width="3.5546875" style="96" customWidth="1"/>
    <col min="5" max="5" width="14.21875" style="29" customWidth="1"/>
    <col min="6" max="6" width="4.21875" style="29" customWidth="1"/>
    <col min="7" max="7" width="12.5546875" style="29" customWidth="1"/>
    <col min="8" max="16384" width="11.5546875" style="29"/>
  </cols>
  <sheetData>
    <row r="1" spans="2:7" x14ac:dyDescent="0.2">
      <c r="B1" s="30" t="s">
        <v>82</v>
      </c>
      <c r="C1" s="30" t="s">
        <v>83</v>
      </c>
      <c r="D1" s="95"/>
    </row>
    <row r="2" spans="2:7" ht="15" x14ac:dyDescent="0.2">
      <c r="B2" s="93" t="s">
        <v>29</v>
      </c>
      <c r="C2" s="93" t="s">
        <v>71</v>
      </c>
      <c r="D2" s="94"/>
      <c r="E2" s="91" t="s">
        <v>35</v>
      </c>
      <c r="G2" s="31" t="s">
        <v>71</v>
      </c>
    </row>
    <row r="3" spans="2:7" x14ac:dyDescent="0.2">
      <c r="B3" s="92" t="s">
        <v>30</v>
      </c>
      <c r="C3" s="92" t="s">
        <v>72</v>
      </c>
      <c r="D3" s="94"/>
    </row>
    <row r="4" spans="2:7" x14ac:dyDescent="0.2">
      <c r="B4" s="92" t="s">
        <v>31</v>
      </c>
      <c r="C4" s="92" t="s">
        <v>73</v>
      </c>
      <c r="D4" s="94"/>
      <c r="E4" s="34"/>
    </row>
    <row r="5" spans="2:7" x14ac:dyDescent="0.2">
      <c r="B5" s="92" t="s">
        <v>32</v>
      </c>
      <c r="C5" s="92" t="s">
        <v>73</v>
      </c>
      <c r="D5" s="94"/>
      <c r="E5" s="32"/>
    </row>
    <row r="6" spans="2:7" x14ac:dyDescent="0.2">
      <c r="B6" s="92" t="s">
        <v>33</v>
      </c>
      <c r="C6" s="92" t="s">
        <v>74</v>
      </c>
      <c r="D6" s="94"/>
      <c r="E6" s="32"/>
    </row>
    <row r="7" spans="2:7" x14ac:dyDescent="0.2">
      <c r="B7" s="92" t="s">
        <v>34</v>
      </c>
      <c r="C7" s="92" t="s">
        <v>75</v>
      </c>
      <c r="D7" s="94"/>
      <c r="E7" s="33"/>
    </row>
    <row r="8" spans="2:7" x14ac:dyDescent="0.2">
      <c r="B8" s="92" t="s">
        <v>35</v>
      </c>
      <c r="C8" s="92">
        <v>206</v>
      </c>
      <c r="D8" s="94"/>
      <c r="E8" s="32"/>
    </row>
    <row r="9" spans="2:7" x14ac:dyDescent="0.2">
      <c r="B9" s="92" t="s">
        <v>36</v>
      </c>
      <c r="C9" s="92">
        <v>206</v>
      </c>
      <c r="D9" s="94"/>
      <c r="E9" s="32"/>
    </row>
    <row r="10" spans="2:7" x14ac:dyDescent="0.2">
      <c r="B10" s="92" t="s">
        <v>37</v>
      </c>
      <c r="C10" s="92">
        <v>406</v>
      </c>
      <c r="D10" s="94"/>
    </row>
    <row r="11" spans="2:7" x14ac:dyDescent="0.2">
      <c r="B11" s="92" t="s">
        <v>38</v>
      </c>
      <c r="C11" s="92">
        <v>406</v>
      </c>
      <c r="D11" s="94"/>
    </row>
    <row r="12" spans="2:7" x14ac:dyDescent="0.2">
      <c r="B12" s="92" t="s">
        <v>39</v>
      </c>
      <c r="C12" s="92" t="s">
        <v>71</v>
      </c>
      <c r="D12" s="94"/>
    </row>
    <row r="13" spans="2:7" x14ac:dyDescent="0.2">
      <c r="B13" s="92" t="s">
        <v>40</v>
      </c>
      <c r="C13" s="92" t="s">
        <v>76</v>
      </c>
      <c r="D13" s="94"/>
    </row>
    <row r="14" spans="2:7" x14ac:dyDescent="0.2">
      <c r="B14" s="92" t="s">
        <v>41</v>
      </c>
      <c r="C14" s="92" t="s">
        <v>72</v>
      </c>
      <c r="D14" s="94"/>
    </row>
    <row r="15" spans="2:7" x14ac:dyDescent="0.2">
      <c r="B15" s="92" t="s">
        <v>42</v>
      </c>
      <c r="C15" s="92" t="s">
        <v>77</v>
      </c>
      <c r="D15" s="94"/>
    </row>
    <row r="16" spans="2:7" x14ac:dyDescent="0.2">
      <c r="B16" s="92" t="s">
        <v>43</v>
      </c>
      <c r="C16" s="92" t="s">
        <v>74</v>
      </c>
      <c r="D16" s="94"/>
    </row>
    <row r="17" spans="2:4" x14ac:dyDescent="0.2">
      <c r="B17" s="92" t="s">
        <v>44</v>
      </c>
      <c r="C17" s="92" t="s">
        <v>74</v>
      </c>
      <c r="D17" s="94"/>
    </row>
    <row r="18" spans="2:4" x14ac:dyDescent="0.2">
      <c r="B18" s="92" t="s">
        <v>45</v>
      </c>
      <c r="C18" s="92" t="s">
        <v>78</v>
      </c>
      <c r="D18" s="94"/>
    </row>
    <row r="19" spans="2:4" x14ac:dyDescent="0.2">
      <c r="B19" s="92" t="s">
        <v>46</v>
      </c>
      <c r="C19" s="92" t="s">
        <v>79</v>
      </c>
      <c r="D19" s="94"/>
    </row>
    <row r="20" spans="2:4" x14ac:dyDescent="0.2">
      <c r="B20" s="92" t="s">
        <v>47</v>
      </c>
      <c r="C20" s="92" t="s">
        <v>74</v>
      </c>
      <c r="D20" s="94"/>
    </row>
    <row r="21" spans="2:4" x14ac:dyDescent="0.2">
      <c r="B21" s="92" t="s">
        <v>48</v>
      </c>
      <c r="C21" s="92" t="s">
        <v>74</v>
      </c>
      <c r="D21" s="94"/>
    </row>
    <row r="22" spans="2:4" x14ac:dyDescent="0.2">
      <c r="B22" s="92" t="s">
        <v>49</v>
      </c>
      <c r="C22" s="92" t="s">
        <v>71</v>
      </c>
      <c r="D22" s="94"/>
    </row>
    <row r="23" spans="2:4" x14ac:dyDescent="0.2">
      <c r="B23" s="92" t="s">
        <v>50</v>
      </c>
      <c r="C23" s="92" t="s">
        <v>77</v>
      </c>
      <c r="D23" s="94"/>
    </row>
    <row r="24" spans="2:4" x14ac:dyDescent="0.2">
      <c r="B24" s="92" t="s">
        <v>51</v>
      </c>
      <c r="C24" s="92" t="s">
        <v>71</v>
      </c>
      <c r="D24" s="94"/>
    </row>
    <row r="25" spans="2:4" x14ac:dyDescent="0.2">
      <c r="B25" s="92" t="s">
        <v>52</v>
      </c>
      <c r="C25" s="92">
        <v>407</v>
      </c>
      <c r="D25" s="94"/>
    </row>
    <row r="26" spans="2:4" x14ac:dyDescent="0.2">
      <c r="B26" s="92" t="s">
        <v>53</v>
      </c>
      <c r="C26" s="92">
        <v>407</v>
      </c>
      <c r="D26" s="94"/>
    </row>
    <row r="27" spans="2:4" x14ac:dyDescent="0.2">
      <c r="B27" s="92" t="s">
        <v>54</v>
      </c>
      <c r="C27" s="92" t="s">
        <v>78</v>
      </c>
      <c r="D27" s="94"/>
    </row>
    <row r="28" spans="2:4" x14ac:dyDescent="0.2">
      <c r="B28" s="92" t="s">
        <v>55</v>
      </c>
      <c r="C28" s="92" t="s">
        <v>71</v>
      </c>
      <c r="D28" s="94"/>
    </row>
    <row r="29" spans="2:4" x14ac:dyDescent="0.2">
      <c r="B29" s="92" t="s">
        <v>56</v>
      </c>
      <c r="C29" s="92" t="s">
        <v>71</v>
      </c>
      <c r="D29" s="94"/>
    </row>
    <row r="30" spans="2:4" x14ac:dyDescent="0.2">
      <c r="B30" s="92" t="s">
        <v>57</v>
      </c>
      <c r="C30" s="92" t="s">
        <v>71</v>
      </c>
      <c r="D30" s="94"/>
    </row>
    <row r="31" spans="2:4" x14ac:dyDescent="0.2">
      <c r="B31" s="92" t="s">
        <v>58</v>
      </c>
      <c r="C31" s="92" t="s">
        <v>74</v>
      </c>
      <c r="D31" s="94"/>
    </row>
    <row r="32" spans="2:4" x14ac:dyDescent="0.2">
      <c r="B32" s="92" t="s">
        <v>59</v>
      </c>
      <c r="C32" s="92" t="s">
        <v>71</v>
      </c>
      <c r="D32" s="94"/>
    </row>
    <row r="33" spans="2:4" x14ac:dyDescent="0.2">
      <c r="B33" s="92" t="s">
        <v>60</v>
      </c>
      <c r="C33" s="92">
        <v>306</v>
      </c>
      <c r="D33" s="94"/>
    </row>
    <row r="34" spans="2:4" x14ac:dyDescent="0.2">
      <c r="B34" s="92" t="s">
        <v>61</v>
      </c>
      <c r="C34" s="92" t="s">
        <v>74</v>
      </c>
      <c r="D34" s="94"/>
    </row>
    <row r="35" spans="2:4" x14ac:dyDescent="0.2">
      <c r="B35" s="92" t="s">
        <v>62</v>
      </c>
      <c r="C35" s="92">
        <v>206</v>
      </c>
      <c r="D35" s="94"/>
    </row>
    <row r="36" spans="2:4" x14ac:dyDescent="0.2">
      <c r="B36" s="92" t="s">
        <v>63</v>
      </c>
      <c r="C36" s="92" t="s">
        <v>80</v>
      </c>
      <c r="D36" s="94"/>
    </row>
    <row r="37" spans="2:4" x14ac:dyDescent="0.2">
      <c r="B37" s="92" t="s">
        <v>64</v>
      </c>
      <c r="C37" s="92" t="s">
        <v>81</v>
      </c>
      <c r="D37" s="94"/>
    </row>
    <row r="38" spans="2:4" x14ac:dyDescent="0.2">
      <c r="B38" s="92" t="s">
        <v>65</v>
      </c>
      <c r="C38" s="92" t="s">
        <v>74</v>
      </c>
      <c r="D38" s="94"/>
    </row>
    <row r="39" spans="2:4" x14ac:dyDescent="0.2">
      <c r="B39" s="92" t="s">
        <v>66</v>
      </c>
      <c r="C39" s="92">
        <v>306</v>
      </c>
      <c r="D39" s="94"/>
    </row>
    <row r="40" spans="2:4" x14ac:dyDescent="0.2">
      <c r="B40" s="92" t="s">
        <v>67</v>
      </c>
      <c r="C40" s="92" t="s">
        <v>79</v>
      </c>
      <c r="D40" s="94"/>
    </row>
    <row r="41" spans="2:4" x14ac:dyDescent="0.2">
      <c r="B41" s="92" t="s">
        <v>68</v>
      </c>
      <c r="C41" s="92">
        <v>206</v>
      </c>
      <c r="D41" s="94"/>
    </row>
    <row r="42" spans="2:4" x14ac:dyDescent="0.2">
      <c r="B42" s="92" t="s">
        <v>69</v>
      </c>
      <c r="C42" s="92" t="s">
        <v>74</v>
      </c>
      <c r="D42" s="94"/>
    </row>
    <row r="43" spans="2:4" x14ac:dyDescent="0.2">
      <c r="B43" s="98"/>
    </row>
    <row r="44" spans="2:4" x14ac:dyDescent="0.2">
      <c r="B44" s="98"/>
    </row>
    <row r="45" spans="2:4" x14ac:dyDescent="0.2">
      <c r="B45" s="98"/>
    </row>
    <row r="46" spans="2:4" x14ac:dyDescent="0.2">
      <c r="B46" s="98"/>
    </row>
  </sheetData>
  <phoneticPr fontId="3" type="noConversion"/>
  <dataValidations count="2">
    <dataValidation type="list" allowBlank="1" showInputMessage="1" showErrorMessage="1" sqref="E2">
      <formula1>ListCars</formula1>
    </dataValidation>
    <dataValidation type="list" allowBlank="1" showInputMessage="1" showErrorMessage="1" sqref="G2">
      <formula1>$C$2:$C$42</formula1>
    </dataValidation>
  </dataValidations>
  <pageMargins left="0.78740157499999996" right="0.78740157499999996" top="0.984251969" bottom="0.984251969" header="0.4921259845" footer="0.4921259845"/>
  <pageSetup orientation="portrait" r:id="rId1"/>
  <headerFooter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45"/>
  </sheetPr>
  <dimension ref="B1:M61"/>
  <sheetViews>
    <sheetView workbookViewId="0">
      <selection activeCell="H28" sqref="H28"/>
    </sheetView>
  </sheetViews>
  <sheetFormatPr baseColWidth="10" defaultColWidth="11.5546875" defaultRowHeight="12.75" x14ac:dyDescent="0.2"/>
  <cols>
    <col min="1" max="1" width="1.44140625" style="1" customWidth="1"/>
    <col min="2" max="2" width="13" style="1" customWidth="1"/>
    <col min="3" max="3" width="13.6640625" style="1" customWidth="1"/>
    <col min="4" max="4" width="12.44140625" style="1" customWidth="1"/>
    <col min="5" max="5" width="12.88671875" style="1" customWidth="1"/>
    <col min="6" max="6" width="1.44140625" style="1" customWidth="1"/>
    <col min="7" max="7" width="7.5546875" style="1" customWidth="1"/>
    <col min="8" max="8" width="12.77734375" style="1" customWidth="1"/>
    <col min="9" max="10" width="7.5546875" style="1" customWidth="1"/>
    <col min="11" max="11" width="1.44140625" style="1" customWidth="1"/>
    <col min="12" max="12" width="17.33203125" style="1" customWidth="1"/>
    <col min="13" max="13" width="12.33203125" style="1" customWidth="1"/>
    <col min="14" max="16384" width="11.5546875" style="1"/>
  </cols>
  <sheetData>
    <row r="1" spans="2:13" ht="15" x14ac:dyDescent="0.2">
      <c r="B1" s="21"/>
      <c r="C1" s="19"/>
      <c r="D1" s="13" t="s">
        <v>100</v>
      </c>
      <c r="E1" s="10"/>
      <c r="F1" s="10"/>
      <c r="G1" s="129" t="s">
        <v>30</v>
      </c>
      <c r="H1" s="130"/>
      <c r="I1" s="21"/>
      <c r="J1" s="21"/>
      <c r="K1" s="10"/>
      <c r="L1" s="21"/>
      <c r="M1" s="21"/>
    </row>
    <row r="2" spans="2:13" x14ac:dyDescent="0.2">
      <c r="L2" s="14"/>
    </row>
    <row r="3" spans="2:13" x14ac:dyDescent="0.2">
      <c r="B3" s="2" t="s">
        <v>10</v>
      </c>
      <c r="C3" s="2"/>
      <c r="D3" s="2"/>
      <c r="E3" s="2"/>
      <c r="G3" s="7" t="s">
        <v>19</v>
      </c>
      <c r="H3" s="8"/>
      <c r="I3" s="8"/>
      <c r="J3" s="8"/>
      <c r="L3" s="27" t="s">
        <v>18</v>
      </c>
      <c r="M3" s="28"/>
    </row>
    <row r="4" spans="2:13" x14ac:dyDescent="0.2">
      <c r="B4" s="4">
        <v>38353</v>
      </c>
      <c r="C4" s="4">
        <f>DATE(YEAR(B4),MONTH(B4)+1,1)</f>
        <v>38384</v>
      </c>
      <c r="D4" s="4">
        <f>DATE(YEAR(C4),MONTH(C4)+1,1)</f>
        <v>38412</v>
      </c>
      <c r="E4" s="4">
        <f>DATE(YEAR(D4),MONTH(D4)+1,1)</f>
        <v>38443</v>
      </c>
      <c r="G4" s="4">
        <f>B4</f>
        <v>38353</v>
      </c>
      <c r="H4" s="4">
        <f>DATE(YEAR(G4),MONTH(G4)+1,1)</f>
        <v>38384</v>
      </c>
      <c r="I4" s="4">
        <f>DATE(YEAR(H4),MONTH(H4)+1,1)</f>
        <v>38412</v>
      </c>
      <c r="J4" s="4">
        <f>DATE(YEAR(I4),MONTH(I4)+1,1)</f>
        <v>38443</v>
      </c>
      <c r="L4" s="64" t="str">
        <f>INDEX(Station,ROWS(L$4:L4))&amp;""</f>
        <v>NAFTAL HIMAYA PLUS</v>
      </c>
      <c r="M4" s="38" t="e">
        <f>SUMPRODUCT((NoCar=G$1)*(Station=L4)*NbLitres)</f>
        <v>#N/A</v>
      </c>
    </row>
    <row r="5" spans="2:13" x14ac:dyDescent="0.2">
      <c r="B5" s="69">
        <f ca="1">SUMPRODUCT((Tableau1[[Immatriculation Voiture]:[Immatriculation Voiture]]=$G$1)*(Tableau1[[DATE]:[DATE]]&gt;0)*(MONTH(Tableau1[[DATE]:[DATE]])=MONTH(B4)),Tableau1[[Prix par plein]:[Prix par plein]])</f>
        <v>207</v>
      </c>
      <c r="C5" s="69">
        <f ca="1">SUMPRODUCT((Tableau1[[Immatriculation Voiture]:[Immatriculation Voiture]]=$G$1)*(Tableau1[[DATE]:[DATE]]&gt;0)*(MONTH(Tableau1[[DATE]:[DATE]])=MONTH(C4)),Tableau1[[Prix par plein]:[Prix par plein]])</f>
        <v>0</v>
      </c>
      <c r="D5" s="69">
        <f ca="1">SUMPRODUCT((Tableau1[[Immatriculation Voiture]:[Immatriculation Voiture]]=$G$1)*(Tableau1[[DATE]:[DATE]]&gt;0)*(MONTH(Tableau1[[DATE]:[DATE]])=MONTH(D4)),Tableau1[[Prix par plein]:[Prix par plein]])</f>
        <v>0</v>
      </c>
      <c r="E5" s="69">
        <f ca="1">SUMPRODUCT((Tableau1[[Immatriculation Voiture]:[Immatriculation Voiture]]=$G$1)*(Tableau1[[DATE]:[DATE]]&gt;0)*(MONTH(Tableau1[[DATE]:[DATE]])=MONTH(E4)),Tableau1[[Prix par plein]:[Prix par plein]])</f>
        <v>0</v>
      </c>
      <c r="G5" s="11">
        <f>SUMPRODUCT((Tableau1[[Immatriculation Voiture]:[Immatriculation Voiture]]=$G$1)*(Tableau1[[DATE]:[DATE]]&gt;0)*(MONTH(Tableau1[[DATE]:[DATE]])=MONTH(G4)),Tableau1[[Nb litres par plein]:[Nb litres par plein]])</f>
        <v>23</v>
      </c>
      <c r="H5" s="11">
        <f>SUMPRODUCT((Tableau1[[Immatriculation Voiture]:[Immatriculation Voiture]]=$G$1)*(Tableau1[[DATE]:[DATE]]&gt;0)*(MONTH(Tableau1[[DATE]:[DATE]])=MONTH(H4)),Tableau1[[Nb litres par plein]:[Nb litres par plein]])</f>
        <v>0</v>
      </c>
      <c r="I5" s="11">
        <f>SUMPRODUCT((Tableau1[[Immatriculation Voiture]:[Immatriculation Voiture]]=$G$1)*(Tableau1[[DATE]:[DATE]]&gt;0)*(MONTH(Tableau1[[DATE]:[DATE]])=MONTH(I4)),Tableau1[[Nb litres par plein]:[Nb litres par plein]])</f>
        <v>0</v>
      </c>
      <c r="J5" s="11">
        <f>SUMPRODUCT((Tableau1[[Immatriculation Voiture]:[Immatriculation Voiture]]=$G$1)*(Tableau1[[DATE]:[DATE]]&gt;0)*(MONTH(Tableau1[[DATE]:[DATE]])=MONTH(J4)),Tableau1[[Nb litres par plein]:[Nb litres par plein]])</f>
        <v>0</v>
      </c>
      <c r="L5" s="64" t="str">
        <f>INDEX(Station,ROWS(L$4:L5))&amp;""</f>
        <v/>
      </c>
      <c r="M5" s="38" t="e">
        <f t="shared" ref="M5:M21" si="0">SUMPRODUCT((NoCar=G$1)*(Station=L5)*NbLitres)</f>
        <v>#N/A</v>
      </c>
    </row>
    <row r="6" spans="2:13" x14ac:dyDescent="0.2">
      <c r="B6" s="4">
        <f>DATE(YEAR(B4),MONTH(E4)+1,1)</f>
        <v>38473</v>
      </c>
      <c r="C6" s="4">
        <f>DATE(YEAR(B6),MONTH(B6)+1,1)</f>
        <v>38504</v>
      </c>
      <c r="D6" s="4">
        <f>DATE(YEAR(C6),MONTH(C6)+1,1)</f>
        <v>38534</v>
      </c>
      <c r="E6" s="4">
        <f>DATE(YEAR(D6),MONTH(D6)+1,1)</f>
        <v>38565</v>
      </c>
      <c r="G6" s="4">
        <f>DATE(YEAR(G4),MONTH(J4)+1,1)</f>
        <v>38473</v>
      </c>
      <c r="H6" s="4">
        <f>DATE(YEAR(G6),MONTH(G6)+1,1)</f>
        <v>38504</v>
      </c>
      <c r="I6" s="4">
        <f>DATE(YEAR(H6),MONTH(H6)+1,1)</f>
        <v>38534</v>
      </c>
      <c r="J6" s="4">
        <f>DATE(YEAR(I6),MONTH(I6)+1,1)</f>
        <v>38565</v>
      </c>
      <c r="L6" s="64" t="str">
        <f>INDEX(Station,ROWS(L$4:L6))&amp;""</f>
        <v/>
      </c>
      <c r="M6" s="38" t="e">
        <f t="shared" si="0"/>
        <v>#N/A</v>
      </c>
    </row>
    <row r="7" spans="2:13" x14ac:dyDescent="0.2">
      <c r="B7" s="69">
        <f ca="1">SUMPRODUCT((Tableau1[[Immatriculation Voiture]:[Immatriculation Voiture]]=$G$1)*(Tableau1[[DATE]:[DATE]]&gt;0)*(MONTH(Tableau1[[DATE]:[DATE]])=MONTH(B6)),Tableau1[[Prix par plein]:[Prix par plein]])</f>
        <v>0</v>
      </c>
      <c r="C7" s="69">
        <f ca="1">SUMPRODUCT((Tableau1[[Immatriculation Voiture]:[Immatriculation Voiture]]=$G$1)*(Tableau1[[DATE]:[DATE]]&gt;0)*(MONTH(Tableau1[[DATE]:[DATE]])=MONTH(C6)),Tableau1[[Prix par plein]:[Prix par plein]])</f>
        <v>0</v>
      </c>
      <c r="D7" s="69">
        <f ca="1">SUMPRODUCT((Tableau1[[Immatriculation Voiture]:[Immatriculation Voiture]]=$G$1)*(Tableau1[[DATE]:[DATE]]&gt;0)*(MONTH(Tableau1[[DATE]:[DATE]])=MONTH(D6)),Tableau1[[Prix par plein]:[Prix par plein]])</f>
        <v>0</v>
      </c>
      <c r="E7" s="69">
        <f ca="1">SUMPRODUCT((Tableau1[[Immatriculation Voiture]:[Immatriculation Voiture]]=$G$1)*(Tableau1[[DATE]:[DATE]]&gt;0)*(MONTH(Tableau1[[DATE]:[DATE]])=MONTH(E6)),Tableau1[[Prix par plein]:[Prix par plein]])</f>
        <v>0</v>
      </c>
      <c r="G7" s="11">
        <f>SUMPRODUCT((Tableau1[[Immatriculation Voiture]:[Immatriculation Voiture]]=$G$1)*(Tableau1[[DATE]:[DATE]]&gt;0)*(MONTH(Tableau1[[DATE]:[DATE]])=MONTH(G6)),Tableau1[[Nb litres par plein]:[Nb litres par plein]])</f>
        <v>0</v>
      </c>
      <c r="H7" s="11">
        <f>SUMPRODUCT((Tableau1[[Immatriculation Voiture]:[Immatriculation Voiture]]=$G$1)*(Tableau1[[DATE]:[DATE]]&gt;0)*(MONTH(Tableau1[[DATE]:[DATE]])=MONTH(H6)),Tableau1[[Nb litres par plein]:[Nb litres par plein]])</f>
        <v>0</v>
      </c>
      <c r="I7" s="11">
        <f>SUMPRODUCT((Tableau1[[Immatriculation Voiture]:[Immatriculation Voiture]]=$G$1)*(Tableau1[[DATE]:[DATE]]&gt;0)*(MONTH(Tableau1[[DATE]:[DATE]])=MONTH(I6)),Tableau1[[Nb litres par plein]:[Nb litres par plein]])</f>
        <v>0</v>
      </c>
      <c r="J7" s="11">
        <f>SUMPRODUCT((Tableau1[[Immatriculation Voiture]:[Immatriculation Voiture]]=$G$1)*(Tableau1[[DATE]:[DATE]]&gt;0)*(MONTH(Tableau1[[DATE]:[DATE]])=MONTH(J6)),Tableau1[[Nb litres par plein]:[Nb litres par plein]])</f>
        <v>0</v>
      </c>
      <c r="L7" s="64" t="str">
        <f>INDEX(Station,ROWS(L$4:L7))&amp;""</f>
        <v/>
      </c>
      <c r="M7" s="38" t="e">
        <f t="shared" si="0"/>
        <v>#N/A</v>
      </c>
    </row>
    <row r="8" spans="2:13" x14ac:dyDescent="0.2">
      <c r="B8" s="4">
        <f>DATE(YEAR(B6),MONTH(E6)+1,1)</f>
        <v>38596</v>
      </c>
      <c r="C8" s="4">
        <f>DATE(YEAR(B8),MONTH(B8)+1,1)</f>
        <v>38626</v>
      </c>
      <c r="D8" s="4">
        <f>DATE(YEAR(C8),MONTH(C8)+1,1)</f>
        <v>38657</v>
      </c>
      <c r="E8" s="4">
        <f>DATE(YEAR(D8),MONTH(D8)+1,1)</f>
        <v>38687</v>
      </c>
      <c r="G8" s="4">
        <f>DATE(YEAR(G6),MONTH(J6)+1,1)</f>
        <v>38596</v>
      </c>
      <c r="H8" s="4">
        <f>DATE(YEAR(G8),MONTH(G8)+1,1)</f>
        <v>38626</v>
      </c>
      <c r="I8" s="4">
        <f>DATE(YEAR(H8),MONTH(H8)+1,1)</f>
        <v>38657</v>
      </c>
      <c r="J8" s="4">
        <f>DATE(YEAR(I8),MONTH(I8)+1,1)</f>
        <v>38687</v>
      </c>
      <c r="L8" s="64" t="str">
        <f>INDEX(Station,ROWS(L$4:L8))&amp;""</f>
        <v/>
      </c>
      <c r="M8" s="38" t="e">
        <f t="shared" si="0"/>
        <v>#N/A</v>
      </c>
    </row>
    <row r="9" spans="2:13" x14ac:dyDescent="0.2">
      <c r="B9" s="69">
        <f ca="1">SUMPRODUCT((Tableau1[[Immatriculation Voiture]:[Immatriculation Voiture]]=$G$1)*(Tableau1[[DATE]:[DATE]]&gt;0)*(MONTH(Tableau1[[DATE]:[DATE]])=MONTH(B8)),Tableau1[[Prix par plein]:[Prix par plein]])</f>
        <v>0</v>
      </c>
      <c r="C9" s="69">
        <f ca="1">SUMPRODUCT((Tableau1[[Immatriculation Voiture]:[Immatriculation Voiture]]=$G$1)*(Tableau1[[DATE]:[DATE]]&gt;0)*(MONTH(Tableau1[[DATE]:[DATE]])=MONTH(C8)),Tableau1[[Prix par plein]:[Prix par plein]])</f>
        <v>0</v>
      </c>
      <c r="D9" s="69">
        <f ca="1">SUMPRODUCT((Tableau1[[Immatriculation Voiture]:[Immatriculation Voiture]]=$G$1)*(Tableau1[[DATE]:[DATE]]&gt;0)*(MONTH(Tableau1[[DATE]:[DATE]])=MONTH(D8)),Tableau1[[Prix par plein]:[Prix par plein]])</f>
        <v>0</v>
      </c>
      <c r="E9" s="69">
        <f ca="1">SUMPRODUCT((Tableau1[[Immatriculation Voiture]:[Immatriculation Voiture]]=$G$1)*(Tableau1[[DATE]:[DATE]]&gt;0)*(MONTH(Tableau1[[DATE]:[DATE]])=MONTH(E8)),Tableau1[[Prix par plein]:[Prix par plein]])</f>
        <v>0</v>
      </c>
      <c r="G9" s="11">
        <f>SUMPRODUCT((Tableau1[[Immatriculation Voiture]:[Immatriculation Voiture]]=$G$1)*(Tableau1[[DATE]:[DATE]]&gt;0)*(MONTH(Tableau1[[DATE]:[DATE]])=MONTH(G8)),Tableau1[[Nb litres par plein]:[Nb litres par plein]])</f>
        <v>0</v>
      </c>
      <c r="H9" s="11">
        <f>SUMPRODUCT((Tableau1[[Immatriculation Voiture]:[Immatriculation Voiture]]=$G$1)*(Tableau1[[DATE]:[DATE]]&gt;0)*(MONTH(Tableau1[[DATE]:[DATE]])=MONTH(H8)),Tableau1[[Nb litres par plein]:[Nb litres par plein]])</f>
        <v>0</v>
      </c>
      <c r="I9" s="11">
        <f>SUMPRODUCT((Tableau1[[Immatriculation Voiture]:[Immatriculation Voiture]]=$G$1)*(Tableau1[[DATE]:[DATE]]&gt;0)*(MONTH(Tableau1[[DATE]:[DATE]])=MONTH(I8)),Tableau1[[Nb litres par plein]:[Nb litres par plein]])</f>
        <v>0</v>
      </c>
      <c r="J9" s="11">
        <f>SUMPRODUCT((Tableau1[[Immatriculation Voiture]:[Immatriculation Voiture]]=$G$1)*(Tableau1[[DATE]:[DATE]]&gt;0)*(MONTH(Tableau1[[DATE]:[DATE]])=MONTH(J8)),Tableau1[[Nb litres par plein]:[Nb litres par plein]])</f>
        <v>0</v>
      </c>
      <c r="L9" s="64" t="str">
        <f>INDEX(Station,ROWS(L$4:L9))&amp;""</f>
        <v/>
      </c>
      <c r="M9" s="38" t="e">
        <f t="shared" si="0"/>
        <v>#N/A</v>
      </c>
    </row>
    <row r="10" spans="2:13" x14ac:dyDescent="0.2">
      <c r="B10" s="5"/>
      <c r="C10" s="5"/>
      <c r="D10" s="6"/>
      <c r="E10" s="6"/>
      <c r="G10" s="6"/>
      <c r="H10" s="6"/>
      <c r="I10" s="6"/>
      <c r="J10" s="6"/>
      <c r="L10" s="64" t="str">
        <f>INDEX(Station,ROWS(L$4:L10))&amp;""</f>
        <v/>
      </c>
      <c r="M10" s="38" t="e">
        <f t="shared" si="0"/>
        <v>#N/A</v>
      </c>
    </row>
    <row r="11" spans="2:13" x14ac:dyDescent="0.2">
      <c r="B11" s="5"/>
      <c r="C11" s="20" t="s">
        <v>4</v>
      </c>
      <c r="D11" s="67"/>
      <c r="E11" s="68">
        <f ca="1">SUM(B5:E5,B7:E7,B9:E9)</f>
        <v>207</v>
      </c>
      <c r="G11" s="6"/>
      <c r="H11" s="20" t="s">
        <v>4</v>
      </c>
      <c r="I11" s="37">
        <f>SUM(G5:J5,G7:J7,G9:J9)</f>
        <v>23</v>
      </c>
      <c r="J11" s="25"/>
      <c r="L11" s="64" t="str">
        <f>INDEX(Station,ROWS(L$4:L11))&amp;""</f>
        <v/>
      </c>
      <c r="M11" s="38" t="e">
        <f t="shared" si="0"/>
        <v>#N/A</v>
      </c>
    </row>
    <row r="12" spans="2:13" x14ac:dyDescent="0.2">
      <c r="B12" s="5"/>
      <c r="C12" s="5"/>
      <c r="D12" s="6"/>
      <c r="E12" s="6"/>
      <c r="G12" s="6"/>
      <c r="H12" s="6"/>
      <c r="I12" s="6"/>
      <c r="J12" s="6"/>
      <c r="L12" s="64" t="str">
        <f>INDEX(Station,ROWS(L$4:L12))&amp;""</f>
        <v/>
      </c>
      <c r="M12" s="38" t="e">
        <f t="shared" si="0"/>
        <v>#N/A</v>
      </c>
    </row>
    <row r="13" spans="2:13" x14ac:dyDescent="0.2">
      <c r="B13" s="7" t="s">
        <v>11</v>
      </c>
      <c r="C13" s="8"/>
      <c r="D13" s="8"/>
      <c r="E13" s="8"/>
      <c r="G13" s="7" t="s">
        <v>12</v>
      </c>
      <c r="H13" s="8"/>
      <c r="I13" s="8"/>
      <c r="J13" s="8"/>
      <c r="L13" s="64" t="str">
        <f>INDEX(Station,ROWS(L$4:L13))&amp;""</f>
        <v/>
      </c>
      <c r="M13" s="38" t="e">
        <f t="shared" si="0"/>
        <v>#N/A</v>
      </c>
    </row>
    <row r="14" spans="2:13" x14ac:dyDescent="0.2">
      <c r="B14" s="4">
        <f>B4</f>
        <v>38353</v>
      </c>
      <c r="C14" s="4">
        <f>DATE(YEAR(B14),MONTH(B14)+1,1)</f>
        <v>38384</v>
      </c>
      <c r="D14" s="4">
        <f>DATE(YEAR(C14),MONTH(C14)+1,1)</f>
        <v>38412</v>
      </c>
      <c r="E14" s="4">
        <f>DATE(YEAR(D14),MONTH(D14)+1,1)</f>
        <v>38443</v>
      </c>
      <c r="G14" s="4">
        <f>B14</f>
        <v>38353</v>
      </c>
      <c r="H14" s="4">
        <f>DATE(YEAR(G14),MONTH(G14)+1,1)</f>
        <v>38384</v>
      </c>
      <c r="I14" s="4">
        <f>DATE(YEAR(H14),MONTH(H14)+1,1)</f>
        <v>38412</v>
      </c>
      <c r="J14" s="4">
        <f>DATE(YEAR(I14),MONTH(I14)+1,1)</f>
        <v>38443</v>
      </c>
      <c r="L14" s="64" t="str">
        <f>INDEX(Station,ROWS(L$4:L14))&amp;""</f>
        <v/>
      </c>
      <c r="M14" s="38" t="e">
        <f t="shared" si="0"/>
        <v>#N/A</v>
      </c>
    </row>
    <row r="15" spans="2:13" x14ac:dyDescent="0.2">
      <c r="B15" s="11">
        <f>SUMPRODUCT((Tableau1[[Immatriculation Voiture]:[Immatriculation Voiture]]=$G$1)*(Tableau1[[DATE]:[DATE]]&gt;0)*(MONTH(Tableau1[[DATE]:[DATE]])=MONTH(B14)),(Tableau1[[COMPTEUR
RETOUR]:[COMPTEUR
RETOUR]]-Tableau1[[COMPTEUR
DEPART]:[COMPTEUR
DEPART]]))</f>
        <v>200</v>
      </c>
      <c r="C15" s="11">
        <f>SUMPRODUCT((Tableau1[[Immatriculation Voiture]:[Immatriculation Voiture]]=$G$1)*(Tableau1[[DATE]:[DATE]]&gt;0)*(MONTH(Tableau1[[DATE]:[DATE]])=MONTH(C14)),(Tableau1[[COMPTEUR
RETOUR]:[COMPTEUR
RETOUR]]-Tableau1[[COMPTEUR
DEPART]:[COMPTEUR
DEPART]]))</f>
        <v>0</v>
      </c>
      <c r="D15" s="11">
        <f>SUMPRODUCT((Tableau1[[Immatriculation Voiture]:[Immatriculation Voiture]]=$G$1)*(Tableau1[[DATE]:[DATE]]&gt;0)*(MONTH(Tableau1[[DATE]:[DATE]])=MONTH(D14)),(Tableau1[[COMPTEUR
RETOUR]:[COMPTEUR
RETOUR]]-Tableau1[[COMPTEUR
DEPART]:[COMPTEUR
DEPART]]))</f>
        <v>0</v>
      </c>
      <c r="E15" s="11">
        <f>SUMPRODUCT((Tableau1[[Immatriculation Voiture]:[Immatriculation Voiture]]=$G$1)*(Tableau1[[DATE]:[DATE]]&gt;0)*(MONTH(Tableau1[[DATE]:[DATE]])=MONTH(E14)),(Tableau1[[COMPTEUR
RETOUR]:[COMPTEUR
RETOUR]]-Tableau1[[COMPTEUR
DEPART]:[COMPTEUR
DEPART]]))</f>
        <v>0</v>
      </c>
      <c r="G15" s="9">
        <f>IFERROR(G5/B15*100,"")</f>
        <v>11.5</v>
      </c>
      <c r="H15" s="9" t="str">
        <f t="shared" ref="H15:J15" si="1">IFERROR(H5/C15*100,"")</f>
        <v/>
      </c>
      <c r="I15" s="9" t="str">
        <f t="shared" si="1"/>
        <v/>
      </c>
      <c r="J15" s="9" t="str">
        <f t="shared" si="1"/>
        <v/>
      </c>
      <c r="L15" s="64" t="str">
        <f>INDEX(Station,ROWS(L$4:L15))&amp;""</f>
        <v/>
      </c>
      <c r="M15" s="38" t="e">
        <f t="shared" si="0"/>
        <v>#N/A</v>
      </c>
    </row>
    <row r="16" spans="2:13" x14ac:dyDescent="0.2">
      <c r="B16" s="4">
        <f>DATE(YEAR(B14),MONTH(E14)+1,1)</f>
        <v>38473</v>
      </c>
      <c r="C16" s="4">
        <f>DATE(YEAR(B16),MONTH(B16)+1,1)</f>
        <v>38504</v>
      </c>
      <c r="D16" s="4">
        <f>DATE(YEAR(C16),MONTH(C16)+1,1)</f>
        <v>38534</v>
      </c>
      <c r="E16" s="4">
        <f>DATE(YEAR(D16),MONTH(D16)+1,1)</f>
        <v>38565</v>
      </c>
      <c r="G16" s="4">
        <f>DATE(YEAR(G14),MONTH(J14)+1,1)</f>
        <v>38473</v>
      </c>
      <c r="H16" s="4">
        <f>DATE(YEAR(G16),MONTH(G16)+1,1)</f>
        <v>38504</v>
      </c>
      <c r="I16" s="4">
        <f>DATE(YEAR(H16),MONTH(H16)+1,1)</f>
        <v>38534</v>
      </c>
      <c r="J16" s="4">
        <f>DATE(YEAR(I16),MONTH(I16)+1,1)</f>
        <v>38565</v>
      </c>
      <c r="L16" s="64" t="str">
        <f>INDEX(Station,ROWS(L$4:L16))&amp;""</f>
        <v/>
      </c>
      <c r="M16" s="38" t="e">
        <f t="shared" si="0"/>
        <v>#N/A</v>
      </c>
    </row>
    <row r="17" spans="2:13" x14ac:dyDescent="0.2">
      <c r="B17" s="11">
        <f>SUMPRODUCT((Tableau1[[Immatriculation Voiture]:[Immatriculation Voiture]]=$G$1)*(Tableau1[[DATE]:[DATE]]&gt;0)*(MONTH(Tableau1[[DATE]:[DATE]])=MONTH(B16)),(Tableau1[[COMPTEUR
RETOUR]:[COMPTEUR
RETOUR]]-Tableau1[[COMPTEUR
DEPART]:[COMPTEUR
DEPART]]))</f>
        <v>0</v>
      </c>
      <c r="C17" s="11">
        <f>SUMPRODUCT((Tableau1[[Immatriculation Voiture]:[Immatriculation Voiture]]=$G$1)*(Tableau1[[DATE]:[DATE]]&gt;0)*(MONTH(Tableau1[[DATE]:[DATE]])=MONTH(C16)),(Tableau1[[COMPTEUR
RETOUR]:[COMPTEUR
RETOUR]]-Tableau1[[COMPTEUR
DEPART]:[COMPTEUR
DEPART]]))</f>
        <v>0</v>
      </c>
      <c r="D17" s="11">
        <f>SUMPRODUCT((Tableau1[[Immatriculation Voiture]:[Immatriculation Voiture]]=$G$1)*(Tableau1[[DATE]:[DATE]]&gt;0)*(MONTH(Tableau1[[DATE]:[DATE]])=MONTH(D16)),(Tableau1[[COMPTEUR
RETOUR]:[COMPTEUR
RETOUR]]-Tableau1[[COMPTEUR
DEPART]:[COMPTEUR
DEPART]]))</f>
        <v>0</v>
      </c>
      <c r="E17" s="11">
        <f>SUMPRODUCT((Tableau1[[Immatriculation Voiture]:[Immatriculation Voiture]]=$G$1)*(Tableau1[[DATE]:[DATE]]&gt;0)*(MONTH(Tableau1[[DATE]:[DATE]])=MONTH(E16)),(Tableau1[[COMPTEUR
RETOUR]:[COMPTEUR
RETOUR]]-Tableau1[[COMPTEUR
DEPART]:[COMPTEUR
DEPART]]))</f>
        <v>0</v>
      </c>
      <c r="G17" s="9" t="str">
        <f>IFERROR(G7/B17*100,"")</f>
        <v/>
      </c>
      <c r="H17" s="9" t="str">
        <f t="shared" ref="H17" si="2">IFERROR(H7/C17*100,"")</f>
        <v/>
      </c>
      <c r="I17" s="9" t="str">
        <f t="shared" ref="I17" si="3">IFERROR(I7/D17*100,"")</f>
        <v/>
      </c>
      <c r="J17" s="9" t="str">
        <f t="shared" ref="J17" si="4">IFERROR(J7/E17*100,"")</f>
        <v/>
      </c>
      <c r="L17" s="64" t="str">
        <f>INDEX(Station,ROWS(L$4:L17))&amp;""</f>
        <v/>
      </c>
      <c r="M17" s="38" t="e">
        <f t="shared" si="0"/>
        <v>#N/A</v>
      </c>
    </row>
    <row r="18" spans="2:13" x14ac:dyDescent="0.2">
      <c r="B18" s="4">
        <f>DATE(YEAR(B16),MONTH(E16)+1,1)</f>
        <v>38596</v>
      </c>
      <c r="C18" s="4">
        <f>DATE(YEAR(B18),MONTH(B18)+1,1)</f>
        <v>38626</v>
      </c>
      <c r="D18" s="4">
        <f>DATE(YEAR(C18),MONTH(C18)+1,1)</f>
        <v>38657</v>
      </c>
      <c r="E18" s="4">
        <f>DATE(YEAR(D18),MONTH(D18)+1,1)</f>
        <v>38687</v>
      </c>
      <c r="G18" s="4">
        <f>DATE(YEAR(G16),MONTH(J16)+1,1)</f>
        <v>38596</v>
      </c>
      <c r="H18" s="4">
        <f>DATE(YEAR(G18),MONTH(G18)+1,1)</f>
        <v>38626</v>
      </c>
      <c r="I18" s="4">
        <f>DATE(YEAR(H18),MONTH(H18)+1,1)</f>
        <v>38657</v>
      </c>
      <c r="J18" s="4">
        <f>DATE(YEAR(I18),MONTH(I18)+1,1)</f>
        <v>38687</v>
      </c>
      <c r="L18" s="64" t="str">
        <f>INDEX(Station,ROWS(L$4:L18))&amp;""</f>
        <v/>
      </c>
      <c r="M18" s="38" t="e">
        <f t="shared" si="0"/>
        <v>#N/A</v>
      </c>
    </row>
    <row r="19" spans="2:13" x14ac:dyDescent="0.2">
      <c r="B19" s="11">
        <f>SUMPRODUCT((Tableau1[[Immatriculation Voiture]:[Immatriculation Voiture]]=$G$1)*(Tableau1[[DATE]:[DATE]]&gt;0)*(MONTH(Tableau1[[DATE]:[DATE]])=MONTH(B18)),(Tableau1[[COMPTEUR
RETOUR]:[COMPTEUR
RETOUR]]-Tableau1[[COMPTEUR
DEPART]:[COMPTEUR
DEPART]]))</f>
        <v>0</v>
      </c>
      <c r="C19" s="11">
        <f>SUMPRODUCT((Tableau1[[Immatriculation Voiture]:[Immatriculation Voiture]]=$G$1)*(Tableau1[[DATE]:[DATE]]&gt;0)*(MONTH(Tableau1[[DATE]:[DATE]])=MONTH(C18)),(Tableau1[[COMPTEUR
RETOUR]:[COMPTEUR
RETOUR]]-Tableau1[[COMPTEUR
DEPART]:[COMPTEUR
DEPART]]))</f>
        <v>0</v>
      </c>
      <c r="D19" s="11">
        <f>SUMPRODUCT((Tableau1[[Immatriculation Voiture]:[Immatriculation Voiture]]=$G$1)*(Tableau1[[DATE]:[DATE]]&gt;0)*(MONTH(Tableau1[[DATE]:[DATE]])=MONTH(D18)),(Tableau1[[COMPTEUR
RETOUR]:[COMPTEUR
RETOUR]]-Tableau1[[COMPTEUR
DEPART]:[COMPTEUR
DEPART]]))</f>
        <v>0</v>
      </c>
      <c r="E19" s="11">
        <f>SUMPRODUCT((Tableau1[[Immatriculation Voiture]:[Immatriculation Voiture]]=$G$1)*(Tableau1[[DATE]:[DATE]]&gt;0)*(MONTH(Tableau1[[DATE]:[DATE]])=MONTH(E18)),(Tableau1[[COMPTEUR
RETOUR]:[COMPTEUR
RETOUR]]-Tableau1[[COMPTEUR
DEPART]:[COMPTEUR
DEPART]]))</f>
        <v>0</v>
      </c>
      <c r="G19" s="9" t="str">
        <f>IFERROR(G9/B19*100,"")</f>
        <v/>
      </c>
      <c r="H19" s="9" t="str">
        <f t="shared" ref="H19" si="5">IFERROR(H9/C19*100,"")</f>
        <v/>
      </c>
      <c r="I19" s="9" t="str">
        <f t="shared" ref="I19" si="6">IFERROR(I9/D19*100,"")</f>
        <v/>
      </c>
      <c r="J19" s="9" t="str">
        <f t="shared" ref="J19" si="7">IFERROR(J9/E19*100,"")</f>
        <v/>
      </c>
      <c r="L19" s="64" t="str">
        <f>INDEX(Station,ROWS(L$4:L19))&amp;""</f>
        <v/>
      </c>
      <c r="M19" s="38" t="e">
        <f t="shared" si="0"/>
        <v>#N/A</v>
      </c>
    </row>
    <row r="20" spans="2:13" x14ac:dyDescent="0.2">
      <c r="B20" s="6"/>
      <c r="C20" s="6"/>
      <c r="D20" s="6"/>
      <c r="E20" s="6"/>
      <c r="L20" s="64" t="str">
        <f>INDEX(Station,ROWS(L$4:L20))&amp;""</f>
        <v/>
      </c>
      <c r="M20" s="38" t="e">
        <f t="shared" si="0"/>
        <v>#N/A</v>
      </c>
    </row>
    <row r="21" spans="2:13" x14ac:dyDescent="0.2">
      <c r="C21" s="20" t="s">
        <v>4</v>
      </c>
      <c r="D21" s="23">
        <f>SUM(B15:E15,B17:E17,B19:E19)</f>
        <v>200</v>
      </c>
      <c r="E21" s="24"/>
      <c r="H21" s="20" t="s">
        <v>20</v>
      </c>
      <c r="I21" s="35">
        <f>IF(D21=0,"",I11/D21*100)</f>
        <v>11.5</v>
      </c>
      <c r="J21" s="26"/>
      <c r="L21" s="64" t="str">
        <f>INDEX(Station,ROWS(L$4:L21))&amp;""</f>
        <v/>
      </c>
      <c r="M21" s="39" t="e">
        <f t="shared" si="0"/>
        <v>#N/A</v>
      </c>
    </row>
    <row r="22" spans="2:13" x14ac:dyDescent="0.2">
      <c r="L22" s="64" t="str">
        <f>INDEX(Station,ROWS(L$4:L22))&amp;""</f>
        <v/>
      </c>
      <c r="M22" s="38" t="e">
        <f>SUMPRODUCT((NoCar=G$1)*(Station=L22)*NbLitres)</f>
        <v>#N/A</v>
      </c>
    </row>
    <row r="23" spans="2:13" x14ac:dyDescent="0.2">
      <c r="L23" s="64" t="str">
        <f>INDEX(Station,ROWS(L$4:L23))&amp;""</f>
        <v/>
      </c>
      <c r="M23" s="38" t="e">
        <f t="shared" ref="M23:M50" si="8">SUMPRODUCT((NoCar=G$1)*(Station=L23)*NbLitres)</f>
        <v>#N/A</v>
      </c>
    </row>
    <row r="24" spans="2:13" x14ac:dyDescent="0.2">
      <c r="L24" s="64" t="str">
        <f>INDEX(Station,ROWS(L$4:L24))&amp;""</f>
        <v/>
      </c>
      <c r="M24" s="38" t="e">
        <f t="shared" si="8"/>
        <v>#N/A</v>
      </c>
    </row>
    <row r="25" spans="2:13" x14ac:dyDescent="0.2">
      <c r="L25" s="64" t="str">
        <f>INDEX(Station,ROWS(L$4:L25))&amp;""</f>
        <v/>
      </c>
      <c r="M25" s="38" t="e">
        <f t="shared" si="8"/>
        <v>#N/A</v>
      </c>
    </row>
    <row r="26" spans="2:13" x14ac:dyDescent="0.2">
      <c r="L26" s="64" t="str">
        <f>INDEX(Station,ROWS(L$4:L26))&amp;""</f>
        <v/>
      </c>
      <c r="M26" s="38" t="e">
        <f t="shared" si="8"/>
        <v>#N/A</v>
      </c>
    </row>
    <row r="27" spans="2:13" x14ac:dyDescent="0.2">
      <c r="L27" s="64" t="str">
        <f>INDEX(Station,ROWS(L$4:L27))&amp;""</f>
        <v/>
      </c>
      <c r="M27" s="38" t="e">
        <f t="shared" si="8"/>
        <v>#N/A</v>
      </c>
    </row>
    <row r="28" spans="2:13" x14ac:dyDescent="0.2">
      <c r="L28" s="64" t="str">
        <f>INDEX(Station,ROWS(L$4:L28))&amp;""</f>
        <v/>
      </c>
      <c r="M28" s="38" t="e">
        <f t="shared" si="8"/>
        <v>#N/A</v>
      </c>
    </row>
    <row r="29" spans="2:13" x14ac:dyDescent="0.2">
      <c r="L29" s="64" t="str">
        <f>INDEX(Station,ROWS(L$4:L29))&amp;""</f>
        <v/>
      </c>
      <c r="M29" s="38" t="e">
        <f t="shared" si="8"/>
        <v>#N/A</v>
      </c>
    </row>
    <row r="30" spans="2:13" x14ac:dyDescent="0.2">
      <c r="L30" s="64" t="str">
        <f>INDEX(Station,ROWS(L$4:L30))&amp;""</f>
        <v/>
      </c>
      <c r="M30" s="38" t="e">
        <f t="shared" si="8"/>
        <v>#N/A</v>
      </c>
    </row>
    <row r="31" spans="2:13" x14ac:dyDescent="0.2">
      <c r="L31" s="64" t="str">
        <f>INDEX(Station,ROWS(L$4:L31))&amp;""</f>
        <v/>
      </c>
      <c r="M31" s="38" t="e">
        <f t="shared" si="8"/>
        <v>#N/A</v>
      </c>
    </row>
    <row r="32" spans="2:13" x14ac:dyDescent="0.2">
      <c r="L32" s="64" t="str">
        <f>INDEX(Station,ROWS(L$4:L32))&amp;""</f>
        <v/>
      </c>
      <c r="M32" s="38" t="e">
        <f t="shared" si="8"/>
        <v>#N/A</v>
      </c>
    </row>
    <row r="33" spans="7:13" x14ac:dyDescent="0.2">
      <c r="L33" s="64" t="str">
        <f>INDEX(Station,ROWS(L$4:L33))&amp;""</f>
        <v/>
      </c>
      <c r="M33" s="38" t="e">
        <f t="shared" si="8"/>
        <v>#N/A</v>
      </c>
    </row>
    <row r="34" spans="7:13" x14ac:dyDescent="0.2">
      <c r="L34" s="64" t="str">
        <f>INDEX(Station,ROWS(L$4:L34))&amp;""</f>
        <v/>
      </c>
      <c r="M34" s="38" t="e">
        <f t="shared" si="8"/>
        <v>#N/A</v>
      </c>
    </row>
    <row r="35" spans="7:13" x14ac:dyDescent="0.2">
      <c r="L35" s="64" t="str">
        <f>INDEX(Station,ROWS(L$4:L35))&amp;""</f>
        <v/>
      </c>
      <c r="M35" s="38" t="e">
        <f t="shared" si="8"/>
        <v>#N/A</v>
      </c>
    </row>
    <row r="36" spans="7:13" x14ac:dyDescent="0.2">
      <c r="L36" s="64" t="str">
        <f>INDEX(Station,ROWS(L$4:L36))&amp;""</f>
        <v/>
      </c>
      <c r="M36" s="38" t="e">
        <f t="shared" si="8"/>
        <v>#N/A</v>
      </c>
    </row>
    <row r="37" spans="7:13" x14ac:dyDescent="0.2">
      <c r="L37" s="64" t="str">
        <f>INDEX(Station,ROWS(L$4:L37))&amp;""</f>
        <v/>
      </c>
      <c r="M37" s="38" t="e">
        <f t="shared" si="8"/>
        <v>#N/A</v>
      </c>
    </row>
    <row r="38" spans="7:13" x14ac:dyDescent="0.2">
      <c r="L38" s="64" t="str">
        <f>INDEX(Station,ROWS(L$4:L38))&amp;""</f>
        <v/>
      </c>
      <c r="M38" s="38" t="e">
        <f t="shared" si="8"/>
        <v>#N/A</v>
      </c>
    </row>
    <row r="39" spans="7:13" x14ac:dyDescent="0.2">
      <c r="L39" s="64" t="str">
        <f>INDEX(Station,ROWS(L$4:L39))&amp;""</f>
        <v/>
      </c>
      <c r="M39" s="38" t="e">
        <f t="shared" si="8"/>
        <v>#N/A</v>
      </c>
    </row>
    <row r="40" spans="7:13" x14ac:dyDescent="0.2">
      <c r="L40" s="64" t="str">
        <f>INDEX(Station,ROWS(L$4:L40))&amp;""</f>
        <v/>
      </c>
      <c r="M40" s="38" t="e">
        <f t="shared" si="8"/>
        <v>#N/A</v>
      </c>
    </row>
    <row r="41" spans="7:13" x14ac:dyDescent="0.2">
      <c r="G41" s="36"/>
      <c r="L41" s="64" t="str">
        <f>INDEX(Station,ROWS(L$4:L41))&amp;""</f>
        <v/>
      </c>
      <c r="M41" s="38" t="e">
        <f t="shared" si="8"/>
        <v>#N/A</v>
      </c>
    </row>
    <row r="42" spans="7:13" x14ac:dyDescent="0.2">
      <c r="L42" s="64" t="str">
        <f>INDEX(Station,ROWS(L$4:L42))&amp;""</f>
        <v/>
      </c>
      <c r="M42" s="38" t="e">
        <f t="shared" si="8"/>
        <v>#N/A</v>
      </c>
    </row>
    <row r="43" spans="7:13" x14ac:dyDescent="0.2">
      <c r="L43" s="64" t="str">
        <f>INDEX(Station,ROWS(L$4:L43))&amp;""</f>
        <v/>
      </c>
      <c r="M43" s="38" t="e">
        <f t="shared" si="8"/>
        <v>#N/A</v>
      </c>
    </row>
    <row r="44" spans="7:13" x14ac:dyDescent="0.2">
      <c r="L44" s="64" t="str">
        <f>INDEX(Station,ROWS(L$4:L44))&amp;""</f>
        <v/>
      </c>
      <c r="M44" s="38" t="e">
        <f t="shared" si="8"/>
        <v>#N/A</v>
      </c>
    </row>
    <row r="45" spans="7:13" x14ac:dyDescent="0.2">
      <c r="L45" s="64" t="str">
        <f>INDEX(Station,ROWS(L$4:L45))&amp;""</f>
        <v/>
      </c>
      <c r="M45" s="38" t="e">
        <f t="shared" si="8"/>
        <v>#N/A</v>
      </c>
    </row>
    <row r="46" spans="7:13" x14ac:dyDescent="0.2">
      <c r="L46" s="64" t="str">
        <f>INDEX(Station,ROWS(L$4:L46))&amp;""</f>
        <v/>
      </c>
      <c r="M46" s="38" t="e">
        <f t="shared" si="8"/>
        <v>#N/A</v>
      </c>
    </row>
    <row r="47" spans="7:13" x14ac:dyDescent="0.2">
      <c r="L47" s="64" t="str">
        <f>INDEX(Station,ROWS(L$4:L47))&amp;""</f>
        <v/>
      </c>
      <c r="M47" s="38" t="e">
        <f t="shared" si="8"/>
        <v>#N/A</v>
      </c>
    </row>
    <row r="48" spans="7:13" x14ac:dyDescent="0.2">
      <c r="L48" s="64" t="str">
        <f>INDEX(Station,ROWS(L$4:L48))&amp;""</f>
        <v/>
      </c>
      <c r="M48" s="38" t="e">
        <f t="shared" si="8"/>
        <v>#N/A</v>
      </c>
    </row>
    <row r="49" spans="12:13" x14ac:dyDescent="0.2">
      <c r="L49" s="64" t="str">
        <f>INDEX(Station,ROWS(L$4:L49))&amp;""</f>
        <v/>
      </c>
      <c r="M49" s="39" t="e">
        <f t="shared" si="8"/>
        <v>#N/A</v>
      </c>
    </row>
    <row r="50" spans="12:13" x14ac:dyDescent="0.2">
      <c r="L50" s="64" t="str">
        <f>INDEX(Station,ROWS(L$4:L50))&amp;""</f>
        <v/>
      </c>
      <c r="M50" s="38" t="e">
        <f t="shared" si="8"/>
        <v>#N/A</v>
      </c>
    </row>
    <row r="51" spans="12:13" x14ac:dyDescent="0.2">
      <c r="L51" s="64" t="str">
        <f>INDEX(Station,ROWS(L$4:L51))&amp;""</f>
        <v/>
      </c>
      <c r="M51" s="38" t="e">
        <f t="shared" ref="M51:M61" si="9">SUMPRODUCT((NoCar=G$1)*(Station=L51)*NbLitres)</f>
        <v>#N/A</v>
      </c>
    </row>
    <row r="52" spans="12:13" x14ac:dyDescent="0.2">
      <c r="L52" s="64" t="str">
        <f>INDEX(Station,ROWS(L$4:L52))&amp;""</f>
        <v/>
      </c>
      <c r="M52" s="38" t="e">
        <f t="shared" si="9"/>
        <v>#N/A</v>
      </c>
    </row>
    <row r="53" spans="12:13" x14ac:dyDescent="0.2">
      <c r="L53" s="64" t="str">
        <f>INDEX(Station,ROWS(L$4:L53))&amp;""</f>
        <v/>
      </c>
      <c r="M53" s="38" t="e">
        <f t="shared" si="9"/>
        <v>#N/A</v>
      </c>
    </row>
    <row r="54" spans="12:13" x14ac:dyDescent="0.2">
      <c r="L54" s="64" t="str">
        <f>INDEX(Station,ROWS(L$4:L54))&amp;""</f>
        <v/>
      </c>
      <c r="M54" s="38" t="e">
        <f t="shared" si="9"/>
        <v>#N/A</v>
      </c>
    </row>
    <row r="55" spans="12:13" x14ac:dyDescent="0.2">
      <c r="L55" s="64" t="str">
        <f>INDEX(Station,ROWS(L$4:L55))&amp;""</f>
        <v/>
      </c>
      <c r="M55" s="38" t="e">
        <f t="shared" si="9"/>
        <v>#N/A</v>
      </c>
    </row>
    <row r="56" spans="12:13" x14ac:dyDescent="0.2">
      <c r="L56" s="64" t="str">
        <f>INDEX(Station,ROWS(L$4:L56))&amp;""</f>
        <v/>
      </c>
      <c r="M56" s="38" t="e">
        <f t="shared" si="9"/>
        <v>#N/A</v>
      </c>
    </row>
    <row r="57" spans="12:13" x14ac:dyDescent="0.2">
      <c r="L57" s="64" t="str">
        <f>INDEX(Station,ROWS(L$4:L57))&amp;""</f>
        <v/>
      </c>
      <c r="M57" s="38" t="e">
        <f t="shared" si="9"/>
        <v>#N/A</v>
      </c>
    </row>
    <row r="58" spans="12:13" x14ac:dyDescent="0.2">
      <c r="L58" s="64" t="str">
        <f>INDEX(Station,ROWS(L$4:L58))&amp;""</f>
        <v/>
      </c>
      <c r="M58" s="38" t="e">
        <f t="shared" si="9"/>
        <v>#N/A</v>
      </c>
    </row>
    <row r="59" spans="12:13" x14ac:dyDescent="0.2">
      <c r="L59" s="64" t="str">
        <f>INDEX(Station,ROWS(L$4:L59))&amp;""</f>
        <v/>
      </c>
      <c r="M59" s="38" t="e">
        <f t="shared" si="9"/>
        <v>#N/A</v>
      </c>
    </row>
    <row r="60" spans="12:13" x14ac:dyDescent="0.2">
      <c r="L60" s="64" t="str">
        <f>INDEX(Station,ROWS(L$4:L60))&amp;""</f>
        <v/>
      </c>
      <c r="M60" s="38" t="e">
        <f t="shared" si="9"/>
        <v>#N/A</v>
      </c>
    </row>
    <row r="61" spans="12:13" x14ac:dyDescent="0.2">
      <c r="L61" s="64" t="str">
        <f>INDEX(Station,ROWS(L$4:L61))&amp;""</f>
        <v/>
      </c>
      <c r="M61" s="38" t="e">
        <f t="shared" si="9"/>
        <v>#N/A</v>
      </c>
    </row>
  </sheetData>
  <mergeCells count="1">
    <mergeCell ref="G1:H1"/>
  </mergeCells>
  <phoneticPr fontId="3" type="noConversion"/>
  <dataValidations count="1">
    <dataValidation type="list" allowBlank="1" showInputMessage="1" showErrorMessage="1" sqref="G1:H1">
      <formula1>OFFSET(ListCars,,,COUNTA(ListCars))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"/>
  <sheetViews>
    <sheetView workbookViewId="0">
      <selection activeCell="F16" sqref="F16"/>
    </sheetView>
  </sheetViews>
  <sheetFormatPr baseColWidth="10" defaultRowHeight="15" x14ac:dyDescent="0.2"/>
  <cols>
    <col min="1" max="1" width="13.6640625" customWidth="1"/>
    <col min="2" max="2" width="13.6640625" style="107" customWidth="1"/>
    <col min="7" max="7" width="26.77734375" customWidth="1"/>
  </cols>
  <sheetData>
    <row r="1" spans="1:7" s="102" customFormat="1" ht="15.75" x14ac:dyDescent="0.25">
      <c r="A1" s="103" t="s">
        <v>90</v>
      </c>
      <c r="B1" s="103" t="s">
        <v>93</v>
      </c>
      <c r="C1" s="104" t="s">
        <v>92</v>
      </c>
      <c r="D1" s="104" t="s">
        <v>87</v>
      </c>
      <c r="E1" s="104" t="s">
        <v>88</v>
      </c>
      <c r="F1" s="104" t="s">
        <v>97</v>
      </c>
      <c r="G1" s="104" t="s">
        <v>91</v>
      </c>
    </row>
    <row r="2" spans="1:7" x14ac:dyDescent="0.2">
      <c r="A2" s="105">
        <v>43101</v>
      </c>
      <c r="B2" s="106" t="s">
        <v>94</v>
      </c>
      <c r="C2" s="106" t="s">
        <v>96</v>
      </c>
      <c r="D2" s="106" t="s">
        <v>95</v>
      </c>
      <c r="E2" s="106">
        <v>9</v>
      </c>
      <c r="F2" s="106">
        <v>9</v>
      </c>
      <c r="G2" s="106"/>
    </row>
    <row r="3" spans="1:7" x14ac:dyDescent="0.2">
      <c r="A3" s="105">
        <v>43101</v>
      </c>
      <c r="B3" s="106" t="s">
        <v>94</v>
      </c>
      <c r="C3" s="106" t="s">
        <v>96</v>
      </c>
      <c r="D3" s="106" t="s">
        <v>95</v>
      </c>
      <c r="E3" s="106">
        <v>9</v>
      </c>
      <c r="F3" s="106">
        <v>9</v>
      </c>
      <c r="G3" s="106"/>
    </row>
    <row r="4" spans="1:7" x14ac:dyDescent="0.2">
      <c r="A4" s="105">
        <v>43101</v>
      </c>
      <c r="B4" s="106" t="s">
        <v>94</v>
      </c>
      <c r="C4" s="106" t="s">
        <v>96</v>
      </c>
      <c r="D4" s="106" t="s">
        <v>95</v>
      </c>
      <c r="E4" s="106">
        <v>9</v>
      </c>
      <c r="F4" s="106">
        <v>9</v>
      </c>
      <c r="G4" s="106"/>
    </row>
    <row r="5" spans="1:7" x14ac:dyDescent="0.2">
      <c r="A5" s="105">
        <v>43101</v>
      </c>
      <c r="B5" s="106" t="s">
        <v>94</v>
      </c>
      <c r="C5" s="106" t="s">
        <v>96</v>
      </c>
      <c r="D5" s="106" t="s">
        <v>95</v>
      </c>
      <c r="E5" s="106">
        <v>9</v>
      </c>
      <c r="F5" s="106">
        <v>9</v>
      </c>
      <c r="G5" s="106"/>
    </row>
    <row r="6" spans="1:7" x14ac:dyDescent="0.2">
      <c r="A6" s="105">
        <v>43101</v>
      </c>
      <c r="B6" s="106" t="s">
        <v>94</v>
      </c>
      <c r="C6" s="106" t="s">
        <v>96</v>
      </c>
      <c r="D6" s="106" t="s">
        <v>95</v>
      </c>
      <c r="E6" s="106">
        <v>9</v>
      </c>
      <c r="F6" s="106">
        <v>9</v>
      </c>
      <c r="G6" s="106"/>
    </row>
    <row r="7" spans="1:7" x14ac:dyDescent="0.2">
      <c r="A7" s="105">
        <v>43465</v>
      </c>
      <c r="B7" s="106" t="s">
        <v>94</v>
      </c>
      <c r="C7" s="106" t="s">
        <v>96</v>
      </c>
      <c r="D7" s="106" t="s">
        <v>95</v>
      </c>
      <c r="E7" s="106">
        <v>9</v>
      </c>
      <c r="F7" s="106">
        <v>9</v>
      </c>
      <c r="G7" s="106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PRESENTATIONS</vt:lpstr>
      <vt:lpstr>saisie</vt:lpstr>
      <vt:lpstr>Global</vt:lpstr>
      <vt:lpstr>Liste</vt:lpstr>
      <vt:lpstr>Voiture</vt:lpstr>
      <vt:lpstr>Prix carburant 2018</vt:lpstr>
      <vt:lpstr>carburants</vt:lpstr>
      <vt:lpstr>Date</vt:lpstr>
      <vt:lpstr>saisie!Impression_des_titres</vt:lpstr>
      <vt:lpstr>KmDepart</vt:lpstr>
      <vt:lpstr>KmParPlein</vt:lpstr>
      <vt:lpstr>KmRetour</vt:lpstr>
      <vt:lpstr>ListCars</vt:lpstr>
      <vt:lpstr>NbLitres</vt:lpstr>
      <vt:lpstr>NoCar</vt:lpstr>
      <vt:lpstr>PrixAuLitre</vt:lpstr>
      <vt:lpstr>prixmaxi</vt:lpstr>
      <vt:lpstr>prixmini</vt:lpstr>
      <vt:lpstr>PrixParPlein</vt:lpstr>
      <vt:lpstr>Station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RICHSTAEDT</dc:creator>
  <cp:lastModifiedBy>khab001</cp:lastModifiedBy>
  <cp:lastPrinted>2005-03-22T18:52:30Z</cp:lastPrinted>
  <dcterms:created xsi:type="dcterms:W3CDTF">2005-02-18T21:07:28Z</dcterms:created>
  <dcterms:modified xsi:type="dcterms:W3CDTF">2018-01-29T15:21:36Z</dcterms:modified>
</cp:coreProperties>
</file>