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Metadata/LabelInfo.xml" ContentType="application/vnd.ms-office.classificationlabel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20/02/relationships/classificationlabels" Target="docMetadata/LabelInfo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 codeName="{372AB895-14C1-FC20-EB20-F1B4BCFD95AE}"/>
  <workbookPr filterPrivacy="1" codeName="ThisWorkbook"/>
  <xr:revisionPtr revIDLastSave="2" documentId="8_{713BDD4B-C363-4B40-ABFB-578404690E0B}" xr6:coauthVersionLast="47" xr6:coauthVersionMax="47" xr10:uidLastSave="{E38B1A4F-D0CD-4083-98AA-AE7B2DDD605A}"/>
  <bookViews>
    <workbookView xWindow="-120" yWindow="-120" windowWidth="29040" windowHeight="15720" xr2:uid="{00000000-000D-0000-FFFF-FFFF00000000}"/>
  </bookViews>
  <sheets>
    <sheet name="Stats a N" sheetId="2" r:id="rId1"/>
  </sheets>
  <externalReferences>
    <externalReference r:id="rId2"/>
  </externalReferences>
  <definedNames>
    <definedName name="date">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5" i="2" l="1"/>
  <c r="G8" i="2"/>
  <c r="F8" i="2"/>
  <c r="I8" i="2" s="1"/>
  <c r="G7" i="2"/>
  <c r="F7" i="2"/>
  <c r="G6" i="2"/>
  <c r="G4" i="2"/>
  <c r="G3" i="2"/>
  <c r="G2" i="2"/>
  <c r="F6" i="2"/>
  <c r="F5" i="2"/>
  <c r="F4" i="2"/>
  <c r="F3" i="2"/>
  <c r="F2" i="2"/>
  <c r="C18" i="2"/>
  <c r="A18" i="2" s="1"/>
  <c r="C17" i="2"/>
  <c r="A17" i="2" s="1"/>
  <c r="C7" i="2"/>
  <c r="A7" i="2" s="1"/>
  <c r="C12" i="2"/>
  <c r="A12" i="2" s="1"/>
  <c r="C15" i="2"/>
  <c r="A15" i="2" s="1"/>
  <c r="C9" i="2"/>
  <c r="A9" i="2" s="1"/>
  <c r="C10" i="2"/>
  <c r="C8" i="2"/>
  <c r="A8" i="2" s="1"/>
  <c r="C16" i="2"/>
  <c r="A16" i="2" s="1"/>
  <c r="C14" i="2"/>
  <c r="C11" i="2"/>
  <c r="A11" i="2" s="1"/>
  <c r="C19" i="2"/>
  <c r="A19" i="2" s="1"/>
  <c r="C20" i="2"/>
  <c r="A20" i="2" s="1"/>
  <c r="C5" i="2"/>
  <c r="A5" i="2" s="1"/>
  <c r="C2" i="2"/>
  <c r="A4" i="2" s="1"/>
  <c r="C3" i="2"/>
  <c r="A3" i="2" s="1"/>
  <c r="C6" i="2"/>
  <c r="A6" i="2" s="1"/>
  <c r="A13" i="2" l="1"/>
  <c r="A14" i="2"/>
  <c r="A2" i="2"/>
  <c r="A10" i="2"/>
  <c r="H7" i="2"/>
  <c r="G11" i="2"/>
  <c r="H4" i="2"/>
  <c r="I4" i="2" s="1"/>
  <c r="H5" i="2"/>
  <c r="H8" i="2"/>
  <c r="F11" i="2"/>
  <c r="J3" i="2" s="1"/>
  <c r="I7" i="2"/>
  <c r="I5" i="2"/>
  <c r="H2" i="2"/>
  <c r="H3" i="2"/>
  <c r="I3" i="2" s="1"/>
  <c r="H6" i="2"/>
  <c r="I6" i="2" s="1"/>
  <c r="J5" i="2" l="1"/>
  <c r="J6" i="2"/>
  <c r="H11" i="2"/>
  <c r="J7" i="2"/>
  <c r="J8" i="2"/>
  <c r="J2" i="2"/>
  <c r="J4" i="2"/>
  <c r="I2" i="2"/>
</calcChain>
</file>

<file path=xl/sharedStrings.xml><?xml version="1.0" encoding="utf-8"?>
<sst xmlns="http://schemas.openxmlformats.org/spreadsheetml/2006/main" count="36" uniqueCount="36">
  <si>
    <t>ABBEVILLE</t>
  </si>
  <si>
    <t>AMIENS SUD</t>
  </si>
  <si>
    <t>BOULOGNE SUR MER</t>
  </si>
  <si>
    <t>LILLE</t>
  </si>
  <si>
    <t>CHALONS EN CHAMPAGNE</t>
  </si>
  <si>
    <t>CHARLEVILLE MEZIERES</t>
  </si>
  <si>
    <t>DUNKERQUE</t>
  </si>
  <si>
    <t>ENGLOS</t>
  </si>
  <si>
    <t>LIEVIN</t>
  </si>
  <si>
    <t>LONGUENESSE</t>
  </si>
  <si>
    <t>NOYELLES GODAULT</t>
  </si>
  <si>
    <t>REIMS</t>
  </si>
  <si>
    <t>SAINT MAXIMIN</t>
  </si>
  <si>
    <t>SAINT QUENTIN</t>
  </si>
  <si>
    <t>VALENCIENNES</t>
  </si>
  <si>
    <t>VENETTE</t>
  </si>
  <si>
    <t>VILLENEUVE D'ASCQ</t>
  </si>
  <si>
    <t>BOUTIQUE</t>
  </si>
  <si>
    <t>NB MOBILES OUT</t>
  </si>
  <si>
    <t>SAMSUNG</t>
  </si>
  <si>
    <t>XIAOMI</t>
  </si>
  <si>
    <t>HONOR</t>
  </si>
  <si>
    <t>GOOGLE</t>
  </si>
  <si>
    <t>MARQUE</t>
  </si>
  <si>
    <t xml:space="preserve">NB OUT </t>
  </si>
  <si>
    <t>CAMBRAI</t>
  </si>
  <si>
    <t>AMIENS</t>
  </si>
  <si>
    <t>APPLE</t>
  </si>
  <si>
    <t>NB IN</t>
  </si>
  <si>
    <t>TOT BY BRAND</t>
  </si>
  <si>
    <t>FAIRPHONE</t>
  </si>
  <si>
    <t>CROSSCALL</t>
  </si>
  <si>
    <t>TOTAL</t>
  </si>
  <si>
    <t>% OUT BY BRAND</t>
  </si>
  <si>
    <t>%OUT ON TOTAL OUT</t>
  </si>
  <si>
    <t>RANG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</si>
</sst>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000000"/>
      <name val="Calibri"/>
      <family val="2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  <bgColor theme="4"/>
      </patternFill>
    </fill>
  </fills>
  <borders count="7">
    <border>
      <left/>
      <right/>
      <top/>
      <bottom/>
      <diagonal/>
    </border>
    <border>
      <left style="thin">
        <color theme="4"/>
      </left>
      <right/>
      <top style="thin">
        <color theme="4"/>
      </top>
      <bottom/>
      <diagonal/>
    </border>
    <border>
      <left style="thin">
        <color theme="4"/>
      </left>
      <right/>
      <top style="thin">
        <color theme="4"/>
      </top>
      <bottom style="thin">
        <color theme="4"/>
      </bottom>
      <diagonal/>
    </border>
    <border>
      <left/>
      <right style="thin">
        <color theme="4"/>
      </right>
      <top style="thin">
        <color theme="4"/>
      </top>
      <bottom style="thin">
        <color theme="4"/>
      </bottom>
      <diagonal/>
    </border>
    <border>
      <left/>
      <right/>
      <top style="thin">
        <color theme="4"/>
      </top>
      <bottom style="thin">
        <color theme="4"/>
      </bottom>
      <diagonal/>
    </border>
    <border>
      <left/>
      <right style="thin">
        <color theme="4"/>
      </right>
      <top style="thin">
        <color theme="4"/>
      </top>
      <bottom/>
      <diagonal/>
    </border>
    <border>
      <left/>
      <right/>
      <top style="thin">
        <color theme="4"/>
      </top>
      <bottom/>
      <diagonal/>
    </border>
  </borders>
  <cellStyleXfs count="2">
    <xf numFmtId="0" fontId="0" fillId="0" borderId="0"/>
    <xf numFmtId="9" fontId="4" fillId="0" borderId="0" applyFont="0" applyFill="0" applyBorder="0" applyAlignment="0" applyProtection="0"/>
  </cellStyleXfs>
  <cellXfs count="20">
    <xf numFmtId="0" fontId="0" fillId="0" borderId="0" xfId="0"/>
    <xf numFmtId="0" fontId="1" fillId="0" borderId="0" xfId="0" applyFont="1"/>
    <xf numFmtId="0" fontId="0" fillId="0" borderId="0" xfId="0" applyAlignment="1">
      <alignment horizontal="center"/>
    </xf>
    <xf numFmtId="0" fontId="0" fillId="0" borderId="1" xfId="0" applyFont="1" applyBorder="1"/>
    <xf numFmtId="0" fontId="0" fillId="0" borderId="2" xfId="0" applyFont="1" applyBorder="1"/>
    <xf numFmtId="0" fontId="0" fillId="0" borderId="5" xfId="0" applyFont="1" applyBorder="1"/>
    <xf numFmtId="0" fontId="0" fillId="0" borderId="6" xfId="0" applyFont="1" applyBorder="1"/>
    <xf numFmtId="0" fontId="2" fillId="2" borderId="1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0" fontId="2" fillId="2" borderId="5" xfId="0" applyFont="1" applyFill="1" applyBorder="1" applyAlignment="1">
      <alignment horizontal="center"/>
    </xf>
    <xf numFmtId="0" fontId="1" fillId="0" borderId="4" xfId="0" applyFont="1" applyBorder="1"/>
    <xf numFmtId="0" fontId="1" fillId="0" borderId="3" xfId="0" applyFont="1" applyBorder="1"/>
    <xf numFmtId="0" fontId="0" fillId="0" borderId="4" xfId="0" applyFont="1" applyBorder="1"/>
    <xf numFmtId="0" fontId="0" fillId="0" borderId="3" xfId="0" applyFont="1" applyBorder="1"/>
    <xf numFmtId="0" fontId="1" fillId="0" borderId="2" xfId="0" applyFont="1" applyBorder="1"/>
    <xf numFmtId="0" fontId="2" fillId="2" borderId="0" xfId="0" applyFont="1" applyFill="1" applyBorder="1" applyAlignment="1">
      <alignment horizontal="center"/>
    </xf>
    <xf numFmtId="9" fontId="0" fillId="0" borderId="5" xfId="1" applyFont="1" applyBorder="1" applyAlignment="1">
      <alignment horizontal="right"/>
    </xf>
    <xf numFmtId="0" fontId="0" fillId="0" borderId="3" xfId="0" applyFont="1" applyBorder="1" applyAlignment="1">
      <alignment horizontal="right"/>
    </xf>
    <xf numFmtId="0" fontId="0" fillId="0" borderId="1" xfId="0" applyFont="1" applyBorder="1" applyAlignment="1">
      <alignment horizontal="center"/>
    </xf>
    <xf numFmtId="0" fontId="0" fillId="0" borderId="2" xfId="0" applyFont="1" applyBorder="1" applyAlignment="1">
      <alignment horizontal="center"/>
    </xf>
  </cellXfs>
  <cellStyles count="2">
    <cellStyle name="Normal" xfId="0" builtinId="0"/>
    <cellStyle name="Pourcentage" xfId="1" builtinId="5"/>
  </cellStyles>
  <dxfs count="2">
    <dxf>
      <font>
        <b/>
      </font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742950</xdr:colOff>
          <xdr:row>17</xdr:row>
          <xdr:rowOff>0</xdr:rowOff>
        </xdr:from>
        <xdr:to>
          <xdr:col>5</xdr:col>
          <xdr:colOff>828675</xdr:colOff>
          <xdr:row>19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Tri tableau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https://orange0-my.sharepoint.com/personal/vincent1_prevost_orange_com/Documents/Bureau/stat%20productme/extract_stat_test.xlsx" TargetMode="External"/><Relationship Id="rId1" Type="http://schemas.openxmlformats.org/officeDocument/2006/relationships/externalLinkPath" Target="stat%20productme/extract_stat_test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Sheet1"/>
    </sheetNames>
    <sheetDataSet>
      <sheetData sheetId="0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EA94EE7F-141A-4DC9-A125-9337D0A174CE}" name="Tableau2" displayName="Tableau2" ref="B1:C20" totalsRowShown="0" headerRowDxfId="1">
  <sortState xmlns:xlrd2="http://schemas.microsoft.com/office/spreadsheetml/2017/richdata2" ref="B2:C20">
    <sortCondition ref="B2:B20"/>
  </sortState>
  <tableColumns count="2">
    <tableColumn id="1" xr3:uid="{29441115-805C-4B11-8DE9-269597AA6547}" name="BOUTIQUE"/>
    <tableColumn id="2" xr3:uid="{E1A2D469-475D-40C7-88A4-BEDD8E794C54}" name="NB MOBILES OUT" dataDxfId="0">
      <calculatedColumnFormula>COUNTIF([1]!Table_Sheet1[Magasin],"ORANGE LIÉVIN")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52DA863-9113-4D09-8BF7-CE88746ECDD2}">
  <sheetPr codeName="Feuil1"/>
  <dimension ref="A1:J20"/>
  <sheetViews>
    <sheetView tabSelected="1" workbookViewId="0">
      <selection activeCell="F30" sqref="F30"/>
    </sheetView>
  </sheetViews>
  <sheetFormatPr baseColWidth="10" defaultRowHeight="15" x14ac:dyDescent="0.25"/>
  <cols>
    <col min="2" max="2" width="24.5703125" bestFit="1" customWidth="1"/>
    <col min="3" max="3" width="18.5703125" bestFit="1" customWidth="1"/>
    <col min="6" max="6" width="12.85546875" bestFit="1" customWidth="1"/>
    <col min="7" max="7" width="10.5703125" bestFit="1" customWidth="1"/>
    <col min="8" max="8" width="18" bestFit="1" customWidth="1"/>
    <col min="9" max="9" width="16.42578125" bestFit="1" customWidth="1"/>
    <col min="10" max="10" width="20.140625" bestFit="1" customWidth="1"/>
  </cols>
  <sheetData>
    <row r="1" spans="1:10" x14ac:dyDescent="0.25">
      <c r="A1" s="7" t="s">
        <v>35</v>
      </c>
      <c r="B1" s="2" t="s">
        <v>17</v>
      </c>
      <c r="C1" s="2" t="s">
        <v>18</v>
      </c>
      <c r="E1" s="7" t="s">
        <v>23</v>
      </c>
      <c r="F1" s="8" t="s">
        <v>24</v>
      </c>
      <c r="G1" s="8" t="s">
        <v>28</v>
      </c>
      <c r="H1" s="9" t="s">
        <v>29</v>
      </c>
      <c r="I1" s="15" t="s">
        <v>33</v>
      </c>
      <c r="J1" s="15" t="s">
        <v>34</v>
      </c>
    </row>
    <row r="2" spans="1:10" x14ac:dyDescent="0.25">
      <c r="A2" s="18">
        <f>RANK(C2,$C$2:$C$20,1)</f>
        <v>1</v>
      </c>
      <c r="B2" t="s">
        <v>0</v>
      </c>
      <c r="C2" s="1">
        <f>COUNTIFS([1]!Table_Sheet1[Magasin],"ORANGE LIÉVIN",[1]!Table_Sheet1[Statut],"Hors ligne ")</f>
        <v>0</v>
      </c>
      <c r="E2" s="3" t="s">
        <v>19</v>
      </c>
      <c r="F2" s="6">
        <f>COUNTIFS([1]!Table_Sheet1[Dispositif],"Samsung *",[1]!Table_Sheet1[Statut],"Hors ligne ")</f>
        <v>20</v>
      </c>
      <c r="G2" s="6">
        <f>COUNTIFS([1]!Table_Sheet1[Dispositif],"Samsung *",[1]!Table_Sheet1[Statut],"En ligne")</f>
        <v>309</v>
      </c>
      <c r="H2" s="5">
        <f>SUM('Stats a N'!$F2:$G2)</f>
        <v>329</v>
      </c>
      <c r="I2" s="16">
        <f>IF(F2=0,"",(F2/H2))</f>
        <v>6.0790273556231005E-2</v>
      </c>
      <c r="J2" s="16">
        <f>IF(F2="",0,F2/$F$11)</f>
        <v>0.27027027027027029</v>
      </c>
    </row>
    <row r="3" spans="1:10" x14ac:dyDescent="0.25">
      <c r="A3" s="18">
        <f t="shared" ref="A3:A20" si="0">RANK(C3,$C$2:$C$20,1)</f>
        <v>1</v>
      </c>
      <c r="B3" t="s">
        <v>26</v>
      </c>
      <c r="C3" s="1">
        <f>COUNTIFS([1]!Table_Sheet1[Magasin],"ORANGE CAMBRAI",[1]!Table_Sheet1[Statut],"Hors ligne ")</f>
        <v>0</v>
      </c>
      <c r="E3" s="3" t="s">
        <v>20</v>
      </c>
      <c r="F3" s="6">
        <f>COUNTIFS([1]!Table_Sheet1[Dispositif],"Xiaomi *",[1]!Table_Sheet1[Statut],"Hors ligne ")</f>
        <v>16</v>
      </c>
      <c r="G3" s="6">
        <f>COUNTIFS([1]!Table_Sheet1[Dispositif],"Xiaomi *",[1]!Table_Sheet1[Statut],"En ligne")</f>
        <v>177</v>
      </c>
      <c r="H3" s="5">
        <f>SUM('Stats a N'!$F3:$G3)</f>
        <v>193</v>
      </c>
      <c r="I3" s="16">
        <f t="shared" ref="I3:I7" si="1">IF(F3=0,"",(F3/H3))</f>
        <v>8.2901554404145081E-2</v>
      </c>
      <c r="J3" s="16">
        <f t="shared" ref="J3:J8" si="2">IF(F3="",0,F3/$F$11)</f>
        <v>0.21621621621621623</v>
      </c>
    </row>
    <row r="4" spans="1:10" x14ac:dyDescent="0.25">
      <c r="A4" s="18">
        <f t="shared" si="0"/>
        <v>3</v>
      </c>
      <c r="B4" t="s">
        <v>1</v>
      </c>
      <c r="C4" s="1">
        <v>1</v>
      </c>
      <c r="E4" s="3" t="s">
        <v>21</v>
      </c>
      <c r="F4" s="6">
        <f>COUNTIFS([1]!Table_Sheet1[Dispositif],"Honor *",[1]!Table_Sheet1[Statut],"Hors ligne ")</f>
        <v>9</v>
      </c>
      <c r="G4" s="6">
        <f>COUNTIFS([1]!Table_Sheet1[Dispositif],"Honor*",[1]!Table_Sheet1[Statut],"En ligne")</f>
        <v>121</v>
      </c>
      <c r="H4" s="5">
        <f>SUM('Stats a N'!$F4:$G4)</f>
        <v>130</v>
      </c>
      <c r="I4" s="16">
        <f t="shared" si="1"/>
        <v>6.9230769230769235E-2</v>
      </c>
      <c r="J4" s="16">
        <f t="shared" si="2"/>
        <v>0.12162162162162163</v>
      </c>
    </row>
    <row r="5" spans="1:10" x14ac:dyDescent="0.25">
      <c r="A5" s="18">
        <f t="shared" si="0"/>
        <v>3</v>
      </c>
      <c r="B5" t="s">
        <v>2</v>
      </c>
      <c r="C5" s="1">
        <f>COUNTIFS([1]!Table_Sheet1[Magasin],"ORANGE DUNKERQUE",[1]!Table_Sheet1[Statut],"Hors ligne ")</f>
        <v>1</v>
      </c>
      <c r="E5" s="3" t="s">
        <v>27</v>
      </c>
      <c r="F5" s="6">
        <f>COUNTIFS([1]!Table_Sheet1[Dispositif],"iPhone*",[1]!Table_Sheet1[Statut],"Hors ligne ")</f>
        <v>18</v>
      </c>
      <c r="G5" s="6">
        <f>COUNTIFS([1]!Table_Sheet1[Dispositif],"iPhone *",[1]!Table_Sheet1[Statut],"En ligne")</f>
        <v>63</v>
      </c>
      <c r="H5" s="5">
        <f>SUM('Stats a N'!$F5:$G5)</f>
        <v>81</v>
      </c>
      <c r="I5" s="16">
        <f t="shared" si="1"/>
        <v>0.22222222222222221</v>
      </c>
      <c r="J5" s="16">
        <f t="shared" si="2"/>
        <v>0.24324324324324326</v>
      </c>
    </row>
    <row r="6" spans="1:10" x14ac:dyDescent="0.25">
      <c r="A6" s="18">
        <f t="shared" si="0"/>
        <v>5</v>
      </c>
      <c r="B6" t="s">
        <v>25</v>
      </c>
      <c r="C6" s="1">
        <f>COUNTIFS([1]!Table_Sheet1[Magasin],"ORANGE LONGUENESSE",[1]!Table_Sheet1[Statut],"Hors ligne ")</f>
        <v>2</v>
      </c>
      <c r="E6" s="3" t="s">
        <v>22</v>
      </c>
      <c r="F6" s="6">
        <f>COUNTIFS([1]!Table_Sheet1[Dispositif],"Google *",[1]!Table_Sheet1[Statut],"Hors ligne ")</f>
        <v>6</v>
      </c>
      <c r="G6" s="6">
        <f>COUNTIFS([1]!Table_Sheet1[Dispositif],"Google *",[1]!Table_Sheet1[Statut],"En ligne")</f>
        <v>63</v>
      </c>
      <c r="H6" s="5">
        <f>SUM('Stats a N'!$F6:$G6)</f>
        <v>69</v>
      </c>
      <c r="I6" s="16">
        <f t="shared" si="1"/>
        <v>8.6956521739130432E-2</v>
      </c>
      <c r="J6" s="16">
        <f t="shared" si="2"/>
        <v>8.1081081081081086E-2</v>
      </c>
    </row>
    <row r="7" spans="1:10" x14ac:dyDescent="0.25">
      <c r="A7" s="18">
        <f t="shared" si="0"/>
        <v>5</v>
      </c>
      <c r="B7" t="s">
        <v>4</v>
      </c>
      <c r="C7" s="1">
        <f>COUNTIFS([1]!Table_Sheet1[Magasin],"ORANGE VILLENEUVE D ASCQ",[1]!Table_Sheet1[Statut],"Hors ligne ")</f>
        <v>2</v>
      </c>
      <c r="E7" s="4" t="s">
        <v>30</v>
      </c>
      <c r="F7" s="12">
        <f>COUNTIFS([1]!Table_Sheet1[Dispositif],"Fairphone *",[1]!Table_Sheet1[Statut],"Hors ligne ")</f>
        <v>5</v>
      </c>
      <c r="G7" s="12">
        <f>COUNTIFS([1]!Table_Sheet1[Dispositif],"Fairphone *",[1]!Table_Sheet1[Statut],"En ligne")</f>
        <v>10</v>
      </c>
      <c r="H7" s="13">
        <f>SUM(F7:G7)</f>
        <v>15</v>
      </c>
      <c r="I7" s="16">
        <f t="shared" si="1"/>
        <v>0.33333333333333331</v>
      </c>
      <c r="J7" s="16">
        <f t="shared" si="2"/>
        <v>6.7567567567567571E-2</v>
      </c>
    </row>
    <row r="8" spans="1:10" x14ac:dyDescent="0.25">
      <c r="A8" s="18">
        <f t="shared" si="0"/>
        <v>5</v>
      </c>
      <c r="B8" t="s">
        <v>5</v>
      </c>
      <c r="C8" s="1">
        <f>COUNTIFS([1]!Table_Sheet1[Magasin],"ORANGE VALENCIENNES",[1]!Table_Sheet1[Statut],"Hors ligne ")</f>
        <v>2</v>
      </c>
      <c r="E8" s="4" t="s">
        <v>31</v>
      </c>
      <c r="F8" s="12">
        <f>COUNTIFS([1]!Table_Sheet1[Dispositif],"Crosscall *",[1]!Table_Sheet1[Statut],"Hors ligne ")</f>
        <v>0</v>
      </c>
      <c r="G8" s="12">
        <f>COUNTIFS([1]!Table_Sheet1[Dispositif],"Crosscall *",[1]!Table_Sheet1[Statut],"En ligne")</f>
        <v>0</v>
      </c>
      <c r="H8" s="13">
        <f>SUM(F8:G8)</f>
        <v>0</v>
      </c>
      <c r="I8" s="17" t="str">
        <f>IF(F8=0,"0",(F8/H8))</f>
        <v>0</v>
      </c>
      <c r="J8" s="17">
        <f t="shared" si="2"/>
        <v>0</v>
      </c>
    </row>
    <row r="9" spans="1:10" x14ac:dyDescent="0.25">
      <c r="A9" s="18">
        <f t="shared" si="0"/>
        <v>8</v>
      </c>
      <c r="B9" t="s">
        <v>6</v>
      </c>
      <c r="C9" s="1">
        <f>COUNTIFS([1]!Table_Sheet1[Magasin],"ORANGE ABBEVILLE",[1]!Table_Sheet1[Statut],"Hors ligne ")</f>
        <v>3</v>
      </c>
    </row>
    <row r="10" spans="1:10" x14ac:dyDescent="0.25">
      <c r="A10" s="18">
        <f t="shared" si="0"/>
        <v>8</v>
      </c>
      <c r="B10" t="s">
        <v>7</v>
      </c>
      <c r="C10" s="1">
        <f>COUNTIFS([1]!Table_Sheet1[Magasin],"ORANGE CENTRE LILLE",[1]!Table_Sheet1[Statut],"Hors ligne ")</f>
        <v>3</v>
      </c>
    </row>
    <row r="11" spans="1:10" x14ac:dyDescent="0.25">
      <c r="A11" s="18">
        <f t="shared" si="0"/>
        <v>8</v>
      </c>
      <c r="B11" t="s">
        <v>8</v>
      </c>
      <c r="C11" s="1">
        <f>COUNTIFS([1]!Table_Sheet1[Magasin],"ORANGE CHÂLONS EN CHAMPAGNE",[1]!Table_Sheet1[Statut],"Hors ligne ")</f>
        <v>3</v>
      </c>
      <c r="E11" s="14" t="s">
        <v>32</v>
      </c>
      <c r="F11" s="10">
        <f>SUM(F2:F8)</f>
        <v>74</v>
      </c>
      <c r="G11" s="10">
        <f>SUM(G2:G8)</f>
        <v>743</v>
      </c>
      <c r="H11" s="11">
        <f>SUM(H2:H8)</f>
        <v>817</v>
      </c>
    </row>
    <row r="12" spans="1:10" x14ac:dyDescent="0.25">
      <c r="A12" s="18">
        <f t="shared" si="0"/>
        <v>11</v>
      </c>
      <c r="B12" t="s">
        <v>3</v>
      </c>
      <c r="C12" s="1">
        <f>COUNTIFS([1]!Table_Sheet1[Magasin],"ORANGE CHARLEVILLE MEZIÈRES",[1]!Table_Sheet1[Statut],"Hors ligne ")</f>
        <v>4</v>
      </c>
    </row>
    <row r="13" spans="1:10" x14ac:dyDescent="0.25">
      <c r="A13" s="18">
        <f t="shared" si="0"/>
        <v>12</v>
      </c>
      <c r="B13" t="s">
        <v>9</v>
      </c>
      <c r="C13" s="1">
        <v>5</v>
      </c>
    </row>
    <row r="14" spans="1:10" x14ac:dyDescent="0.25">
      <c r="A14" s="18">
        <f t="shared" si="0"/>
        <v>12</v>
      </c>
      <c r="B14" t="s">
        <v>10</v>
      </c>
      <c r="C14" s="1">
        <f>COUNTIFS([1]!Table_Sheet1[Magasin],"ORANGE VENETTE",[1]!Table_Sheet1[Statut],"Hors ligne ")</f>
        <v>5</v>
      </c>
    </row>
    <row r="15" spans="1:10" x14ac:dyDescent="0.25">
      <c r="A15" s="18">
        <f t="shared" si="0"/>
        <v>14</v>
      </c>
      <c r="B15" t="s">
        <v>11</v>
      </c>
      <c r="C15" s="1">
        <f>COUNTIFS([1]!Table_Sheet1[Magasin],"ORANGE DURY",[1]!Table_Sheet1[Statut],"Hors ligne ")</f>
        <v>6</v>
      </c>
    </row>
    <row r="16" spans="1:10" x14ac:dyDescent="0.25">
      <c r="A16" s="18">
        <f t="shared" si="0"/>
        <v>14</v>
      </c>
      <c r="B16" t="s">
        <v>12</v>
      </c>
      <c r="C16" s="1">
        <f>COUNTIFS([1]!Table_Sheet1[Magasin],"ORANGE REIMS",[1]!Table_Sheet1[Statut],"Hors ligne ")</f>
        <v>6</v>
      </c>
    </row>
    <row r="17" spans="1:3" x14ac:dyDescent="0.25">
      <c r="A17" s="18">
        <f t="shared" si="0"/>
        <v>14</v>
      </c>
      <c r="B17" t="s">
        <v>13</v>
      </c>
      <c r="C17" s="1">
        <f>COUNTIFS([1]!Table_Sheet1[Magasin],"ORANGE ST MAXIMIN",[1]!Table_Sheet1[Statut],"Hors ligne ")</f>
        <v>6</v>
      </c>
    </row>
    <row r="18" spans="1:3" x14ac:dyDescent="0.25">
      <c r="A18" s="18">
        <f t="shared" si="0"/>
        <v>17</v>
      </c>
      <c r="B18" t="s">
        <v>14</v>
      </c>
      <c r="C18" s="1">
        <f>COUNTIFS([1]!Table_Sheet1[Magasin],"ORANGE BOULOGNE SUR MER",[1]!Table_Sheet1[Statut],"Hors ligne ")</f>
        <v>9</v>
      </c>
    </row>
    <row r="19" spans="1:3" x14ac:dyDescent="0.25">
      <c r="A19" s="18">
        <f t="shared" si="0"/>
        <v>17</v>
      </c>
      <c r="B19" t="s">
        <v>15</v>
      </c>
      <c r="C19" s="1">
        <f>COUNTIFS([1]!Table_Sheet1[Magasin],"ORANGE ST QUENTIN",[1]!Table_Sheet1[Statut],"Hors ligne ")</f>
        <v>9</v>
      </c>
    </row>
    <row r="20" spans="1:3" x14ac:dyDescent="0.25">
      <c r="A20" s="19">
        <f t="shared" si="0"/>
        <v>17</v>
      </c>
      <c r="B20" t="s">
        <v>16</v>
      </c>
      <c r="C20" s="1">
        <f>COUNTIFS([1]!Table_Sheet1[Magasin],"ORANGE ENGLOS",[1]!Table_Sheet1[Statut],"Hors ligne ")</f>
        <v>9</v>
      </c>
    </row>
  </sheetData>
  <sortState xmlns:xlrd2="http://schemas.microsoft.com/office/spreadsheetml/2017/richdata2" ref="A2:B20">
    <sortCondition ref="B2:B20"/>
  </sortState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Tri">
                <anchor moveWithCells="1" sizeWithCells="1">
                  <from>
                    <xdr:col>3</xdr:col>
                    <xdr:colOff>742950</xdr:colOff>
                    <xdr:row>17</xdr:row>
                    <xdr:rowOff>0</xdr:rowOff>
                  </from>
                  <to>
                    <xdr:col>5</xdr:col>
                    <xdr:colOff>828675</xdr:colOff>
                    <xdr:row>19</xdr:row>
                    <xdr:rowOff>0</xdr:rowOff>
                  </to>
                </anchor>
              </controlPr>
            </control>
          </mc:Choice>
        </mc:AlternateContent>
      </controls>
    </mc:Choice>
  </mc:AlternateContent>
  <tableParts count="1">
    <tablePart r:id="rId4"/>
  </tableParts>
</worksheet>
</file>

<file path=docMetadata/LabelInfo.xml><?xml version="1.0" encoding="utf-8"?>
<clbl:labelList xmlns:clbl="http://schemas.microsoft.com/office/2020/mipLabelMetadata">
  <clbl:label id="{e6c818a6-e1a0-4a6e-a969-20d857c5dc62}" enabled="1" method="Standard" siteId="{90c7a20a-f34b-40bf-bc48-b9253b6f5d20}" removed="0"/>
</clbl:labelLis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Stats a N</vt:lpstr>
    </vt:vector>
  </TitlesOfParts>
  <Manager/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/>
  <dcterms:created xsi:type="dcterms:W3CDTF">2025-05-28T06:51:01Z</dcterms:created>
  <dcterms:modified xsi:type="dcterms:W3CDTF">2025-06-24T09:39:41Z</dcterms:modified>
  <cp:category/>
</cp:coreProperties>
</file>