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/>
  <xr:revisionPtr revIDLastSave="0" documentId="13_ncr:1_{79BA261B-3EC5-47A9-BE1D-C29125B3F8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is + Fiche" sheetId="3" r:id="rId1"/>
    <sheet name="Accueil" sheetId="1" r:id="rId2"/>
    <sheet name="Données" sheetId="4" r:id="rId3"/>
  </sheets>
  <definedNames>
    <definedName name="Lettre">Données!$A$2:$A$13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4" l="1"/>
  <c r="J12" i="4"/>
  <c r="J11" i="4"/>
  <c r="J10" i="4"/>
  <c r="J9" i="4"/>
  <c r="J6" i="4"/>
  <c r="J5" i="4"/>
  <c r="J3" i="4"/>
  <c r="J8" i="4" s="1"/>
  <c r="J2" i="4"/>
  <c r="J29" i="3"/>
  <c r="M29" i="3" s="1"/>
  <c r="J28" i="3"/>
  <c r="M28" i="3" s="1"/>
  <c r="J27" i="3"/>
  <c r="J26" i="3"/>
  <c r="J25" i="3"/>
  <c r="J24" i="3"/>
  <c r="J23" i="3"/>
  <c r="J22" i="3"/>
  <c r="J21" i="3"/>
  <c r="J20" i="3"/>
  <c r="J19" i="3"/>
  <c r="J18" i="3"/>
  <c r="N6" i="3"/>
  <c r="L6" i="3"/>
  <c r="J6" i="3"/>
  <c r="H6" i="3"/>
  <c r="F6" i="3"/>
  <c r="D6" i="3"/>
  <c r="B6" i="3"/>
  <c r="B5" i="3"/>
  <c r="L12" i="3" s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L7" i="3" l="1"/>
  <c r="D7" i="3"/>
  <c r="D11" i="3"/>
  <c r="H9" i="3"/>
  <c r="L11" i="3"/>
  <c r="D9" i="3"/>
  <c r="H11" i="3"/>
  <c r="H7" i="3"/>
  <c r="L9" i="3"/>
  <c r="B12" i="3"/>
  <c r="P12" i="3" s="1"/>
  <c r="Q12" i="3" s="1"/>
  <c r="B10" i="3"/>
  <c r="P10" i="3" s="1"/>
  <c r="Q10" i="3" s="1"/>
  <c r="F12" i="3"/>
  <c r="B8" i="3"/>
  <c r="P8" i="3" s="1"/>
  <c r="Q8" i="3" s="1"/>
  <c r="F10" i="3"/>
  <c r="J12" i="3"/>
  <c r="F8" i="3"/>
  <c r="J10" i="3"/>
  <c r="N12" i="3"/>
  <c r="J8" i="3"/>
  <c r="N10" i="3"/>
  <c r="N8" i="3"/>
  <c r="C32" i="1"/>
  <c r="C33" i="1"/>
  <c r="C31" i="1"/>
  <c r="B7" i="3"/>
  <c r="F7" i="3"/>
  <c r="J7" i="3"/>
  <c r="N7" i="3"/>
  <c r="Q7" i="3" s="1"/>
  <c r="D8" i="3"/>
  <c r="H8" i="3"/>
  <c r="L8" i="3"/>
  <c r="B9" i="3"/>
  <c r="P9" i="3" s="1"/>
  <c r="Q9" i="3" s="1"/>
  <c r="F9" i="3"/>
  <c r="J9" i="3"/>
  <c r="N9" i="3"/>
  <c r="D10" i="3"/>
  <c r="H10" i="3"/>
  <c r="L10" i="3"/>
  <c r="B11" i="3"/>
  <c r="P11" i="3" s="1"/>
  <c r="Q11" i="3" s="1"/>
  <c r="F11" i="3"/>
  <c r="J11" i="3"/>
  <c r="N11" i="3"/>
  <c r="D12" i="3"/>
  <c r="H12" i="3"/>
  <c r="J4" i="4"/>
  <c r="J7" i="4"/>
  <c r="K18" i="3" l="1"/>
  <c r="P7" i="3"/>
  <c r="K28" i="3"/>
  <c r="K29" i="3"/>
  <c r="K26" i="3"/>
  <c r="M26" i="3" s="1"/>
  <c r="K27" i="3"/>
  <c r="M27" i="3" s="1"/>
  <c r="K19" i="3"/>
  <c r="M19" i="3" s="1"/>
  <c r="K20" i="3"/>
  <c r="M20" i="3" s="1"/>
  <c r="K21" i="3"/>
  <c r="M21" i="3" s="1"/>
  <c r="K22" i="3"/>
  <c r="M22" i="3" s="1"/>
  <c r="K23" i="3"/>
  <c r="M23" i="3" s="1"/>
  <c r="K24" i="3"/>
  <c r="M24" i="3" s="1"/>
  <c r="K25" i="3"/>
  <c r="M25" i="3" s="1"/>
  <c r="K30" i="3" l="1"/>
  <c r="M30" i="3" s="1"/>
  <c r="K31" i="3"/>
  <c r="M31" i="3" s="1"/>
  <c r="M18" i="3"/>
  <c r="M36" i="3" l="1"/>
  <c r="M3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B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Change les jours de la semaine laisser sur 2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<sst xmlns="http://schemas.openxmlformats.org/spreadsheetml/2006/main" count="80" uniqueCount="72">
  <si>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</si>
  <si>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</si>
  <si>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</si>
  <si>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</si>
  <si>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</si>
  <si>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</si>
  <si>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</si>
  <si>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</si>
  <si>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</si>
  <si>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</si>
  <si>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</si>
  <si>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</si>
  <si>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</t>
  </si>
  <si>
    <t>LETTRE</t>
  </si>
  <si>
    <t>DÉNOMINATION</t>
  </si>
  <si>
    <t>MOIS</t>
  </si>
  <si>
    <t>MOIS2</t>
  </si>
  <si>
    <t>ANNÉES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</si>
  <si>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</si>
  <si>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</si>
  <si>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</si>
  <si>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</si>
  <si>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</si>
  <si>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</si>
  <si>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</si>
  <si>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</si>
  <si>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</si>
  <si>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</si>
  <si>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</si>
  <si>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</si>
  <si>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JOURS</t>
  </si>
  <si>
    <t>DATES</t>
  </si>
  <si>
    <t xml:space="preserve">Total net </t>
  </si>
  <si>
    <t>Total brut</t>
  </si>
  <si>
    <t>Congé ancienneté</t>
  </si>
  <si>
    <t>Prime de transfert</t>
  </si>
  <si>
    <t>Prime flex salaire</t>
  </si>
  <si>
    <t xml:space="preserve">Trajet par Voyage </t>
  </si>
  <si>
    <t xml:space="preserve">Ticket restaurant </t>
  </si>
  <si>
    <t>Formation</t>
  </si>
  <si>
    <t>Réunion</t>
  </si>
  <si>
    <t>Heure sup nuit</t>
  </si>
  <si>
    <t>Heure sup m/a-m</t>
  </si>
  <si>
    <t>Jours fériés</t>
  </si>
  <si>
    <t>Journée de pont</t>
  </si>
  <si>
    <t>Jours semaine nuit</t>
  </si>
  <si>
    <t>Jours semaine m/a-m</t>
  </si>
  <si>
    <t>Dimanche matin</t>
  </si>
  <si>
    <t>Samedi matin</t>
  </si>
  <si>
    <t>Dimanche nuit</t>
  </si>
  <si>
    <t>Samedi nuit</t>
  </si>
  <si>
    <t>Taux horraire</t>
  </si>
  <si>
    <t>Total</t>
  </si>
  <si>
    <t>Heures</t>
  </si>
  <si>
    <t>Nombres de jours</t>
  </si>
  <si>
    <t>Total €</t>
  </si>
  <si>
    <t>Js M/A-p</t>
  </si>
  <si>
    <t>Js Nuit</t>
  </si>
  <si>
    <t>J de Pont</t>
  </si>
  <si>
    <t>Heure sup m/a-p</t>
  </si>
  <si>
    <t>sn</t>
  </si>
  <si>
    <t>dn</t>
  </si>
  <si>
    <t>sm</t>
  </si>
  <si>
    <t>dm</t>
  </si>
  <si>
    <t>js m/a</t>
  </si>
  <si>
    <t>js n</t>
  </si>
  <si>
    <t>jp</t>
  </si>
  <si>
    <t>jf</t>
  </si>
  <si>
    <t>h m/a</t>
  </si>
  <si>
    <t>h n</t>
  </si>
  <si>
    <t>r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</si>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</sst>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 &quot;→&quot;"/>
    <numFmt numFmtId="165" formatCode="ddd\ dd/mm/yyyy"/>
    <numFmt numFmtId="166" formatCode="mmmm\ yyyy"/>
  </numFmts>
  <fonts count="16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Nexa Bold"/>
      <family val="3"/>
    </font>
    <font>
      <sz val="14"/>
      <color rgb="FF00B0F0"/>
      <name val="Nexa Bold"/>
      <family val="3"/>
    </font>
    <font>
      <sz val="18"/>
      <color theme="1"/>
      <name val="Nexa Bold"/>
      <family val="3"/>
    </font>
    <font>
      <sz val="16"/>
      <color theme="1"/>
      <name val="Nexa Light"/>
      <family val="3"/>
    </font>
    <font>
      <sz val="10"/>
      <color theme="0"/>
      <name val="Calibri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007185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ck">
        <color theme="4" tint="0.499984740745262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</borders>
  <cellStyleXfs count="2">
    <xf numFmtId="0" fontId="0" fillId="0" borderId="0"/>
    <xf numFmtId="0" fontId="10" fillId="0" borderId="8" applyNumberFormat="0" applyFill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4" fontId="9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165" fontId="6" fillId="0" borderId="7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0" fontId="11" fillId="4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5" fillId="0" borderId="0" xfId="0" applyFont="1"/>
    <xf numFmtId="164" fontId="7" fillId="0" borderId="9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64" fontId="7" fillId="7" borderId="9" xfId="0" applyNumberFormat="1" applyFont="1" applyFill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1" fillId="0" borderId="9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10" fillId="8" borderId="10" xfId="1" applyFill="1" applyBorder="1" applyAlignment="1" applyProtection="1">
      <alignment horizontal="center"/>
      <protection locked="0"/>
    </xf>
    <xf numFmtId="0" fontId="10" fillId="10" borderId="10" xfId="1" applyFill="1" applyBorder="1" applyAlignment="1" applyProtection="1">
      <alignment horizontal="center"/>
      <protection locked="0"/>
    </xf>
    <xf numFmtId="2" fontId="10" fillId="0" borderId="10" xfId="1" applyNumberFormat="1" applyBorder="1" applyAlignment="1" applyProtection="1">
      <alignment horizontal="center"/>
      <protection locked="0"/>
    </xf>
    <xf numFmtId="2" fontId="10" fillId="0" borderId="10" xfId="1" applyNumberFormat="1" applyBorder="1" applyAlignment="1" applyProtection="1">
      <alignment horizontal="center"/>
    </xf>
    <xf numFmtId="0" fontId="10" fillId="9" borderId="10" xfId="1" applyFill="1" applyBorder="1" applyAlignment="1" applyProtection="1">
      <alignment horizontal="center"/>
      <protection locked="0"/>
    </xf>
    <xf numFmtId="2" fontId="10" fillId="0" borderId="10" xfId="1" applyNumberFormat="1" applyBorder="1" applyProtection="1">
      <protection locked="0"/>
    </xf>
    <xf numFmtId="2" fontId="10" fillId="8" borderId="10" xfId="1" applyNumberFormat="1" applyFill="1" applyBorder="1" applyAlignment="1" applyProtection="1">
      <alignment horizontal="center"/>
    </xf>
    <xf numFmtId="0" fontId="3" fillId="0" borderId="0" xfId="0" applyFont="1" applyAlignment="1">
      <alignment horizontal="left" vertical="center"/>
    </xf>
    <xf numFmtId="166" fontId="4" fillId="5" borderId="9" xfId="0" applyNumberFormat="1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</cellXfs>
  <cellStyles count="2">
    <cellStyle name="Normal" xfId="0" builtinId="0"/>
    <cellStyle name="Titre 2" xfId="1" builtinId="17"/>
  </cellStyles>
  <dxfs count="1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numFmt numFmtId="165" formatCode="ddd\ dd/mm/yyyy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477079</xdr:colOff>
      <xdr:row>15</xdr:row>
      <xdr:rowOff>99390</xdr:rowOff>
    </xdr:from>
    <xdr:to>
      <xdr:col>6</xdr:col>
      <xdr:colOff>569844</xdr:colOff>
      <xdr:row>17</xdr:row>
      <xdr:rowOff>205408</xdr:rowOff>
    </xdr:to>
    <xdr:sp macro="[0]!ac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43879" y="3432312"/>
          <a:ext cx="2922104" cy="576470"/>
        </a:xfrm>
        <a:prstGeom prst="roundRect">
          <a:avLst/>
        </a:prstGeom>
        <a:solidFill>
          <a:schemeClr val="accent4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Sauvegarde du mois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525780</xdr:colOff>
          <xdr:row>18</xdr:row>
          <xdr:rowOff>129540</xdr:rowOff>
        </xdr:from>
        <xdr:to>
          <xdr:col>6</xdr:col>
          <xdr:colOff>434340</xdr:colOff>
          <xdr:row>21</xdr:row>
          <xdr:rowOff>22860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" displayName="D" ref="A1:B13" totalsRowShown="0" headerRowDxfId="15" dataDxfId="14">
  <autoFilter ref="A1:B13" xr:uid="{00000000-0009-0000-0100-000001000000}"/>
  <tableColumns count="2">
    <tableColumn id="1" xr3:uid="{00000000-0010-0000-0000-000001000000}" name="LETTRE" dataDxfId="13"/>
    <tableColumn id="2" xr3:uid="{00000000-0010-0000-0000-000002000000}" name="DÉNOMINATION" dataDxfId="12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MOIS" displayName="MOIS" ref="D1:E13" totalsRowShown="0" headerRowDxfId="11" dataDxfId="10">
  <autoFilter ref="D1:E13" xr:uid="{00000000-0009-0000-0100-000002000000}"/>
  <tableColumns count="2">
    <tableColumn id="1" xr3:uid="{00000000-0010-0000-0100-000001000000}" name="MOIS" dataDxfId="9"/>
    <tableColumn id="2" xr3:uid="{00000000-0010-0000-0100-000002000000}" name="MOIS2" dataDxfId="8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ANNÉES" displayName="ANNÉES" ref="G1:G11" totalsRowShown="0" headerRowDxfId="7" dataDxfId="6">
  <autoFilter ref="G1:G11" xr:uid="{00000000-0009-0000-0100-000005000000}"/>
  <tableColumns count="1">
    <tableColumn id="1" xr3:uid="{00000000-0010-0000-0200-000001000000}" name="ANNÉES" dataDxfId="5"/>
  </tableColumns>
  <tableStyleInfo name="TableStyleDark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JOURS" displayName="JOURS" ref="I1:J13" totalsRowShown="0" headerRowBorderDxfId="4" tableBorderDxfId="3" totalsRowBorderDxfId="2">
  <autoFilter ref="I1:J13" xr:uid="{00000000-0009-0000-0100-000006000000}"/>
  <tableColumns count="2">
    <tableColumn id="1" xr3:uid="{00000000-0010-0000-0300-000001000000}" name="JOURS" dataDxfId="1"/>
    <tableColumn id="2" xr3:uid="{00000000-0010-0000-0300-000002000000}" name="DATES" dataDxfId="0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  <pageSetUpPr fitToPage="1"/>
  </sheetPr>
  <dimension ref="A2:R38"/>
  <sheetViews>
    <sheetView tabSelected="1" topLeftCell="A4" zoomScale="115" zoomScaleNormal="115" workbookViewId="0">
      <selection activeCell="E22" sqref="E22"/>
    </sheetView>
  </sheetViews>
  <sheetFormatPr baseColWidth="10" defaultColWidth="11.5546875" defaultRowHeight="15.6"/>
  <cols>
    <col min="1" max="1" width="3.6640625" style="8" customWidth="1"/>
    <col min="2" max="2" width="11.88671875" style="8" customWidth="1"/>
    <col min="3" max="3" width="13.6640625" style="17" customWidth="1"/>
    <col min="4" max="4" width="6.6640625" style="8" customWidth="1"/>
    <col min="5" max="5" width="14.33203125" style="17" bestFit="1" customWidth="1"/>
    <col min="6" max="6" width="6.6640625" style="8" customWidth="1"/>
    <col min="7" max="7" width="14.33203125" style="17" bestFit="1" customWidth="1"/>
    <col min="8" max="8" width="6.6640625" style="8" customWidth="1"/>
    <col min="9" max="9" width="23.21875" style="17" bestFit="1" customWidth="1"/>
    <col min="10" max="10" width="8" style="8" bestFit="1" customWidth="1"/>
    <col min="11" max="11" width="14.33203125" style="17" bestFit="1" customWidth="1"/>
    <col min="12" max="12" width="6.6640625" style="8" customWidth="1"/>
    <col min="13" max="13" width="14.33203125" style="17" bestFit="1" customWidth="1"/>
    <col min="14" max="14" width="6.6640625" style="8" customWidth="1"/>
    <col min="15" max="15" width="14.33203125" style="17" bestFit="1" customWidth="1"/>
    <col min="16" max="16" width="4.44140625" style="8" customWidth="1"/>
    <col min="17" max="17" width="28.33203125" style="8" bestFit="1" customWidth="1"/>
    <col min="18" max="18" width="3.6640625" style="8" customWidth="1"/>
    <col min="19" max="19" width="23.33203125" style="8" bestFit="1" customWidth="1"/>
    <col min="20" max="20" width="11.5546875" style="8"/>
    <col min="21" max="21" width="19.33203125" style="8" bestFit="1" customWidth="1"/>
    <col min="22" max="16384" width="11.5546875" style="8"/>
  </cols>
  <sheetData>
    <row r="2" spans="1:18">
      <c r="A2" s="7"/>
      <c r="B2" s="7"/>
      <c r="C2" s="16"/>
      <c r="D2" s="7"/>
      <c r="E2" s="16"/>
      <c r="F2" s="7"/>
      <c r="G2" s="16"/>
      <c r="H2" s="7"/>
      <c r="I2" s="16"/>
      <c r="J2" s="7"/>
      <c r="K2" s="16"/>
      <c r="L2" s="7"/>
      <c r="M2" s="16"/>
      <c r="N2" s="7"/>
      <c r="O2" s="16"/>
      <c r="P2" s="7"/>
      <c r="Q2" s="7"/>
      <c r="R2" s="7"/>
    </row>
    <row r="3" spans="1:18" ht="18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</row>
    <row r="4" spans="1:18" ht="7.2" customHeight="1" thickBot="1"/>
    <row r="5" spans="1:18" ht="19.95" customHeight="1" thickTop="1" thickBot="1">
      <c r="B5" s="37">
        <f>DATE(Accueil!$C$1,Accueil!$D$1,1)</f>
        <v>44197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Q5" s="26" t="s">
        <v>12</v>
      </c>
    </row>
    <row r="6" spans="1:18" ht="19.95" customHeight="1" thickTop="1" thickBot="1">
      <c r="B6" s="38" t="str">
        <f>INDEX({"Dim","Lun","Mar","Mer","Jeu","Ven","Sam"},1+MOD(Accueil!$B$1+1-2,7))</f>
        <v>Lun</v>
      </c>
      <c r="C6" s="38"/>
      <c r="D6" s="38" t="str">
        <f>INDEX({"Dim","Lun","Mar","Mer","Jeu","Ven","Sam"},1+MOD(Accueil!$B$1+2-2,7))</f>
        <v>Mar</v>
      </c>
      <c r="E6" s="38"/>
      <c r="F6" s="38" t="str">
        <f>INDEX({"Dim","Lun","Mar","Mer","Jeu","Ven","Sam"},1+MOD(Accueil!$B$1+3-2,7))</f>
        <v>Mer</v>
      </c>
      <c r="G6" s="38"/>
      <c r="H6" s="38" t="str">
        <f>INDEX({"Dim","Lun","Mar","Mer","Jeu","Ven","Sam"},1+MOD(Accueil!$B$1+4-2,7))</f>
        <v>Jeu</v>
      </c>
      <c r="I6" s="38"/>
      <c r="J6" s="38" t="str">
        <f>INDEX({"Dim","Lun","Mar","Mer","Jeu","Ven","Sam"},1+MOD(Accueil!$B$1+5-2,7))</f>
        <v>Ven</v>
      </c>
      <c r="K6" s="38"/>
      <c r="L6" s="38" t="str">
        <f>INDEX({"Dim","Lun","Mar","Mer","Jeu","Ven","Sam"},1+MOD(Accueil!$B$1+6-2,7))</f>
        <v>Sam</v>
      </c>
      <c r="M6" s="38"/>
      <c r="N6" s="38" t="str">
        <f>INDEX({"Dim","Lun","Mar","Mer","Jeu","Ven","Sam"},1+MOD(Accueil!$B$1+7-2,7))</f>
        <v>Dim</v>
      </c>
      <c r="O6" s="38"/>
      <c r="Q6" s="27"/>
    </row>
    <row r="7" spans="1:18" ht="19.95" customHeight="1" thickTop="1" thickBot="1">
      <c r="B7" s="19" t="str">
        <f>IF(MONTH($B$5)&lt;&gt;MONTH($B$5-(WEEKDAY($B$5,1)-(Accueil!$B$1-1))-IF((WEEKDAY($B$5,1)-(Accueil!$B$1-1))&lt;=0,7,0)+(ROW(B7)-ROW($B$7))*7+(COLUMN(B7)-COLUMN($B$7)+1)),"",$B$5-(WEEKDAY($B$5,1)-(Accueil!$B$1-1))-IF((WEEKDAY($B$5,1)-(Accueil!$B$1-1))&lt;=0,7,0)+(ROW(B7)-ROW($B$7))*7+(COLUMN(B7)-COLUMN($B$7)+1))</f>
        <v/>
      </c>
      <c r="C7" s="20"/>
      <c r="D7" s="19" t="str">
        <f>IF(MONTH($B$5)&lt;&gt;MONTH($B$5-(WEEKDAY($B$5,1)-(Accueil!$B$1-1))-IF((WEEKDAY($B$5,1)-(Accueil!$B$1-1))&lt;=0,7,0)+(ROW(C7)-ROW($B$7))*7+(COLUMN(C7)-COLUMN($B$7)+1)),"",$B$5-(WEEKDAY($B$5,1)-(Accueil!$B$1-1))-IF((WEEKDAY($B$5,1)-(Accueil!$B$1-1))&lt;=0,7,0)+(ROW(C7)-ROW($B$7))*7+(COLUMN(C7)-COLUMN($B$7)+1))</f>
        <v/>
      </c>
      <c r="E7" s="20"/>
      <c r="F7" s="19" t="str">
        <f>IF(MONTH($B$5)&lt;&gt;MONTH($B$5-(WEEKDAY($B$5,1)-(Accueil!$B$1-1))-IF((WEEKDAY($B$5,1)-(Accueil!$B$1-1))&lt;=0,7,0)+(ROW(D7)-ROW($B$7))*7+(COLUMN(D7)-COLUMN($B$7)+1)),"",$B$5-(WEEKDAY($B$5,1)-(Accueil!$B$1-1))-IF((WEEKDAY($B$5,1)-(Accueil!$B$1-1))&lt;=0,7,0)+(ROW(D7)-ROW($B$7))*7+(COLUMN(D7)-COLUMN($B$7)+1))</f>
        <v/>
      </c>
      <c r="G7" s="20"/>
      <c r="H7" s="19" t="str">
        <f>IF(MONTH($B$5)&lt;&gt;MONTH($B$5-(WEEKDAY($B$5,1)-(Accueil!$B$1-1))-IF((WEEKDAY($B$5,1)-(Accueil!$B$1-1))&lt;=0,7,0)+(ROW(E7)-ROW($B$7))*7+(COLUMN(E7)-COLUMN($B$7)+1)),"",$B$5-(WEEKDAY($B$5,1)-(Accueil!$B$1-1))-IF((WEEKDAY($B$5,1)-(Accueil!$B$1-1))&lt;=0,7,0)+(ROW(E7)-ROW($B$7))*7+(COLUMN(E7)-COLUMN($B$7)+1))</f>
        <v/>
      </c>
      <c r="I7" s="20"/>
      <c r="J7" s="19">
        <f>IF(MONTH($B$5)&lt;&gt;MONTH($B$5-(WEEKDAY($B$5,1)-(Accueil!$B$1-1))-IF((WEEKDAY($B$5,1)-(Accueil!$B$1-1))&lt;=0,7,0)+(ROW(F7)-ROW($B$7))*7+(COLUMN(F7)-COLUMN($B$7)+1)),"",$B$5-(WEEKDAY($B$5,1)-(Accueil!$B$1-1))-IF((WEEKDAY($B$5,1)-(Accueil!$B$1-1))&lt;=0,7,0)+(ROW(F7)-ROW($B$7))*7+(COLUMN(F7)-COLUMN($B$7)+1))</f>
        <v>44197</v>
      </c>
      <c r="K7" s="20"/>
      <c r="L7" s="21">
        <f>IF(MONTH($B$5)&lt;&gt;MONTH($B$5-(WEEKDAY($B$5,1)-(Accueil!$B$1-1))-IF((WEEKDAY($B$5,1)-(Accueil!$B$1-1))&lt;=0,7,0)+(ROW(G7)-ROW($B$7))*7+(COLUMN(G7)-COLUMN($B$7)+1)),"",$B$5-(WEEKDAY($B$5,1)-(Accueil!$B$1-1))-IF((WEEKDAY($B$5,1)-(Accueil!$B$1-1))&lt;=0,7,0)+(ROW(G7)-ROW($B$7))*7+(COLUMN(G7)-COLUMN($B$7)+1))</f>
        <v>44198</v>
      </c>
      <c r="M7" s="22"/>
      <c r="N7" s="21">
        <f>IF(MONTH($B$5)&lt;&gt;MONTH($B$5-(WEEKDAY($B$5,1)-(Accueil!$B$1-1))-IF((WEEKDAY($B$5,1)-(Accueil!$B$1-1))&lt;=0,7,0)+(ROW(H7)-ROW($B$7))*7+(COLUMN(H7)-COLUMN($B$7)+1)),"",$B$5-(WEEKDAY($B$5,1)-(Accueil!$B$1-1))-IF((WEEKDAY($B$5,1)-(Accueil!$B$1-1))&lt;=0,7,0)+(ROW(H7)-ROW($B$7))*7+(COLUMN(H7)-COLUMN($B$7)+1))</f>
        <v>44199</v>
      </c>
      <c r="O7" s="22"/>
      <c r="P7" s="9" t="str">
        <f t="shared" ref="P7:P12" si="0">IF(B7="","",B7)</f>
        <v/>
      </c>
      <c r="Q7" s="28">
        <f>IF(N7="","",(INT(MOD(INT((N7-2)/7)+0.6,52+5/28))+1))</f>
        <v>53</v>
      </c>
    </row>
    <row r="8" spans="1:18" ht="19.95" customHeight="1" thickTop="1" thickBot="1">
      <c r="B8" s="19">
        <f>IF(MONTH($B$5)&lt;&gt;MONTH($B$5-(WEEKDAY($B$5,1)-(Accueil!$B$1-1))-IF((WEEKDAY($B$5,1)-(Accueil!$B$1-1))&lt;=0,7,0)+(ROW(B8)-ROW($B$7))*7+(COLUMN(B8)-COLUMN($B$7)+1)),"",$B$5-(WEEKDAY($B$5,1)-(Accueil!$B$1-1))-IF((WEEKDAY($B$5,1)-(Accueil!$B$1-1))&lt;=0,7,0)+(ROW(B8)-ROW($B$7))*7+(COLUMN(B8)-COLUMN($B$7)+1))</f>
        <v>44200</v>
      </c>
      <c r="C8" s="23"/>
      <c r="D8" s="19">
        <f>IF(MONTH($B$5)&lt;&gt;MONTH($B$5-(WEEKDAY($B$5,1)-(Accueil!$B$1-1))-IF((WEEKDAY($B$5,1)-(Accueil!$B$1-1))&lt;=0,7,0)+(ROW(C8)-ROW($B$7))*7+(COLUMN(C8)-COLUMN($B$7)+1)),"",$B$5-(WEEKDAY($B$5,1)-(Accueil!$B$1-1))-IF((WEEKDAY($B$5,1)-(Accueil!$B$1-1))&lt;=0,7,0)+(ROW(C8)-ROW($B$7))*7+(COLUMN(C8)-COLUMN($B$7)+1))</f>
        <v>44201</v>
      </c>
      <c r="E8" s="23"/>
      <c r="F8" s="19">
        <f>IF(MONTH($B$5)&lt;&gt;MONTH($B$5-(WEEKDAY($B$5,1)-(Accueil!$B$1-1))-IF((WEEKDAY($B$5,1)-(Accueil!$B$1-1))&lt;=0,7,0)+(ROW(D8)-ROW($B$7))*7+(COLUMN(D8)-COLUMN($B$7)+1)),"",$B$5-(WEEKDAY($B$5,1)-(Accueil!$B$1-1))-IF((WEEKDAY($B$5,1)-(Accueil!$B$1-1))&lt;=0,7,0)+(ROW(D8)-ROW($B$7))*7+(COLUMN(D8)-COLUMN($B$7)+1))</f>
        <v>44202</v>
      </c>
      <c r="G8" s="24"/>
      <c r="H8" s="19">
        <f>IF(MONTH($B$5)&lt;&gt;MONTH($B$5-(WEEKDAY($B$5,1)-(Accueil!$B$1-1))-IF((WEEKDAY($B$5,1)-(Accueil!$B$1-1))&lt;=0,7,0)+(ROW(E8)-ROW($B$7))*7+(COLUMN(E8)-COLUMN($B$7)+1)),"",$B$5-(WEEKDAY($B$5,1)-(Accueil!$B$1-1))-IF((WEEKDAY($B$5,1)-(Accueil!$B$1-1))&lt;=0,7,0)+(ROW(E8)-ROW($B$7))*7+(COLUMN(E8)-COLUMN($B$7)+1))</f>
        <v>44203</v>
      </c>
      <c r="I8" s="24"/>
      <c r="J8" s="19">
        <f>IF(MONTH($B$5)&lt;&gt;MONTH($B$5-(WEEKDAY($B$5,1)-(Accueil!$B$1-1))-IF((WEEKDAY($B$5,1)-(Accueil!$B$1-1))&lt;=0,7,0)+(ROW(F8)-ROW($B$7))*7+(COLUMN(F8)-COLUMN($B$7)+1)),"",$B$5-(WEEKDAY($B$5,1)-(Accueil!$B$1-1))-IF((WEEKDAY($B$5,1)-(Accueil!$B$1-1))&lt;=0,7,0)+(ROW(F8)-ROW($B$7))*7+(COLUMN(F8)-COLUMN($B$7)+1))</f>
        <v>44204</v>
      </c>
      <c r="K8" s="24"/>
      <c r="L8" s="21">
        <f>IF(MONTH($B$5)&lt;&gt;MONTH($B$5-(WEEKDAY($B$5,1)-(Accueil!$B$1-1))-IF((WEEKDAY($B$5,1)-(Accueil!$B$1-1))&lt;=0,7,0)+(ROW(G8)-ROW($B$7))*7+(COLUMN(G8)-COLUMN($B$7)+1)),"",$B$5-(WEEKDAY($B$5,1)-(Accueil!$B$1-1))-IF((WEEKDAY($B$5,1)-(Accueil!$B$1-1))&lt;=0,7,0)+(ROW(G8)-ROW($B$7))*7+(COLUMN(G8)-COLUMN($B$7)+1))</f>
        <v>44205</v>
      </c>
      <c r="M8" s="22"/>
      <c r="N8" s="21">
        <f>IF(MONTH($B$5)&lt;&gt;MONTH($B$5-(WEEKDAY($B$5,1)-(Accueil!$B$1-1))-IF((WEEKDAY($B$5,1)-(Accueil!$B$1-1))&lt;=0,7,0)+(ROW(H8)-ROW($B$7))*7+(COLUMN(H8)-COLUMN($B$7)+1)),"",$B$5-(WEEKDAY($B$5,1)-(Accueil!$B$1-1))-IF((WEEKDAY($B$5,1)-(Accueil!$B$1-1))&lt;=0,7,0)+(ROW(H8)-ROW($B$7))*7+(COLUMN(H8)-COLUMN($B$7)+1))</f>
        <v>44206</v>
      </c>
      <c r="O8" s="25"/>
      <c r="P8" s="9">
        <f t="shared" si="0"/>
        <v>44200</v>
      </c>
      <c r="Q8" s="28">
        <f>IF(P8="","",(INT(MOD(INT((P8-2)/7)+0.6,52+5/28))+1))</f>
        <v>1</v>
      </c>
    </row>
    <row r="9" spans="1:18" ht="19.95" customHeight="1" thickTop="1" thickBot="1">
      <c r="B9" s="19">
        <f>IF(MONTH($B$5)&lt;&gt;MONTH($B$5-(WEEKDAY($B$5,1)-(Accueil!$B$1-1))-IF((WEEKDAY($B$5,1)-(Accueil!$B$1-1))&lt;=0,7,0)+(ROW(B9)-ROW($B$7))*7+(COLUMN(B9)-COLUMN($B$7)+1)),"",$B$5-(WEEKDAY($B$5,1)-(Accueil!$B$1-1))-IF((WEEKDAY($B$5,1)-(Accueil!$B$1-1))&lt;=0,7,0)+(ROW(B9)-ROW($B$7))*7+(COLUMN(B9)-COLUMN($B$7)+1))</f>
        <v>44207</v>
      </c>
      <c r="C9" s="24"/>
      <c r="D9" s="19">
        <f>IF(MONTH($B$5)&lt;&gt;MONTH($B$5-(WEEKDAY($B$5,1)-(Accueil!$B$1-1))-IF((WEEKDAY($B$5,1)-(Accueil!$B$1-1))&lt;=0,7,0)+(ROW(C9)-ROW($B$7))*7+(COLUMN(C9)-COLUMN($B$7)+1)),"",$B$5-(WEEKDAY($B$5,1)-(Accueil!$B$1-1))-IF((WEEKDAY($B$5,1)-(Accueil!$B$1-1))&lt;=0,7,0)+(ROW(C9)-ROW($B$7))*7+(COLUMN(C9)-COLUMN($B$7)+1))</f>
        <v>44208</v>
      </c>
      <c r="E9" s="24"/>
      <c r="F9" s="19">
        <f>IF(MONTH($B$5)&lt;&gt;MONTH($B$5-(WEEKDAY($B$5,1)-(Accueil!$B$1-1))-IF((WEEKDAY($B$5,1)-(Accueil!$B$1-1))&lt;=0,7,0)+(ROW(D9)-ROW($B$7))*7+(COLUMN(D9)-COLUMN($B$7)+1)),"",$B$5-(WEEKDAY($B$5,1)-(Accueil!$B$1-1))-IF((WEEKDAY($B$5,1)-(Accueil!$B$1-1))&lt;=0,7,0)+(ROW(D9)-ROW($B$7))*7+(COLUMN(D9)-COLUMN($B$7)+1))</f>
        <v>44209</v>
      </c>
      <c r="G9" s="24"/>
      <c r="H9" s="19">
        <f>IF(MONTH($B$5)&lt;&gt;MONTH($B$5-(WEEKDAY($B$5,1)-(Accueil!$B$1-1))-IF((WEEKDAY($B$5,1)-(Accueil!$B$1-1))&lt;=0,7,0)+(ROW(E9)-ROW($B$7))*7+(COLUMN(E9)-COLUMN($B$7)+1)),"",$B$5-(WEEKDAY($B$5,1)-(Accueil!$B$1-1))-IF((WEEKDAY($B$5,1)-(Accueil!$B$1-1))&lt;=0,7,0)+(ROW(E9)-ROW($B$7))*7+(COLUMN(E9)-COLUMN($B$7)+1))</f>
        <v>44210</v>
      </c>
      <c r="I9" s="24"/>
      <c r="J9" s="19">
        <f>IF(MONTH($B$5)&lt;&gt;MONTH($B$5-(WEEKDAY($B$5,1)-(Accueil!$B$1-1))-IF((WEEKDAY($B$5,1)-(Accueil!$B$1-1))&lt;=0,7,0)+(ROW(F9)-ROW($B$7))*7+(COLUMN(F9)-COLUMN($B$7)+1)),"",$B$5-(WEEKDAY($B$5,1)-(Accueil!$B$1-1))-IF((WEEKDAY($B$5,1)-(Accueil!$B$1-1))&lt;=0,7,0)+(ROW(F9)-ROW($B$7))*7+(COLUMN(F9)-COLUMN($B$7)+1))</f>
        <v>44211</v>
      </c>
      <c r="K9" s="24"/>
      <c r="L9" s="21">
        <f>IF(MONTH($B$5)&lt;&gt;MONTH($B$5-(WEEKDAY($B$5,1)-(Accueil!$B$1-1))-IF((WEEKDAY($B$5,1)-(Accueil!$B$1-1))&lt;=0,7,0)+(ROW(G9)-ROW($B$7))*7+(COLUMN(G9)-COLUMN($B$7)+1)),"",$B$5-(WEEKDAY($B$5,1)-(Accueil!$B$1-1))-IF((WEEKDAY($B$5,1)-(Accueil!$B$1-1))&lt;=0,7,0)+(ROW(G9)-ROW($B$7))*7+(COLUMN(G9)-COLUMN($B$7)+1))</f>
        <v>44212</v>
      </c>
      <c r="M9" s="22"/>
      <c r="N9" s="21">
        <f>IF(MONTH($B$5)&lt;&gt;MONTH($B$5-(WEEKDAY($B$5,1)-(Accueil!$B$1-1))-IF((WEEKDAY($B$5,1)-(Accueil!$B$1-1))&lt;=0,7,0)+(ROW(H9)-ROW($B$7))*7+(COLUMN(H9)-COLUMN($B$7)+1)),"",$B$5-(WEEKDAY($B$5,1)-(Accueil!$B$1-1))-IF((WEEKDAY($B$5,1)-(Accueil!$B$1-1))&lt;=0,7,0)+(ROW(H9)-ROW($B$7))*7+(COLUMN(H9)-COLUMN($B$7)+1))</f>
        <v>44213</v>
      </c>
      <c r="O9" s="22"/>
      <c r="P9" s="9">
        <f t="shared" si="0"/>
        <v>44207</v>
      </c>
      <c r="Q9" s="28">
        <f>IF(P9="","",(INT(MOD(INT((P9-2)/7)+0.6,52+5/28))+1))</f>
        <v>2</v>
      </c>
    </row>
    <row r="10" spans="1:18" ht="19.95" customHeight="1" thickTop="1" thickBot="1">
      <c r="B10" s="19">
        <f>IF(MONTH($B$5)&lt;&gt;MONTH($B$5-(WEEKDAY($B$5,1)-(Accueil!$B$1-1))-IF((WEEKDAY($B$5,1)-(Accueil!$B$1-1))&lt;=0,7,0)+(ROW(B10)-ROW($B$7))*7+(COLUMN(B10)-COLUMN($B$7)+1)),"",$B$5-(WEEKDAY($B$5,1)-(Accueil!$B$1-1))-IF((WEEKDAY($B$5,1)-(Accueil!$B$1-1))&lt;=0,7,0)+(ROW(B10)-ROW($B$7))*7+(COLUMN(B10)-COLUMN($B$7)+1))</f>
        <v>44214</v>
      </c>
      <c r="C10" s="24"/>
      <c r="D10" s="19">
        <f>IF(MONTH($B$5)&lt;&gt;MONTH($B$5-(WEEKDAY($B$5,1)-(Accueil!$B$1-1))-IF((WEEKDAY($B$5,1)-(Accueil!$B$1-1))&lt;=0,7,0)+(ROW(C10)-ROW($B$7))*7+(COLUMN(C10)-COLUMN($B$7)+1)),"",$B$5-(WEEKDAY($B$5,1)-(Accueil!$B$1-1))-IF((WEEKDAY($B$5,1)-(Accueil!$B$1-1))&lt;=0,7,0)+(ROW(C10)-ROW($B$7))*7+(COLUMN(C10)-COLUMN($B$7)+1))</f>
        <v>44215</v>
      </c>
      <c r="E10" s="24"/>
      <c r="F10" s="19">
        <f>IF(MONTH($B$5)&lt;&gt;MONTH($B$5-(WEEKDAY($B$5,1)-(Accueil!$B$1-1))-IF((WEEKDAY($B$5,1)-(Accueil!$B$1-1))&lt;=0,7,0)+(ROW(D10)-ROW($B$7))*7+(COLUMN(D10)-COLUMN($B$7)+1)),"",$B$5-(WEEKDAY($B$5,1)-(Accueil!$B$1-1))-IF((WEEKDAY($B$5,1)-(Accueil!$B$1-1))&lt;=0,7,0)+(ROW(D10)-ROW($B$7))*7+(COLUMN(D10)-COLUMN($B$7)+1))</f>
        <v>44216</v>
      </c>
      <c r="G10" s="24"/>
      <c r="H10" s="19">
        <f>IF(MONTH($B$5)&lt;&gt;MONTH($B$5-(WEEKDAY($B$5,1)-(Accueil!$B$1-1))-IF((WEEKDAY($B$5,1)-(Accueil!$B$1-1))&lt;=0,7,0)+(ROW(E10)-ROW($B$7))*7+(COLUMN(E10)-COLUMN($B$7)+1)),"",$B$5-(WEEKDAY($B$5,1)-(Accueil!$B$1-1))-IF((WEEKDAY($B$5,1)-(Accueil!$B$1-1))&lt;=0,7,0)+(ROW(E10)-ROW($B$7))*7+(COLUMN(E10)-COLUMN($B$7)+1))</f>
        <v>44217</v>
      </c>
      <c r="I10" s="24"/>
      <c r="J10" s="19">
        <f>IF(MONTH($B$5)&lt;&gt;MONTH($B$5-(WEEKDAY($B$5,1)-(Accueil!$B$1-1))-IF((WEEKDAY($B$5,1)-(Accueil!$B$1-1))&lt;=0,7,0)+(ROW(F10)-ROW($B$7))*7+(COLUMN(F10)-COLUMN($B$7)+1)),"",$B$5-(WEEKDAY($B$5,1)-(Accueil!$B$1-1))-IF((WEEKDAY($B$5,1)-(Accueil!$B$1-1))&lt;=0,7,0)+(ROW(F10)-ROW($B$7))*7+(COLUMN(F10)-COLUMN($B$7)+1))</f>
        <v>44218</v>
      </c>
      <c r="K10" s="24"/>
      <c r="L10" s="21">
        <f>IF(MONTH($B$5)&lt;&gt;MONTH($B$5-(WEEKDAY($B$5,1)-(Accueil!$B$1-1))-IF((WEEKDAY($B$5,1)-(Accueil!$B$1-1))&lt;=0,7,0)+(ROW(G10)-ROW($B$7))*7+(COLUMN(G10)-COLUMN($B$7)+1)),"",$B$5-(WEEKDAY($B$5,1)-(Accueil!$B$1-1))-IF((WEEKDAY($B$5,1)-(Accueil!$B$1-1))&lt;=0,7,0)+(ROW(G10)-ROW($B$7))*7+(COLUMN(G10)-COLUMN($B$7)+1))</f>
        <v>44219</v>
      </c>
      <c r="M10" s="22"/>
      <c r="N10" s="21">
        <f>IF(MONTH($B$5)&lt;&gt;MONTH($B$5-(WEEKDAY($B$5,1)-(Accueil!$B$1-1))-IF((WEEKDAY($B$5,1)-(Accueil!$B$1-1))&lt;=0,7,0)+(ROW(H10)-ROW($B$7))*7+(COLUMN(H10)-COLUMN($B$7)+1)),"",$B$5-(WEEKDAY($B$5,1)-(Accueil!$B$1-1))-IF((WEEKDAY($B$5,1)-(Accueil!$B$1-1))&lt;=0,7,0)+(ROW(H10)-ROW($B$7))*7+(COLUMN(H10)-COLUMN($B$7)+1))</f>
        <v>44220</v>
      </c>
      <c r="O10" s="25"/>
      <c r="P10" s="9">
        <f t="shared" si="0"/>
        <v>44214</v>
      </c>
      <c r="Q10" s="28">
        <f>IF(P10="","",(INT(MOD(INT((P10-2)/7)+0.6,52+5/28))+1))</f>
        <v>3</v>
      </c>
    </row>
    <row r="11" spans="1:18" ht="19.95" customHeight="1" thickTop="1" thickBot="1">
      <c r="B11" s="19">
        <f>IF(MONTH($B$5)&lt;&gt;MONTH($B$5-(WEEKDAY($B$5,1)-(Accueil!$B$1-1))-IF((WEEKDAY($B$5,1)-(Accueil!$B$1-1))&lt;=0,7,0)+(ROW(B11)-ROW($B$7))*7+(COLUMN(B11)-COLUMN($B$7)+1)),"",$B$5-(WEEKDAY($B$5,1)-(Accueil!$B$1-1))-IF((WEEKDAY($B$5,1)-(Accueil!$B$1-1))&lt;=0,7,0)+(ROW(B11)-ROW($B$7))*7+(COLUMN(B11)-COLUMN($B$7)+1))</f>
        <v>44221</v>
      </c>
      <c r="C11" s="24"/>
      <c r="D11" s="19">
        <f>IF(MONTH($B$5)&lt;&gt;MONTH($B$5-(WEEKDAY($B$5,1)-(Accueil!$B$1-1))-IF((WEEKDAY($B$5,1)-(Accueil!$B$1-1))&lt;=0,7,0)+(ROW(C11)-ROW($B$7))*7+(COLUMN(C11)-COLUMN($B$7)+1)),"",$B$5-(WEEKDAY($B$5,1)-(Accueil!$B$1-1))-IF((WEEKDAY($B$5,1)-(Accueil!$B$1-1))&lt;=0,7,0)+(ROW(C11)-ROW($B$7))*7+(COLUMN(C11)-COLUMN($B$7)+1))</f>
        <v>44222</v>
      </c>
      <c r="E11" s="24"/>
      <c r="F11" s="19">
        <f>IF(MONTH($B$5)&lt;&gt;MONTH($B$5-(WEEKDAY($B$5,1)-(Accueil!$B$1-1))-IF((WEEKDAY($B$5,1)-(Accueil!$B$1-1))&lt;=0,7,0)+(ROW(D11)-ROW($B$7))*7+(COLUMN(D11)-COLUMN($B$7)+1)),"",$B$5-(WEEKDAY($B$5,1)-(Accueil!$B$1-1))-IF((WEEKDAY($B$5,1)-(Accueil!$B$1-1))&lt;=0,7,0)+(ROW(D11)-ROW($B$7))*7+(COLUMN(D11)-COLUMN($B$7)+1))</f>
        <v>44223</v>
      </c>
      <c r="G11" s="24"/>
      <c r="H11" s="19">
        <f>IF(MONTH($B$5)&lt;&gt;MONTH($B$5-(WEEKDAY($B$5,1)-(Accueil!$B$1-1))-IF((WEEKDAY($B$5,1)-(Accueil!$B$1-1))&lt;=0,7,0)+(ROW(E11)-ROW($B$7))*7+(COLUMN(E11)-COLUMN($B$7)+1)),"",$B$5-(WEEKDAY($B$5,1)-(Accueil!$B$1-1))-IF((WEEKDAY($B$5,1)-(Accueil!$B$1-1))&lt;=0,7,0)+(ROW(E11)-ROW($B$7))*7+(COLUMN(E11)-COLUMN($B$7)+1))</f>
        <v>44224</v>
      </c>
      <c r="I11" s="24"/>
      <c r="J11" s="19">
        <f>IF(MONTH($B$5)&lt;&gt;MONTH($B$5-(WEEKDAY($B$5,1)-(Accueil!$B$1-1))-IF((WEEKDAY($B$5,1)-(Accueil!$B$1-1))&lt;=0,7,0)+(ROW(F11)-ROW($B$7))*7+(COLUMN(F11)-COLUMN($B$7)+1)),"",$B$5-(WEEKDAY($B$5,1)-(Accueil!$B$1-1))-IF((WEEKDAY($B$5,1)-(Accueil!$B$1-1))&lt;=0,7,0)+(ROW(F11)-ROW($B$7))*7+(COLUMN(F11)-COLUMN($B$7)+1))</f>
        <v>44225</v>
      </c>
      <c r="K11" s="24"/>
      <c r="L11" s="21">
        <f>IF(MONTH($B$5)&lt;&gt;MONTH($B$5-(WEEKDAY($B$5,1)-(Accueil!$B$1-1))-IF((WEEKDAY($B$5,1)-(Accueil!$B$1-1))&lt;=0,7,0)+(ROW(G11)-ROW($B$7))*7+(COLUMN(G11)-COLUMN($B$7)+1)),"",$B$5-(WEEKDAY($B$5,1)-(Accueil!$B$1-1))-IF((WEEKDAY($B$5,1)-(Accueil!$B$1-1))&lt;=0,7,0)+(ROW(G11)-ROW($B$7))*7+(COLUMN(G11)-COLUMN($B$7)+1))</f>
        <v>44226</v>
      </c>
      <c r="M11" s="22"/>
      <c r="N11" s="21">
        <f>IF(MONTH($B$5)&lt;&gt;MONTH($B$5-(WEEKDAY($B$5,1)-(Accueil!$B$1-1))-IF((WEEKDAY($B$5,1)-(Accueil!$B$1-1))&lt;=0,7,0)+(ROW(H11)-ROW($B$7))*7+(COLUMN(H11)-COLUMN($B$7)+1)),"",$B$5-(WEEKDAY($B$5,1)-(Accueil!$B$1-1))-IF((WEEKDAY($B$5,1)-(Accueil!$B$1-1))&lt;=0,7,0)+(ROW(H11)-ROW($B$7))*7+(COLUMN(H11)-COLUMN($B$7)+1))</f>
        <v>44227</v>
      </c>
      <c r="O11" s="22"/>
      <c r="P11" s="9">
        <f t="shared" si="0"/>
        <v>44221</v>
      </c>
      <c r="Q11" s="28">
        <f>IF(P11="","",(INT(MOD(INT((P11-2)/7)+0.6,52+5/28))+1))</f>
        <v>4</v>
      </c>
    </row>
    <row r="12" spans="1:18" ht="19.95" customHeight="1" thickTop="1" thickBot="1">
      <c r="B12" s="19" t="str">
        <f>IF(MONTH($B$5)&lt;&gt;MONTH($B$5-(WEEKDAY($B$5,1)-(Accueil!$B$1-1))-IF((WEEKDAY($B$5,1)-(Accueil!$B$1-1))&lt;=0,7,0)+(ROW(B12)-ROW($B$7))*7+(COLUMN(B12)-COLUMN($B$7)+1)),"",$B$5-(WEEKDAY($B$5,1)-(Accueil!$B$1-1))-IF((WEEKDAY($B$5,1)-(Accueil!$B$1-1))&lt;=0,7,0)+(ROW(B12)-ROW($B$7))*7+(COLUMN(B12)-COLUMN($B$7)+1))</f>
        <v/>
      </c>
      <c r="C12" s="19"/>
      <c r="D12" s="19" t="str">
        <f>IF(MONTH($B$5)&lt;&gt;MONTH($B$5-(WEEKDAY($B$5,1)-(Accueil!$B$1-1))-IF((WEEKDAY($B$5,1)-(Accueil!$B$1-1))&lt;=0,7,0)+(ROW(C12)-ROW($B$7))*7+(COLUMN(C12)-COLUMN($B$7)+1)),"",$B$5-(WEEKDAY($B$5,1)-(Accueil!$B$1-1))-IF((WEEKDAY($B$5,1)-(Accueil!$B$1-1))&lt;=0,7,0)+(ROW(C12)-ROW($B$7))*7+(COLUMN(C12)-COLUMN($B$7)+1))</f>
        <v/>
      </c>
      <c r="E12" s="19"/>
      <c r="F12" s="19" t="str">
        <f>IF(MONTH($B$5)&lt;&gt;MONTH($B$5-(WEEKDAY($B$5,1)-(Accueil!$B$1-1))-IF((WEEKDAY($B$5,1)-(Accueil!$B$1-1))&lt;=0,7,0)+(ROW(D12)-ROW($B$7))*7+(COLUMN(D12)-COLUMN($B$7)+1)),"",$B$5-(WEEKDAY($B$5,1)-(Accueil!$B$1-1))-IF((WEEKDAY($B$5,1)-(Accueil!$B$1-1))&lt;=0,7,0)+(ROW(D12)-ROW($B$7))*7+(COLUMN(D12)-COLUMN($B$7)+1))</f>
        <v/>
      </c>
      <c r="G12" s="19"/>
      <c r="H12" s="19" t="str">
        <f>IF(MONTH($B$5)&lt;&gt;MONTH($B$5-(WEEKDAY($B$5,1)-(Accueil!$B$1-1))-IF((WEEKDAY($B$5,1)-(Accueil!$B$1-1))&lt;=0,7,0)+(ROW(E12)-ROW($B$7))*7+(COLUMN(E12)-COLUMN($B$7)+1)),"",$B$5-(WEEKDAY($B$5,1)-(Accueil!$B$1-1))-IF((WEEKDAY($B$5,1)-(Accueil!$B$1-1))&lt;=0,7,0)+(ROW(E12)-ROW($B$7))*7+(COLUMN(E12)-COLUMN($B$7)+1))</f>
        <v/>
      </c>
      <c r="I12" s="19"/>
      <c r="J12" s="19" t="str">
        <f>IF(MONTH($B$5)&lt;&gt;MONTH($B$5-(WEEKDAY($B$5,1)-(Accueil!$B$1-1))-IF((WEEKDAY($B$5,1)-(Accueil!$B$1-1))&lt;=0,7,0)+(ROW(F12)-ROW($B$7))*7+(COLUMN(F12)-COLUMN($B$7)+1)),"",$B$5-(WEEKDAY($B$5,1)-(Accueil!$B$1-1))-IF((WEEKDAY($B$5,1)-(Accueil!$B$1-1))&lt;=0,7,0)+(ROW(F12)-ROW($B$7))*7+(COLUMN(F12)-COLUMN($B$7)+1))</f>
        <v/>
      </c>
      <c r="K12" s="19"/>
      <c r="L12" s="21" t="str">
        <f>IF(MONTH($B$5)&lt;&gt;MONTH($B$5-(WEEKDAY($B$5,1)-(Accueil!$B$1-1))-IF((WEEKDAY($B$5,1)-(Accueil!$B$1-1))&lt;=0,7,0)+(ROW(G12)-ROW($B$7))*7+(COLUMN(G12)-COLUMN($B$7)+1)),"",$B$5-(WEEKDAY($B$5,1)-(Accueil!$B$1-1))-IF((WEEKDAY($B$5,1)-(Accueil!$B$1-1))&lt;=0,7,0)+(ROW(G12)-ROW($B$7))*7+(COLUMN(G12)-COLUMN($B$7)+1))</f>
        <v/>
      </c>
      <c r="M12" s="19"/>
      <c r="N12" s="21" t="str">
        <f>IF(MONTH($B$5)&lt;&gt;MONTH($B$5-(WEEKDAY($B$5,1)-(Accueil!$B$1-1))-IF((WEEKDAY($B$5,1)-(Accueil!$B$1-1))&lt;=0,7,0)+(ROW(H12)-ROW($B$7))*7+(COLUMN(H12)-COLUMN($B$7)+1)),"",$B$5-(WEEKDAY($B$5,1)-(Accueil!$B$1-1))-IF((WEEKDAY($B$5,1)-(Accueil!$B$1-1))&lt;=0,7,0)+(ROW(H12)-ROW($B$7))*7+(COLUMN(H12)-COLUMN($B$7)+1))</f>
        <v/>
      </c>
      <c r="O12" s="19"/>
      <c r="P12" s="9" t="str">
        <f t="shared" si="0"/>
        <v/>
      </c>
      <c r="Q12" s="28" t="str">
        <f>IF(P12="","",(INT(MOD(INT((P12-2)/7)+0.6,52+5/28))+1))</f>
        <v/>
      </c>
    </row>
    <row r="13" spans="1:18" ht="16.2" thickTop="1"/>
    <row r="14" spans="1:18">
      <c r="A14" s="7"/>
      <c r="B14" s="7"/>
      <c r="C14" s="16"/>
      <c r="D14" s="7"/>
      <c r="E14" s="16"/>
      <c r="F14" s="7"/>
      <c r="G14" s="16"/>
      <c r="H14" s="7"/>
      <c r="I14" s="16"/>
      <c r="J14" s="7"/>
      <c r="K14" s="16"/>
      <c r="L14" s="7"/>
      <c r="M14" s="16"/>
      <c r="N14" s="7"/>
      <c r="O14" s="16"/>
      <c r="P14" s="7"/>
      <c r="Q14" s="7"/>
      <c r="R14" s="7"/>
    </row>
    <row r="15" spans="1:18" ht="16.2" thickBot="1"/>
    <row r="16" spans="1:18" ht="18.600000000000001" thickTop="1" thickBot="1">
      <c r="I16" s="29"/>
      <c r="J16" s="29" t="s">
        <v>55</v>
      </c>
      <c r="K16" s="29" t="s">
        <v>54</v>
      </c>
      <c r="L16" s="29" t="s">
        <v>53</v>
      </c>
      <c r="M16" s="29" t="s">
        <v>52</v>
      </c>
    </row>
    <row r="17" spans="9:15" ht="18.600000000000001" thickTop="1" thickBot="1">
      <c r="I17" s="30" t="s">
        <v>51</v>
      </c>
      <c r="J17" s="31"/>
      <c r="K17" s="31"/>
      <c r="L17" s="31"/>
      <c r="M17" s="31"/>
    </row>
    <row r="18" spans="9:15" ht="18.600000000000001" thickTop="1" thickBot="1">
      <c r="I18" s="30" t="s">
        <v>50</v>
      </c>
      <c r="J18" s="31">
        <f>(7*J17*1.5)+(5*J17*2)*1.25</f>
        <v>0</v>
      </c>
      <c r="K18" s="31">
        <f>COUNTIF($B$7:$O$12,Données!A2)</f>
        <v>0</v>
      </c>
      <c r="L18" s="31"/>
      <c r="M18" s="32">
        <f>(J18*K18)</f>
        <v>0</v>
      </c>
      <c r="O18" s="18"/>
    </row>
    <row r="19" spans="9:15" ht="18.600000000000001" thickTop="1" thickBot="1">
      <c r="I19" s="30" t="s">
        <v>49</v>
      </c>
      <c r="J19" s="31">
        <f>(J17*12*2)*1.25</f>
        <v>0</v>
      </c>
      <c r="K19" s="31">
        <f>COUNTIF($B$7:$O$12,Données!A3)</f>
        <v>0</v>
      </c>
      <c r="L19" s="31"/>
      <c r="M19" s="32">
        <f>(J19*K19)</f>
        <v>0</v>
      </c>
    </row>
    <row r="20" spans="9:15" ht="18.600000000000001" thickTop="1" thickBot="1">
      <c r="I20" s="30" t="s">
        <v>48</v>
      </c>
      <c r="J20" s="31">
        <f>(J17*1.06*8)+(J17*1.5*4)*1.06</f>
        <v>0</v>
      </c>
      <c r="K20" s="31">
        <f>COUNTIF($B$7:$O$12,Données!A4)</f>
        <v>0</v>
      </c>
      <c r="L20" s="31"/>
      <c r="M20" s="32">
        <f>(J20*K20)</f>
        <v>0</v>
      </c>
    </row>
    <row r="21" spans="9:15" ht="18.600000000000001" thickTop="1" thickBot="1">
      <c r="I21" s="30" t="s">
        <v>47</v>
      </c>
      <c r="J21" s="31">
        <f>(J17*12*2)*1.06</f>
        <v>0</v>
      </c>
      <c r="K21" s="31">
        <f>COUNTIF($B$7:$O$12,Données!A5)</f>
        <v>0</v>
      </c>
      <c r="L21" s="31"/>
      <c r="M21" s="32">
        <f>(J21*K21)</f>
        <v>0</v>
      </c>
    </row>
    <row r="22" spans="9:15" ht="18.600000000000001" thickTop="1" thickBot="1">
      <c r="I22" s="30" t="s">
        <v>46</v>
      </c>
      <c r="J22" s="31">
        <f>(J17*1.06*8)</f>
        <v>0</v>
      </c>
      <c r="K22" s="31">
        <f>COUNTIF($B$7:$O$12,Données!A6)</f>
        <v>0</v>
      </c>
      <c r="L22" s="31"/>
      <c r="M22" s="32">
        <f>(J17*1.06*8)*K22</f>
        <v>0</v>
      </c>
    </row>
    <row r="23" spans="9:15" ht="18.600000000000001" thickTop="1" thickBot="1">
      <c r="I23" s="30" t="s">
        <v>45</v>
      </c>
      <c r="J23" s="31">
        <f>(J17*1.25*8)</f>
        <v>0</v>
      </c>
      <c r="K23" s="31">
        <f>COUNTIF($B$7:$O$12,Données!A7)</f>
        <v>0</v>
      </c>
      <c r="L23" s="31"/>
      <c r="M23" s="32">
        <f>(J17*1.25*8)*K23</f>
        <v>0</v>
      </c>
    </row>
    <row r="24" spans="9:15" ht="18.600000000000001" thickTop="1" thickBot="1">
      <c r="I24" s="30" t="s">
        <v>44</v>
      </c>
      <c r="J24" s="31">
        <f>(J17*1.5*12)</f>
        <v>0</v>
      </c>
      <c r="K24" s="31">
        <f>COUNTIF($B$7:$O$12,Données!A8)</f>
        <v>0</v>
      </c>
      <c r="L24" s="31"/>
      <c r="M24" s="32">
        <f>(J17*1.5*12)*K24</f>
        <v>0</v>
      </c>
    </row>
    <row r="25" spans="9:15" ht="18.600000000000001" thickTop="1" thickBot="1">
      <c r="I25" s="30" t="s">
        <v>43</v>
      </c>
      <c r="J25" s="31">
        <f>(J17*2*12)+(8*J17)</f>
        <v>0</v>
      </c>
      <c r="K25" s="31">
        <f>COUNTIF($B$7:$O$12,Données!A9)</f>
        <v>0</v>
      </c>
      <c r="L25" s="31"/>
      <c r="M25" s="32">
        <f>(J17*2*12+J17*8)*K25</f>
        <v>0</v>
      </c>
    </row>
    <row r="26" spans="9:15" ht="18.600000000000001" thickTop="1" thickBot="1">
      <c r="I26" s="30" t="s">
        <v>42</v>
      </c>
      <c r="J26" s="31">
        <f>(J17*1.56*8)</f>
        <v>0</v>
      </c>
      <c r="K26" s="31">
        <f>COUNTIF($B$7:$O$12,Données!A10)</f>
        <v>0</v>
      </c>
      <c r="L26" s="31"/>
      <c r="M26" s="32">
        <f>(J26*K26)</f>
        <v>0</v>
      </c>
    </row>
    <row r="27" spans="9:15" ht="18.600000000000001" thickTop="1" thickBot="1">
      <c r="I27" s="30" t="s">
        <v>41</v>
      </c>
      <c r="J27" s="31">
        <f>(J17*1.875*8)</f>
        <v>0</v>
      </c>
      <c r="K27" s="31">
        <f>COUNTIF($B$7:$O$12,Données!A11)</f>
        <v>0</v>
      </c>
      <c r="L27" s="31"/>
      <c r="M27" s="32">
        <f>J27*K27</f>
        <v>0</v>
      </c>
    </row>
    <row r="28" spans="9:15" ht="18.600000000000001" thickTop="1" thickBot="1">
      <c r="I28" s="30" t="s">
        <v>40</v>
      </c>
      <c r="J28" s="31">
        <f>(J17*1.5)</f>
        <v>0</v>
      </c>
      <c r="K28" s="31">
        <f>COUNTIF($B$7:$O$12,Données!A12)</f>
        <v>0</v>
      </c>
      <c r="L28" s="31"/>
      <c r="M28" s="32">
        <f>J28*L28</f>
        <v>0</v>
      </c>
    </row>
    <row r="29" spans="9:15" ht="18.600000000000001" thickTop="1" thickBot="1">
      <c r="I29" s="30" t="s">
        <v>39</v>
      </c>
      <c r="J29" s="31">
        <f>(J17*1.5)</f>
        <v>0</v>
      </c>
      <c r="K29" s="31">
        <f>COUNTIF($B$7:$O$12,Données!A13)</f>
        <v>0</v>
      </c>
      <c r="L29" s="31"/>
      <c r="M29" s="32">
        <f>(J29*L29)</f>
        <v>0</v>
      </c>
    </row>
    <row r="30" spans="9:15" ht="18.600000000000001" thickTop="1" thickBot="1">
      <c r="I30" s="30" t="s">
        <v>38</v>
      </c>
      <c r="J30" s="31">
        <v>8</v>
      </c>
      <c r="K30" s="31">
        <f>(2*K18)+(K19*3)+(K20*2)+(K21*3)+K22+K23+(K25*3)+K26+K27</f>
        <v>0</v>
      </c>
      <c r="L30" s="31"/>
      <c r="M30" s="32">
        <f>K30*J30</f>
        <v>0</v>
      </c>
    </row>
    <row r="31" spans="9:15" ht="18.600000000000001" thickTop="1" thickBot="1">
      <c r="I31" s="30" t="s">
        <v>37</v>
      </c>
      <c r="J31" s="31">
        <v>4.5</v>
      </c>
      <c r="K31" s="31">
        <f>(K18+K19+K20+K21)</f>
        <v>0</v>
      </c>
      <c r="L31" s="31"/>
      <c r="M31" s="32">
        <f>(J31*K31)</f>
        <v>0</v>
      </c>
    </row>
    <row r="32" spans="9:15" ht="18.600000000000001" thickTop="1" thickBot="1">
      <c r="I32" s="30" t="s">
        <v>36</v>
      </c>
      <c r="J32" s="31"/>
      <c r="K32" s="31"/>
      <c r="L32" s="31"/>
      <c r="M32" s="32"/>
    </row>
    <row r="33" spans="9:13" ht="18.600000000000001" thickTop="1" thickBot="1">
      <c r="I33" s="30" t="s">
        <v>35</v>
      </c>
      <c r="J33" s="31"/>
      <c r="K33" s="31"/>
      <c r="L33" s="31"/>
      <c r="M33" s="32"/>
    </row>
    <row r="34" spans="9:13" ht="18.600000000000001" thickTop="1" thickBot="1">
      <c r="I34" s="30" t="s">
        <v>34</v>
      </c>
      <c r="J34" s="31"/>
      <c r="K34" s="31"/>
      <c r="L34" s="31"/>
      <c r="M34" s="32"/>
    </row>
    <row r="35" spans="9:13" ht="18.600000000000001" thickTop="1" thickBot="1">
      <c r="I35" s="30"/>
      <c r="J35" s="31"/>
      <c r="K35" s="31"/>
      <c r="L35" s="31"/>
      <c r="M35" s="32"/>
    </row>
    <row r="36" spans="9:13" ht="18.600000000000001" thickTop="1" thickBot="1">
      <c r="I36" s="33" t="s">
        <v>33</v>
      </c>
      <c r="J36" s="31"/>
      <c r="K36" s="31"/>
      <c r="L36" s="31"/>
      <c r="M36" s="32">
        <f>(M18+M19+M20+M21+M22+M23+M24+M25+M26+M27+M28+M29+M30+M31+M32+M33+M34)</f>
        <v>0</v>
      </c>
    </row>
    <row r="37" spans="9:13" ht="18.600000000000001" thickTop="1" thickBot="1">
      <c r="I37" s="33" t="s">
        <v>32</v>
      </c>
      <c r="J37" s="34"/>
      <c r="K37" s="34"/>
      <c r="L37" s="34"/>
      <c r="M37" s="35">
        <f>(M36*0.84)</f>
        <v>0</v>
      </c>
    </row>
    <row r="38" spans="9:13" ht="16.2" thickTop="1"/>
  </sheetData>
  <mergeCells count="9">
    <mergeCell ref="A3:Q3"/>
    <mergeCell ref="B5:O5"/>
    <mergeCell ref="B6:C6"/>
    <mergeCell ref="D6:E6"/>
    <mergeCell ref="F6:G6"/>
    <mergeCell ref="H6:I6"/>
    <mergeCell ref="J6:K6"/>
    <mergeCell ref="L6:M6"/>
    <mergeCell ref="N6:O6"/>
  </mergeCells>
  <conditionalFormatting sqref="H7:H11 J7:J11 L7:L11 N7:N11 B7:B11 D7:D11 F7:F11">
    <cfRule type="cellIs" dxfId="140" priority="136" operator="equal">
      <formula>""</formula>
    </cfRule>
  </conditionalFormatting>
  <conditionalFormatting sqref="C7">
    <cfRule type="expression" dxfId="139" priority="89">
      <formula>B$7=TODAY()</formula>
    </cfRule>
    <cfRule type="expression" dxfId="138" priority="135">
      <formula>B$7=""</formula>
    </cfRule>
  </conditionalFormatting>
  <conditionalFormatting sqref="E7">
    <cfRule type="expression" dxfId="137" priority="134">
      <formula>D$7=""</formula>
    </cfRule>
  </conditionalFormatting>
  <conditionalFormatting sqref="G7">
    <cfRule type="expression" dxfId="136" priority="133">
      <formula>F$7=""</formula>
    </cfRule>
  </conditionalFormatting>
  <conditionalFormatting sqref="I7">
    <cfRule type="expression" dxfId="135" priority="132">
      <formula>H$7=""</formula>
    </cfRule>
  </conditionalFormatting>
  <conditionalFormatting sqref="K7">
    <cfRule type="expression" dxfId="134" priority="131">
      <formula>J$7=""</formula>
    </cfRule>
  </conditionalFormatting>
  <conditionalFormatting sqref="M7:M11">
    <cfRule type="expression" dxfId="133" priority="130">
      <formula>L$7=""</formula>
    </cfRule>
  </conditionalFormatting>
  <conditionalFormatting sqref="O7 O9 O11">
    <cfRule type="expression" dxfId="132" priority="129">
      <formula>N$7=""</formula>
    </cfRule>
  </conditionalFormatting>
  <conditionalFormatting sqref="C8">
    <cfRule type="expression" dxfId="131" priority="76">
      <formula>B$8=TODAY()</formula>
    </cfRule>
    <cfRule type="expression" dxfId="130" priority="128">
      <formula>B$8=""</formula>
    </cfRule>
  </conditionalFormatting>
  <conditionalFormatting sqref="E8">
    <cfRule type="expression" dxfId="129" priority="127">
      <formula>D$8=""</formula>
    </cfRule>
  </conditionalFormatting>
  <conditionalFormatting sqref="G8">
    <cfRule type="expression" dxfId="128" priority="126">
      <formula>F$8=""</formula>
    </cfRule>
  </conditionalFormatting>
  <conditionalFormatting sqref="I8">
    <cfRule type="expression" dxfId="127" priority="125">
      <formula>H$8=""</formula>
    </cfRule>
  </conditionalFormatting>
  <conditionalFormatting sqref="K8">
    <cfRule type="expression" dxfId="126" priority="124">
      <formula>J$8=""</formula>
    </cfRule>
  </conditionalFormatting>
  <conditionalFormatting sqref="M8">
    <cfRule type="expression" dxfId="125" priority="123">
      <formula>L$8=""</formula>
    </cfRule>
  </conditionalFormatting>
  <conditionalFormatting sqref="O8 O10">
    <cfRule type="expression" dxfId="124" priority="122">
      <formula>N$8=""</formula>
    </cfRule>
  </conditionalFormatting>
  <conditionalFormatting sqref="C9">
    <cfRule type="expression" dxfId="123" priority="63">
      <formula>B$9=TODAY()</formula>
    </cfRule>
    <cfRule type="expression" dxfId="122" priority="121">
      <formula>B$9=""</formula>
    </cfRule>
  </conditionalFormatting>
  <conditionalFormatting sqref="E9">
    <cfRule type="expression" dxfId="121" priority="120">
      <formula>D$9=""</formula>
    </cfRule>
  </conditionalFormatting>
  <conditionalFormatting sqref="G9">
    <cfRule type="expression" dxfId="120" priority="119">
      <formula>F$9=""</formula>
    </cfRule>
  </conditionalFormatting>
  <conditionalFormatting sqref="I9">
    <cfRule type="expression" dxfId="119" priority="118">
      <formula>H$9=""</formula>
    </cfRule>
  </conditionalFormatting>
  <conditionalFormatting sqref="K9">
    <cfRule type="expression" dxfId="118" priority="117">
      <formula>J$9=""</formula>
    </cfRule>
  </conditionalFormatting>
  <conditionalFormatting sqref="M9">
    <cfRule type="expression" dxfId="117" priority="116">
      <formula>L$9=""</formula>
    </cfRule>
  </conditionalFormatting>
  <conditionalFormatting sqref="O9">
    <cfRule type="expression" dxfId="116" priority="115">
      <formula>N$9=""</formula>
    </cfRule>
  </conditionalFormatting>
  <conditionalFormatting sqref="C10">
    <cfRule type="expression" dxfId="115" priority="50">
      <formula>B$10=TODAY()</formula>
    </cfRule>
    <cfRule type="expression" dxfId="114" priority="114">
      <formula>B$10=""</formula>
    </cfRule>
  </conditionalFormatting>
  <conditionalFormatting sqref="E10">
    <cfRule type="expression" dxfId="113" priority="113">
      <formula>D$10=""</formula>
    </cfRule>
  </conditionalFormatting>
  <conditionalFormatting sqref="G10">
    <cfRule type="expression" dxfId="112" priority="112">
      <formula>F$10=""</formula>
    </cfRule>
  </conditionalFormatting>
  <conditionalFormatting sqref="I10">
    <cfRule type="expression" dxfId="111" priority="111">
      <formula>H$10=""</formula>
    </cfRule>
  </conditionalFormatting>
  <conditionalFormatting sqref="K10">
    <cfRule type="expression" dxfId="110" priority="110">
      <formula>J$10=""</formula>
    </cfRule>
  </conditionalFormatting>
  <conditionalFormatting sqref="M10">
    <cfRule type="expression" dxfId="109" priority="109">
      <formula>L$10=""</formula>
    </cfRule>
  </conditionalFormatting>
  <conditionalFormatting sqref="O10">
    <cfRule type="expression" dxfId="108" priority="108">
      <formula>N$10=""</formula>
    </cfRule>
  </conditionalFormatting>
  <conditionalFormatting sqref="C11">
    <cfRule type="expression" dxfId="107" priority="37">
      <formula>B$11=TODAY()</formula>
    </cfRule>
    <cfRule type="expression" dxfId="106" priority="107">
      <formula>B$11=""</formula>
    </cfRule>
  </conditionalFormatting>
  <conditionalFormatting sqref="E11">
    <cfRule type="expression" dxfId="105" priority="106">
      <formula>D$11=""</formula>
    </cfRule>
  </conditionalFormatting>
  <conditionalFormatting sqref="G11">
    <cfRule type="expression" dxfId="104" priority="105">
      <formula>F$11=""</formula>
    </cfRule>
  </conditionalFormatting>
  <conditionalFormatting sqref="I11">
    <cfRule type="expression" dxfId="103" priority="104">
      <formula>H$11=""</formula>
    </cfRule>
  </conditionalFormatting>
  <conditionalFormatting sqref="K11">
    <cfRule type="expression" dxfId="102" priority="103">
      <formula>J$11=""</formula>
    </cfRule>
  </conditionalFormatting>
  <conditionalFormatting sqref="M11">
    <cfRule type="expression" dxfId="101" priority="102">
      <formula>L$11=""</formula>
    </cfRule>
  </conditionalFormatting>
  <conditionalFormatting sqref="O11">
    <cfRule type="expression" dxfId="100" priority="101">
      <formula>N$11=""</formula>
    </cfRule>
  </conditionalFormatting>
  <conditionalFormatting sqref="Q7:Q12">
    <cfRule type="cellIs" dxfId="99" priority="91" operator="equal">
      <formula>""</formula>
    </cfRule>
  </conditionalFormatting>
  <conditionalFormatting sqref="B7:O12">
    <cfRule type="cellIs" dxfId="98" priority="90" operator="equal">
      <formula>TODAY()</formula>
    </cfRule>
  </conditionalFormatting>
  <conditionalFormatting sqref="E7">
    <cfRule type="expression" dxfId="97" priority="87">
      <formula>D$7=TODAY()</formula>
    </cfRule>
    <cfRule type="expression" dxfId="96" priority="88">
      <formula>D$7=""</formula>
    </cfRule>
  </conditionalFormatting>
  <conditionalFormatting sqref="G7">
    <cfRule type="expression" dxfId="95" priority="85">
      <formula>F$7=TODAY()</formula>
    </cfRule>
    <cfRule type="expression" dxfId="94" priority="86">
      <formula>F$7=""</formula>
    </cfRule>
  </conditionalFormatting>
  <conditionalFormatting sqref="I7">
    <cfRule type="expression" dxfId="93" priority="83">
      <formula>H$7=TODAY()</formula>
    </cfRule>
    <cfRule type="expression" dxfId="92" priority="84">
      <formula>H$7=""</formula>
    </cfRule>
  </conditionalFormatting>
  <conditionalFormatting sqref="K7">
    <cfRule type="expression" dxfId="91" priority="81">
      <formula>J$7=TODAY()</formula>
    </cfRule>
    <cfRule type="expression" dxfId="90" priority="82">
      <formula>J$7=""</formula>
    </cfRule>
  </conditionalFormatting>
  <conditionalFormatting sqref="M7:M11">
    <cfRule type="expression" dxfId="89" priority="79">
      <formula>L$7=TODAY()</formula>
    </cfRule>
    <cfRule type="expression" dxfId="88" priority="80">
      <formula>L$7=""</formula>
    </cfRule>
  </conditionalFormatting>
  <conditionalFormatting sqref="O7 O9 O11">
    <cfRule type="expression" dxfId="87" priority="77">
      <formula>N$7=TODAY()</formula>
    </cfRule>
    <cfRule type="expression" dxfId="86" priority="78">
      <formula>N$7=""</formula>
    </cfRule>
  </conditionalFormatting>
  <conditionalFormatting sqref="E8">
    <cfRule type="expression" dxfId="85" priority="74">
      <formula>D$8=TODAY()</formula>
    </cfRule>
    <cfRule type="expression" dxfId="84" priority="75">
      <formula>D$8=""</formula>
    </cfRule>
  </conditionalFormatting>
  <conditionalFormatting sqref="G8">
    <cfRule type="expression" dxfId="83" priority="72">
      <formula>F$8=TODAY()</formula>
    </cfRule>
    <cfRule type="expression" dxfId="82" priority="73">
      <formula>F$8=""</formula>
    </cfRule>
  </conditionalFormatting>
  <conditionalFormatting sqref="I8">
    <cfRule type="expression" dxfId="81" priority="70">
      <formula>H$8=TODAY()</formula>
    </cfRule>
    <cfRule type="expression" dxfId="80" priority="71">
      <formula>H$8=""</formula>
    </cfRule>
  </conditionalFormatting>
  <conditionalFormatting sqref="K8">
    <cfRule type="expression" dxfId="79" priority="68">
      <formula>J$8=TODAY()</formula>
    </cfRule>
    <cfRule type="expression" dxfId="78" priority="69">
      <formula>J$8=""</formula>
    </cfRule>
  </conditionalFormatting>
  <conditionalFormatting sqref="M8">
    <cfRule type="expression" dxfId="77" priority="66">
      <formula>L$8=TODAY()</formula>
    </cfRule>
    <cfRule type="expression" dxfId="76" priority="67">
      <formula>L$8=""</formula>
    </cfRule>
  </conditionalFormatting>
  <conditionalFormatting sqref="O8 O10">
    <cfRule type="expression" dxfId="75" priority="64">
      <formula>N$8=TODAY()</formula>
    </cfRule>
    <cfRule type="expression" dxfId="74" priority="65">
      <formula>N$8=""</formula>
    </cfRule>
  </conditionalFormatting>
  <conditionalFormatting sqref="E9">
    <cfRule type="expression" dxfId="73" priority="61">
      <formula>D$9=TODAY()</formula>
    </cfRule>
    <cfRule type="expression" dxfId="72" priority="62">
      <formula>D$9=""</formula>
    </cfRule>
  </conditionalFormatting>
  <conditionalFormatting sqref="G9">
    <cfRule type="expression" dxfId="71" priority="59">
      <formula>F$9=TODAY()</formula>
    </cfRule>
    <cfRule type="expression" dxfId="70" priority="60">
      <formula>F$9=""</formula>
    </cfRule>
  </conditionalFormatting>
  <conditionalFormatting sqref="I9">
    <cfRule type="expression" dxfId="69" priority="57">
      <formula>H$9=TODAY()</formula>
    </cfRule>
    <cfRule type="expression" dxfId="68" priority="58">
      <formula>H$9=""</formula>
    </cfRule>
  </conditionalFormatting>
  <conditionalFormatting sqref="K9">
    <cfRule type="expression" dxfId="67" priority="55">
      <formula>J$9=TODAY()</formula>
    </cfRule>
    <cfRule type="expression" dxfId="66" priority="56">
      <formula>J$9=""</formula>
    </cfRule>
  </conditionalFormatting>
  <conditionalFormatting sqref="M9">
    <cfRule type="expression" dxfId="65" priority="53">
      <formula>L$9=TODAY()</formula>
    </cfRule>
    <cfRule type="expression" dxfId="64" priority="54">
      <formula>L$9=""</formula>
    </cfRule>
  </conditionalFormatting>
  <conditionalFormatting sqref="O9">
    <cfRule type="expression" dxfId="63" priority="51">
      <formula>N$9=TODAY()</formula>
    </cfRule>
    <cfRule type="expression" dxfId="62" priority="52">
      <formula>N$9=""</formula>
    </cfRule>
  </conditionalFormatting>
  <conditionalFormatting sqref="E10">
    <cfRule type="expression" dxfId="61" priority="48">
      <formula>D$10=TODAY()</formula>
    </cfRule>
    <cfRule type="expression" dxfId="60" priority="49">
      <formula>D$10=""</formula>
    </cfRule>
  </conditionalFormatting>
  <conditionalFormatting sqref="G10">
    <cfRule type="expression" dxfId="59" priority="46">
      <formula>F$10=TODAY()</formula>
    </cfRule>
    <cfRule type="expression" dxfId="58" priority="47">
      <formula>F$10=""</formula>
    </cfRule>
  </conditionalFormatting>
  <conditionalFormatting sqref="I10">
    <cfRule type="expression" dxfId="57" priority="44">
      <formula>H$10=TODAY()</formula>
    </cfRule>
    <cfRule type="expression" dxfId="56" priority="45">
      <formula>H$10=""</formula>
    </cfRule>
  </conditionalFormatting>
  <conditionalFormatting sqref="K10">
    <cfRule type="expression" dxfId="55" priority="42">
      <formula>J$10=TODAY()</formula>
    </cfRule>
    <cfRule type="expression" dxfId="54" priority="43">
      <formula>J$10=""</formula>
    </cfRule>
  </conditionalFormatting>
  <conditionalFormatting sqref="M10">
    <cfRule type="expression" dxfId="53" priority="40">
      <formula>L$10=TODAY()</formula>
    </cfRule>
    <cfRule type="expression" dxfId="52" priority="41">
      <formula>L$10=""</formula>
    </cfRule>
  </conditionalFormatting>
  <conditionalFormatting sqref="O10">
    <cfRule type="expression" dxfId="51" priority="38">
      <formula>N$10=TODAY()</formula>
    </cfRule>
    <cfRule type="expression" dxfId="50" priority="39">
      <formula>N$10=""</formula>
    </cfRule>
  </conditionalFormatting>
  <conditionalFormatting sqref="E11">
    <cfRule type="expression" dxfId="49" priority="35">
      <formula>D$11=TODAY()</formula>
    </cfRule>
    <cfRule type="expression" dxfId="48" priority="36">
      <formula>D$11=""</formula>
    </cfRule>
  </conditionalFormatting>
  <conditionalFormatting sqref="G11">
    <cfRule type="expression" dxfId="47" priority="33">
      <formula>F$11=TODAY()</formula>
    </cfRule>
    <cfRule type="expression" dxfId="46" priority="34">
      <formula>F$11=""</formula>
    </cfRule>
  </conditionalFormatting>
  <conditionalFormatting sqref="I11">
    <cfRule type="expression" dxfId="45" priority="31">
      <formula>H$11=TODAY()</formula>
    </cfRule>
    <cfRule type="expression" dxfId="44" priority="32">
      <formula>H$11=""</formula>
    </cfRule>
  </conditionalFormatting>
  <conditionalFormatting sqref="K11">
    <cfRule type="expression" dxfId="43" priority="29">
      <formula>J$11=TODAY()</formula>
    </cfRule>
    <cfRule type="expression" dxfId="42" priority="30">
      <formula>J$11=""</formula>
    </cfRule>
  </conditionalFormatting>
  <conditionalFormatting sqref="M11">
    <cfRule type="expression" dxfId="41" priority="27">
      <formula>L$11=TODAY()</formula>
    </cfRule>
    <cfRule type="expression" dxfId="40" priority="28">
      <formula>L$11=""</formula>
    </cfRule>
  </conditionalFormatting>
  <conditionalFormatting sqref="O11">
    <cfRule type="expression" dxfId="39" priority="25">
      <formula>N$11=TODAY()</formula>
    </cfRule>
    <cfRule type="expression" dxfId="38" priority="26">
      <formula>N$11=""</formula>
    </cfRule>
  </conditionalFormatting>
  <conditionalFormatting sqref="C12">
    <cfRule type="expression" dxfId="37" priority="17">
      <formula>B$12=""</formula>
    </cfRule>
    <cfRule type="expression" dxfId="36" priority="24">
      <formula>B$12=TODAY()</formula>
    </cfRule>
  </conditionalFormatting>
  <conditionalFormatting sqref="E12">
    <cfRule type="expression" dxfId="35" priority="23">
      <formula>D$12=TODAY()</formula>
    </cfRule>
  </conditionalFormatting>
  <conditionalFormatting sqref="G12">
    <cfRule type="expression" dxfId="34" priority="22">
      <formula>F$12=TODAY()</formula>
    </cfRule>
  </conditionalFormatting>
  <conditionalFormatting sqref="I12">
    <cfRule type="expression" dxfId="33" priority="21">
      <formula>H$12=TODAY()</formula>
    </cfRule>
  </conditionalFormatting>
  <conditionalFormatting sqref="K12">
    <cfRule type="expression" dxfId="32" priority="20">
      <formula>J$12=TODAY()</formula>
    </cfRule>
  </conditionalFormatting>
  <conditionalFormatting sqref="M12">
    <cfRule type="expression" dxfId="31" priority="19">
      <formula>L$12=TODAY()</formula>
    </cfRule>
  </conditionalFormatting>
  <conditionalFormatting sqref="O12">
    <cfRule type="expression" dxfId="30" priority="18">
      <formula>N$12=TODAY()</formula>
    </cfRule>
  </conditionalFormatting>
  <conditionalFormatting sqref="E12">
    <cfRule type="expression" dxfId="29" priority="15">
      <formula>D$12=""</formula>
    </cfRule>
    <cfRule type="expression" dxfId="28" priority="16">
      <formula>D$12=TODAY()</formula>
    </cfRule>
  </conditionalFormatting>
  <conditionalFormatting sqref="G12">
    <cfRule type="expression" dxfId="27" priority="13">
      <formula>F$12=""</formula>
    </cfRule>
    <cfRule type="expression" dxfId="26" priority="14">
      <formula>F$12=TODAY()</formula>
    </cfRule>
  </conditionalFormatting>
  <conditionalFormatting sqref="I12">
    <cfRule type="expression" dxfId="25" priority="11">
      <formula>H$12=""</formula>
    </cfRule>
    <cfRule type="expression" dxfId="24" priority="12">
      <formula>H$12=TODAY()</formula>
    </cfRule>
  </conditionalFormatting>
  <conditionalFormatting sqref="K12">
    <cfRule type="expression" dxfId="23" priority="9">
      <formula>J$12=""</formula>
    </cfRule>
    <cfRule type="expression" dxfId="22" priority="10">
      <formula>J$12=TODAY()</formula>
    </cfRule>
  </conditionalFormatting>
  <conditionalFormatting sqref="M12">
    <cfRule type="expression" dxfId="21" priority="7">
      <formula>L$12=""</formula>
    </cfRule>
    <cfRule type="expression" dxfId="20" priority="8">
      <formula>L$12=TODAY()</formula>
    </cfRule>
  </conditionalFormatting>
  <conditionalFormatting sqref="O12">
    <cfRule type="expression" dxfId="19" priority="5">
      <formula>N$12=""</formula>
    </cfRule>
    <cfRule type="expression" dxfId="18" priority="6">
      <formula>N$12=TODAY()</formula>
    </cfRule>
  </conditionalFormatting>
  <conditionalFormatting sqref="B12 D12 F12 H12 J12 L12 N12">
    <cfRule type="cellIs" dxfId="17" priority="4" operator="equal">
      <formula>""</formula>
    </cfRule>
  </conditionalFormatting>
  <printOptions horizontalCentered="1"/>
  <pageMargins left="0.98425196850393704" right="0.98425196850393704" top="1.9685039370078741" bottom="0.98425196850393704" header="0.51181102362204722" footer="0.51181102362204722"/>
  <pageSetup paperSize="8" scale="94" orientation="landscape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print="0" autoLine="0" r:id="rId5">
            <anchor moveWithCells="1">
              <from>
                <xdr:col>2</xdr:col>
                <xdr:colOff>525780</xdr:colOff>
                <xdr:row>18</xdr:row>
                <xdr:rowOff>129540</xdr:rowOff>
              </from>
              <to>
                <xdr:col>6</xdr:col>
                <xdr:colOff>434340</xdr:colOff>
                <xdr:row>21</xdr:row>
                <xdr:rowOff>22860</xdr:rowOff>
              </to>
            </anchor>
          </controlPr>
        </control>
      </mc:Choice>
      <mc:Fallback>
        <control shapeId="2052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7" id="{C2D5BF97-FFF9-4569-9ACD-C79EE4E3DE2B}">
            <xm:f>NOT(ISNA(VLOOKUP(B7,Données!$J$2:$J$13,1,0)))</xm:f>
            <x14:dxf>
              <fill>
                <patternFill>
                  <bgColor rgb="FFFF0000"/>
                </patternFill>
              </fill>
            </x14:dxf>
          </x14:cfRule>
          <xm:sqref>B7:K12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85" yWindow="403" count="1">
        <x14:dataValidation type="list" allowBlank="1" showInputMessage="1" showErrorMessage="1" promptTitle="Equipe" xr:uid="{00000000-0002-0000-0100-000000000000}">
          <x14:formula1>
            <xm:f>Données!$A$2:$A$13</xm:f>
          </x14:formula1>
          <xm:sqref>B7:O12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-0.249977111117893"/>
  </sheetPr>
  <dimension ref="A1:D35"/>
  <sheetViews>
    <sheetView showFormulas="1" zoomScaleNormal="100" workbookViewId="0">
      <selection activeCell="D2" sqref="D2"/>
    </sheetView>
  </sheetViews>
  <sheetFormatPr baseColWidth="10" defaultColWidth="8.88671875" defaultRowHeight="14.4"/>
  <cols>
    <col min="1" max="1" width="8.88671875" style="1"/>
    <col min="2" max="2" width="12" style="1" customWidth="1"/>
    <col min="3" max="3" width="14.88671875" style="1" customWidth="1"/>
    <col min="4" max="4" width="8.88671875" style="1"/>
    <col min="5" max="5" width="29.109375" style="1" customWidth="1"/>
    <col min="6" max="16384" width="8.88671875" style="1"/>
  </cols>
  <sheetData>
    <row r="1" spans="1:4">
      <c r="B1" s="1">
        <v>2</v>
      </c>
      <c r="C1" s="5">
        <v>2021</v>
      </c>
      <c r="D1" s="6">
        <v>1</v>
      </c>
    </row>
    <row r="3" spans="1:4">
      <c r="A3" s="2">
        <v>1</v>
      </c>
      <c r="B3" s="3"/>
      <c r="C3" s="3">
        <f>DATE(C1,D1,1)</f>
        <v>44197</v>
      </c>
      <c r="D3" s="2"/>
    </row>
    <row r="4" spans="1:4">
      <c r="A4" s="2">
        <v>2</v>
      </c>
      <c r="B4" s="3"/>
      <c r="C4" s="3">
        <f>C3+1</f>
        <v>44198</v>
      </c>
      <c r="D4" s="2"/>
    </row>
    <row r="5" spans="1:4">
      <c r="A5" s="2">
        <v>3</v>
      </c>
      <c r="B5" s="3"/>
      <c r="C5" s="3">
        <f t="shared" ref="C5:C30" si="0">C4+1</f>
        <v>44199</v>
      </c>
      <c r="D5" s="2"/>
    </row>
    <row r="6" spans="1:4">
      <c r="A6" s="2">
        <v>4</v>
      </c>
      <c r="B6" s="3"/>
      <c r="C6" s="3">
        <f t="shared" si="0"/>
        <v>44200</v>
      </c>
      <c r="D6" s="2"/>
    </row>
    <row r="7" spans="1:4">
      <c r="A7" s="2">
        <v>5</v>
      </c>
      <c r="B7" s="3"/>
      <c r="C7" s="3">
        <f t="shared" si="0"/>
        <v>44201</v>
      </c>
      <c r="D7" s="2"/>
    </row>
    <row r="8" spans="1:4">
      <c r="A8" s="2">
        <v>6</v>
      </c>
      <c r="B8" s="3"/>
      <c r="C8" s="3">
        <f t="shared" si="0"/>
        <v>44202</v>
      </c>
      <c r="D8" s="2"/>
    </row>
    <row r="9" spans="1:4">
      <c r="A9" s="2">
        <v>7</v>
      </c>
      <c r="B9" s="3"/>
      <c r="C9" s="3">
        <f t="shared" si="0"/>
        <v>44203</v>
      </c>
      <c r="D9" s="2"/>
    </row>
    <row r="10" spans="1:4">
      <c r="A10" s="2">
        <v>8</v>
      </c>
      <c r="B10" s="3"/>
      <c r="C10" s="3">
        <f t="shared" si="0"/>
        <v>44204</v>
      </c>
      <c r="D10" s="2"/>
    </row>
    <row r="11" spans="1:4">
      <c r="A11" s="2">
        <v>9</v>
      </c>
      <c r="B11" s="3"/>
      <c r="C11" s="3">
        <f t="shared" si="0"/>
        <v>44205</v>
      </c>
      <c r="D11" s="2"/>
    </row>
    <row r="12" spans="1:4">
      <c r="A12" s="2">
        <v>10</v>
      </c>
      <c r="B12" s="3"/>
      <c r="C12" s="3">
        <f t="shared" si="0"/>
        <v>44206</v>
      </c>
      <c r="D12" s="2"/>
    </row>
    <row r="13" spans="1:4">
      <c r="A13" s="2">
        <v>11</v>
      </c>
      <c r="B13" s="3"/>
      <c r="C13" s="3">
        <f t="shared" si="0"/>
        <v>44207</v>
      </c>
      <c r="D13" s="2"/>
    </row>
    <row r="14" spans="1:4">
      <c r="A14" s="2">
        <v>12</v>
      </c>
      <c r="B14" s="3"/>
      <c r="C14" s="3">
        <f t="shared" si="0"/>
        <v>44208</v>
      </c>
      <c r="D14" s="2"/>
    </row>
    <row r="15" spans="1:4">
      <c r="A15" s="2">
        <v>13</v>
      </c>
      <c r="B15" s="3"/>
      <c r="C15" s="3">
        <f t="shared" si="0"/>
        <v>44209</v>
      </c>
      <c r="D15" s="2"/>
    </row>
    <row r="16" spans="1:4">
      <c r="A16" s="2">
        <v>14</v>
      </c>
      <c r="B16" s="3"/>
      <c r="C16" s="3">
        <f t="shared" si="0"/>
        <v>44210</v>
      </c>
      <c r="D16" s="2"/>
    </row>
    <row r="17" spans="1:4">
      <c r="A17" s="2">
        <v>15</v>
      </c>
      <c r="B17" s="3"/>
      <c r="C17" s="3">
        <f t="shared" si="0"/>
        <v>44211</v>
      </c>
      <c r="D17" s="2"/>
    </row>
    <row r="18" spans="1:4">
      <c r="A18" s="2">
        <v>16</v>
      </c>
      <c r="B18" s="3"/>
      <c r="C18" s="3">
        <f t="shared" si="0"/>
        <v>44212</v>
      </c>
      <c r="D18" s="2"/>
    </row>
    <row r="19" spans="1:4">
      <c r="A19" s="2">
        <v>17</v>
      </c>
      <c r="B19" s="3"/>
      <c r="C19" s="3">
        <f t="shared" si="0"/>
        <v>44213</v>
      </c>
      <c r="D19" s="2"/>
    </row>
    <row r="20" spans="1:4">
      <c r="A20" s="2">
        <v>18</v>
      </c>
      <c r="B20" s="3"/>
      <c r="C20" s="3">
        <f t="shared" si="0"/>
        <v>44214</v>
      </c>
      <c r="D20" s="2"/>
    </row>
    <row r="21" spans="1:4">
      <c r="A21" s="2">
        <v>19</v>
      </c>
      <c r="B21" s="3"/>
      <c r="C21" s="3">
        <f t="shared" si="0"/>
        <v>44215</v>
      </c>
      <c r="D21" s="2"/>
    </row>
    <row r="22" spans="1:4">
      <c r="A22" s="2">
        <v>20</v>
      </c>
      <c r="B22" s="3"/>
      <c r="C22" s="3">
        <f t="shared" si="0"/>
        <v>44216</v>
      </c>
      <c r="D22" s="2"/>
    </row>
    <row r="23" spans="1:4">
      <c r="A23" s="2">
        <v>21</v>
      </c>
      <c r="B23" s="3"/>
      <c r="C23" s="3">
        <f t="shared" si="0"/>
        <v>44217</v>
      </c>
      <c r="D23" s="2"/>
    </row>
    <row r="24" spans="1:4">
      <c r="A24" s="2">
        <v>22</v>
      </c>
      <c r="B24" s="3"/>
      <c r="C24" s="3">
        <f t="shared" si="0"/>
        <v>44218</v>
      </c>
      <c r="D24" s="2"/>
    </row>
    <row r="25" spans="1:4">
      <c r="A25" s="2">
        <v>23</v>
      </c>
      <c r="B25" s="3"/>
      <c r="C25" s="3">
        <f t="shared" si="0"/>
        <v>44219</v>
      </c>
      <c r="D25" s="2"/>
    </row>
    <row r="26" spans="1:4">
      <c r="A26" s="2">
        <v>24</v>
      </c>
      <c r="B26" s="3"/>
      <c r="C26" s="3">
        <f t="shared" si="0"/>
        <v>44220</v>
      </c>
      <c r="D26" s="2"/>
    </row>
    <row r="27" spans="1:4">
      <c r="A27" s="2">
        <v>25</v>
      </c>
      <c r="B27" s="3"/>
      <c r="C27" s="3">
        <f t="shared" si="0"/>
        <v>44221</v>
      </c>
      <c r="D27" s="2"/>
    </row>
    <row r="28" spans="1:4">
      <c r="A28" s="2">
        <v>26</v>
      </c>
      <c r="B28" s="3"/>
      <c r="C28" s="3">
        <f t="shared" si="0"/>
        <v>44222</v>
      </c>
      <c r="D28" s="2"/>
    </row>
    <row r="29" spans="1:4">
      <c r="A29" s="2">
        <v>27</v>
      </c>
      <c r="B29" s="3"/>
      <c r="C29" s="3">
        <f t="shared" si="0"/>
        <v>44223</v>
      </c>
      <c r="D29" s="2"/>
    </row>
    <row r="30" spans="1:4">
      <c r="A30" s="2">
        <v>28</v>
      </c>
      <c r="B30" s="3"/>
      <c r="C30" s="3">
        <f t="shared" si="0"/>
        <v>44224</v>
      </c>
      <c r="D30" s="2"/>
    </row>
    <row r="31" spans="1:4">
      <c r="A31" s="2">
        <v>29</v>
      </c>
      <c r="B31" s="3"/>
      <c r="C31" s="3">
        <f>IF(DAY($C$30+1)&lt;DAY($C$30),"",$C$30+1)</f>
        <v>44225</v>
      </c>
      <c r="D31" s="2"/>
    </row>
    <row r="32" spans="1:4">
      <c r="A32" s="2">
        <v>30</v>
      </c>
      <c r="B32" s="3"/>
      <c r="C32" s="3">
        <f>IF(DAY($C$30+2)&lt;DAY($C$30),"",$C$30+2)</f>
        <v>44226</v>
      </c>
      <c r="D32" s="2"/>
    </row>
    <row r="33" spans="1:4">
      <c r="A33" s="2">
        <v>31</v>
      </c>
      <c r="B33" s="3"/>
      <c r="C33" s="3">
        <f>IF(DAY($C$30+3)&lt;DAY($C$30),"",$C$30+3)</f>
        <v>44227</v>
      </c>
      <c r="D33" s="2"/>
    </row>
    <row r="34" spans="1:4">
      <c r="C34" s="4"/>
    </row>
    <row r="35" spans="1:4">
      <c r="C35" s="4"/>
    </row>
  </sheetData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0000000}">
          <x14:formula1>
            <xm:f>Données!$G$2:$G$11</xm:f>
          </x14:formula1>
          <xm:sqref>C1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F0"/>
  </sheetPr>
  <dimension ref="A1:J26"/>
  <sheetViews>
    <sheetView workbookViewId="0">
      <selection activeCell="B22" sqref="B22"/>
    </sheetView>
  </sheetViews>
  <sheetFormatPr baseColWidth="10" defaultColWidth="11.5546875" defaultRowHeight="14.4"/>
  <cols>
    <col min="1" max="1" width="11.5546875" style="1"/>
    <col min="2" max="2" width="19.88671875" style="1" customWidth="1"/>
    <col min="3" max="3" width="4.6640625" style="1" customWidth="1"/>
    <col min="4" max="5" width="11.5546875" style="1"/>
    <col min="6" max="6" width="4.6640625" style="1" customWidth="1"/>
    <col min="7" max="7" width="18.6640625" style="1" customWidth="1"/>
    <col min="8" max="8" width="4.6640625" style="1" customWidth="1"/>
    <col min="9" max="9" width="20.33203125" style="1" customWidth="1"/>
    <col min="10" max="10" width="14.33203125" style="1" bestFit="1" customWidth="1"/>
    <col min="11" max="11" width="20.6640625" style="1" customWidth="1"/>
    <col min="12" max="12" width="4.6640625" style="1" customWidth="1"/>
    <col min="13" max="13" width="13.6640625" style="1" bestFit="1" customWidth="1"/>
    <col min="14" max="14" width="15.33203125" style="1" customWidth="1"/>
    <col min="15" max="16384" width="11.5546875" style="1"/>
  </cols>
  <sheetData>
    <row r="1" spans="1:10">
      <c r="A1" s="1" t="s">
        <v>13</v>
      </c>
      <c r="B1" s="1" t="s">
        <v>14</v>
      </c>
      <c r="D1" s="1" t="s">
        <v>15</v>
      </c>
      <c r="E1" s="1" t="s">
        <v>16</v>
      </c>
      <c r="G1" s="1" t="s">
        <v>17</v>
      </c>
      <c r="I1" s="11" t="s">
        <v>30</v>
      </c>
      <c r="J1" s="15" t="s">
        <v>31</v>
      </c>
    </row>
    <row r="2" spans="1:10">
      <c r="A2" s="1" t="s">
        <v>60</v>
      </c>
      <c r="B2" s="1" t="s">
        <v>50</v>
      </c>
      <c r="D2" s="1">
        <v>1</v>
      </c>
      <c r="E2" s="1" t="s">
        <v>0</v>
      </c>
      <c r="G2" s="1">
        <v>2021</v>
      </c>
      <c r="I2" s="10" t="s">
        <v>18</v>
      </c>
      <c r="J2" s="13">
        <f>DATE(Accueil!C1,1,1)</f>
        <v>44197</v>
      </c>
    </row>
    <row r="3" spans="1:10">
      <c r="A3" s="1" t="s">
        <v>61</v>
      </c>
      <c r="B3" s="1" t="s">
        <v>49</v>
      </c>
      <c r="D3" s="1">
        <v>2</v>
      </c>
      <c r="E3" s="1" t="s">
        <v>1</v>
      </c>
      <c r="G3" s="1">
        <v>2022</v>
      </c>
      <c r="I3" s="10" t="s">
        <v>19</v>
      </c>
      <c r="J3" s="13">
        <f>ROUND(DATE(Accueil!C1,4,MOD(234-11*MOD(Accueil!C1,19),30))/7,0)*7-6</f>
        <v>44290</v>
      </c>
    </row>
    <row r="4" spans="1:10">
      <c r="A4" s="1" t="s">
        <v>62</v>
      </c>
      <c r="B4" s="1" t="s">
        <v>48</v>
      </c>
      <c r="D4" s="1">
        <v>3</v>
      </c>
      <c r="E4" s="1" t="s">
        <v>2</v>
      </c>
      <c r="G4" s="1">
        <v>2023</v>
      </c>
      <c r="I4" s="10" t="s">
        <v>20</v>
      </c>
      <c r="J4" s="13">
        <f>J3+1</f>
        <v>44291</v>
      </c>
    </row>
    <row r="5" spans="1:10">
      <c r="A5" s="1" t="s">
        <v>63</v>
      </c>
      <c r="B5" s="1" t="s">
        <v>47</v>
      </c>
      <c r="D5" s="1">
        <v>4</v>
      </c>
      <c r="E5" s="1" t="s">
        <v>3</v>
      </c>
      <c r="G5" s="1">
        <v>2024</v>
      </c>
      <c r="I5" s="10" t="s">
        <v>21</v>
      </c>
      <c r="J5" s="13">
        <f>DATE(Accueil!C1,5,1)</f>
        <v>44317</v>
      </c>
    </row>
    <row r="6" spans="1:10">
      <c r="A6" s="1" t="s">
        <v>64</v>
      </c>
      <c r="B6" s="1" t="s">
        <v>56</v>
      </c>
      <c r="D6" s="1">
        <v>5</v>
      </c>
      <c r="E6" s="1" t="s">
        <v>4</v>
      </c>
      <c r="G6" s="1">
        <v>2025</v>
      </c>
      <c r="I6" s="10" t="s">
        <v>22</v>
      </c>
      <c r="J6" s="13">
        <f>DATE(Accueil!C1,5,8)</f>
        <v>44324</v>
      </c>
    </row>
    <row r="7" spans="1:10">
      <c r="A7" s="1" t="s">
        <v>65</v>
      </c>
      <c r="B7" s="1" t="s">
        <v>57</v>
      </c>
      <c r="D7" s="1">
        <v>6</v>
      </c>
      <c r="E7" s="1" t="s">
        <v>5</v>
      </c>
      <c r="G7" s="1">
        <v>2026</v>
      </c>
      <c r="I7" s="10" t="s">
        <v>23</v>
      </c>
      <c r="J7" s="13">
        <f>J3+39</f>
        <v>44329</v>
      </c>
    </row>
    <row r="8" spans="1:10">
      <c r="A8" s="1" t="s">
        <v>66</v>
      </c>
      <c r="B8" s="1" t="s">
        <v>58</v>
      </c>
      <c r="D8" s="1">
        <v>7</v>
      </c>
      <c r="E8" s="1" t="s">
        <v>6</v>
      </c>
      <c r="G8" s="1">
        <v>2027</v>
      </c>
      <c r="I8" s="10" t="s">
        <v>24</v>
      </c>
      <c r="J8" s="13">
        <f>J3+50</f>
        <v>44340</v>
      </c>
    </row>
    <row r="9" spans="1:10">
      <c r="A9" s="1" t="s">
        <v>67</v>
      </c>
      <c r="B9" s="1" t="s">
        <v>43</v>
      </c>
      <c r="D9" s="1">
        <v>8</v>
      </c>
      <c r="E9" s="1" t="s">
        <v>7</v>
      </c>
      <c r="G9" s="1">
        <v>2028</v>
      </c>
      <c r="I9" s="10" t="s">
        <v>25</v>
      </c>
      <c r="J9" s="13">
        <f>DATE(Accueil!C1,7,14)</f>
        <v>44391</v>
      </c>
    </row>
    <row r="10" spans="1:10">
      <c r="A10" s="1" t="s">
        <v>68</v>
      </c>
      <c r="B10" s="1" t="s">
        <v>59</v>
      </c>
      <c r="D10" s="1">
        <v>9</v>
      </c>
      <c r="E10" s="1" t="s">
        <v>8</v>
      </c>
      <c r="G10" s="1">
        <v>2029</v>
      </c>
      <c r="I10" s="10" t="s">
        <v>26</v>
      </c>
      <c r="J10" s="13">
        <f>DATE(Accueil!C1,8,15)</f>
        <v>44423</v>
      </c>
    </row>
    <row r="11" spans="1:10">
      <c r="A11" s="1" t="s">
        <v>69</v>
      </c>
      <c r="B11" s="1" t="s">
        <v>41</v>
      </c>
      <c r="D11" s="1">
        <v>10</v>
      </c>
      <c r="E11" s="1" t="s">
        <v>9</v>
      </c>
      <c r="G11" s="1">
        <v>2030</v>
      </c>
      <c r="I11" s="10" t="s">
        <v>27</v>
      </c>
      <c r="J11" s="13">
        <f>DATE(Accueil!C1,11,1)</f>
        <v>44501</v>
      </c>
    </row>
    <row r="12" spans="1:10">
      <c r="A12" s="1" t="s">
        <v>70</v>
      </c>
      <c r="B12" s="1" t="s">
        <v>40</v>
      </c>
      <c r="D12" s="1">
        <v>11</v>
      </c>
      <c r="E12" s="1" t="s">
        <v>10</v>
      </c>
      <c r="I12" s="10" t="s">
        <v>28</v>
      </c>
      <c r="J12" s="13">
        <f>DATE(Accueil!C1,11,11)</f>
        <v>44511</v>
      </c>
    </row>
    <row r="13" spans="1:10">
      <c r="A13" s="1" t="s">
        <v>71</v>
      </c>
      <c r="B13" s="1" t="s">
        <v>39</v>
      </c>
      <c r="D13" s="1">
        <v>12</v>
      </c>
      <c r="E13" s="1" t="s">
        <v>11</v>
      </c>
      <c r="I13" s="12" t="s">
        <v>29</v>
      </c>
      <c r="J13" s="14">
        <f>DATE(Accueil!C1,12,25)</f>
        <v>44555</v>
      </c>
    </row>
    <row r="17" spans="2:2">
      <c r="B17"/>
    </row>
    <row r="18" spans="2:2">
      <c r="B18"/>
    </row>
    <row r="19" spans="2:2">
      <c r="B19"/>
    </row>
    <row r="20" spans="2:2">
      <c r="B20"/>
    </row>
    <row r="21" spans="2:2">
      <c r="B21"/>
    </row>
    <row r="22" spans="2:2">
      <c r="B22"/>
    </row>
    <row r="23" spans="2:2">
      <c r="B23"/>
    </row>
    <row r="24" spans="2:2">
      <c r="B24"/>
    </row>
    <row r="25" spans="2:2">
      <c r="B25"/>
    </row>
    <row r="26" spans="2:2">
      <c r="B26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Mois + Fiche</vt:lpstr>
      <vt:lpstr>Accueil</vt:lpstr>
      <vt:lpstr>Données</vt:lpstr>
      <vt:lpstr>Lettre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2021-09-04T10:12:28Z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