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/>
  <xr:revisionPtr revIDLastSave="3" documentId="8_{51412E81-021D-4A93-B0B5-5F281C445F36}" xr6:coauthVersionLast="47" xr6:coauthVersionMax="47" xr10:uidLastSave="{4321D273-BA8A-498C-BAC4-741C3E463639}"/>
  <bookViews>
    <workbookView xWindow="-108" yWindow="-108" windowWidth="23256" windowHeight="12456" activeTab="1" xr2:uid="{00000000-000D-0000-FFFF-FFFF00000000}"/>
  </bookViews>
  <sheets>
    <sheet name="Accueil" sheetId="1" r:id="rId1"/>
    <sheet name="Mois + Fiche" sheetId="3" r:id="rId2"/>
    <sheet name="Données" sheetId="4" r:id="rId3"/>
  </sheets>
  <definedNames>
    <definedName name="Lettre">Données!$A$2:$A$12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4" l="1"/>
  <c r="J12" i="4"/>
  <c r="J11" i="4"/>
  <c r="J10" i="4"/>
  <c r="J9" i="4"/>
  <c r="J6" i="4"/>
  <c r="J5" i="4"/>
  <c r="J3" i="4"/>
  <c r="J8" i="4" s="1"/>
  <c r="J2" i="4"/>
  <c r="W20" i="3"/>
  <c r="U20" i="3"/>
  <c r="U19" i="3"/>
  <c r="W19" i="3" s="1"/>
  <c r="W18" i="3"/>
  <c r="T18" i="3"/>
  <c r="W17" i="3"/>
  <c r="T17" i="3"/>
  <c r="W16" i="3"/>
  <c r="W25" i="3" s="1"/>
  <c r="W26" i="3" s="1"/>
  <c r="T16" i="3"/>
  <c r="W15" i="3"/>
  <c r="T15" i="3"/>
  <c r="W14" i="3"/>
  <c r="T14" i="3"/>
  <c r="W13" i="3"/>
  <c r="T13" i="3"/>
  <c r="W12" i="3"/>
  <c r="T12" i="3"/>
  <c r="Q12" i="3"/>
  <c r="P12" i="3"/>
  <c r="N12" i="3"/>
  <c r="L12" i="3"/>
  <c r="J12" i="3"/>
  <c r="H12" i="3"/>
  <c r="F12" i="3"/>
  <c r="D12" i="3"/>
  <c r="B12" i="3"/>
  <c r="W11" i="3"/>
  <c r="T11" i="3"/>
  <c r="Q11" i="3"/>
  <c r="P11" i="3"/>
  <c r="N11" i="3"/>
  <c r="L11" i="3"/>
  <c r="J11" i="3"/>
  <c r="H11" i="3"/>
  <c r="F11" i="3"/>
  <c r="D11" i="3"/>
  <c r="B11" i="3"/>
  <c r="W10" i="3"/>
  <c r="T10" i="3"/>
  <c r="Q10" i="3"/>
  <c r="P10" i="3"/>
  <c r="N10" i="3"/>
  <c r="L10" i="3"/>
  <c r="J10" i="3"/>
  <c r="H10" i="3"/>
  <c r="F10" i="3"/>
  <c r="D10" i="3"/>
  <c r="B10" i="3"/>
  <c r="W9" i="3"/>
  <c r="T9" i="3"/>
  <c r="Q9" i="3"/>
  <c r="P9" i="3"/>
  <c r="N9" i="3"/>
  <c r="L9" i="3"/>
  <c r="J9" i="3"/>
  <c r="H9" i="3"/>
  <c r="F9" i="3"/>
  <c r="D9" i="3"/>
  <c r="B9" i="3"/>
  <c r="W8" i="3"/>
  <c r="T8" i="3"/>
  <c r="Q8" i="3"/>
  <c r="P8" i="3"/>
  <c r="N8" i="3"/>
  <c r="L8" i="3"/>
  <c r="J8" i="3"/>
  <c r="H8" i="3"/>
  <c r="F8" i="3"/>
  <c r="D8" i="3"/>
  <c r="B8" i="3"/>
  <c r="W7" i="3"/>
  <c r="T7" i="3"/>
  <c r="Q7" i="3"/>
  <c r="P7" i="3"/>
  <c r="N7" i="3"/>
  <c r="L7" i="3"/>
  <c r="J7" i="3"/>
  <c r="H7" i="3"/>
  <c r="F7" i="3"/>
  <c r="D7" i="3"/>
  <c r="B7" i="3"/>
  <c r="N6" i="3"/>
  <c r="L6" i="3"/>
  <c r="J6" i="3"/>
  <c r="H6" i="3"/>
  <c r="F6" i="3"/>
  <c r="D6" i="3"/>
  <c r="B6" i="3"/>
  <c r="B5" i="3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J4" i="4" l="1"/>
  <c r="J7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1" authorId="0" shapeId="0" xr:uid="{D38D9B9B-0F93-426E-BB31-766073FA3E45}">
      <text>
        <r>
          <rPr>
            <b/>
            <sz val="9"/>
            <color indexed="81"/>
            <rFont val="Tahoma"/>
            <family val="2"/>
          </rPr>
          <t xml:space="preserve">Change les jours de la semaine laisser sur 2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<sst xmlns="http://schemas.openxmlformats.org/spreadsheetml/2006/main" count="90" uniqueCount="71">
  <si>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</si>
  <si>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</si>
  <si>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</si>
  <si>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</si>
  <si>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</si>
  <si>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</si>
  <si>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</si>
  <si>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</si>
  <si>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</si>
  <si>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</si>
  <si>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</si>
  <si>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</si>
  <si>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</si>
  <si>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LETTRE</t>
  </si>
  <si>
    <t>DÉNOMINATION</t>
  </si>
  <si>
    <t>MOIS</t>
  </si>
  <si>
    <t>MOIS2</t>
  </si>
  <si>
    <t>ANNÉES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</si>
  <si>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</si>
  <si>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</si>
  <si>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</si>
  <si>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</si>
  <si>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</si>
  <si>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</si>
  <si>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</si>
  <si>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</si>
  <si>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</si>
  <si>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</si>
  <si>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</si>
  <si>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</si>
  <si>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JOURS</t>
  </si>
  <si>
    <t>DATES</t>
  </si>
  <si>
    <t xml:space="preserve">Total net </t>
  </si>
  <si>
    <t>Total brut</t>
  </si>
  <si>
    <t>Congé ancienneté</t>
  </si>
  <si>
    <t>Prime de transfert</t>
  </si>
  <si>
    <t>Prime flex salaire</t>
  </si>
  <si>
    <t xml:space="preserve">Trajet par Voyage </t>
  </si>
  <si>
    <t xml:space="preserve">Ticket restaurant </t>
  </si>
  <si>
    <t>Formation</t>
  </si>
  <si>
    <t>Réunion</t>
  </si>
  <si>
    <t>Heure sup nuit</t>
  </si>
  <si>
    <t>Heure sup m/a-m</t>
  </si>
  <si>
    <t>Jours fériés</t>
  </si>
  <si>
    <t>Journée de pont</t>
  </si>
  <si>
    <t>Jours semaine nuit</t>
  </si>
  <si>
    <t>Jours semaine m/a-m</t>
  </si>
  <si>
    <t>Dimanche matin</t>
  </si>
  <si>
    <t>Samedi matin</t>
  </si>
  <si>
    <t>Dimanche nuit</t>
  </si>
  <si>
    <t>Samedi nuit</t>
  </si>
  <si>
    <t>Taux horraire</t>
  </si>
  <si>
    <t>Total</t>
  </si>
  <si>
    <t>Heures</t>
  </si>
  <si>
    <t>Nombres de jours</t>
  </si>
  <si>
    <t>Total €</t>
  </si>
  <si>
    <t>Js M/A-p</t>
  </si>
  <si>
    <t>Js Nuit</t>
  </si>
  <si>
    <t>J de Pont</t>
  </si>
  <si>
    <t>Heure sup m/a-p</t>
  </si>
  <si>
    <t>sn</t>
  </si>
  <si>
    <t>dn</t>
  </si>
  <si>
    <t>sm</t>
  </si>
  <si>
    <t>dm</t>
  </si>
  <si>
    <t>js m/a</t>
  </si>
  <si>
    <t>js n</t>
  </si>
  <si>
    <t>jp</t>
  </si>
  <si>
    <t>jf</t>
  </si>
  <si>
    <t>h m/a</t>
  </si>
  <si>
    <t>h n</t>
  </si>
  <si>
    <t xml:space="preserve">et il faudrait un bouton pour sauvegarder la feuille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</si>
</sst>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\'yyyy"/>
    <numFmt numFmtId="165" formatCode="dd\ &quot;→&quot;"/>
    <numFmt numFmtId="166" formatCode="ddd\ dd/mm/yyyy"/>
  </numFmts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Nexa Bold"/>
      <family val="3"/>
    </font>
    <font>
      <sz val="14"/>
      <color rgb="FF00B0F0"/>
      <name val="Nexa Bold"/>
      <family val="3"/>
    </font>
    <font>
      <sz val="18"/>
      <color theme="1"/>
      <name val="Nexa Bold"/>
      <family val="3"/>
    </font>
    <font>
      <sz val="16"/>
      <color theme="1"/>
      <name val="Nexa Light"/>
      <family val="3"/>
    </font>
    <font>
      <sz val="10"/>
      <color theme="0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28" applyNumberFormat="0" applyFill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5" xfId="0" applyNumberFormat="1" applyFont="1" applyBorder="1" applyAlignment="1">
      <alignment horizontal="center" vertical="center"/>
    </xf>
    <xf numFmtId="165" fontId="7" fillId="7" borderId="10" xfId="0" applyNumberFormat="1" applyFont="1" applyFill="1" applyBorder="1" applyAlignment="1">
      <alignment horizontal="center" vertical="center"/>
    </xf>
    <xf numFmtId="165" fontId="7" fillId="7" borderId="13" xfId="0" applyNumberFormat="1" applyFont="1" applyFill="1" applyBorder="1" applyAlignment="1">
      <alignment horizontal="center" vertical="center"/>
    </xf>
    <xf numFmtId="165" fontId="7" fillId="7" borderId="16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6" xfId="0" applyNumberFormat="1" applyFont="1" applyBorder="1" applyAlignment="1">
      <alignment horizontal="center" vertical="center"/>
    </xf>
    <xf numFmtId="166" fontId="6" fillId="0" borderId="24" xfId="0" applyNumberFormat="1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 vertical="center"/>
    </xf>
    <xf numFmtId="2" fontId="10" fillId="8" borderId="28" xfId="1" applyNumberFormat="1" applyFill="1" applyAlignment="1" applyProtection="1">
      <alignment horizontal="center"/>
    </xf>
    <xf numFmtId="2" fontId="10" fillId="0" borderId="28" xfId="1" applyNumberFormat="1" applyProtection="1">
      <protection locked="0"/>
    </xf>
    <xf numFmtId="0" fontId="10" fillId="9" borderId="28" xfId="1" applyFill="1" applyAlignment="1" applyProtection="1">
      <alignment horizontal="center"/>
      <protection locked="0"/>
    </xf>
    <xf numFmtId="2" fontId="10" fillId="0" borderId="28" xfId="1" applyNumberFormat="1" applyAlignment="1" applyProtection="1">
      <alignment horizontal="center"/>
    </xf>
    <xf numFmtId="2" fontId="10" fillId="0" borderId="28" xfId="1" applyNumberFormat="1" applyAlignment="1" applyProtection="1">
      <alignment horizontal="center"/>
      <protection locked="0"/>
    </xf>
    <xf numFmtId="0" fontId="10" fillId="10" borderId="28" xfId="1" applyFill="1" applyAlignment="1" applyProtection="1">
      <alignment horizontal="center"/>
      <protection locked="0"/>
    </xf>
    <xf numFmtId="0" fontId="10" fillId="8" borderId="28" xfId="1" applyFill="1" applyAlignment="1" applyProtection="1">
      <alignment horizontal="center"/>
      <protection locked="0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29" xfId="0" applyFont="1" applyFill="1" applyBorder="1" applyAlignment="1">
      <alignment horizontal="center" vertical="center"/>
    </xf>
    <xf numFmtId="0" fontId="11" fillId="11" borderId="30" xfId="0" applyFont="1" applyFill="1" applyBorder="1" applyAlignment="1">
      <alignment horizontal="center" vertical="center"/>
    </xf>
    <xf numFmtId="165" fontId="7" fillId="0" borderId="31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</cellXfs>
  <cellStyles count="2">
    <cellStyle name="Normal" xfId="0" builtinId="0"/>
    <cellStyle name="Titre 2" xfId="1" builtinId="17"/>
  </cellStyles>
  <dxfs count="1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166" formatCode="ddd\ 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" displayName="D" ref="A1:B11" totalsRowShown="0" headerRowDxfId="15" dataDxfId="14">
  <autoFilter ref="A1:B11" xr:uid="{00000000-0009-0000-0100-000001000000}"/>
  <tableColumns count="2">
    <tableColumn id="1" xr3:uid="{00000000-0010-0000-0000-000001000000}" name="LETTRE" dataDxfId="13"/>
    <tableColumn id="2" xr3:uid="{00000000-0010-0000-0000-000002000000}" name="DÉNOMINATION" dataDxfId="1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OIS" displayName="MOIS" ref="D1:E13" totalsRowShown="0" headerRowDxfId="11" dataDxfId="10">
  <autoFilter ref="D1:E13" xr:uid="{00000000-0009-0000-0100-000002000000}"/>
  <tableColumns count="2">
    <tableColumn id="1" xr3:uid="{00000000-0010-0000-0100-000001000000}" name="MOIS" dataDxfId="9"/>
    <tableColumn id="2" xr3:uid="{00000000-0010-0000-0100-000002000000}" name="MOIS2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ANNÉES" displayName="ANNÉES" ref="G1:G11" totalsRowShown="0" headerRowDxfId="7" dataDxfId="6">
  <autoFilter ref="G1:G11" xr:uid="{00000000-0009-0000-0100-000005000000}"/>
  <tableColumns count="1">
    <tableColumn id="1" xr3:uid="{00000000-0010-0000-0400-000001000000}" name="ANNÉES" dataDxfId="5"/>
  </tableColumns>
  <tableStyleInfo name="TableStyleDark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JOURS" displayName="JOURS" ref="I1:J13" totalsRowShown="0" headerRowBorderDxfId="4" tableBorderDxfId="3" totalsRowBorderDxfId="2">
  <autoFilter ref="I1:J13" xr:uid="{00000000-0009-0000-0100-000006000000}"/>
  <tableColumns count="2">
    <tableColumn id="1" xr3:uid="{00000000-0010-0000-0500-000001000000}" name="JOURS" dataDxfId="1"/>
    <tableColumn id="2" xr3:uid="{00000000-0010-0000-0500-000002000000}" name="DATES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-0.249977111117893"/>
  </sheetPr>
  <dimension ref="A1:D35"/>
  <sheetViews>
    <sheetView showFormulas="1" zoomScaleNormal="100" workbookViewId="0">
      <selection activeCell="B1" sqref="B1"/>
    </sheetView>
  </sheetViews>
  <sheetFormatPr baseColWidth="10" defaultColWidth="8.88671875" defaultRowHeight="14.4"/>
  <cols>
    <col min="1" max="1" width="8.88671875" style="1"/>
    <col min="2" max="2" width="12" style="1" customWidth="1"/>
    <col min="3" max="3" width="14.88671875" style="1" customWidth="1"/>
    <col min="4" max="4" width="8.88671875" style="1"/>
    <col min="5" max="5" width="29.109375" style="1" customWidth="1"/>
    <col min="6" max="16384" width="8.88671875" style="1"/>
  </cols>
  <sheetData>
    <row r="1" spans="1:4">
      <c r="B1" s="1">
        <v>2</v>
      </c>
      <c r="C1" s="5">
        <v>2021</v>
      </c>
      <c r="D1" s="6">
        <v>5</v>
      </c>
    </row>
    <row r="3" spans="1:4">
      <c r="A3" s="2">
        <v>1</v>
      </c>
      <c r="B3" s="3"/>
      <c r="C3" s="3">
        <f>DATE(C1,D1,1)</f>
        <v>44317</v>
      </c>
      <c r="D3" s="2"/>
    </row>
    <row r="4" spans="1:4">
      <c r="A4" s="2">
        <v>2</v>
      </c>
      <c r="B4" s="3"/>
      <c r="C4" s="3">
        <f>C3+1</f>
        <v>44318</v>
      </c>
      <c r="D4" s="2"/>
    </row>
    <row r="5" spans="1:4">
      <c r="A5" s="2">
        <v>3</v>
      </c>
      <c r="B5" s="3"/>
      <c r="C5" s="3">
        <f t="shared" ref="C5:C30" si="0">C4+1</f>
        <v>44319</v>
      </c>
      <c r="D5" s="2"/>
    </row>
    <row r="6" spans="1:4">
      <c r="A6" s="2">
        <v>4</v>
      </c>
      <c r="B6" s="3"/>
      <c r="C6" s="3">
        <f t="shared" si="0"/>
        <v>44320</v>
      </c>
      <c r="D6" s="2"/>
    </row>
    <row r="7" spans="1:4">
      <c r="A7" s="2">
        <v>5</v>
      </c>
      <c r="B7" s="3"/>
      <c r="C7" s="3">
        <f t="shared" si="0"/>
        <v>44321</v>
      </c>
      <c r="D7" s="2"/>
    </row>
    <row r="8" spans="1:4">
      <c r="A8" s="2">
        <v>6</v>
      </c>
      <c r="B8" s="3"/>
      <c r="C8" s="3">
        <f t="shared" si="0"/>
        <v>44322</v>
      </c>
      <c r="D8" s="2"/>
    </row>
    <row r="9" spans="1:4">
      <c r="A9" s="2">
        <v>7</v>
      </c>
      <c r="B9" s="3"/>
      <c r="C9" s="3">
        <f t="shared" si="0"/>
        <v>44323</v>
      </c>
      <c r="D9" s="2"/>
    </row>
    <row r="10" spans="1:4">
      <c r="A10" s="2">
        <v>8</v>
      </c>
      <c r="B10" s="3"/>
      <c r="C10" s="3">
        <f t="shared" si="0"/>
        <v>44324</v>
      </c>
      <c r="D10" s="2"/>
    </row>
    <row r="11" spans="1:4">
      <c r="A11" s="2">
        <v>9</v>
      </c>
      <c r="B11" s="3"/>
      <c r="C11" s="3">
        <f t="shared" si="0"/>
        <v>44325</v>
      </c>
      <c r="D11" s="2"/>
    </row>
    <row r="12" spans="1:4">
      <c r="A12" s="2">
        <v>10</v>
      </c>
      <c r="B12" s="3"/>
      <c r="C12" s="3">
        <f t="shared" si="0"/>
        <v>44326</v>
      </c>
      <c r="D12" s="2"/>
    </row>
    <row r="13" spans="1:4">
      <c r="A13" s="2">
        <v>11</v>
      </c>
      <c r="B13" s="3"/>
      <c r="C13" s="3">
        <f t="shared" si="0"/>
        <v>44327</v>
      </c>
      <c r="D13" s="2"/>
    </row>
    <row r="14" spans="1:4">
      <c r="A14" s="2">
        <v>12</v>
      </c>
      <c r="B14" s="3"/>
      <c r="C14" s="3">
        <f t="shared" si="0"/>
        <v>44328</v>
      </c>
      <c r="D14" s="2"/>
    </row>
    <row r="15" spans="1:4">
      <c r="A15" s="2">
        <v>13</v>
      </c>
      <c r="B15" s="3"/>
      <c r="C15" s="3">
        <f t="shared" si="0"/>
        <v>44329</v>
      </c>
      <c r="D15" s="2"/>
    </row>
    <row r="16" spans="1:4">
      <c r="A16" s="2">
        <v>14</v>
      </c>
      <c r="B16" s="3"/>
      <c r="C16" s="3">
        <f t="shared" si="0"/>
        <v>44330</v>
      </c>
      <c r="D16" s="2"/>
    </row>
    <row r="17" spans="1:4">
      <c r="A17" s="2">
        <v>15</v>
      </c>
      <c r="B17" s="3"/>
      <c r="C17" s="3">
        <f t="shared" si="0"/>
        <v>44331</v>
      </c>
      <c r="D17" s="2"/>
    </row>
    <row r="18" spans="1:4">
      <c r="A18" s="2">
        <v>16</v>
      </c>
      <c r="B18" s="3"/>
      <c r="C18" s="3">
        <f t="shared" si="0"/>
        <v>44332</v>
      </c>
      <c r="D18" s="2"/>
    </row>
    <row r="19" spans="1:4">
      <c r="A19" s="2">
        <v>17</v>
      </c>
      <c r="B19" s="3"/>
      <c r="C19" s="3">
        <f t="shared" si="0"/>
        <v>44333</v>
      </c>
      <c r="D19" s="2"/>
    </row>
    <row r="20" spans="1:4">
      <c r="A20" s="2">
        <v>18</v>
      </c>
      <c r="B20" s="3"/>
      <c r="C20" s="3">
        <f t="shared" si="0"/>
        <v>44334</v>
      </c>
      <c r="D20" s="2"/>
    </row>
    <row r="21" spans="1:4">
      <c r="A21" s="2">
        <v>19</v>
      </c>
      <c r="B21" s="3"/>
      <c r="C21" s="3">
        <f t="shared" si="0"/>
        <v>44335</v>
      </c>
      <c r="D21" s="2"/>
    </row>
    <row r="22" spans="1:4">
      <c r="A22" s="2">
        <v>20</v>
      </c>
      <c r="B22" s="3"/>
      <c r="C22" s="3">
        <f t="shared" si="0"/>
        <v>44336</v>
      </c>
      <c r="D22" s="2"/>
    </row>
    <row r="23" spans="1:4">
      <c r="A23" s="2">
        <v>21</v>
      </c>
      <c r="B23" s="3"/>
      <c r="C23" s="3">
        <f t="shared" si="0"/>
        <v>44337</v>
      </c>
      <c r="D23" s="2"/>
    </row>
    <row r="24" spans="1:4">
      <c r="A24" s="2">
        <v>22</v>
      </c>
      <c r="B24" s="3"/>
      <c r="C24" s="3">
        <f t="shared" si="0"/>
        <v>44338</v>
      </c>
      <c r="D24" s="2"/>
    </row>
    <row r="25" spans="1:4">
      <c r="A25" s="2">
        <v>23</v>
      </c>
      <c r="B25" s="3"/>
      <c r="C25" s="3">
        <f t="shared" si="0"/>
        <v>44339</v>
      </c>
      <c r="D25" s="2"/>
    </row>
    <row r="26" spans="1:4">
      <c r="A26" s="2">
        <v>24</v>
      </c>
      <c r="B26" s="3"/>
      <c r="C26" s="3">
        <f t="shared" si="0"/>
        <v>44340</v>
      </c>
      <c r="D26" s="2"/>
    </row>
    <row r="27" spans="1:4">
      <c r="A27" s="2">
        <v>25</v>
      </c>
      <c r="B27" s="3"/>
      <c r="C27" s="3">
        <f t="shared" si="0"/>
        <v>44341</v>
      </c>
      <c r="D27" s="2"/>
    </row>
    <row r="28" spans="1:4">
      <c r="A28" s="2">
        <v>26</v>
      </c>
      <c r="B28" s="3"/>
      <c r="C28" s="3">
        <f t="shared" si="0"/>
        <v>44342</v>
      </c>
      <c r="D28" s="2"/>
    </row>
    <row r="29" spans="1:4">
      <c r="A29" s="2">
        <v>27</v>
      </c>
      <c r="B29" s="3"/>
      <c r="C29" s="3">
        <f t="shared" si="0"/>
        <v>44343</v>
      </c>
      <c r="D29" s="2"/>
    </row>
    <row r="30" spans="1:4">
      <c r="A30" s="2">
        <v>28</v>
      </c>
      <c r="B30" s="3"/>
      <c r="C30" s="3">
        <f t="shared" si="0"/>
        <v>44344</v>
      </c>
      <c r="D30" s="2"/>
    </row>
    <row r="31" spans="1:4">
      <c r="A31" s="2">
        <v>29</v>
      </c>
      <c r="B31" s="3"/>
      <c r="C31" s="3">
        <f>IF(DAY($C$30+1)&lt;DAY($C$30),"",$C$30+1)</f>
        <v>44345</v>
      </c>
      <c r="D31" s="2"/>
    </row>
    <row r="32" spans="1:4">
      <c r="A32" s="2">
        <v>30</v>
      </c>
      <c r="B32" s="3"/>
      <c r="C32" s="3">
        <f>IF(DAY($C$30+2)&lt;DAY($C$30),"",$C$30+2)</f>
        <v>44346</v>
      </c>
      <c r="D32" s="2"/>
    </row>
    <row r="33" spans="1:4">
      <c r="A33" s="2">
        <v>31</v>
      </c>
      <c r="B33" s="3"/>
      <c r="C33" s="3">
        <f>IF(DAY($C$30+3)&lt;DAY($C$30),"",$C$30+3)</f>
        <v>44347</v>
      </c>
      <c r="D33" s="2"/>
    </row>
    <row r="34" spans="1:4">
      <c r="C34" s="4"/>
    </row>
    <row r="35" spans="1:4">
      <c r="C35" s="4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0000000}">
          <x14:formula1>
            <xm:f>Données!$G$2:$G$11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2:W27"/>
  <sheetViews>
    <sheetView tabSelected="1" topLeftCell="A4" zoomScale="85" zoomScaleNormal="85" workbookViewId="0">
      <selection activeCell="W8" sqref="W8"/>
    </sheetView>
  </sheetViews>
  <sheetFormatPr baseColWidth="10" defaultColWidth="11.5546875" defaultRowHeight="15.6"/>
  <cols>
    <col min="1" max="1" width="3.6640625" style="9" customWidth="1"/>
    <col min="2" max="2" width="11.88671875" style="9" customWidth="1"/>
    <col min="3" max="3" width="13.6640625" style="39" customWidth="1"/>
    <col min="4" max="4" width="6.6640625" style="9" customWidth="1"/>
    <col min="5" max="5" width="14.21875" style="39" bestFit="1" customWidth="1"/>
    <col min="6" max="6" width="6.6640625" style="9" customWidth="1"/>
    <col min="7" max="7" width="14.21875" style="39" bestFit="1" customWidth="1"/>
    <col min="8" max="8" width="6.6640625" style="9" customWidth="1"/>
    <col min="9" max="9" width="14.21875" style="39" bestFit="1" customWidth="1"/>
    <col min="10" max="10" width="6.6640625" style="9" customWidth="1"/>
    <col min="11" max="11" width="14.21875" style="39" bestFit="1" customWidth="1"/>
    <col min="12" max="12" width="6.6640625" style="9" customWidth="1"/>
    <col min="13" max="13" width="14.21875" style="39" bestFit="1" customWidth="1"/>
    <col min="14" max="14" width="6.6640625" style="9" customWidth="1"/>
    <col min="15" max="15" width="14.21875" style="39" bestFit="1" customWidth="1"/>
    <col min="16" max="16" width="4.44140625" style="9" customWidth="1"/>
    <col min="17" max="17" width="28.33203125" style="9" bestFit="1" customWidth="1"/>
    <col min="18" max="18" width="3.6640625" style="9" customWidth="1"/>
    <col min="19" max="19" width="23.21875" style="9" bestFit="1" customWidth="1"/>
    <col min="20" max="20" width="11.5546875" style="9"/>
    <col min="21" max="21" width="19.33203125" style="9" bestFit="1" customWidth="1"/>
    <col min="22" max="16384" width="11.5546875" style="9"/>
  </cols>
  <sheetData>
    <row r="2" spans="1:23">
      <c r="A2" s="8"/>
      <c r="B2" s="8"/>
      <c r="C2" s="38"/>
      <c r="D2" s="8"/>
      <c r="E2" s="38"/>
      <c r="F2" s="8"/>
      <c r="G2" s="38"/>
      <c r="H2" s="8"/>
      <c r="I2" s="38"/>
      <c r="J2" s="8"/>
      <c r="K2" s="38"/>
      <c r="L2" s="8"/>
      <c r="M2" s="38"/>
      <c r="N2" s="8"/>
      <c r="O2" s="38"/>
      <c r="P2" s="8"/>
      <c r="Q2" s="8"/>
      <c r="R2" s="8"/>
    </row>
    <row r="3" spans="1:23" ht="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23" ht="7.2" customHeight="1" thickBot="1"/>
    <row r="5" spans="1:23" ht="19.95" customHeight="1" thickBot="1">
      <c r="B5" s="49">
        <f>DATE(Accueil!$C$1,Accueil!$D$1,1)</f>
        <v>44317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1"/>
      <c r="Q5" s="7" t="s">
        <v>12</v>
      </c>
      <c r="S5" s="37"/>
      <c r="T5" s="37" t="s">
        <v>55</v>
      </c>
      <c r="U5" s="37" t="s">
        <v>54</v>
      </c>
      <c r="V5" s="37" t="s">
        <v>53</v>
      </c>
      <c r="W5" s="37" t="s">
        <v>52</v>
      </c>
    </row>
    <row r="6" spans="1:23" ht="19.95" customHeight="1" thickTop="1" thickBot="1">
      <c r="B6" s="52" t="str">
        <f>INDEX({"Dim","Lun","Mar","Mer","Jeu","Ven","Sam"},1+MOD(Accueil!$B$1+1-2,7))</f>
        <v>Lun</v>
      </c>
      <c r="C6" s="53"/>
      <c r="D6" s="54" t="str">
        <f>INDEX({"Dim","Lun","Mar","Mer","Jeu","Ven","Sam"},1+MOD(Accueil!$B$1+2-2,7))</f>
        <v>Mar</v>
      </c>
      <c r="E6" s="55"/>
      <c r="F6" s="53" t="str">
        <f>INDEX({"Dim","Lun","Mar","Mer","Jeu","Ven","Sam"},1+MOD(Accueil!$B$1+3-2,7))</f>
        <v>Mer</v>
      </c>
      <c r="G6" s="53"/>
      <c r="H6" s="54" t="str">
        <f>INDEX({"Dim","Lun","Mar","Mer","Jeu","Ven","Sam"},1+MOD(Accueil!$B$1+4-2,7))</f>
        <v>Jeu</v>
      </c>
      <c r="I6" s="55"/>
      <c r="J6" s="53" t="str">
        <f>INDEX({"Dim","Lun","Mar","Mer","Jeu","Ven","Sam"},1+MOD(Accueil!$B$1+5-2,7))</f>
        <v>Ven</v>
      </c>
      <c r="K6" s="53"/>
      <c r="L6" s="54" t="str">
        <f>INDEX({"Dim","Lun","Mar","Mer","Jeu","Ven","Sam"},1+MOD(Accueil!$B$1+6-2,7))</f>
        <v>Sam</v>
      </c>
      <c r="M6" s="55"/>
      <c r="N6" s="53" t="str">
        <f>INDEX({"Dim","Lun","Mar","Mer","Jeu","Ven","Sam"},1+MOD(Accueil!$B$1+7-2,7))</f>
        <v>Dim</v>
      </c>
      <c r="O6" s="56"/>
      <c r="Q6" s="10"/>
      <c r="S6" s="36" t="s">
        <v>51</v>
      </c>
      <c r="T6" s="35"/>
      <c r="U6" s="35"/>
      <c r="V6" s="35"/>
      <c r="W6" s="35"/>
    </row>
    <row r="7" spans="1:23" ht="19.95" customHeight="1" thickBot="1">
      <c r="B7" s="12" t="str">
        <f>IF(MONTH($B$5)&lt;&gt;MONTH($B$5-(WEEKDAY($B$5,1)-(Accueil!$B$1-1))-IF((WEEKDAY($B$5,1)-(Accueil!$B$1-1))&lt;=0,7,0)+(ROW(B7)-ROW($B$7))*7+(COLUMN(B7)-COLUMN($B$7)+1)),"",$B$5-(WEEKDAY($B$5,1)-(Accueil!$B$1-1))-IF((WEEKDAY($B$5,1)-(Accueil!$B$1-1))&lt;=0,7,0)+(ROW(B7)-ROW($B$7))*7+(COLUMN(B7)-COLUMN($B$7)+1))</f>
        <v/>
      </c>
      <c r="C7" s="40"/>
      <c r="D7" s="11" t="str">
        <f>IF(MONTH($B$5)&lt;&gt;MONTH($B$5-(WEEKDAY($B$5,1)-(Accueil!$B$1-1))-IF((WEEKDAY($B$5,1)-(Accueil!$B$1-1))&lt;=0,7,0)+(ROW(C7)-ROW($B$7))*7+(COLUMN(C7)-COLUMN($B$7)+1)),"",$B$5-(WEEKDAY($B$5,1)-(Accueil!$B$1-1))-IF((WEEKDAY($B$5,1)-(Accueil!$B$1-1))&lt;=0,7,0)+(ROW(C7)-ROW($B$7))*7+(COLUMN(C7)-COLUMN($B$7)+1))</f>
        <v/>
      </c>
      <c r="E7" s="42"/>
      <c r="F7" s="30" t="str">
        <f>IF(MONTH($B$5)&lt;&gt;MONTH($B$5-(WEEKDAY($B$5,1)-(Accueil!$B$1-1))-IF((WEEKDAY($B$5,1)-(Accueil!$B$1-1))&lt;=0,7,0)+(ROW(D7)-ROW($B$7))*7+(COLUMN(D7)-COLUMN($B$7)+1)),"",$B$5-(WEEKDAY($B$5,1)-(Accueil!$B$1-1))-IF((WEEKDAY($B$5,1)-(Accueil!$B$1-1))&lt;=0,7,0)+(ROW(D7)-ROW($B$7))*7+(COLUMN(D7)-COLUMN($B$7)+1))</f>
        <v/>
      </c>
      <c r="G7" s="40"/>
      <c r="H7" s="11" t="str">
        <f>IF(MONTH($B$5)&lt;&gt;MONTH($B$5-(WEEKDAY($B$5,1)-(Accueil!$B$1-1))-IF((WEEKDAY($B$5,1)-(Accueil!$B$1-1))&lt;=0,7,0)+(ROW(E7)-ROW($B$7))*7+(COLUMN(E7)-COLUMN($B$7)+1)),"",$B$5-(WEEKDAY($B$5,1)-(Accueil!$B$1-1))-IF((WEEKDAY($B$5,1)-(Accueil!$B$1-1))&lt;=0,7,0)+(ROW(E7)-ROW($B$7))*7+(COLUMN(E7)-COLUMN($B$7)+1))</f>
        <v/>
      </c>
      <c r="I7" s="40"/>
      <c r="J7" s="11" t="str">
        <f>IF(MONTH($B$5)&lt;&gt;MONTH($B$5-(WEEKDAY($B$5,1)-(Accueil!$B$1-1))-IF((WEEKDAY($B$5,1)-(Accueil!$B$1-1))&lt;=0,7,0)+(ROW(F7)-ROW($B$7))*7+(COLUMN(F7)-COLUMN($B$7)+1)),"",$B$5-(WEEKDAY($B$5,1)-(Accueil!$B$1-1))-IF((WEEKDAY($B$5,1)-(Accueil!$B$1-1))&lt;=0,7,0)+(ROW(F7)-ROW($B$7))*7+(COLUMN(F7)-COLUMN($B$7)+1))</f>
        <v/>
      </c>
      <c r="K7" s="40"/>
      <c r="L7" s="16">
        <f>IF(MONTH($B$5)&lt;&gt;MONTH($B$5-(WEEKDAY($B$5,1)-(Accueil!$B$1-1))-IF((WEEKDAY($B$5,1)-(Accueil!$B$1-1))&lt;=0,7,0)+(ROW(G7)-ROW($B$7))*7+(COLUMN(G7)-COLUMN($B$7)+1)),"",$B$5-(WEEKDAY($B$5,1)-(Accueil!$B$1-1))-IF((WEEKDAY($B$5,1)-(Accueil!$B$1-1))&lt;=0,7,0)+(ROW(G7)-ROW($B$7))*7+(COLUMN(G7)-COLUMN($B$7)+1))</f>
        <v>44317</v>
      </c>
      <c r="M7" s="43" t="s">
        <v>60</v>
      </c>
      <c r="N7" s="16">
        <f>IF(MONTH($B$5)&lt;&gt;MONTH($B$5-(WEEKDAY($B$5,1)-(Accueil!$B$1-1))-IF((WEEKDAY($B$5,1)-(Accueil!$B$1-1))&lt;=0,7,0)+(ROW(H7)-ROW($B$7))*7+(COLUMN(H7)-COLUMN($B$7)+1)),"",$B$5-(WEEKDAY($B$5,1)-(Accueil!$B$1-1))-IF((WEEKDAY($B$5,1)-(Accueil!$B$1-1))&lt;=0,7,0)+(ROW(H7)-ROW($B$7))*7+(COLUMN(H7)-COLUMN($B$7)+1))</f>
        <v>44318</v>
      </c>
      <c r="O7" s="44" t="s">
        <v>61</v>
      </c>
      <c r="P7" s="19" t="str">
        <f t="shared" ref="P7:P12" si="0">IF(B7="","",B7)</f>
        <v/>
      </c>
      <c r="Q7" s="20">
        <f>IF(N7="","",(INT(MOD(INT((N7-2)/7)+0.6,52+5/28))+1))</f>
        <v>17</v>
      </c>
      <c r="S7" s="36" t="s">
        <v>50</v>
      </c>
      <c r="T7" s="35">
        <f>(7*T6*1.5)+(5*T6*2)*1.25</f>
        <v>0</v>
      </c>
      <c r="U7" s="35"/>
      <c r="V7" s="35"/>
      <c r="W7" s="34">
        <f>(T7*U7)</f>
        <v>0</v>
      </c>
    </row>
    <row r="8" spans="1:23" ht="19.95" customHeight="1" thickTop="1" thickBot="1">
      <c r="B8" s="12">
        <f>IF(MONTH($B$5)&lt;&gt;MONTH($B$5-(WEEKDAY($B$5,1)-(Accueil!$B$1-1))-IF((WEEKDAY($B$5,1)-(Accueil!$B$1-1))&lt;=0,7,0)+(ROW(B8)-ROW($B$7))*7+(COLUMN(B8)-COLUMN($B$7)+1)),"",$B$5-(WEEKDAY($B$5,1)-(Accueil!$B$1-1))-IF((WEEKDAY($B$5,1)-(Accueil!$B$1-1))&lt;=0,7,0)+(ROW(B8)-ROW($B$7))*7+(COLUMN(B8)-COLUMN($B$7)+1))</f>
        <v>44319</v>
      </c>
      <c r="C8" s="47"/>
      <c r="D8" s="13">
        <f>IF(MONTH($B$5)&lt;&gt;MONTH($B$5-(WEEKDAY($B$5,1)-(Accueil!$B$1-1))-IF((WEEKDAY($B$5,1)-(Accueil!$B$1-1))&lt;=0,7,0)+(ROW(C8)-ROW($B$7))*7+(COLUMN(C8)-COLUMN($B$7)+1)),"",$B$5-(WEEKDAY($B$5,1)-(Accueil!$B$1-1))-IF((WEEKDAY($B$5,1)-(Accueil!$B$1-1))&lt;=0,7,0)+(ROW(C8)-ROW($B$7))*7+(COLUMN(C8)-COLUMN($B$7)+1))</f>
        <v>44320</v>
      </c>
      <c r="E8" s="47"/>
      <c r="F8" s="13">
        <f>IF(MONTH($B$5)&lt;&gt;MONTH($B$5-(WEEKDAY($B$5,1)-(Accueil!$B$1-1))-IF((WEEKDAY($B$5,1)-(Accueil!$B$1-1))&lt;=0,7,0)+(ROW(D8)-ROW($B$7))*7+(COLUMN(D8)-COLUMN($B$7)+1)),"",$B$5-(WEEKDAY($B$5,1)-(Accueil!$B$1-1))-IF((WEEKDAY($B$5,1)-(Accueil!$B$1-1))&lt;=0,7,0)+(ROW(D8)-ROW($B$7))*7+(COLUMN(D8)-COLUMN($B$7)+1))</f>
        <v>44321</v>
      </c>
      <c r="G8" s="41"/>
      <c r="H8" s="13">
        <f>IF(MONTH($B$5)&lt;&gt;MONTH($B$5-(WEEKDAY($B$5,1)-(Accueil!$B$1-1))-IF((WEEKDAY($B$5,1)-(Accueil!$B$1-1))&lt;=0,7,0)+(ROW(E8)-ROW($B$7))*7+(COLUMN(E8)-COLUMN($B$7)+1)),"",$B$5-(WEEKDAY($B$5,1)-(Accueil!$B$1-1))-IF((WEEKDAY($B$5,1)-(Accueil!$B$1-1))&lt;=0,7,0)+(ROW(E8)-ROW($B$7))*7+(COLUMN(E8)-COLUMN($B$7)+1))</f>
        <v>44322</v>
      </c>
      <c r="I8" s="41"/>
      <c r="J8" s="13">
        <f>IF(MONTH($B$5)&lt;&gt;MONTH($B$5-(WEEKDAY($B$5,1)-(Accueil!$B$1-1))-IF((WEEKDAY($B$5,1)-(Accueil!$B$1-1))&lt;=0,7,0)+(ROW(F8)-ROW($B$7))*7+(COLUMN(F8)-COLUMN($B$7)+1)),"",$B$5-(WEEKDAY($B$5,1)-(Accueil!$B$1-1))-IF((WEEKDAY($B$5,1)-(Accueil!$B$1-1))&lt;=0,7,0)+(ROW(F8)-ROW($B$7))*7+(COLUMN(F8)-COLUMN($B$7)+1))</f>
        <v>44323</v>
      </c>
      <c r="K8" s="41"/>
      <c r="L8" s="17">
        <f>IF(MONTH($B$5)&lt;&gt;MONTH($B$5-(WEEKDAY($B$5,1)-(Accueil!$B$1-1))-IF((WEEKDAY($B$5,1)-(Accueil!$B$1-1))&lt;=0,7,0)+(ROW(G8)-ROW($B$7))*7+(COLUMN(G8)-COLUMN($B$7)+1)),"",$B$5-(WEEKDAY($B$5,1)-(Accueil!$B$1-1))-IF((WEEKDAY($B$5,1)-(Accueil!$B$1-1))&lt;=0,7,0)+(ROW(G8)-ROW($B$7))*7+(COLUMN(G8)-COLUMN($B$7)+1))</f>
        <v>44324</v>
      </c>
      <c r="M8" s="43" t="s">
        <v>62</v>
      </c>
      <c r="N8" s="17">
        <f>IF(MONTH($B$5)&lt;&gt;MONTH($B$5-(WEEKDAY($B$5,1)-(Accueil!$B$1-1))-IF((WEEKDAY($B$5,1)-(Accueil!$B$1-1))&lt;=0,7,0)+(ROW(H8)-ROW($B$7))*7+(COLUMN(H8)-COLUMN($B$7)+1)),"",$B$5-(WEEKDAY($B$5,1)-(Accueil!$B$1-1))-IF((WEEKDAY($B$5,1)-(Accueil!$B$1-1))&lt;=0,7,0)+(ROW(H8)-ROW($B$7))*7+(COLUMN(H8)-COLUMN($B$7)+1))</f>
        <v>44325</v>
      </c>
      <c r="O8" s="45" t="s">
        <v>63</v>
      </c>
      <c r="P8" s="19">
        <f t="shared" si="0"/>
        <v>44319</v>
      </c>
      <c r="Q8" s="21">
        <f>IF(P8="","",(INT(MOD(INT((P8-2)/7)+0.6,52+5/28))+1))</f>
        <v>18</v>
      </c>
      <c r="S8" s="36" t="s">
        <v>49</v>
      </c>
      <c r="T8" s="35">
        <f>(T6*12*2)*1.25</f>
        <v>0</v>
      </c>
      <c r="U8" s="35"/>
      <c r="V8" s="35"/>
      <c r="W8" s="34">
        <f>(T8*U8)</f>
        <v>0</v>
      </c>
    </row>
    <row r="9" spans="1:23" ht="19.95" customHeight="1" thickTop="1" thickBot="1">
      <c r="B9" s="12">
        <f>IF(MONTH($B$5)&lt;&gt;MONTH($B$5-(WEEKDAY($B$5,1)-(Accueil!$B$1-1))-IF((WEEKDAY($B$5,1)-(Accueil!$B$1-1))&lt;=0,7,0)+(ROW(B9)-ROW($B$7))*7+(COLUMN(B9)-COLUMN($B$7)+1)),"",$B$5-(WEEKDAY($B$5,1)-(Accueil!$B$1-1))-IF((WEEKDAY($B$5,1)-(Accueil!$B$1-1))&lt;=0,7,0)+(ROW(B9)-ROW($B$7))*7+(COLUMN(B9)-COLUMN($B$7)+1))</f>
        <v>44326</v>
      </c>
      <c r="C9" s="41"/>
      <c r="D9" s="13">
        <f>IF(MONTH($B$5)&lt;&gt;MONTH($B$5-(WEEKDAY($B$5,1)-(Accueil!$B$1-1))-IF((WEEKDAY($B$5,1)-(Accueil!$B$1-1))&lt;=0,7,0)+(ROW(C9)-ROW($B$7))*7+(COLUMN(C9)-COLUMN($B$7)+1)),"",$B$5-(WEEKDAY($B$5,1)-(Accueil!$B$1-1))-IF((WEEKDAY($B$5,1)-(Accueil!$B$1-1))&lt;=0,7,0)+(ROW(C9)-ROW($B$7))*7+(COLUMN(C9)-COLUMN($B$7)+1))</f>
        <v>44327</v>
      </c>
      <c r="E9" s="41"/>
      <c r="F9" s="13">
        <f>IF(MONTH($B$5)&lt;&gt;MONTH($B$5-(WEEKDAY($B$5,1)-(Accueil!$B$1-1))-IF((WEEKDAY($B$5,1)-(Accueil!$B$1-1))&lt;=0,7,0)+(ROW(D9)-ROW($B$7))*7+(COLUMN(D9)-COLUMN($B$7)+1)),"",$B$5-(WEEKDAY($B$5,1)-(Accueil!$B$1-1))-IF((WEEKDAY($B$5,1)-(Accueil!$B$1-1))&lt;=0,7,0)+(ROW(D9)-ROW($B$7))*7+(COLUMN(D9)-COLUMN($B$7)+1))</f>
        <v>44328</v>
      </c>
      <c r="G9" s="41" t="s">
        <v>64</v>
      </c>
      <c r="H9" s="13">
        <f>IF(MONTH($B$5)&lt;&gt;MONTH($B$5-(WEEKDAY($B$5,1)-(Accueil!$B$1-1))-IF((WEEKDAY($B$5,1)-(Accueil!$B$1-1))&lt;=0,7,0)+(ROW(E9)-ROW($B$7))*7+(COLUMN(E9)-COLUMN($B$7)+1)),"",$B$5-(WEEKDAY($B$5,1)-(Accueil!$B$1-1))-IF((WEEKDAY($B$5,1)-(Accueil!$B$1-1))&lt;=0,7,0)+(ROW(E9)-ROW($B$7))*7+(COLUMN(E9)-COLUMN($B$7)+1))</f>
        <v>44329</v>
      </c>
      <c r="I9" s="41" t="s">
        <v>67</v>
      </c>
      <c r="J9" s="13">
        <f>IF(MONTH($B$5)&lt;&gt;MONTH($B$5-(WEEKDAY($B$5,1)-(Accueil!$B$1-1))-IF((WEEKDAY($B$5,1)-(Accueil!$B$1-1))&lt;=0,7,0)+(ROW(F9)-ROW($B$7))*7+(COLUMN(F9)-COLUMN($B$7)+1)),"",$B$5-(WEEKDAY($B$5,1)-(Accueil!$B$1-1))-IF((WEEKDAY($B$5,1)-(Accueil!$B$1-1))&lt;=0,7,0)+(ROW(F9)-ROW($B$7))*7+(COLUMN(F9)-COLUMN($B$7)+1))</f>
        <v>44330</v>
      </c>
      <c r="K9" s="41"/>
      <c r="L9" s="17">
        <f>IF(MONTH($B$5)&lt;&gt;MONTH($B$5-(WEEKDAY($B$5,1)-(Accueil!$B$1-1))-IF((WEEKDAY($B$5,1)-(Accueil!$B$1-1))&lt;=0,7,0)+(ROW(G9)-ROW($B$7))*7+(COLUMN(G9)-COLUMN($B$7)+1)),"",$B$5-(WEEKDAY($B$5,1)-(Accueil!$B$1-1))-IF((WEEKDAY($B$5,1)-(Accueil!$B$1-1))&lt;=0,7,0)+(ROW(G9)-ROW($B$7))*7+(COLUMN(G9)-COLUMN($B$7)+1))</f>
        <v>44331</v>
      </c>
      <c r="M9" s="43" t="s">
        <v>60</v>
      </c>
      <c r="N9" s="17">
        <f>IF(MONTH($B$5)&lt;&gt;MONTH($B$5-(WEEKDAY($B$5,1)-(Accueil!$B$1-1))-IF((WEEKDAY($B$5,1)-(Accueil!$B$1-1))&lt;=0,7,0)+(ROW(H9)-ROW($B$7))*7+(COLUMN(H9)-COLUMN($B$7)+1)),"",$B$5-(WEEKDAY($B$5,1)-(Accueil!$B$1-1))-IF((WEEKDAY($B$5,1)-(Accueil!$B$1-1))&lt;=0,7,0)+(ROW(H9)-ROW($B$7))*7+(COLUMN(H9)-COLUMN($B$7)+1))</f>
        <v>44332</v>
      </c>
      <c r="O9" s="44" t="s">
        <v>61</v>
      </c>
      <c r="P9" s="19">
        <f t="shared" si="0"/>
        <v>44326</v>
      </c>
      <c r="Q9" s="21">
        <f>IF(P9="","",(INT(MOD(INT((P9-2)/7)+0.6,52+5/28))+1))</f>
        <v>19</v>
      </c>
      <c r="S9" s="36" t="s">
        <v>48</v>
      </c>
      <c r="T9" s="35">
        <f>(T6*1.06*8)+(T6*1.5*4)*1.06</f>
        <v>0</v>
      </c>
      <c r="U9" s="35"/>
      <c r="V9" s="35"/>
      <c r="W9" s="34">
        <f>(T9*U9)</f>
        <v>0</v>
      </c>
    </row>
    <row r="10" spans="1:23" ht="19.95" customHeight="1" thickTop="1" thickBot="1">
      <c r="B10" s="12">
        <f>IF(MONTH($B$5)&lt;&gt;MONTH($B$5-(WEEKDAY($B$5,1)-(Accueil!$B$1-1))-IF((WEEKDAY($B$5,1)-(Accueil!$B$1-1))&lt;=0,7,0)+(ROW(B10)-ROW($B$7))*7+(COLUMN(B10)-COLUMN($B$7)+1)),"",$B$5-(WEEKDAY($B$5,1)-(Accueil!$B$1-1))-IF((WEEKDAY($B$5,1)-(Accueil!$B$1-1))&lt;=0,7,0)+(ROW(B10)-ROW($B$7))*7+(COLUMN(B10)-COLUMN($B$7)+1))</f>
        <v>44333</v>
      </c>
      <c r="C10" s="41"/>
      <c r="D10" s="13">
        <f>IF(MONTH($B$5)&lt;&gt;MONTH($B$5-(WEEKDAY($B$5,1)-(Accueil!$B$1-1))-IF((WEEKDAY($B$5,1)-(Accueil!$B$1-1))&lt;=0,7,0)+(ROW(C10)-ROW($B$7))*7+(COLUMN(C10)-COLUMN($B$7)+1)),"",$B$5-(WEEKDAY($B$5,1)-(Accueil!$B$1-1))-IF((WEEKDAY($B$5,1)-(Accueil!$B$1-1))&lt;=0,7,0)+(ROW(C10)-ROW($B$7))*7+(COLUMN(C10)-COLUMN($B$7)+1))</f>
        <v>44334</v>
      </c>
      <c r="E10" s="41"/>
      <c r="F10" s="13">
        <f>IF(MONTH($B$5)&lt;&gt;MONTH($B$5-(WEEKDAY($B$5,1)-(Accueil!$B$1-1))-IF((WEEKDAY($B$5,1)-(Accueil!$B$1-1))&lt;=0,7,0)+(ROW(D10)-ROW($B$7))*7+(COLUMN(D10)-COLUMN($B$7)+1)),"",$B$5-(WEEKDAY($B$5,1)-(Accueil!$B$1-1))-IF((WEEKDAY($B$5,1)-(Accueil!$B$1-1))&lt;=0,7,0)+(ROW(D10)-ROW($B$7))*7+(COLUMN(D10)-COLUMN($B$7)+1))</f>
        <v>44335</v>
      </c>
      <c r="G10" s="41"/>
      <c r="H10" s="13">
        <f>IF(MONTH($B$5)&lt;&gt;MONTH($B$5-(WEEKDAY($B$5,1)-(Accueil!$B$1-1))-IF((WEEKDAY($B$5,1)-(Accueil!$B$1-1))&lt;=0,7,0)+(ROW(E10)-ROW($B$7))*7+(COLUMN(E10)-COLUMN($B$7)+1)),"",$B$5-(WEEKDAY($B$5,1)-(Accueil!$B$1-1))-IF((WEEKDAY($B$5,1)-(Accueil!$B$1-1))&lt;=0,7,0)+(ROW(E10)-ROW($B$7))*7+(COLUMN(E10)-COLUMN($B$7)+1))</f>
        <v>44336</v>
      </c>
      <c r="I10" s="41"/>
      <c r="J10" s="13">
        <f>IF(MONTH($B$5)&lt;&gt;MONTH($B$5-(WEEKDAY($B$5,1)-(Accueil!$B$1-1))-IF((WEEKDAY($B$5,1)-(Accueil!$B$1-1))&lt;=0,7,0)+(ROW(F10)-ROW($B$7))*7+(COLUMN(F10)-COLUMN($B$7)+1)),"",$B$5-(WEEKDAY($B$5,1)-(Accueil!$B$1-1))-IF((WEEKDAY($B$5,1)-(Accueil!$B$1-1))&lt;=0,7,0)+(ROW(F10)-ROW($B$7))*7+(COLUMN(F10)-COLUMN($B$7)+1))</f>
        <v>44337</v>
      </c>
      <c r="K10" s="41"/>
      <c r="L10" s="17">
        <f>IF(MONTH($B$5)&lt;&gt;MONTH($B$5-(WEEKDAY($B$5,1)-(Accueil!$B$1-1))-IF((WEEKDAY($B$5,1)-(Accueil!$B$1-1))&lt;=0,7,0)+(ROW(G10)-ROW($B$7))*7+(COLUMN(G10)-COLUMN($B$7)+1)),"",$B$5-(WEEKDAY($B$5,1)-(Accueil!$B$1-1))-IF((WEEKDAY($B$5,1)-(Accueil!$B$1-1))&lt;=0,7,0)+(ROW(G10)-ROW($B$7))*7+(COLUMN(G10)-COLUMN($B$7)+1))</f>
        <v>44338</v>
      </c>
      <c r="M10" s="43" t="s">
        <v>62</v>
      </c>
      <c r="N10" s="17">
        <f>IF(MONTH($B$5)&lt;&gt;MONTH($B$5-(WEEKDAY($B$5,1)-(Accueil!$B$1-1))-IF((WEEKDAY($B$5,1)-(Accueil!$B$1-1))&lt;=0,7,0)+(ROW(H10)-ROW($B$7))*7+(COLUMN(H10)-COLUMN($B$7)+1)),"",$B$5-(WEEKDAY($B$5,1)-(Accueil!$B$1-1))-IF((WEEKDAY($B$5,1)-(Accueil!$B$1-1))&lt;=0,7,0)+(ROW(H10)-ROW($B$7))*7+(COLUMN(H10)-COLUMN($B$7)+1))</f>
        <v>44339</v>
      </c>
      <c r="O10" s="45" t="s">
        <v>63</v>
      </c>
      <c r="P10" s="19">
        <f t="shared" si="0"/>
        <v>44333</v>
      </c>
      <c r="Q10" s="21">
        <f>IF(P10="","",(INT(MOD(INT((P10-2)/7)+0.6,52+5/28))+1))</f>
        <v>20</v>
      </c>
      <c r="S10" s="36" t="s">
        <v>47</v>
      </c>
      <c r="T10" s="35">
        <f>(T6*12*2)*1.06</f>
        <v>0</v>
      </c>
      <c r="U10" s="35"/>
      <c r="V10" s="35"/>
      <c r="W10" s="34">
        <f>(T10*U10)</f>
        <v>0</v>
      </c>
    </row>
    <row r="11" spans="1:23" ht="19.95" customHeight="1" thickTop="1" thickBot="1">
      <c r="B11" s="12">
        <f>IF(MONTH($B$5)&lt;&gt;MONTH($B$5-(WEEKDAY($B$5,1)-(Accueil!$B$1-1))-IF((WEEKDAY($B$5,1)-(Accueil!$B$1-1))&lt;=0,7,0)+(ROW(B11)-ROW($B$7))*7+(COLUMN(B11)-COLUMN($B$7)+1)),"",$B$5-(WEEKDAY($B$5,1)-(Accueil!$B$1-1))-IF((WEEKDAY($B$5,1)-(Accueil!$B$1-1))&lt;=0,7,0)+(ROW(B11)-ROW($B$7))*7+(COLUMN(B11)-COLUMN($B$7)+1))</f>
        <v>44340</v>
      </c>
      <c r="C11" s="41" t="s">
        <v>67</v>
      </c>
      <c r="D11" s="13">
        <f>IF(MONTH($B$5)&lt;&gt;MONTH($B$5-(WEEKDAY($B$5,1)-(Accueil!$B$1-1))-IF((WEEKDAY($B$5,1)-(Accueil!$B$1-1))&lt;=0,7,0)+(ROW(C11)-ROW($B$7))*7+(COLUMN(C11)-COLUMN($B$7)+1)),"",$B$5-(WEEKDAY($B$5,1)-(Accueil!$B$1-1))-IF((WEEKDAY($B$5,1)-(Accueil!$B$1-1))&lt;=0,7,0)+(ROW(C11)-ROW($B$7))*7+(COLUMN(C11)-COLUMN($B$7)+1))</f>
        <v>44341</v>
      </c>
      <c r="E11" s="41"/>
      <c r="F11" s="13">
        <f>IF(MONTH($B$5)&lt;&gt;MONTH($B$5-(WEEKDAY($B$5,1)-(Accueil!$B$1-1))-IF((WEEKDAY($B$5,1)-(Accueil!$B$1-1))&lt;=0,7,0)+(ROW(D11)-ROW($B$7))*7+(COLUMN(D11)-COLUMN($B$7)+1)),"",$B$5-(WEEKDAY($B$5,1)-(Accueil!$B$1-1))-IF((WEEKDAY($B$5,1)-(Accueil!$B$1-1))&lt;=0,7,0)+(ROW(D11)-ROW($B$7))*7+(COLUMN(D11)-COLUMN($B$7)+1))</f>
        <v>44342</v>
      </c>
      <c r="G11" s="41"/>
      <c r="H11" s="13">
        <f>IF(MONTH($B$5)&lt;&gt;MONTH($B$5-(WEEKDAY($B$5,1)-(Accueil!$B$1-1))-IF((WEEKDAY($B$5,1)-(Accueil!$B$1-1))&lt;=0,7,0)+(ROW(E11)-ROW($B$7))*7+(COLUMN(E11)-COLUMN($B$7)+1)),"",$B$5-(WEEKDAY($B$5,1)-(Accueil!$B$1-1))-IF((WEEKDAY($B$5,1)-(Accueil!$B$1-1))&lt;=0,7,0)+(ROW(E11)-ROW($B$7))*7+(COLUMN(E11)-COLUMN($B$7)+1))</f>
        <v>44343</v>
      </c>
      <c r="I11" s="41"/>
      <c r="J11" s="13">
        <f>IF(MONTH($B$5)&lt;&gt;MONTH($B$5-(WEEKDAY($B$5,1)-(Accueil!$B$1-1))-IF((WEEKDAY($B$5,1)-(Accueil!$B$1-1))&lt;=0,7,0)+(ROW(F11)-ROW($B$7))*7+(COLUMN(F11)-COLUMN($B$7)+1)),"",$B$5-(WEEKDAY($B$5,1)-(Accueil!$B$1-1))-IF((WEEKDAY($B$5,1)-(Accueil!$B$1-1))&lt;=0,7,0)+(ROW(F11)-ROW($B$7))*7+(COLUMN(F11)-COLUMN($B$7)+1))</f>
        <v>44344</v>
      </c>
      <c r="K11" s="41"/>
      <c r="L11" s="17">
        <f>IF(MONTH($B$5)&lt;&gt;MONTH($B$5-(WEEKDAY($B$5,1)-(Accueil!$B$1-1))-IF((WEEKDAY($B$5,1)-(Accueil!$B$1-1))&lt;=0,7,0)+(ROW(G11)-ROW($B$7))*7+(COLUMN(G11)-COLUMN($B$7)+1)),"",$B$5-(WEEKDAY($B$5,1)-(Accueil!$B$1-1))-IF((WEEKDAY($B$5,1)-(Accueil!$B$1-1))&lt;=0,7,0)+(ROW(G11)-ROW($B$7))*7+(COLUMN(G11)-COLUMN($B$7)+1))</f>
        <v>44345</v>
      </c>
      <c r="M11" s="43" t="s">
        <v>60</v>
      </c>
      <c r="N11" s="17">
        <f>IF(MONTH($B$5)&lt;&gt;MONTH($B$5-(WEEKDAY($B$5,1)-(Accueil!$B$1-1))-IF((WEEKDAY($B$5,1)-(Accueil!$B$1-1))&lt;=0,7,0)+(ROW(H11)-ROW($B$7))*7+(COLUMN(H11)-COLUMN($B$7)+1)),"",$B$5-(WEEKDAY($B$5,1)-(Accueil!$B$1-1))-IF((WEEKDAY($B$5,1)-(Accueil!$B$1-1))&lt;=0,7,0)+(ROW(H11)-ROW($B$7))*7+(COLUMN(H11)-COLUMN($B$7)+1))</f>
        <v>44346</v>
      </c>
      <c r="O11" s="44" t="s">
        <v>61</v>
      </c>
      <c r="P11" s="19">
        <f t="shared" si="0"/>
        <v>44340</v>
      </c>
      <c r="Q11" s="21">
        <f>IF(P11="","",(INT(MOD(INT((P11-2)/7)+0.6,52+5/28))+1))</f>
        <v>21</v>
      </c>
      <c r="S11" s="36" t="s">
        <v>46</v>
      </c>
      <c r="T11" s="35">
        <f>(T6*1.06*8)</f>
        <v>0</v>
      </c>
      <c r="U11" s="35"/>
      <c r="V11" s="35"/>
      <c r="W11" s="34">
        <f>(T6*1.06*8)*U11</f>
        <v>0</v>
      </c>
    </row>
    <row r="12" spans="1:23" ht="19.95" customHeight="1" thickTop="1" thickBot="1">
      <c r="B12" s="23">
        <f>IF(MONTH($B$5)&lt;&gt;MONTH($B$5-(WEEKDAY($B$5,1)-(Accueil!$B$1-1))-IF((WEEKDAY($B$5,1)-(Accueil!$B$1-1))&lt;=0,7,0)+(ROW(B12)-ROW($B$7))*7+(COLUMN(B12)-COLUMN($B$7)+1)),"",$B$5-(WEEKDAY($B$5,1)-(Accueil!$B$1-1))-IF((WEEKDAY($B$5,1)-(Accueil!$B$1-1))&lt;=0,7,0)+(ROW(B12)-ROW($B$7))*7+(COLUMN(B12)-COLUMN($B$7)+1))</f>
        <v>44347</v>
      </c>
      <c r="C12" s="15"/>
      <c r="D12" s="14" t="str">
        <f>IF(MONTH($B$5)&lt;&gt;MONTH($B$5-(WEEKDAY($B$5,1)-(Accueil!$B$1-1))-IF((WEEKDAY($B$5,1)-(Accueil!$B$1-1))&lt;=0,7,0)+(ROW(C12)-ROW($B$7))*7+(COLUMN(C12)-COLUMN($B$7)+1)),"",$B$5-(WEEKDAY($B$5,1)-(Accueil!$B$1-1))-IF((WEEKDAY($B$5,1)-(Accueil!$B$1-1))&lt;=0,7,0)+(ROW(C12)-ROW($B$7))*7+(COLUMN(C12)-COLUMN($B$7)+1))</f>
        <v/>
      </c>
      <c r="E12" s="15"/>
      <c r="F12" s="14" t="str">
        <f>IF(MONTH($B$5)&lt;&gt;MONTH($B$5-(WEEKDAY($B$5,1)-(Accueil!$B$1-1))-IF((WEEKDAY($B$5,1)-(Accueil!$B$1-1))&lt;=0,7,0)+(ROW(D12)-ROW($B$7))*7+(COLUMN(D12)-COLUMN($B$7)+1)),"",$B$5-(WEEKDAY($B$5,1)-(Accueil!$B$1-1))-IF((WEEKDAY($B$5,1)-(Accueil!$B$1-1))&lt;=0,7,0)+(ROW(D12)-ROW($B$7))*7+(COLUMN(D12)-COLUMN($B$7)+1))</f>
        <v/>
      </c>
      <c r="G12" s="15"/>
      <c r="H12" s="14" t="str">
        <f>IF(MONTH($B$5)&lt;&gt;MONTH($B$5-(WEEKDAY($B$5,1)-(Accueil!$B$1-1))-IF((WEEKDAY($B$5,1)-(Accueil!$B$1-1))&lt;=0,7,0)+(ROW(E12)-ROW($B$7))*7+(COLUMN(E12)-COLUMN($B$7)+1)),"",$B$5-(WEEKDAY($B$5,1)-(Accueil!$B$1-1))-IF((WEEKDAY($B$5,1)-(Accueil!$B$1-1))&lt;=0,7,0)+(ROW(E12)-ROW($B$7))*7+(COLUMN(E12)-COLUMN($B$7)+1))</f>
        <v/>
      </c>
      <c r="I12" s="15"/>
      <c r="J12" s="14" t="str">
        <f>IF(MONTH($B$5)&lt;&gt;MONTH($B$5-(WEEKDAY($B$5,1)-(Accueil!$B$1-1))-IF((WEEKDAY($B$5,1)-(Accueil!$B$1-1))&lt;=0,7,0)+(ROW(F12)-ROW($B$7))*7+(COLUMN(F12)-COLUMN($B$7)+1)),"",$B$5-(WEEKDAY($B$5,1)-(Accueil!$B$1-1))-IF((WEEKDAY($B$5,1)-(Accueil!$B$1-1))&lt;=0,7,0)+(ROW(F12)-ROW($B$7))*7+(COLUMN(F12)-COLUMN($B$7)+1))</f>
        <v/>
      </c>
      <c r="K12" s="15"/>
      <c r="L12" s="18" t="str">
        <f>IF(MONTH($B$5)&lt;&gt;MONTH($B$5-(WEEKDAY($B$5,1)-(Accueil!$B$1-1))-IF((WEEKDAY($B$5,1)-(Accueil!$B$1-1))&lt;=0,7,0)+(ROW(G12)-ROW($B$7))*7+(COLUMN(G12)-COLUMN($B$7)+1)),"",$B$5-(WEEKDAY($B$5,1)-(Accueil!$B$1-1))-IF((WEEKDAY($B$5,1)-(Accueil!$B$1-1))&lt;=0,7,0)+(ROW(G12)-ROW($B$7))*7+(COLUMN(G12)-COLUMN($B$7)+1))</f>
        <v/>
      </c>
      <c r="M12" s="15"/>
      <c r="N12" s="18" t="str">
        <f>IF(MONTH($B$5)&lt;&gt;MONTH($B$5-(WEEKDAY($B$5,1)-(Accueil!$B$1-1))-IF((WEEKDAY($B$5,1)-(Accueil!$B$1-1))&lt;=0,7,0)+(ROW(H12)-ROW($B$7))*7+(COLUMN(H12)-COLUMN($B$7)+1)),"",$B$5-(WEEKDAY($B$5,1)-(Accueil!$B$1-1))-IF((WEEKDAY($B$5,1)-(Accueil!$B$1-1))&lt;=0,7,0)+(ROW(H12)-ROW($B$7))*7+(COLUMN(H12)-COLUMN($B$7)+1))</f>
        <v/>
      </c>
      <c r="O12" s="46"/>
      <c r="P12" s="19">
        <f t="shared" si="0"/>
        <v>44347</v>
      </c>
      <c r="Q12" s="22">
        <f>IF(P12="","",(INT(MOD(INT((P12-2)/7)+0.6,52+5/28))+1))</f>
        <v>22</v>
      </c>
      <c r="S12" s="36" t="s">
        <v>45</v>
      </c>
      <c r="T12" s="35">
        <f>(T6*1.25*8)</f>
        <v>0</v>
      </c>
      <c r="U12" s="35"/>
      <c r="V12" s="35"/>
      <c r="W12" s="34">
        <f>(T6*1.25*8)*U12</f>
        <v>0</v>
      </c>
    </row>
    <row r="13" spans="1:23" ht="18" thickBot="1">
      <c r="S13" s="36" t="s">
        <v>44</v>
      </c>
      <c r="T13" s="35">
        <f>(T6*1.5*12)</f>
        <v>0</v>
      </c>
      <c r="U13" s="35"/>
      <c r="V13" s="35"/>
      <c r="W13" s="34">
        <f>(T6*1.5*12)*U13</f>
        <v>0</v>
      </c>
    </row>
    <row r="14" spans="1:23" ht="18.600000000000001" thickTop="1" thickBot="1">
      <c r="A14" s="8"/>
      <c r="B14" s="8"/>
      <c r="C14" s="38"/>
      <c r="D14" s="8"/>
      <c r="E14" s="38"/>
      <c r="F14" s="8"/>
      <c r="G14" s="38"/>
      <c r="H14" s="8"/>
      <c r="I14" s="38"/>
      <c r="J14" s="8"/>
      <c r="K14" s="38"/>
      <c r="L14" s="8"/>
      <c r="M14" s="38"/>
      <c r="N14" s="8"/>
      <c r="O14" s="38"/>
      <c r="P14" s="8"/>
      <c r="Q14" s="8"/>
      <c r="R14" s="8"/>
      <c r="S14" s="36" t="s">
        <v>43</v>
      </c>
      <c r="T14" s="35">
        <f>(T6*2*12)+(8*T6)</f>
        <v>0</v>
      </c>
      <c r="U14" s="35"/>
      <c r="V14" s="35"/>
      <c r="W14" s="34">
        <f>(T6*2*12+T6*8)*U14</f>
        <v>0</v>
      </c>
    </row>
    <row r="15" spans="1:23" ht="18.600000000000001" thickTop="1" thickBot="1">
      <c r="S15" s="36" t="s">
        <v>42</v>
      </c>
      <c r="T15" s="35">
        <f>(T6*1.56*8)</f>
        <v>0</v>
      </c>
      <c r="U15" s="35"/>
      <c r="V15" s="35"/>
      <c r="W15" s="34">
        <f>(T15*U15)</f>
        <v>0</v>
      </c>
    </row>
    <row r="16" spans="1:23" ht="18.600000000000001" thickTop="1" thickBot="1">
      <c r="S16" s="36" t="s">
        <v>41</v>
      </c>
      <c r="T16" s="35">
        <f>(T6*1.875*8)</f>
        <v>0</v>
      </c>
      <c r="U16" s="35"/>
      <c r="V16" s="35"/>
      <c r="W16" s="34">
        <f>T16*U16</f>
        <v>0</v>
      </c>
    </row>
    <row r="17" spans="3:23" ht="18.600000000000001" thickTop="1" thickBot="1">
      <c r="S17" s="36" t="s">
        <v>40</v>
      </c>
      <c r="T17" s="35">
        <f>(T6*1.5)</f>
        <v>0</v>
      </c>
      <c r="U17" s="35"/>
      <c r="V17" s="35"/>
      <c r="W17" s="34">
        <f>T17*V17</f>
        <v>0</v>
      </c>
    </row>
    <row r="18" spans="3:23" ht="18.600000000000001" thickTop="1" thickBot="1">
      <c r="C18" s="39" t="s">
        <v>70</v>
      </c>
      <c r="S18" s="36" t="s">
        <v>39</v>
      </c>
      <c r="T18" s="35">
        <f>(T6*1.5)</f>
        <v>0</v>
      </c>
      <c r="U18" s="35"/>
      <c r="V18" s="35"/>
      <c r="W18" s="34">
        <f>(T18*V18)</f>
        <v>0</v>
      </c>
    </row>
    <row r="19" spans="3:23" ht="18.600000000000001" thickTop="1" thickBot="1">
      <c r="S19" s="36" t="s">
        <v>38</v>
      </c>
      <c r="T19" s="35">
        <v>8</v>
      </c>
      <c r="U19" s="35">
        <f>(2*U7)+(U8*3)+(U9*2)+(U10*3)+U11+U12+(U14*3)+U15+U16</f>
        <v>0</v>
      </c>
      <c r="V19" s="35"/>
      <c r="W19" s="34">
        <f>U19*T19</f>
        <v>0</v>
      </c>
    </row>
    <row r="20" spans="3:23" ht="18.600000000000001" thickTop="1" thickBot="1">
      <c r="S20" s="36" t="s">
        <v>37</v>
      </c>
      <c r="T20" s="35">
        <v>4.5</v>
      </c>
      <c r="U20" s="35">
        <f>(U7+U8+U9+U10)</f>
        <v>0</v>
      </c>
      <c r="V20" s="35"/>
      <c r="W20" s="34">
        <f>(T20*U20)</f>
        <v>0</v>
      </c>
    </row>
    <row r="21" spans="3:23" ht="18.600000000000001" thickTop="1" thickBot="1">
      <c r="S21" s="36" t="s">
        <v>36</v>
      </c>
      <c r="T21" s="35"/>
      <c r="U21" s="35"/>
      <c r="V21" s="35"/>
      <c r="W21" s="34"/>
    </row>
    <row r="22" spans="3:23" ht="18.600000000000001" thickTop="1" thickBot="1">
      <c r="S22" s="36" t="s">
        <v>35</v>
      </c>
      <c r="T22" s="35"/>
      <c r="U22" s="35"/>
      <c r="V22" s="35"/>
      <c r="W22" s="34"/>
    </row>
    <row r="23" spans="3:23" ht="18.600000000000001" thickTop="1" thickBot="1">
      <c r="S23" s="36" t="s">
        <v>34</v>
      </c>
      <c r="T23" s="35"/>
      <c r="U23" s="35"/>
      <c r="V23" s="35"/>
      <c r="W23" s="34"/>
    </row>
    <row r="24" spans="3:23" ht="18.600000000000001" thickTop="1" thickBot="1">
      <c r="S24" s="36"/>
      <c r="T24" s="35"/>
      <c r="U24" s="35"/>
      <c r="V24" s="35"/>
      <c r="W24" s="34"/>
    </row>
    <row r="25" spans="3:23" ht="18.600000000000001" thickTop="1" thickBot="1">
      <c r="S25" s="33" t="s">
        <v>33</v>
      </c>
      <c r="T25" s="35"/>
      <c r="U25" s="35"/>
      <c r="V25" s="35"/>
      <c r="W25" s="34">
        <f>(W7+W8+W9+W10+W11+W12+W13+W14+W15+W16+W17+W18+W19+W20+W21+W22+W23)</f>
        <v>0</v>
      </c>
    </row>
    <row r="26" spans="3:23" ht="18.600000000000001" thickTop="1" thickBot="1">
      <c r="S26" s="33" t="s">
        <v>32</v>
      </c>
      <c r="T26" s="32"/>
      <c r="U26" s="32"/>
      <c r="V26" s="32"/>
      <c r="W26" s="31">
        <f>(W25*0.84)</f>
        <v>0</v>
      </c>
    </row>
    <row r="27" spans="3:23" ht="16.2" thickTop="1"/>
  </sheetData>
  <mergeCells count="9">
    <mergeCell ref="A3:Q3"/>
    <mergeCell ref="B5:O5"/>
    <mergeCell ref="B6:C6"/>
    <mergeCell ref="D6:E6"/>
    <mergeCell ref="F6:G6"/>
    <mergeCell ref="H6:I6"/>
    <mergeCell ref="J6:K6"/>
    <mergeCell ref="L6:M6"/>
    <mergeCell ref="N6:O6"/>
  </mergeCells>
  <conditionalFormatting sqref="H7:H11 J7:J11 L7:L11 N7:N11 B7:B11 D7:D11 F7:F11">
    <cfRule type="cellIs" dxfId="140" priority="136" operator="equal">
      <formula>""</formula>
    </cfRule>
  </conditionalFormatting>
  <conditionalFormatting sqref="C7">
    <cfRule type="expression" dxfId="139" priority="89">
      <formula>B$7=TODAY()</formula>
    </cfRule>
    <cfRule type="expression" dxfId="138" priority="135">
      <formula>B$7=""</formula>
    </cfRule>
  </conditionalFormatting>
  <conditionalFormatting sqref="E7">
    <cfRule type="expression" dxfId="137" priority="134">
      <formula>D$7=""</formula>
    </cfRule>
  </conditionalFormatting>
  <conditionalFormatting sqref="G7">
    <cfRule type="expression" dxfId="136" priority="133">
      <formula>F$7=""</formula>
    </cfRule>
  </conditionalFormatting>
  <conditionalFormatting sqref="I7">
    <cfRule type="expression" dxfId="135" priority="132">
      <formula>H$7=""</formula>
    </cfRule>
  </conditionalFormatting>
  <conditionalFormatting sqref="K7">
    <cfRule type="expression" dxfId="134" priority="131">
      <formula>J$7=""</formula>
    </cfRule>
  </conditionalFormatting>
  <conditionalFormatting sqref="M7:M11">
    <cfRule type="expression" dxfId="133" priority="130">
      <formula>L$7=""</formula>
    </cfRule>
  </conditionalFormatting>
  <conditionalFormatting sqref="O7 O9 O11">
    <cfRule type="expression" dxfId="132" priority="129">
      <formula>N$7=""</formula>
    </cfRule>
  </conditionalFormatting>
  <conditionalFormatting sqref="C8">
    <cfRule type="expression" dxfId="131" priority="76">
      <formula>B$8=TODAY()</formula>
    </cfRule>
    <cfRule type="expression" dxfId="130" priority="128">
      <formula>B$8=""</formula>
    </cfRule>
  </conditionalFormatting>
  <conditionalFormatting sqref="E8">
    <cfRule type="expression" dxfId="129" priority="127">
      <formula>D$8=""</formula>
    </cfRule>
  </conditionalFormatting>
  <conditionalFormatting sqref="G8">
    <cfRule type="expression" dxfId="128" priority="126">
      <formula>F$8=""</formula>
    </cfRule>
  </conditionalFormatting>
  <conditionalFormatting sqref="I8">
    <cfRule type="expression" dxfId="127" priority="125">
      <formula>H$8=""</formula>
    </cfRule>
  </conditionalFormatting>
  <conditionalFormatting sqref="K8">
    <cfRule type="expression" dxfId="126" priority="124">
      <formula>J$8=""</formula>
    </cfRule>
  </conditionalFormatting>
  <conditionalFormatting sqref="M8">
    <cfRule type="expression" dxfId="125" priority="123">
      <formula>L$8=""</formula>
    </cfRule>
  </conditionalFormatting>
  <conditionalFormatting sqref="O8 O10">
    <cfRule type="expression" dxfId="124" priority="122">
      <formula>N$8=""</formula>
    </cfRule>
  </conditionalFormatting>
  <conditionalFormatting sqref="C9">
    <cfRule type="expression" dxfId="123" priority="63">
      <formula>B$9=TODAY()</formula>
    </cfRule>
    <cfRule type="expression" dxfId="122" priority="121">
      <formula>B$9=""</formula>
    </cfRule>
  </conditionalFormatting>
  <conditionalFormatting sqref="E9">
    <cfRule type="expression" dxfId="121" priority="120">
      <formula>D$9=""</formula>
    </cfRule>
  </conditionalFormatting>
  <conditionalFormatting sqref="G9">
    <cfRule type="expression" dxfId="120" priority="119">
      <formula>F$9=""</formula>
    </cfRule>
  </conditionalFormatting>
  <conditionalFormatting sqref="I9">
    <cfRule type="expression" dxfId="119" priority="118">
      <formula>H$9=""</formula>
    </cfRule>
  </conditionalFormatting>
  <conditionalFormatting sqref="K9">
    <cfRule type="expression" dxfId="118" priority="117">
      <formula>J$9=""</formula>
    </cfRule>
  </conditionalFormatting>
  <conditionalFormatting sqref="M9">
    <cfRule type="expression" dxfId="117" priority="116">
      <formula>L$9=""</formula>
    </cfRule>
  </conditionalFormatting>
  <conditionalFormatting sqref="O9">
    <cfRule type="expression" dxfId="116" priority="115">
      <formula>N$9=""</formula>
    </cfRule>
  </conditionalFormatting>
  <conditionalFormatting sqref="C10">
    <cfRule type="expression" dxfId="115" priority="50">
      <formula>B$10=TODAY()</formula>
    </cfRule>
    <cfRule type="expression" dxfId="114" priority="114">
      <formula>B$10=""</formula>
    </cfRule>
  </conditionalFormatting>
  <conditionalFormatting sqref="E10">
    <cfRule type="expression" dxfId="113" priority="113">
      <formula>D$10=""</formula>
    </cfRule>
  </conditionalFormatting>
  <conditionalFormatting sqref="G10">
    <cfRule type="expression" dxfId="112" priority="112">
      <formula>F$10=""</formula>
    </cfRule>
  </conditionalFormatting>
  <conditionalFormatting sqref="I10">
    <cfRule type="expression" dxfId="111" priority="111">
      <formula>H$10=""</formula>
    </cfRule>
  </conditionalFormatting>
  <conditionalFormatting sqref="K10">
    <cfRule type="expression" dxfId="110" priority="110">
      <formula>J$10=""</formula>
    </cfRule>
  </conditionalFormatting>
  <conditionalFormatting sqref="M10">
    <cfRule type="expression" dxfId="109" priority="109">
      <formula>L$10=""</formula>
    </cfRule>
  </conditionalFormatting>
  <conditionalFormatting sqref="O10">
    <cfRule type="expression" dxfId="108" priority="108">
      <formula>N$10=""</formula>
    </cfRule>
  </conditionalFormatting>
  <conditionalFormatting sqref="C11">
    <cfRule type="expression" dxfId="107" priority="37">
      <formula>B$11=TODAY()</formula>
    </cfRule>
    <cfRule type="expression" dxfId="106" priority="107">
      <formula>B$11=""</formula>
    </cfRule>
  </conditionalFormatting>
  <conditionalFormatting sqref="E11">
    <cfRule type="expression" dxfId="105" priority="106">
      <formula>D$11=""</formula>
    </cfRule>
  </conditionalFormatting>
  <conditionalFormatting sqref="G11">
    <cfRule type="expression" dxfId="104" priority="105">
      <formula>F$11=""</formula>
    </cfRule>
  </conditionalFormatting>
  <conditionalFormatting sqref="I11">
    <cfRule type="expression" dxfId="103" priority="104">
      <formula>H$11=""</formula>
    </cfRule>
  </conditionalFormatting>
  <conditionalFormatting sqref="K11">
    <cfRule type="expression" dxfId="102" priority="103">
      <formula>J$11=""</formula>
    </cfRule>
  </conditionalFormatting>
  <conditionalFormatting sqref="M11">
    <cfRule type="expression" dxfId="101" priority="102">
      <formula>L$11=""</formula>
    </cfRule>
  </conditionalFormatting>
  <conditionalFormatting sqref="O11">
    <cfRule type="expression" dxfId="100" priority="101">
      <formula>N$11=""</formula>
    </cfRule>
  </conditionalFormatting>
  <conditionalFormatting sqref="Q7:Q12">
    <cfRule type="cellIs" dxfId="99" priority="91" operator="equal">
      <formula>""</formula>
    </cfRule>
  </conditionalFormatting>
  <conditionalFormatting sqref="B7:O12">
    <cfRule type="cellIs" dxfId="98" priority="90" operator="equal">
      <formula>TODAY()</formula>
    </cfRule>
  </conditionalFormatting>
  <conditionalFormatting sqref="E7">
    <cfRule type="expression" dxfId="97" priority="87">
      <formula>D$7=TODAY()</formula>
    </cfRule>
    <cfRule type="expression" dxfId="96" priority="88">
      <formula>D$7=""</formula>
    </cfRule>
  </conditionalFormatting>
  <conditionalFormatting sqref="G7">
    <cfRule type="expression" dxfId="95" priority="85">
      <formula>F$7=TODAY()</formula>
    </cfRule>
    <cfRule type="expression" dxfId="94" priority="86">
      <formula>F$7=""</formula>
    </cfRule>
  </conditionalFormatting>
  <conditionalFormatting sqref="I7">
    <cfRule type="expression" dxfId="93" priority="83">
      <formula>H$7=TODAY()</formula>
    </cfRule>
    <cfRule type="expression" dxfId="92" priority="84">
      <formula>H$7=""</formula>
    </cfRule>
  </conditionalFormatting>
  <conditionalFormatting sqref="K7">
    <cfRule type="expression" dxfId="91" priority="81">
      <formula>J$7=TODAY()</formula>
    </cfRule>
    <cfRule type="expression" dxfId="90" priority="82">
      <formula>J$7=""</formula>
    </cfRule>
  </conditionalFormatting>
  <conditionalFormatting sqref="M7:M11">
    <cfRule type="expression" dxfId="89" priority="79">
      <formula>L$7=TODAY()</formula>
    </cfRule>
    <cfRule type="expression" dxfId="88" priority="80">
      <formula>L$7=""</formula>
    </cfRule>
  </conditionalFormatting>
  <conditionalFormatting sqref="O7 O9 O11">
    <cfRule type="expression" dxfId="87" priority="77">
      <formula>N$7=TODAY()</formula>
    </cfRule>
    <cfRule type="expression" dxfId="86" priority="78">
      <formula>N$7=""</formula>
    </cfRule>
  </conditionalFormatting>
  <conditionalFormatting sqref="E8">
    <cfRule type="expression" dxfId="85" priority="74">
      <formula>D$8=TODAY()</formula>
    </cfRule>
    <cfRule type="expression" dxfId="84" priority="75">
      <formula>D$8=""</formula>
    </cfRule>
  </conditionalFormatting>
  <conditionalFormatting sqref="G8">
    <cfRule type="expression" dxfId="83" priority="72">
      <formula>F$8=TODAY()</formula>
    </cfRule>
    <cfRule type="expression" dxfId="82" priority="73">
      <formula>F$8=""</formula>
    </cfRule>
  </conditionalFormatting>
  <conditionalFormatting sqref="I8">
    <cfRule type="expression" dxfId="81" priority="70">
      <formula>H$8=TODAY()</formula>
    </cfRule>
    <cfRule type="expression" dxfId="80" priority="71">
      <formula>H$8=""</formula>
    </cfRule>
  </conditionalFormatting>
  <conditionalFormatting sqref="K8">
    <cfRule type="expression" dxfId="79" priority="68">
      <formula>J$8=TODAY()</formula>
    </cfRule>
    <cfRule type="expression" dxfId="78" priority="69">
      <formula>J$8=""</formula>
    </cfRule>
  </conditionalFormatting>
  <conditionalFormatting sqref="M8">
    <cfRule type="expression" dxfId="77" priority="66">
      <formula>L$8=TODAY()</formula>
    </cfRule>
    <cfRule type="expression" dxfId="76" priority="67">
      <formula>L$8=""</formula>
    </cfRule>
  </conditionalFormatting>
  <conditionalFormatting sqref="O8 O10">
    <cfRule type="expression" dxfId="75" priority="64">
      <formula>N$8=TODAY()</formula>
    </cfRule>
    <cfRule type="expression" dxfId="74" priority="65">
      <formula>N$8=""</formula>
    </cfRule>
  </conditionalFormatting>
  <conditionalFormatting sqref="E9">
    <cfRule type="expression" dxfId="73" priority="61">
      <formula>D$9=TODAY()</formula>
    </cfRule>
    <cfRule type="expression" dxfId="72" priority="62">
      <formula>D$9=""</formula>
    </cfRule>
  </conditionalFormatting>
  <conditionalFormatting sqref="G9">
    <cfRule type="expression" dxfId="71" priority="59">
      <formula>F$9=TODAY()</formula>
    </cfRule>
    <cfRule type="expression" dxfId="70" priority="60">
      <formula>F$9=""</formula>
    </cfRule>
  </conditionalFormatting>
  <conditionalFormatting sqref="I9">
    <cfRule type="expression" dxfId="69" priority="57">
      <formula>H$9=TODAY()</formula>
    </cfRule>
    <cfRule type="expression" dxfId="68" priority="58">
      <formula>H$9=""</formula>
    </cfRule>
  </conditionalFormatting>
  <conditionalFormatting sqref="K9">
    <cfRule type="expression" dxfId="67" priority="55">
      <formula>J$9=TODAY()</formula>
    </cfRule>
    <cfRule type="expression" dxfId="66" priority="56">
      <formula>J$9=""</formula>
    </cfRule>
  </conditionalFormatting>
  <conditionalFormatting sqref="M9">
    <cfRule type="expression" dxfId="65" priority="53">
      <formula>L$9=TODAY()</formula>
    </cfRule>
    <cfRule type="expression" dxfId="64" priority="54">
      <formula>L$9=""</formula>
    </cfRule>
  </conditionalFormatting>
  <conditionalFormatting sqref="O9">
    <cfRule type="expression" dxfId="63" priority="51">
      <formula>N$9=TODAY()</formula>
    </cfRule>
    <cfRule type="expression" dxfId="62" priority="52">
      <formula>N$9=""</formula>
    </cfRule>
  </conditionalFormatting>
  <conditionalFormatting sqref="E10">
    <cfRule type="expression" dxfId="61" priority="48">
      <formula>D$10=TODAY()</formula>
    </cfRule>
    <cfRule type="expression" dxfId="60" priority="49">
      <formula>D$10=""</formula>
    </cfRule>
  </conditionalFormatting>
  <conditionalFormatting sqref="G10">
    <cfRule type="expression" dxfId="59" priority="46">
      <formula>F$10=TODAY()</formula>
    </cfRule>
    <cfRule type="expression" dxfId="58" priority="47">
      <formula>F$10=""</formula>
    </cfRule>
  </conditionalFormatting>
  <conditionalFormatting sqref="I10">
    <cfRule type="expression" dxfId="57" priority="44">
      <formula>H$10=TODAY()</formula>
    </cfRule>
    <cfRule type="expression" dxfId="56" priority="45">
      <formula>H$10=""</formula>
    </cfRule>
  </conditionalFormatting>
  <conditionalFormatting sqref="K10">
    <cfRule type="expression" dxfId="55" priority="42">
      <formula>J$10=TODAY()</formula>
    </cfRule>
    <cfRule type="expression" dxfId="54" priority="43">
      <formula>J$10=""</formula>
    </cfRule>
  </conditionalFormatting>
  <conditionalFormatting sqref="M10">
    <cfRule type="expression" dxfId="53" priority="40">
      <formula>L$10=TODAY()</formula>
    </cfRule>
    <cfRule type="expression" dxfId="52" priority="41">
      <formula>L$10=""</formula>
    </cfRule>
  </conditionalFormatting>
  <conditionalFormatting sqref="O10">
    <cfRule type="expression" dxfId="51" priority="38">
      <formula>N$10=TODAY()</formula>
    </cfRule>
    <cfRule type="expression" dxfId="50" priority="39">
      <formula>N$10=""</formula>
    </cfRule>
  </conditionalFormatting>
  <conditionalFormatting sqref="E11">
    <cfRule type="expression" dxfId="49" priority="35">
      <formula>D$11=TODAY()</formula>
    </cfRule>
    <cfRule type="expression" dxfId="48" priority="36">
      <formula>D$11=""</formula>
    </cfRule>
  </conditionalFormatting>
  <conditionalFormatting sqref="G11">
    <cfRule type="expression" dxfId="47" priority="33">
      <formula>F$11=TODAY()</formula>
    </cfRule>
    <cfRule type="expression" dxfId="46" priority="34">
      <formula>F$11=""</formula>
    </cfRule>
  </conditionalFormatting>
  <conditionalFormatting sqref="I11">
    <cfRule type="expression" dxfId="45" priority="31">
      <formula>H$11=TODAY()</formula>
    </cfRule>
    <cfRule type="expression" dxfId="44" priority="32">
      <formula>H$11=""</formula>
    </cfRule>
  </conditionalFormatting>
  <conditionalFormatting sqref="K11">
    <cfRule type="expression" dxfId="43" priority="29">
      <formula>J$11=TODAY()</formula>
    </cfRule>
    <cfRule type="expression" dxfId="42" priority="30">
      <formula>J$11=""</formula>
    </cfRule>
  </conditionalFormatting>
  <conditionalFormatting sqref="M11">
    <cfRule type="expression" dxfId="41" priority="27">
      <formula>L$11=TODAY()</formula>
    </cfRule>
    <cfRule type="expression" dxfId="40" priority="28">
      <formula>L$11=""</formula>
    </cfRule>
  </conditionalFormatting>
  <conditionalFormatting sqref="O11">
    <cfRule type="expression" dxfId="39" priority="25">
      <formula>N$11=TODAY()</formula>
    </cfRule>
    <cfRule type="expression" dxfId="38" priority="26">
      <formula>N$11=""</formula>
    </cfRule>
  </conditionalFormatting>
  <conditionalFormatting sqref="C12">
    <cfRule type="expression" dxfId="37" priority="17">
      <formula>B$12=""</formula>
    </cfRule>
    <cfRule type="expression" dxfId="36" priority="24">
      <formula>B$12=TODAY()</formula>
    </cfRule>
  </conditionalFormatting>
  <conditionalFormatting sqref="E12">
    <cfRule type="expression" dxfId="35" priority="23">
      <formula>D$12=TODAY()</formula>
    </cfRule>
  </conditionalFormatting>
  <conditionalFormatting sqref="G12">
    <cfRule type="expression" dxfId="34" priority="22">
      <formula>F$12=TODAY()</formula>
    </cfRule>
  </conditionalFormatting>
  <conditionalFormatting sqref="I12">
    <cfRule type="expression" dxfId="33" priority="21">
      <formula>H$12=TODAY()</formula>
    </cfRule>
  </conditionalFormatting>
  <conditionalFormatting sqref="K12">
    <cfRule type="expression" dxfId="32" priority="20">
      <formula>J$12=TODAY()</formula>
    </cfRule>
  </conditionalFormatting>
  <conditionalFormatting sqref="M12">
    <cfRule type="expression" dxfId="31" priority="19">
      <formula>L$12=TODAY()</formula>
    </cfRule>
  </conditionalFormatting>
  <conditionalFormatting sqref="O12">
    <cfRule type="expression" dxfId="30" priority="18">
      <formula>N$12=TODAY()</formula>
    </cfRule>
  </conditionalFormatting>
  <conditionalFormatting sqref="E12">
    <cfRule type="expression" dxfId="29" priority="15">
      <formula>D$12=""</formula>
    </cfRule>
    <cfRule type="expression" dxfId="28" priority="16">
      <formula>D$12=TODAY()</formula>
    </cfRule>
  </conditionalFormatting>
  <conditionalFormatting sqref="G12">
    <cfRule type="expression" dxfId="27" priority="13">
      <formula>F$12=""</formula>
    </cfRule>
    <cfRule type="expression" dxfId="26" priority="14">
      <formula>F$12=TODAY()</formula>
    </cfRule>
  </conditionalFormatting>
  <conditionalFormatting sqref="I12">
    <cfRule type="expression" dxfId="25" priority="11">
      <formula>H$12=""</formula>
    </cfRule>
    <cfRule type="expression" dxfId="24" priority="12">
      <formula>H$12=TODAY()</formula>
    </cfRule>
  </conditionalFormatting>
  <conditionalFormatting sqref="K12">
    <cfRule type="expression" dxfId="23" priority="9">
      <formula>J$12=""</formula>
    </cfRule>
    <cfRule type="expression" dxfId="22" priority="10">
      <formula>J$12=TODAY()</formula>
    </cfRule>
  </conditionalFormatting>
  <conditionalFormatting sqref="M12">
    <cfRule type="expression" dxfId="21" priority="7">
      <formula>L$12=""</formula>
    </cfRule>
    <cfRule type="expression" dxfId="20" priority="8">
      <formula>L$12=TODAY()</formula>
    </cfRule>
  </conditionalFormatting>
  <conditionalFormatting sqref="O12">
    <cfRule type="expression" dxfId="19" priority="5">
      <formula>N$12=""</formula>
    </cfRule>
    <cfRule type="expression" dxfId="18" priority="6">
      <formula>N$12=TODAY()</formula>
    </cfRule>
  </conditionalFormatting>
  <conditionalFormatting sqref="B12 D12 F12 H12 J12 L12 N12">
    <cfRule type="cellIs" dxfId="17" priority="4" operator="equal">
      <formula>""</formula>
    </cfRule>
  </conditionalFormatting>
  <printOptions horizontalCentered="1"/>
  <pageMargins left="0.11811023622047245" right="0.11811023622047245" top="0.15748031496062992" bottom="0.35433070866141736" header="0.11811023622047245" footer="0.31496062992125984"/>
  <pageSetup paperSize="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7" id="{C2D5BF97-FFF9-4569-9ACD-C79EE4E3DE2B}">
            <xm:f>NOT(ISNA(VLOOKUP(B7,Données!$J$2:$J$13,1,0)))</xm:f>
            <x14:dxf>
              <fill>
                <patternFill>
                  <bgColor rgb="FFFF0000"/>
                </patternFill>
              </fill>
            </x14:dxf>
          </x14:cfRule>
          <xm:sqref>B7:K12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85" yWindow="403" count="1">
        <x14:dataValidation type="list" allowBlank="1" showInputMessage="1" showErrorMessage="1" promptTitle="Equipe" xr:uid="{BEB8EC40-4FD5-4627-AB21-A5A3B954269E}">
          <x14:formula1>
            <xm:f>Données!$A$2:$A$10</xm:f>
          </x14:formula1>
          <xm:sqref>C7:C12 E7:E12 G7:G12 I7:I12 K7:K12 M7:M12 O7:O12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</sheetPr>
  <dimension ref="A1:J26"/>
  <sheetViews>
    <sheetView workbookViewId="0">
      <selection activeCell="G18" sqref="G18"/>
    </sheetView>
  </sheetViews>
  <sheetFormatPr baseColWidth="10" defaultColWidth="11.5546875" defaultRowHeight="14.4"/>
  <cols>
    <col min="1" max="1" width="11.5546875" style="1"/>
    <col min="2" max="2" width="19.88671875" style="1" customWidth="1"/>
    <col min="3" max="3" width="4.6640625" style="1" customWidth="1"/>
    <col min="4" max="5" width="11.5546875" style="1"/>
    <col min="6" max="6" width="4.6640625" style="1" customWidth="1"/>
    <col min="7" max="7" width="18.6640625" style="1" customWidth="1"/>
    <col min="8" max="8" width="4.6640625" style="1" customWidth="1"/>
    <col min="9" max="9" width="20.33203125" style="1" customWidth="1"/>
    <col min="10" max="10" width="14.21875" style="1" bestFit="1" customWidth="1"/>
    <col min="11" max="11" width="20.6640625" style="1" customWidth="1"/>
    <col min="12" max="12" width="4.6640625" style="1" customWidth="1"/>
    <col min="13" max="13" width="13.6640625" style="1" bestFit="1" customWidth="1"/>
    <col min="14" max="14" width="15.33203125" style="1" customWidth="1"/>
    <col min="15" max="16384" width="11.5546875" style="1"/>
  </cols>
  <sheetData>
    <row r="1" spans="1:10">
      <c r="A1" s="1" t="s">
        <v>13</v>
      </c>
      <c r="B1" s="1" t="s">
        <v>14</v>
      </c>
      <c r="D1" s="1" t="s">
        <v>15</v>
      </c>
      <c r="E1" s="1" t="s">
        <v>16</v>
      </c>
      <c r="G1" s="1" t="s">
        <v>17</v>
      </c>
      <c r="I1" s="25" t="s">
        <v>30</v>
      </c>
      <c r="J1" s="29" t="s">
        <v>31</v>
      </c>
    </row>
    <row r="2" spans="1:10">
      <c r="A2" s="1" t="s">
        <v>60</v>
      </c>
      <c r="B2" s="1" t="s">
        <v>50</v>
      </c>
      <c r="D2" s="1">
        <v>1</v>
      </c>
      <c r="E2" s="1" t="s">
        <v>0</v>
      </c>
      <c r="G2" s="1">
        <v>2021</v>
      </c>
      <c r="I2" s="24" t="s">
        <v>18</v>
      </c>
      <c r="J2" s="27">
        <f>DATE(Accueil!C1,1,1)</f>
        <v>44197</v>
      </c>
    </row>
    <row r="3" spans="1:10">
      <c r="A3" s="1" t="s">
        <v>61</v>
      </c>
      <c r="B3" s="1" t="s">
        <v>49</v>
      </c>
      <c r="D3" s="1">
        <v>2</v>
      </c>
      <c r="E3" s="1" t="s">
        <v>1</v>
      </c>
      <c r="G3" s="1">
        <v>2022</v>
      </c>
      <c r="I3" s="24" t="s">
        <v>19</v>
      </c>
      <c r="J3" s="27">
        <f>ROUND(DATE(Accueil!C1,4,MOD(234-11*MOD(Accueil!C1,19),30))/7,0)*7-6</f>
        <v>44290</v>
      </c>
    </row>
    <row r="4" spans="1:10">
      <c r="A4" s="1" t="s">
        <v>62</v>
      </c>
      <c r="B4" s="1" t="s">
        <v>48</v>
      </c>
      <c r="D4" s="1">
        <v>3</v>
      </c>
      <c r="E4" s="1" t="s">
        <v>2</v>
      </c>
      <c r="G4" s="1">
        <v>2023</v>
      </c>
      <c r="I4" s="24" t="s">
        <v>20</v>
      </c>
      <c r="J4" s="27">
        <f>J3+1</f>
        <v>44291</v>
      </c>
    </row>
    <row r="5" spans="1:10">
      <c r="A5" s="1" t="s">
        <v>63</v>
      </c>
      <c r="B5" s="1" t="s">
        <v>47</v>
      </c>
      <c r="D5" s="1">
        <v>4</v>
      </c>
      <c r="E5" s="1" t="s">
        <v>3</v>
      </c>
      <c r="G5" s="1">
        <v>2024</v>
      </c>
      <c r="I5" s="24" t="s">
        <v>21</v>
      </c>
      <c r="J5" s="27">
        <f>DATE(Accueil!C1,5,1)</f>
        <v>44317</v>
      </c>
    </row>
    <row r="6" spans="1:10">
      <c r="A6" s="1" t="s">
        <v>64</v>
      </c>
      <c r="B6" s="1" t="s">
        <v>56</v>
      </c>
      <c r="D6" s="1">
        <v>5</v>
      </c>
      <c r="E6" s="1" t="s">
        <v>4</v>
      </c>
      <c r="G6" s="1">
        <v>2025</v>
      </c>
      <c r="I6" s="24" t="s">
        <v>22</v>
      </c>
      <c r="J6" s="27">
        <f>DATE(Accueil!C1,5,8)</f>
        <v>44324</v>
      </c>
    </row>
    <row r="7" spans="1:10">
      <c r="A7" s="1" t="s">
        <v>65</v>
      </c>
      <c r="B7" s="1" t="s">
        <v>57</v>
      </c>
      <c r="D7" s="1">
        <v>6</v>
      </c>
      <c r="E7" s="1" t="s">
        <v>5</v>
      </c>
      <c r="G7" s="1">
        <v>2026</v>
      </c>
      <c r="I7" s="24" t="s">
        <v>23</v>
      </c>
      <c r="J7" s="27">
        <f>J3+39</f>
        <v>44329</v>
      </c>
    </row>
    <row r="8" spans="1:10">
      <c r="A8" s="1" t="s">
        <v>66</v>
      </c>
      <c r="B8" s="1" t="s">
        <v>58</v>
      </c>
      <c r="D8" s="1">
        <v>7</v>
      </c>
      <c r="E8" s="1" t="s">
        <v>6</v>
      </c>
      <c r="G8" s="1">
        <v>2027</v>
      </c>
      <c r="I8" s="24" t="s">
        <v>24</v>
      </c>
      <c r="J8" s="27">
        <f>J3+50</f>
        <v>44340</v>
      </c>
    </row>
    <row r="9" spans="1:10">
      <c r="A9" s="1" t="s">
        <v>67</v>
      </c>
      <c r="B9" s="1" t="s">
        <v>43</v>
      </c>
      <c r="D9" s="1">
        <v>8</v>
      </c>
      <c r="E9" s="1" t="s">
        <v>7</v>
      </c>
      <c r="G9" s="1">
        <v>2028</v>
      </c>
      <c r="I9" s="24" t="s">
        <v>25</v>
      </c>
      <c r="J9" s="27">
        <f>DATE(Accueil!C1,7,14)</f>
        <v>44391</v>
      </c>
    </row>
    <row r="10" spans="1:10">
      <c r="A10" s="1" t="s">
        <v>68</v>
      </c>
      <c r="B10" s="1" t="s">
        <v>59</v>
      </c>
      <c r="D10" s="1">
        <v>9</v>
      </c>
      <c r="E10" s="1" t="s">
        <v>8</v>
      </c>
      <c r="G10" s="1">
        <v>2029</v>
      </c>
      <c r="I10" s="24" t="s">
        <v>26</v>
      </c>
      <c r="J10" s="27">
        <f>DATE(Accueil!C1,8,15)</f>
        <v>44423</v>
      </c>
    </row>
    <row r="11" spans="1:10">
      <c r="A11" s="1" t="s">
        <v>69</v>
      </c>
      <c r="B11" s="1" t="s">
        <v>41</v>
      </c>
      <c r="D11" s="1">
        <v>10</v>
      </c>
      <c r="E11" s="1" t="s">
        <v>9</v>
      </c>
      <c r="G11" s="1">
        <v>2030</v>
      </c>
      <c r="I11" s="24" t="s">
        <v>27</v>
      </c>
      <c r="J11" s="27">
        <f>DATE(Accueil!C1,11,1)</f>
        <v>44501</v>
      </c>
    </row>
    <row r="12" spans="1:10">
      <c r="D12" s="1">
        <v>11</v>
      </c>
      <c r="E12" s="1" t="s">
        <v>10</v>
      </c>
      <c r="I12" s="24" t="s">
        <v>28</v>
      </c>
      <c r="J12" s="27">
        <f>DATE(Accueil!C1,11,11)</f>
        <v>44511</v>
      </c>
    </row>
    <row r="13" spans="1:10">
      <c r="D13" s="1">
        <v>12</v>
      </c>
      <c r="E13" s="1" t="s">
        <v>11</v>
      </c>
      <c r="I13" s="26" t="s">
        <v>29</v>
      </c>
      <c r="J13" s="28">
        <f>DATE(Accueil!C1,12,25)</f>
        <v>44555</v>
      </c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Mois + Fiche</vt:lpstr>
      <vt:lpstr>Données</vt:lpstr>
      <vt:lpstr>Lettre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2021-09-02T14:29:19Z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