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aury\Desktop\"/>
    </mc:Choice>
  </mc:AlternateContent>
  <bookViews>
    <workbookView xWindow="0" yWindow="0" windowWidth="20490" windowHeight="7620"/>
  </bookViews>
  <sheets>
    <sheet name="RC81" sheetId="1" r:id="rId1"/>
    <sheet name="Jours Fériés" sheetId="2" r:id="rId2"/>
  </sheets>
  <externalReferences>
    <externalReference r:id="rId3"/>
    <externalReference r:id="rId4"/>
  </externalReferences>
  <definedNames>
    <definedName name="Année">'[1]Grille modulation'!$AM$2:$AM$25</definedName>
    <definedName name="feries">[2]donnée!$F$4:$F$16</definedName>
    <definedName name="mois">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4" i="1"/>
  <c r="E5" i="1"/>
  <c r="E11" i="1" l="1"/>
  <c r="E9" i="1" s="1"/>
  <c r="E8" i="1" s="1"/>
  <c r="E7" i="1" s="1"/>
  <c r="E6" i="1" s="1"/>
  <c r="E4" i="1" s="1"/>
  <c r="F7" i="1"/>
  <c r="F6" i="1" s="1"/>
  <c r="F9" i="1"/>
  <c r="F11" i="1" s="1"/>
  <c r="F12" i="1" s="1"/>
  <c r="D4" i="1"/>
  <c r="D5" i="1" s="1"/>
  <c r="E3" i="1" l="1"/>
  <c r="F3" i="1"/>
  <c r="F5" i="1"/>
  <c r="F10" i="1"/>
  <c r="D7" i="1"/>
  <c r="D8" i="1" s="1"/>
  <c r="D9" i="1" s="1"/>
  <c r="D6" i="1"/>
  <c r="D11" i="1" l="1"/>
  <c r="D12" i="1" s="1"/>
  <c r="D10" i="1"/>
  <c r="E16" i="2"/>
  <c r="C16" i="2" s="1"/>
  <c r="E14" i="2"/>
  <c r="C14" i="2" s="1"/>
  <c r="E8" i="2"/>
  <c r="C8" i="2" s="1"/>
  <c r="E6" i="2"/>
  <c r="E12" i="2" s="1"/>
  <c r="C2" i="2"/>
  <c r="E17" i="2" s="1"/>
  <c r="F17" i="2" l="1"/>
  <c r="C17" i="2"/>
  <c r="C12" i="2"/>
  <c r="F12" i="2"/>
  <c r="B8" i="2"/>
  <c r="A8" i="2"/>
  <c r="G8" i="2" s="1"/>
  <c r="B14" i="2"/>
  <c r="A14" i="2"/>
  <c r="G14" i="2" s="1"/>
  <c r="B16" i="2"/>
  <c r="A16" i="2"/>
  <c r="G16" i="2" s="1"/>
  <c r="F6" i="2"/>
  <c r="F8" i="2"/>
  <c r="F14" i="2"/>
  <c r="F16" i="2"/>
  <c r="E18" i="2"/>
  <c r="K2" i="2"/>
  <c r="E5" i="2"/>
  <c r="E7" i="2"/>
  <c r="E9" i="2"/>
  <c r="E11" i="2"/>
  <c r="E13" i="2"/>
  <c r="E15" i="2"/>
  <c r="C6" i="2"/>
  <c r="E10" i="2"/>
  <c r="F7" i="2" l="1"/>
  <c r="C7" i="2"/>
  <c r="C10" i="2"/>
  <c r="F10" i="2"/>
  <c r="F11" i="2"/>
  <c r="C11" i="2"/>
  <c r="E29" i="2"/>
  <c r="E27" i="2"/>
  <c r="E21" i="2"/>
  <c r="E19" i="2"/>
  <c r="E30" i="2"/>
  <c r="E28" i="2"/>
  <c r="E26" i="2"/>
  <c r="E22" i="2"/>
  <c r="B6" i="2"/>
  <c r="A6" i="2"/>
  <c r="G6" i="2" s="1"/>
  <c r="F9" i="2"/>
  <c r="C9" i="2"/>
  <c r="F18" i="2"/>
  <c r="C18" i="2"/>
  <c r="B12" i="2"/>
  <c r="A12" i="2"/>
  <c r="G12" i="2" s="1"/>
  <c r="F15" i="2"/>
  <c r="C15" i="2"/>
  <c r="A17" i="2"/>
  <c r="B17" i="2"/>
  <c r="F13" i="2"/>
  <c r="C13" i="2"/>
  <c r="F5" i="2"/>
  <c r="C5" i="2"/>
  <c r="A5" i="2" l="1"/>
  <c r="B5" i="2"/>
  <c r="B15" i="2"/>
  <c r="A15" i="2"/>
  <c r="G15" i="2" s="1"/>
  <c r="C28" i="2"/>
  <c r="F28" i="2"/>
  <c r="C27" i="2"/>
  <c r="F27" i="2"/>
  <c r="B13" i="2"/>
  <c r="A13" i="2"/>
  <c r="G13" i="2" s="1"/>
  <c r="B18" i="2"/>
  <c r="A18" i="2"/>
  <c r="G18" i="2" s="1"/>
  <c r="C30" i="2"/>
  <c r="F30" i="2"/>
  <c r="F29" i="2"/>
  <c r="C29" i="2"/>
  <c r="B10" i="2"/>
  <c r="A10" i="2"/>
  <c r="G10" i="2" s="1"/>
  <c r="F19" i="2"/>
  <c r="E25" i="2"/>
  <c r="E23" i="2"/>
  <c r="C19" i="2"/>
  <c r="E24" i="2"/>
  <c r="E20" i="2"/>
  <c r="B11" i="2"/>
  <c r="A11" i="2"/>
  <c r="G11" i="2" s="1"/>
  <c r="A7" i="2"/>
  <c r="B7" i="2"/>
  <c r="B9" i="2"/>
  <c r="A9" i="2"/>
  <c r="G9" i="2" s="1"/>
  <c r="F22" i="2"/>
  <c r="C22" i="2"/>
  <c r="G17" i="2"/>
  <c r="C26" i="2"/>
  <c r="F26" i="2"/>
  <c r="C21" i="2"/>
  <c r="F21" i="2"/>
  <c r="A21" i="2" l="1"/>
  <c r="B21" i="2"/>
  <c r="B22" i="2"/>
  <c r="A22" i="2"/>
  <c r="G22" i="2" s="1"/>
  <c r="F20" i="2"/>
  <c r="C20" i="2"/>
  <c r="C25" i="2"/>
  <c r="F25" i="2"/>
  <c r="A29" i="2"/>
  <c r="B29" i="2"/>
  <c r="G7" i="2"/>
  <c r="F24" i="2"/>
  <c r="C24" i="2"/>
  <c r="A27" i="2"/>
  <c r="B27" i="2"/>
  <c r="A19" i="2"/>
  <c r="B19" i="2"/>
  <c r="B26" i="2"/>
  <c r="A26" i="2"/>
  <c r="G26" i="2" s="1"/>
  <c r="F23" i="2"/>
  <c r="C23" i="2"/>
  <c r="B30" i="2"/>
  <c r="A30" i="2"/>
  <c r="G30" i="2" s="1"/>
  <c r="B28" i="2"/>
  <c r="A28" i="2"/>
  <c r="G5" i="2"/>
  <c r="J17" i="2" s="1"/>
  <c r="G27" i="2" l="1"/>
  <c r="A25" i="2"/>
  <c r="G25" i="2" s="1"/>
  <c r="B25" i="2"/>
  <c r="G28" i="2"/>
  <c r="A23" i="2"/>
  <c r="B23" i="2"/>
  <c r="B24" i="2"/>
  <c r="A24" i="2"/>
  <c r="G24" i="2" s="1"/>
  <c r="B20" i="2"/>
  <c r="A20" i="2"/>
  <c r="G20" i="2" s="1"/>
  <c r="G19" i="2"/>
  <c r="G29" i="2"/>
  <c r="G21" i="2"/>
  <c r="G23" i="2" l="1"/>
  <c r="J30" i="2" s="1"/>
</calcChain>
</file>

<file path=xl/comments1.xml><?xml version="1.0" encoding="utf-8"?>
<comments xmlns="http://schemas.openxmlformats.org/spreadsheetml/2006/main">
  <authors>
    <author>Jérôme MAURY</author>
  </authors>
  <commentList>
    <comment ref="B5" authorId="0" shapeId="0">
      <text>
        <r>
          <rPr>
            <b/>
            <sz val="9"/>
            <color indexed="81"/>
            <rFont val="Tahoma"/>
            <charset val="1"/>
          </rPr>
          <t>Insérer X si 2ème entretien, sinon laisser vide
Pas de 2ème entretien si calculs antidatés</t>
        </r>
      </text>
    </comment>
  </commentList>
</comments>
</file>

<file path=xl/sharedStrings.xml><?xml version="1.0" encoding="utf-8"?>
<sst xmlns="http://schemas.openxmlformats.org/spreadsheetml/2006/main" count="59" uniqueCount="46">
  <si>
    <t>Jour</t>
  </si>
  <si>
    <t>JF</t>
  </si>
  <si>
    <t>Date</t>
  </si>
  <si>
    <t>N° Sem</t>
  </si>
  <si>
    <t>Ouvrés</t>
  </si>
  <si>
    <t>Jour de l’an</t>
  </si>
  <si>
    <t>Pâques</t>
  </si>
  <si>
    <t>de Pâques</t>
  </si>
  <si>
    <t>Fête du travail</t>
  </si>
  <si>
    <t>Armistice 39/45</t>
  </si>
  <si>
    <t>Ascension</t>
  </si>
  <si>
    <t>Pentecôte</t>
  </si>
  <si>
    <t>de Pentecôte</t>
  </si>
  <si>
    <t>Fête Nationale</t>
  </si>
  <si>
    <t>Assomption</t>
  </si>
  <si>
    <t>Toussaint</t>
  </si>
  <si>
    <t>Armistice 14/18</t>
  </si>
  <si>
    <t>Noël</t>
  </si>
  <si>
    <t>Nb JF</t>
  </si>
  <si>
    <t>NB JF</t>
  </si>
  <si>
    <t>Calendrier prévisionnel de rupture conventionnelle</t>
  </si>
  <si>
    <t>Evènements</t>
  </si>
  <si>
    <t>Calcul des délais</t>
  </si>
  <si>
    <t>Remise en MP</t>
  </si>
  <si>
    <t>Entretien 1 / signature</t>
  </si>
  <si>
    <t>5 jours ouvrables à partir du lendemain de la réception de la convocation (aucun délai légal)</t>
  </si>
  <si>
    <t>Entretien 2 / Signature</t>
  </si>
  <si>
    <t>3 jours ouvrables à partir du lendemain de l'entretien 1 (aucun délai légal)</t>
  </si>
  <si>
    <t>Début délai rétractation</t>
  </si>
  <si>
    <t>Lendemain du jour de signature de la convention</t>
  </si>
  <si>
    <t xml:space="preserve">Fin du délai rétractation </t>
  </si>
  <si>
    <t>Envoi de la demande d'homologation à la DIRECCTE</t>
  </si>
  <si>
    <t>Lendemain du dernier jour de rétractation</t>
  </si>
  <si>
    <t>Début du délai d'homologation</t>
  </si>
  <si>
    <t>Fin du délai d'homologation</t>
  </si>
  <si>
    <t>Expire le 15ème jour ouvrable à 24h. Lorsque le délai expire normalement un samedi, un dimanche ou un jour férié ou chômé, il est prorogé jusqu'au premier jour ouvrable suivant.</t>
  </si>
  <si>
    <t>Date de rupture du contrat</t>
  </si>
  <si>
    <t>Le lendemain du dernier jour ouvrable d'homologation de la DIRECCTE en cas de décision implicite, au lendemain de la notification en cas de décision explicite.</t>
  </si>
  <si>
    <t>Invitation</t>
  </si>
  <si>
    <t>Fin de RC</t>
  </si>
  <si>
    <t>Envoi DIRECCTE</t>
  </si>
  <si>
    <t>Date prévisible de réception</t>
  </si>
  <si>
    <t xml:space="preserve">Le lendemain du jour ouvrable de réception de la demande par la DIRECCTE. </t>
  </si>
  <si>
    <t>3 jours pleins à partir de la date d'envoi de la demande.</t>
  </si>
  <si>
    <t>Lettre d'invitation à négocier</t>
  </si>
  <si>
    <t>15 jours calendaires, se termine à 24h. Lorsque le délai expire normalement un samedi, un dimanche ou un jour férié ou chômé, il est prorogé jusqu'au premier jour ouvrable suivant.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</si>
</sst>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2" fillId="0" borderId="0" xfId="1"/>
    <xf numFmtId="0" fontId="3" fillId="0" borderId="0" xfId="1" applyNumberFormat="1" applyFont="1"/>
    <xf numFmtId="14" fontId="4" fillId="0" borderId="0" xfId="1" applyNumberFormat="1" applyFont="1"/>
    <xf numFmtId="0" fontId="5" fillId="0" borderId="0" xfId="1" applyFont="1"/>
    <xf numFmtId="0" fontId="2" fillId="0" borderId="0" xfId="1" applyBorder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7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center" wrapText="1"/>
    </xf>
    <xf numFmtId="14" fontId="2" fillId="0" borderId="0" xfId="1" applyNumberFormat="1" applyFont="1" applyBorder="1" applyAlignment="1">
      <alignment vertical="center" wrapText="1"/>
    </xf>
    <xf numFmtId="0" fontId="7" fillId="0" borderId="0" xfId="1" applyFont="1" applyBorder="1" applyAlignment="1">
      <alignment horizontal="center"/>
    </xf>
    <xf numFmtId="0" fontId="2" fillId="0" borderId="2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center"/>
    </xf>
    <xf numFmtId="14" fontId="2" fillId="0" borderId="4" xfId="1" applyNumberFormat="1" applyFont="1" applyBorder="1" applyAlignment="1">
      <alignment vertical="center" wrapText="1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vertical="center" wrapText="1"/>
    </xf>
    <xf numFmtId="14" fontId="2" fillId="0" borderId="0" xfId="1" applyNumberFormat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/>
    </xf>
    <xf numFmtId="0" fontId="2" fillId="0" borderId="0" xfId="1" applyFont="1" applyFill="1" applyBorder="1"/>
    <xf numFmtId="0" fontId="2" fillId="0" borderId="0" xfId="1" applyFill="1" applyBorder="1"/>
    <xf numFmtId="0" fontId="7" fillId="0" borderId="0" xfId="1" applyFont="1" applyAlignment="1">
      <alignment horizontal="center"/>
    </xf>
    <xf numFmtId="0" fontId="7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2" fillId="0" borderId="0" xfId="1" applyFont="1" applyBorder="1"/>
    <xf numFmtId="0" fontId="2" fillId="0" borderId="0" xfId="1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strike val="0"/>
      </font>
      <fill>
        <patternFill>
          <bgColor rgb="FF92D050"/>
        </patternFill>
      </fill>
      <border>
        <vertical/>
        <horizontal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ulatio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aury/AppData/Local/Microsoft/Windows/Temporary%20Internet%20Files/Content.IE5/H0HWKXT6/Tableau%20%20heure%20travail%20v3%20-%20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hodo Interne"/>
      <sheetName val="Grille modulation"/>
      <sheetName val="Compte indiv compens"/>
      <sheetName val="Absences"/>
      <sheetName val="Jours Fériés"/>
    </sheetNames>
    <sheetDataSet>
      <sheetData sheetId="0" refreshError="1"/>
      <sheetData sheetId="1">
        <row r="2">
          <cell r="P2">
            <v>2</v>
          </cell>
          <cell r="AM2">
            <v>2019</v>
          </cell>
        </row>
        <row r="3">
          <cell r="AM3">
            <v>2020</v>
          </cell>
        </row>
        <row r="4">
          <cell r="AM4">
            <v>2021</v>
          </cell>
        </row>
        <row r="5">
          <cell r="AM5">
            <v>2022</v>
          </cell>
        </row>
        <row r="6">
          <cell r="AM6">
            <v>2023</v>
          </cell>
        </row>
        <row r="7">
          <cell r="AM7">
            <v>2024</v>
          </cell>
        </row>
        <row r="8">
          <cell r="AM8">
            <v>2025</v>
          </cell>
        </row>
        <row r="9">
          <cell r="AM9">
            <v>2026</v>
          </cell>
        </row>
        <row r="10">
          <cell r="AM10">
            <v>2027</v>
          </cell>
        </row>
        <row r="11">
          <cell r="AM11">
            <v>2028</v>
          </cell>
        </row>
        <row r="12">
          <cell r="AM12">
            <v>2029</v>
          </cell>
        </row>
        <row r="13">
          <cell r="AM13">
            <v>2030</v>
          </cell>
        </row>
        <row r="14">
          <cell r="AM14">
            <v>2031</v>
          </cell>
        </row>
        <row r="15">
          <cell r="AM15">
            <v>2032</v>
          </cell>
        </row>
        <row r="16">
          <cell r="AM16">
            <v>2033</v>
          </cell>
        </row>
        <row r="17">
          <cell r="AM17">
            <v>2034</v>
          </cell>
        </row>
        <row r="18">
          <cell r="AM18">
            <v>2035</v>
          </cell>
        </row>
        <row r="19">
          <cell r="AM19">
            <v>2036</v>
          </cell>
        </row>
        <row r="20">
          <cell r="AM20">
            <v>2037</v>
          </cell>
        </row>
        <row r="21">
          <cell r="AM21">
            <v>2038</v>
          </cell>
        </row>
        <row r="22">
          <cell r="AM22">
            <v>2039</v>
          </cell>
        </row>
        <row r="23">
          <cell r="AM23">
            <v>2040</v>
          </cell>
        </row>
        <row r="24">
          <cell r="AM24">
            <v>2041</v>
          </cell>
        </row>
        <row r="25">
          <cell r="AM25">
            <v>2042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"/>
      <sheetName val="Original"/>
      <sheetName val="Société"/>
    </sheetNames>
    <sheetDataSet>
      <sheetData sheetId="0">
        <row r="4">
          <cell r="F4">
            <v>42736</v>
          </cell>
        </row>
        <row r="5">
          <cell r="F5">
            <v>42841</v>
          </cell>
        </row>
        <row r="6">
          <cell r="F6">
            <v>42842</v>
          </cell>
        </row>
        <row r="7">
          <cell r="F7">
            <v>42856</v>
          </cell>
        </row>
        <row r="8">
          <cell r="F8">
            <v>42863</v>
          </cell>
        </row>
        <row r="9">
          <cell r="F9">
            <v>42880</v>
          </cell>
        </row>
        <row r="10">
          <cell r="F10">
            <v>42890</v>
          </cell>
        </row>
        <row r="11">
          <cell r="F11">
            <v>42891</v>
          </cell>
        </row>
        <row r="12">
          <cell r="F12">
            <v>42930</v>
          </cell>
        </row>
        <row r="13">
          <cell r="F13">
            <v>42962</v>
          </cell>
        </row>
        <row r="14">
          <cell r="F14">
            <v>43040</v>
          </cell>
        </row>
        <row r="15">
          <cell r="F15">
            <v>43050</v>
          </cell>
        </row>
        <row r="16">
          <cell r="F16">
            <v>43094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activeCell="E10" sqref="E10"/>
    </sheetView>
  </sheetViews>
  <sheetFormatPr baseColWidth="10" defaultRowHeight="15" x14ac:dyDescent="0.25"/>
  <cols>
    <col min="1" max="1" width="37.140625" style="36" customWidth="1"/>
    <col min="2" max="2" width="4.28515625" style="36" customWidth="1"/>
    <col min="3" max="3" width="49.7109375" style="36" customWidth="1"/>
    <col min="4" max="6" width="15.85546875" style="36" customWidth="1"/>
    <col min="7" max="16384" width="11.42578125" style="36"/>
  </cols>
  <sheetData>
    <row r="1" spans="1:7" ht="15.75" x14ac:dyDescent="0.25">
      <c r="A1" s="45" t="s">
        <v>20</v>
      </c>
      <c r="B1" s="45"/>
      <c r="C1" s="45"/>
      <c r="D1" s="45"/>
    </row>
    <row r="2" spans="1:7" s="43" customFormat="1" ht="15.75" x14ac:dyDescent="0.25">
      <c r="A2" s="48" t="s">
        <v>21</v>
      </c>
      <c r="B2" s="49"/>
      <c r="C2" s="41" t="s">
        <v>22</v>
      </c>
      <c r="D2" s="42" t="s">
        <v>38</v>
      </c>
      <c r="E2" s="42" t="s">
        <v>39</v>
      </c>
      <c r="F2" s="42" t="s">
        <v>40</v>
      </c>
    </row>
    <row r="3" spans="1:7" ht="23.25" customHeight="1" x14ac:dyDescent="0.25">
      <c r="A3" s="50" t="s">
        <v>44</v>
      </c>
      <c r="B3" s="51"/>
      <c r="C3" s="34" t="s">
        <v>23</v>
      </c>
      <c r="D3" s="39">
        <v>44053</v>
      </c>
      <c r="E3" s="37">
        <f>WORKDAY(WORKDAY.INTL(E4,-6,11,'Jours Fériés'!E5:E30)-1,1,'Jours Fériés'!E5:E30)</f>
        <v>44054</v>
      </c>
      <c r="F3" s="37">
        <f>WORKDAY(WORKDAY.INTL(F4,-6,11,'Jours Fériés'!E5:E30)-1,1,'Jours Fériés'!E5:E30)</f>
        <v>44053</v>
      </c>
    </row>
    <row r="4" spans="1:7" ht="25.5" x14ac:dyDescent="0.25">
      <c r="A4" s="46" t="s">
        <v>24</v>
      </c>
      <c r="B4" s="47"/>
      <c r="C4" s="35" t="s">
        <v>25</v>
      </c>
      <c r="D4" s="37">
        <f>WORKDAY(WORKDAY.INTL(D3,6,11,'Jours Fériés'!$E$5:$E$30)-1,1,'Jours Fériés'!$E$5:$E$30)</f>
        <v>44061</v>
      </c>
      <c r="E4" s="52">
        <f>IF(B5="x",WORKDAY(WORKDAY.INTL(E6,-6,11,'Jours Fériés'!E5:E30)-1,1,'Jours Fériés'!E5:E30),WORKDAY(WORKDAY.INTL(E6,-1,11,'Jours Fériés'!E5:E30)-1,1,'Jours Fériés'!E5:E30))</f>
        <v>44062</v>
      </c>
      <c r="F4" s="52">
        <f>IF(B5="x",WORKDAY(WORKDAY.INTL(F6,-6,11,'Jours Fériés'!E5:E30)-1,1,'Jours Fériés'!E5:E30),WORKDAY(WORKDAY.INTL(F6,-1,11,'Jours Fériés'!E5:E30)-1,1,'Jours Fériés'!E5:E30))</f>
        <v>44061</v>
      </c>
      <c r="G4" s="44"/>
    </row>
    <row r="5" spans="1:7" ht="25.5" x14ac:dyDescent="0.25">
      <c r="A5" s="34" t="s">
        <v>26</v>
      </c>
      <c r="B5" s="40"/>
      <c r="C5" s="35" t="s">
        <v>27</v>
      </c>
      <c r="D5" s="37">
        <f>IF(B5="X",WORKDAY(WORKDAY.INTL(D4,4,11,'Jours Fériés'!E5:E30)-1,1,'Jours Fériés'!E5:E30),D4)</f>
        <v>44061</v>
      </c>
      <c r="E5" s="53">
        <f>IF(B5="X",WORKDAY(WORKDAY.INTL(E6,-1,11,'Jours Fériés'!E5:E30)-1,1,'Jours Fériés'!E5:E30),D4)</f>
        <v>44061</v>
      </c>
      <c r="F5" s="53">
        <f>IF(B5="X",WORKDAY(WORKDAY.INTL(F6,-1,11,'Jours Fériés'!E5:E30)-1,1,'Jours Fériés'!E5:E30),D4)</f>
        <v>44061</v>
      </c>
    </row>
    <row r="6" spans="1:7" x14ac:dyDescent="0.25">
      <c r="A6" s="46" t="s">
        <v>28</v>
      </c>
      <c r="B6" s="47"/>
      <c r="C6" s="35" t="s">
        <v>29</v>
      </c>
      <c r="D6" s="37">
        <f>D5+1</f>
        <v>44062</v>
      </c>
      <c r="E6" s="37">
        <f>WORKDAY(E7-15,1,'Jours Fériés'!E5:E30)</f>
        <v>44063</v>
      </c>
      <c r="F6" s="37">
        <f>WORKDAY(F7-15,1,'Jours Fériés'!E5:E30)</f>
        <v>44062</v>
      </c>
    </row>
    <row r="7" spans="1:7" ht="51" x14ac:dyDescent="0.25">
      <c r="A7" s="46" t="s">
        <v>30</v>
      </c>
      <c r="B7" s="47"/>
      <c r="C7" s="35" t="s">
        <v>45</v>
      </c>
      <c r="D7" s="37">
        <f>IF(ISNUMBER(MATCH(IF(WEEKDAY(D5+15,2)=6,D5+15+2,IF(WEEKDAY(D5+15,2)=7,D5+15+1,D5+15)),fer,0)),IF(WEEKDAY(D5+15,2)=6,D5+15+2,IF(WEEKDAY(D5+15,2)=7,D5+15+1,D5+15))+1,IF(WEEKDAY(D5+15,2)=6,D5+15+2,IF(WEEKDAY(D5+15,2)=7,D5+15+1,D5+15)))</f>
        <v>44076</v>
      </c>
      <c r="E7" s="37">
        <f>WORKDAY(WORKDAY.INTL(E8,-1,11,'Jours Fériés'!E5:E30)-1,1,'Jours Fériés'!E5:E30)</f>
        <v>44077</v>
      </c>
      <c r="F7" s="37">
        <f>WORKDAY(WORKDAY.INTL(F8,-1,11,'Jours Fériés'!E5:E30)-1,1,'Jours Fériés'!E5:E30)</f>
        <v>44076</v>
      </c>
    </row>
    <row r="8" spans="1:7" ht="23.25" customHeight="1" x14ac:dyDescent="0.25">
      <c r="A8" s="50" t="s">
        <v>31</v>
      </c>
      <c r="B8" s="51"/>
      <c r="C8" s="34" t="s">
        <v>32</v>
      </c>
      <c r="D8" s="37">
        <f>WORKDAY(D7+1,0,'Jours Fériés'!E5:E30)</f>
        <v>44077</v>
      </c>
      <c r="E8" s="52">
        <f>WORKDAY(WORKDAY.INTL(E9,-3,11,'Jours Fériés'!E5:E30)-1,1,'Jours Fériés'!E5:E30)</f>
        <v>44078</v>
      </c>
      <c r="F8" s="39">
        <v>44077</v>
      </c>
    </row>
    <row r="9" spans="1:7" x14ac:dyDescent="0.25">
      <c r="A9" s="50" t="s">
        <v>41</v>
      </c>
      <c r="B9" s="51"/>
      <c r="C9" s="35" t="s">
        <v>43</v>
      </c>
      <c r="D9" s="37">
        <f>WORKDAY(WORKDAY.INTL(D8,3,11,'Jours Fériés'!E5:E30)-1,1,'Jours Fériés'!E5:E30)</f>
        <v>44081</v>
      </c>
      <c r="E9" s="52">
        <f>WORKDAY(WORKDAY.INTL(E10,-1,11,'Jours Fériés'!E5:E30)-1,1,'Jours Fériés'!E5:E30)</f>
        <v>44082</v>
      </c>
      <c r="F9" s="37">
        <f>WORKDAY(WORKDAY.INTL(F8,3,11,'Jours Fériés'!E5:E30)-1,1,'Jours Fériés'!E5:E30)</f>
        <v>44081</v>
      </c>
    </row>
    <row r="10" spans="1:7" ht="25.5" x14ac:dyDescent="0.25">
      <c r="A10" s="46" t="s">
        <v>33</v>
      </c>
      <c r="B10" s="47"/>
      <c r="C10" s="35" t="s">
        <v>42</v>
      </c>
      <c r="D10" s="37">
        <f>WORKDAY(WORKDAY.INTL(D9,1,11,'Jours Fériés'!E5:E30)-1,1,'Jours Fériés'!E5:E30)</f>
        <v>44082</v>
      </c>
      <c r="E10" s="52">
        <f>WORKDAY(WORKDAY.INTL(E11,-15,11,'Jours Fériés'!E5:E30)+1,1,'Jours Fériés'!E5:E30)</f>
        <v>44083</v>
      </c>
      <c r="F10" s="37">
        <f>WORKDAY(WORKDAY.INTL(F9,1,11,'Jours Fériés'!E5:E30)-1,1,'Jours Fériés'!E5:E30)</f>
        <v>44082</v>
      </c>
    </row>
    <row r="11" spans="1:7" ht="51" x14ac:dyDescent="0.25">
      <c r="A11" s="46" t="s">
        <v>34</v>
      </c>
      <c r="B11" s="47"/>
      <c r="C11" s="35" t="s">
        <v>35</v>
      </c>
      <c r="D11" s="37">
        <f>WORKDAY(WORKDAY.INTL(D9,15,11,'Jours Fériés'!E5:E30)-1,1,'Jours Fériés'!E5:E30)</f>
        <v>44098</v>
      </c>
      <c r="E11" s="37">
        <f>WORKDAY(WORKDAY.INTL(E12,-1,11,'Jours Fériés'!E5:E30)-1,1,'Jours Fériés'!E5:E30)</f>
        <v>44098</v>
      </c>
      <c r="F11" s="37">
        <f>WORKDAY(WORKDAY.INTL(F9,15,11,'Jours Fériés'!E5:E30)-1,1,'Jours Fériés'!E5:E30)</f>
        <v>44098</v>
      </c>
    </row>
    <row r="12" spans="1:7" ht="42.75" customHeight="1" x14ac:dyDescent="0.25">
      <c r="A12" s="46" t="s">
        <v>36</v>
      </c>
      <c r="B12" s="47"/>
      <c r="C12" s="35" t="s">
        <v>37</v>
      </c>
      <c r="D12" s="38">
        <f>WORKDAY(D11+1,0,'Jours Fériés'!E5:E30)</f>
        <v>44099</v>
      </c>
      <c r="E12" s="39">
        <v>44099</v>
      </c>
      <c r="F12" s="38">
        <f>WORKDAY(F11+1,0,'Jours Fériés'!E5:E30)</f>
        <v>44099</v>
      </c>
    </row>
  </sheetData>
  <sheetProtection selectLockedCells="1"/>
  <mergeCells count="11">
    <mergeCell ref="A1:D1"/>
    <mergeCell ref="A11:B11"/>
    <mergeCell ref="A12:B12"/>
    <mergeCell ref="A2:B2"/>
    <mergeCell ref="A7:B7"/>
    <mergeCell ref="A6:B6"/>
    <mergeCell ref="A3:B3"/>
    <mergeCell ref="A4:B4"/>
    <mergeCell ref="A8:B8"/>
    <mergeCell ref="A9:B9"/>
    <mergeCell ref="A10:B10"/>
  </mergeCells>
  <conditionalFormatting sqref="E6">
    <cfRule type="cellIs" dxfId="9" priority="7" operator="equal">
      <formula>$E$4</formula>
    </cfRule>
  </conditionalFormatting>
  <conditionalFormatting sqref="E5">
    <cfRule type="cellIs" dxfId="5" priority="5" operator="equal">
      <formula>$E$6</formula>
    </cfRule>
    <cfRule type="cellIs" dxfId="4" priority="2" operator="equal">
      <formula>$E$4</formula>
    </cfRule>
  </conditionalFormatting>
  <conditionalFormatting sqref="F5">
    <cfRule type="cellIs" dxfId="2" priority="4" operator="equal">
      <formula>$F$6+$F$4</formula>
    </cfRule>
    <cfRule type="cellIs" dxfId="1" priority="1" operator="equal">
      <formula>$F$4</formula>
    </cfRule>
  </conditionalFormatting>
  <conditionalFormatting sqref="D5">
    <cfRule type="cellIs" dxfId="8" priority="3" operator="equal">
      <formula>$D$4</formula>
    </cfRule>
  </conditionalFormatting>
  <pageMargins left="0.25" right="0.25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topLeftCell="A12" zoomScale="130" zoomScaleNormal="130" workbookViewId="0">
      <selection activeCell="E15" sqref="E15"/>
    </sheetView>
  </sheetViews>
  <sheetFormatPr baseColWidth="10" defaultRowHeight="12.75" x14ac:dyDescent="0.2"/>
  <cols>
    <col min="1" max="2" width="2" style="1" customWidth="1"/>
    <col min="3" max="3" width="10.5703125" style="1" bestFit="1" customWidth="1"/>
    <col min="4" max="4" width="14.28515625" style="1" customWidth="1"/>
    <col min="5" max="5" width="10.5703125" style="1" bestFit="1" customWidth="1"/>
    <col min="6" max="6" width="7.140625" style="1" bestFit="1" customWidth="1"/>
    <col min="7" max="7" width="7" style="1" bestFit="1" customWidth="1"/>
    <col min="8" max="8" width="4.85546875" style="1" hidden="1" customWidth="1"/>
    <col min="9" max="10" width="11.42578125" style="1" customWidth="1"/>
    <col min="11" max="11" width="11.42578125" style="1"/>
    <col min="12" max="12" width="15" style="1" customWidth="1"/>
    <col min="13" max="16384" width="11.42578125" style="1"/>
  </cols>
  <sheetData>
    <row r="2" spans="1:15" x14ac:dyDescent="0.2">
      <c r="C2" s="2">
        <f>YEAR(D2)</f>
        <v>2020</v>
      </c>
      <c r="D2" s="3">
        <v>44062</v>
      </c>
      <c r="K2" s="4">
        <f>C2+1</f>
        <v>2021</v>
      </c>
    </row>
    <row r="3" spans="1:15" x14ac:dyDescent="0.2">
      <c r="K3" s="5"/>
      <c r="L3" s="5"/>
      <c r="M3" s="5"/>
      <c r="N3" s="5"/>
      <c r="O3" s="5"/>
    </row>
    <row r="4" spans="1:15" x14ac:dyDescent="0.2">
      <c r="C4" s="6" t="s">
        <v>0</v>
      </c>
      <c r="D4" s="6" t="s">
        <v>1</v>
      </c>
      <c r="E4" s="6" t="s">
        <v>2</v>
      </c>
      <c r="F4" s="6" t="s">
        <v>3</v>
      </c>
      <c r="G4" s="6" t="s">
        <v>4</v>
      </c>
      <c r="K4" s="7"/>
      <c r="L4" s="7"/>
      <c r="M4" s="7"/>
      <c r="N4" s="7"/>
      <c r="O4" s="7"/>
    </row>
    <row r="5" spans="1:15" x14ac:dyDescent="0.2">
      <c r="A5" s="8">
        <f t="shared" ref="A5:A17" si="0">IF(C5="Samedi",0,1)</f>
        <v>1</v>
      </c>
      <c r="B5" s="8">
        <f t="shared" ref="B5:B30" si="1">IF(C5="Dimanche",0,1)</f>
        <v>1</v>
      </c>
      <c r="C5" s="9" t="str">
        <f>CHOOSE(WEEKDAY(E5),"Dimanche","Lundi","Mardi","Mercredi","Jeudi","Vendredi","Samedi")</f>
        <v>Mercredi</v>
      </c>
      <c r="D5" s="10" t="s">
        <v>5</v>
      </c>
      <c r="E5" s="11">
        <f>DATE($C$2,1,1)</f>
        <v>43831</v>
      </c>
      <c r="F5" s="12">
        <f>WEEKNUM(E5,21)</f>
        <v>1</v>
      </c>
      <c r="G5" s="12">
        <f>IF(A5+B5=2,1,0)</f>
        <v>1</v>
      </c>
      <c r="I5" s="8"/>
      <c r="J5" s="8"/>
      <c r="K5" s="13"/>
      <c r="L5" s="14"/>
      <c r="M5" s="15"/>
      <c r="N5" s="16"/>
      <c r="O5" s="16"/>
    </row>
    <row r="6" spans="1:15" x14ac:dyDescent="0.2">
      <c r="A6" s="8">
        <f t="shared" si="0"/>
        <v>1</v>
      </c>
      <c r="B6" s="8">
        <f t="shared" si="1"/>
        <v>0</v>
      </c>
      <c r="C6" s="9" t="str">
        <f>CHOOSE(WEEKDAY(E6),"Dimanche","Lundi","Mardi","Mercredi","Jeudi","Vendredi","Samedi")</f>
        <v>Dimanche</v>
      </c>
      <c r="D6" s="10" t="s">
        <v>6</v>
      </c>
      <c r="E6" s="11">
        <f>FLOOR(DAY(MINUTE($C$2/38)/2+56)&amp;"/5/"&amp;$C$2,7)-34</f>
        <v>43933</v>
      </c>
      <c r="F6" s="12">
        <f t="shared" ref="F6:F17" si="2">WEEKNUM(E6,21)</f>
        <v>15</v>
      </c>
      <c r="G6" s="12">
        <f t="shared" ref="G6:G17" si="3">IF(A6+B6=2,1,0)</f>
        <v>0</v>
      </c>
      <c r="I6" s="8"/>
      <c r="J6" s="8"/>
      <c r="K6" s="13"/>
      <c r="L6" s="14"/>
      <c r="M6" s="15"/>
      <c r="N6" s="16"/>
      <c r="O6" s="16"/>
    </row>
    <row r="7" spans="1:15" x14ac:dyDescent="0.2">
      <c r="A7" s="8">
        <f t="shared" si="0"/>
        <v>1</v>
      </c>
      <c r="B7" s="8">
        <f t="shared" si="1"/>
        <v>1</v>
      </c>
      <c r="C7" s="9" t="str">
        <f>CHOOSE(WEEKDAY(E7),"Dimanche","Lundi","Mardi","Mercredi","Jeudi","Vend
 redi","Samedi")</f>
        <v>Lundi</v>
      </c>
      <c r="D7" s="10" t="s">
        <v>7</v>
      </c>
      <c r="E7" s="11">
        <f>E6 + 1</f>
        <v>43934</v>
      </c>
      <c r="F7" s="12">
        <f t="shared" si="2"/>
        <v>16</v>
      </c>
      <c r="G7" s="12">
        <f t="shared" si="3"/>
        <v>1</v>
      </c>
      <c r="I7" s="8"/>
      <c r="J7" s="8"/>
      <c r="K7" s="13"/>
      <c r="L7" s="14"/>
      <c r="M7" s="15"/>
      <c r="N7" s="16"/>
      <c r="O7" s="16"/>
    </row>
    <row r="8" spans="1:15" x14ac:dyDescent="0.2">
      <c r="A8" s="8">
        <f t="shared" si="0"/>
        <v>1</v>
      </c>
      <c r="B8" s="8">
        <f t="shared" si="1"/>
        <v>1</v>
      </c>
      <c r="C8" s="9" t="str">
        <f>CHOOSE(WEEKDAY(E8),"Dimanche","Lundi","Mardi","Mercredi","Jeudi","Vend
 redi","Samedi")</f>
        <v>Vend
 redi</v>
      </c>
      <c r="D8" s="10" t="s">
        <v>8</v>
      </c>
      <c r="E8" s="11">
        <f>DATE($C$2,5,1)</f>
        <v>43952</v>
      </c>
      <c r="F8" s="12">
        <f t="shared" si="2"/>
        <v>18</v>
      </c>
      <c r="G8" s="12">
        <f t="shared" si="3"/>
        <v>1</v>
      </c>
      <c r="I8" s="8"/>
      <c r="J8" s="8"/>
      <c r="K8" s="13"/>
      <c r="L8" s="14"/>
      <c r="M8" s="15"/>
      <c r="N8" s="16"/>
      <c r="O8" s="16"/>
    </row>
    <row r="9" spans="1:15" x14ac:dyDescent="0.2">
      <c r="A9" s="8">
        <f t="shared" si="0"/>
        <v>1</v>
      </c>
      <c r="B9" s="8">
        <f t="shared" si="1"/>
        <v>1</v>
      </c>
      <c r="C9" s="9" t="str">
        <f t="shared" ref="C9:C17" si="4">CHOOSE(WEEKDAY(E9),"Dimanche","Lundi","Mardi","Mercredi","Jeudi","Vendredi","Samedi")</f>
        <v>Vendredi</v>
      </c>
      <c r="D9" s="17" t="s">
        <v>9</v>
      </c>
      <c r="E9" s="11">
        <f>DATE($C$2,5,8)</f>
        <v>43959</v>
      </c>
      <c r="F9" s="12">
        <f t="shared" si="2"/>
        <v>19</v>
      </c>
      <c r="G9" s="12">
        <f t="shared" si="3"/>
        <v>1</v>
      </c>
      <c r="I9" s="8"/>
      <c r="J9" s="8"/>
      <c r="K9" s="13"/>
      <c r="L9" s="18"/>
      <c r="M9" s="15"/>
      <c r="N9" s="16"/>
      <c r="O9" s="16"/>
    </row>
    <row r="10" spans="1:15" x14ac:dyDescent="0.2">
      <c r="A10" s="8">
        <f t="shared" si="0"/>
        <v>1</v>
      </c>
      <c r="B10" s="8">
        <f t="shared" si="1"/>
        <v>1</v>
      </c>
      <c r="C10" s="9" t="str">
        <f t="shared" si="4"/>
        <v>Jeudi</v>
      </c>
      <c r="D10" s="19" t="s">
        <v>10</v>
      </c>
      <c r="E10" s="11">
        <f>E6 + 39</f>
        <v>43972</v>
      </c>
      <c r="F10" s="12">
        <f t="shared" si="2"/>
        <v>21</v>
      </c>
      <c r="G10" s="12">
        <f t="shared" si="3"/>
        <v>1</v>
      </c>
      <c r="I10" s="8"/>
      <c r="J10" s="8"/>
      <c r="K10" s="13"/>
      <c r="L10" s="14"/>
      <c r="M10" s="15"/>
      <c r="N10" s="16"/>
      <c r="O10" s="16"/>
    </row>
    <row r="11" spans="1:15" x14ac:dyDescent="0.2">
      <c r="A11" s="8">
        <f t="shared" si="0"/>
        <v>1</v>
      </c>
      <c r="B11" s="8">
        <f t="shared" si="1"/>
        <v>0</v>
      </c>
      <c r="C11" s="9" t="str">
        <f t="shared" si="4"/>
        <v>Dimanche</v>
      </c>
      <c r="D11" s="19" t="s">
        <v>11</v>
      </c>
      <c r="E11" s="11">
        <f>E6 + 49</f>
        <v>43982</v>
      </c>
      <c r="F11" s="12">
        <f t="shared" si="2"/>
        <v>22</v>
      </c>
      <c r="G11" s="12">
        <f t="shared" si="3"/>
        <v>0</v>
      </c>
      <c r="I11" s="8"/>
      <c r="J11" s="8"/>
      <c r="K11" s="13"/>
      <c r="L11" s="14"/>
      <c r="M11" s="15"/>
      <c r="N11" s="16"/>
      <c r="O11" s="16"/>
    </row>
    <row r="12" spans="1:15" x14ac:dyDescent="0.2">
      <c r="A12" s="8">
        <f t="shared" si="0"/>
        <v>1</v>
      </c>
      <c r="B12" s="8">
        <f t="shared" si="1"/>
        <v>1</v>
      </c>
      <c r="C12" s="9" t="str">
        <f t="shared" si="4"/>
        <v>Lundi</v>
      </c>
      <c r="D12" s="17" t="s">
        <v>12</v>
      </c>
      <c r="E12" s="11">
        <f>E6 + 50</f>
        <v>43983</v>
      </c>
      <c r="F12" s="12">
        <f t="shared" si="2"/>
        <v>23</v>
      </c>
      <c r="G12" s="12">
        <f t="shared" si="3"/>
        <v>1</v>
      </c>
      <c r="I12" s="8"/>
      <c r="J12" s="8"/>
      <c r="K12" s="13"/>
      <c r="L12" s="18"/>
      <c r="M12" s="15"/>
      <c r="N12" s="16"/>
      <c r="O12" s="16"/>
    </row>
    <row r="13" spans="1:15" x14ac:dyDescent="0.2">
      <c r="A13" s="8">
        <f t="shared" si="0"/>
        <v>1</v>
      </c>
      <c r="B13" s="8">
        <f t="shared" si="1"/>
        <v>1</v>
      </c>
      <c r="C13" s="9" t="str">
        <f t="shared" si="4"/>
        <v>Mardi</v>
      </c>
      <c r="D13" s="17" t="s">
        <v>13</v>
      </c>
      <c r="E13" s="11">
        <f>DATE($C$2,7,14)</f>
        <v>44026</v>
      </c>
      <c r="F13" s="12">
        <f t="shared" si="2"/>
        <v>29</v>
      </c>
      <c r="G13" s="12">
        <f t="shared" si="3"/>
        <v>1</v>
      </c>
      <c r="I13" s="8"/>
      <c r="J13" s="8"/>
      <c r="K13" s="13"/>
      <c r="L13" s="18"/>
      <c r="M13" s="15"/>
      <c r="N13" s="16"/>
      <c r="O13" s="16"/>
    </row>
    <row r="14" spans="1:15" x14ac:dyDescent="0.2">
      <c r="A14" s="8">
        <f t="shared" si="0"/>
        <v>0</v>
      </c>
      <c r="B14" s="8">
        <f t="shared" si="1"/>
        <v>1</v>
      </c>
      <c r="C14" s="9" t="str">
        <f t="shared" si="4"/>
        <v>Samedi</v>
      </c>
      <c r="D14" s="19" t="s">
        <v>14</v>
      </c>
      <c r="E14" s="11">
        <f>DATE($C$2,8,15)</f>
        <v>44058</v>
      </c>
      <c r="F14" s="12">
        <f t="shared" si="2"/>
        <v>33</v>
      </c>
      <c r="G14" s="12">
        <f t="shared" si="3"/>
        <v>0</v>
      </c>
      <c r="I14" s="8"/>
      <c r="J14" s="8"/>
      <c r="K14" s="13"/>
      <c r="L14" s="14"/>
      <c r="M14" s="15"/>
      <c r="N14" s="16"/>
      <c r="O14" s="16"/>
    </row>
    <row r="15" spans="1:15" x14ac:dyDescent="0.2">
      <c r="A15" s="8">
        <f t="shared" si="0"/>
        <v>1</v>
      </c>
      <c r="B15" s="8">
        <f t="shared" si="1"/>
        <v>0</v>
      </c>
      <c r="C15" s="9" t="str">
        <f t="shared" si="4"/>
        <v>Dimanche</v>
      </c>
      <c r="D15" s="19" t="s">
        <v>15</v>
      </c>
      <c r="E15" s="11">
        <f>DATE($C$2,11,1)</f>
        <v>44136</v>
      </c>
      <c r="F15" s="12">
        <f t="shared" si="2"/>
        <v>44</v>
      </c>
      <c r="G15" s="12">
        <f t="shared" si="3"/>
        <v>0</v>
      </c>
      <c r="I15" s="8"/>
      <c r="J15" s="8"/>
      <c r="K15" s="13"/>
      <c r="L15" s="14"/>
      <c r="M15" s="15"/>
      <c r="N15" s="16"/>
      <c r="O15" s="16"/>
    </row>
    <row r="16" spans="1:15" x14ac:dyDescent="0.2">
      <c r="A16" s="8">
        <f t="shared" si="0"/>
        <v>1</v>
      </c>
      <c r="B16" s="8">
        <f t="shared" si="1"/>
        <v>1</v>
      </c>
      <c r="C16" s="9" t="str">
        <f t="shared" si="4"/>
        <v>Mercredi</v>
      </c>
      <c r="D16" s="20" t="s">
        <v>16</v>
      </c>
      <c r="E16" s="11">
        <f>DATE($C$2,11,11)</f>
        <v>44146</v>
      </c>
      <c r="F16" s="12">
        <f t="shared" si="2"/>
        <v>46</v>
      </c>
      <c r="G16" s="12">
        <f t="shared" si="3"/>
        <v>1</v>
      </c>
      <c r="I16" s="8"/>
      <c r="J16" s="8"/>
      <c r="K16" s="13"/>
      <c r="L16" s="18"/>
      <c r="M16" s="15"/>
      <c r="N16" s="16"/>
      <c r="O16" s="16"/>
    </row>
    <row r="17" spans="1:15" x14ac:dyDescent="0.2">
      <c r="A17" s="8">
        <f t="shared" si="0"/>
        <v>1</v>
      </c>
      <c r="B17" s="8">
        <f t="shared" si="1"/>
        <v>1</v>
      </c>
      <c r="C17" s="21" t="str">
        <f t="shared" si="4"/>
        <v>Vendredi</v>
      </c>
      <c r="D17" s="10" t="s">
        <v>17</v>
      </c>
      <c r="E17" s="22">
        <f>DATE($C$2,12,25)</f>
        <v>44190</v>
      </c>
      <c r="F17" s="12">
        <f t="shared" si="2"/>
        <v>52</v>
      </c>
      <c r="G17" s="12">
        <f t="shared" si="3"/>
        <v>1</v>
      </c>
      <c r="I17" s="8" t="s">
        <v>18</v>
      </c>
      <c r="J17" s="8">
        <f>SUM(G5:G17)</f>
        <v>9</v>
      </c>
      <c r="K17" s="13"/>
      <c r="L17" s="14"/>
      <c r="M17" s="15"/>
      <c r="N17" s="16"/>
      <c r="O17" s="16"/>
    </row>
    <row r="18" spans="1:15" x14ac:dyDescent="0.2">
      <c r="A18" s="8">
        <f>IF(C18="Samedi",0,1)</f>
        <v>1</v>
      </c>
      <c r="B18" s="8">
        <f t="shared" si="1"/>
        <v>1</v>
      </c>
      <c r="C18" s="9" t="str">
        <f>CHOOSE(WEEKDAY(E18),"Dimanche","Lundi","Mardi","Mercredi","Jeudi","Vendredi","Samedi")</f>
        <v>Vendredi</v>
      </c>
      <c r="D18" s="10" t="s">
        <v>5</v>
      </c>
      <c r="E18" s="11">
        <f>DATE(C2+1,1,1)</f>
        <v>44197</v>
      </c>
      <c r="F18" s="12">
        <f>WEEKNUM(E18,21)</f>
        <v>53</v>
      </c>
      <c r="G18" s="12">
        <f>IF(A18+B18=2,1,0)</f>
        <v>1</v>
      </c>
      <c r="I18" s="8"/>
      <c r="J18" s="8"/>
      <c r="K18" s="13"/>
      <c r="L18" s="14"/>
      <c r="M18" s="15"/>
      <c r="N18" s="16"/>
      <c r="O18" s="16"/>
    </row>
    <row r="19" spans="1:15" x14ac:dyDescent="0.2">
      <c r="A19" s="8">
        <f t="shared" ref="A19:A30" si="5">IF(C19="Samedi",0,1)</f>
        <v>1</v>
      </c>
      <c r="B19" s="8">
        <f t="shared" si="1"/>
        <v>0</v>
      </c>
      <c r="C19" s="9" t="str">
        <f>CHOOSE(WEEKDAY(E19),"Dimanche","Lundi","Mardi","Mercredi","Jeudi","Vendredi","Samedi")</f>
        <v>Dimanche</v>
      </c>
      <c r="D19" s="10" t="s">
        <v>6</v>
      </c>
      <c r="E19" s="11">
        <f>FLOOR(DAY(MINUTE($K$2/38)/2+56)&amp;"/5/"&amp;$K$2,7)-34</f>
        <v>44290</v>
      </c>
      <c r="F19" s="12">
        <f>WEEKNUM(E19,21)</f>
        <v>13</v>
      </c>
      <c r="G19" s="12">
        <f t="shared" ref="G19:G30" si="6">IF(A19+B19=2,1,0)</f>
        <v>0</v>
      </c>
      <c r="I19" s="8"/>
      <c r="J19" s="8"/>
      <c r="K19" s="13"/>
      <c r="L19" s="14"/>
      <c r="M19" s="15"/>
      <c r="N19" s="16"/>
      <c r="O19" s="16"/>
    </row>
    <row r="20" spans="1:15" x14ac:dyDescent="0.2">
      <c r="A20" s="8">
        <f t="shared" si="5"/>
        <v>1</v>
      </c>
      <c r="B20" s="8">
        <f t="shared" si="1"/>
        <v>1</v>
      </c>
      <c r="C20" s="9" t="str">
        <f>CHOOSE(WEEKDAY(E20),"Dimanche","Lundi","Mardi","Mercredi","Jeudi","Vend
 redi","Samedi")</f>
        <v>Lundi</v>
      </c>
      <c r="D20" s="10" t="s">
        <v>7</v>
      </c>
      <c r="E20" s="11">
        <f>E19 + 1</f>
        <v>44291</v>
      </c>
      <c r="F20" s="12">
        <f t="shared" ref="F20:F30" si="7">WEEKNUM(E20,21)</f>
        <v>14</v>
      </c>
      <c r="G20" s="12">
        <f t="shared" si="6"/>
        <v>1</v>
      </c>
      <c r="I20" s="8"/>
      <c r="J20" s="8"/>
      <c r="K20" s="13"/>
      <c r="L20" s="14"/>
      <c r="M20" s="15"/>
      <c r="N20" s="16"/>
      <c r="O20" s="16"/>
    </row>
    <row r="21" spans="1:15" x14ac:dyDescent="0.2">
      <c r="A21" s="8">
        <f t="shared" si="5"/>
        <v>0</v>
      </c>
      <c r="B21" s="8">
        <f t="shared" si="1"/>
        <v>1</v>
      </c>
      <c r="C21" s="9" t="str">
        <f>CHOOSE(WEEKDAY(E21),"Dimanche","Lundi","Mardi","Mercredi","Jeudi","Vend
 redi","Samedi")</f>
        <v>Samedi</v>
      </c>
      <c r="D21" s="10" t="s">
        <v>8</v>
      </c>
      <c r="E21" s="11">
        <f>DATE($K$2,5,1)</f>
        <v>44317</v>
      </c>
      <c r="F21" s="12">
        <f t="shared" si="7"/>
        <v>17</v>
      </c>
      <c r="G21" s="12">
        <f t="shared" si="6"/>
        <v>0</v>
      </c>
      <c r="I21" s="8"/>
      <c r="J21" s="8"/>
      <c r="K21" s="13"/>
      <c r="L21" s="14"/>
      <c r="M21" s="15"/>
      <c r="N21" s="16"/>
      <c r="O21" s="16"/>
    </row>
    <row r="22" spans="1:15" x14ac:dyDescent="0.2">
      <c r="A22" s="8">
        <f t="shared" si="5"/>
        <v>0</v>
      </c>
      <c r="B22" s="8">
        <f t="shared" si="1"/>
        <v>1</v>
      </c>
      <c r="C22" s="9" t="str">
        <f t="shared" ref="C22:C30" si="8">CHOOSE(WEEKDAY(E22),"Dimanche","Lundi","Mardi","Mercredi","Jeudi","Vendredi","Samedi")</f>
        <v>Samedi</v>
      </c>
      <c r="D22" s="17" t="s">
        <v>9</v>
      </c>
      <c r="E22" s="11">
        <f>DATE($K$2,5,8)</f>
        <v>44324</v>
      </c>
      <c r="F22" s="12">
        <f t="shared" si="7"/>
        <v>18</v>
      </c>
      <c r="G22" s="12">
        <f t="shared" si="6"/>
        <v>0</v>
      </c>
      <c r="I22" s="8"/>
      <c r="J22" s="8"/>
      <c r="K22" s="13"/>
      <c r="L22" s="14"/>
      <c r="M22" s="15"/>
      <c r="N22" s="16"/>
      <c r="O22" s="16"/>
    </row>
    <row r="23" spans="1:15" x14ac:dyDescent="0.2">
      <c r="A23" s="8">
        <f t="shared" si="5"/>
        <v>1</v>
      </c>
      <c r="B23" s="8">
        <f t="shared" si="1"/>
        <v>1</v>
      </c>
      <c r="C23" s="9" t="str">
        <f t="shared" si="8"/>
        <v>Jeudi</v>
      </c>
      <c r="D23" s="19" t="s">
        <v>10</v>
      </c>
      <c r="E23" s="11">
        <f>E19 + 39</f>
        <v>44329</v>
      </c>
      <c r="F23" s="12">
        <f t="shared" si="7"/>
        <v>19</v>
      </c>
      <c r="G23" s="12">
        <f t="shared" si="6"/>
        <v>1</v>
      </c>
      <c r="I23" s="8"/>
      <c r="J23" s="8"/>
      <c r="K23" s="13"/>
      <c r="L23" s="14"/>
      <c r="M23" s="15"/>
      <c r="N23" s="16"/>
      <c r="O23" s="16"/>
    </row>
    <row r="24" spans="1:15" x14ac:dyDescent="0.2">
      <c r="A24" s="8">
        <f t="shared" si="5"/>
        <v>1</v>
      </c>
      <c r="B24" s="8">
        <f t="shared" si="1"/>
        <v>0</v>
      </c>
      <c r="C24" s="9" t="str">
        <f t="shared" si="8"/>
        <v>Dimanche</v>
      </c>
      <c r="D24" s="19" t="s">
        <v>11</v>
      </c>
      <c r="E24" s="11">
        <f>E19 + 49</f>
        <v>44339</v>
      </c>
      <c r="F24" s="12">
        <f t="shared" si="7"/>
        <v>20</v>
      </c>
      <c r="G24" s="12">
        <f t="shared" si="6"/>
        <v>0</v>
      </c>
      <c r="I24" s="8"/>
      <c r="J24" s="8"/>
      <c r="K24" s="13"/>
      <c r="L24" s="14"/>
      <c r="M24" s="15"/>
      <c r="N24" s="16"/>
      <c r="O24" s="16"/>
    </row>
    <row r="25" spans="1:15" x14ac:dyDescent="0.2">
      <c r="A25" s="8">
        <f t="shared" si="5"/>
        <v>1</v>
      </c>
      <c r="B25" s="8">
        <f t="shared" si="1"/>
        <v>1</v>
      </c>
      <c r="C25" s="9" t="str">
        <f t="shared" si="8"/>
        <v>Lundi</v>
      </c>
      <c r="D25" s="17" t="s">
        <v>12</v>
      </c>
      <c r="E25" s="11">
        <f>E19 + 50</f>
        <v>44340</v>
      </c>
      <c r="F25" s="12">
        <f t="shared" si="7"/>
        <v>21</v>
      </c>
      <c r="G25" s="12">
        <f t="shared" si="6"/>
        <v>1</v>
      </c>
      <c r="I25" s="8"/>
      <c r="J25" s="8"/>
      <c r="K25" s="13"/>
      <c r="L25" s="14"/>
      <c r="M25" s="15"/>
      <c r="N25" s="16"/>
      <c r="O25" s="16"/>
    </row>
    <row r="26" spans="1:15" x14ac:dyDescent="0.2">
      <c r="A26" s="8">
        <f t="shared" si="5"/>
        <v>1</v>
      </c>
      <c r="B26" s="8">
        <f t="shared" si="1"/>
        <v>1</v>
      </c>
      <c r="C26" s="9" t="str">
        <f t="shared" si="8"/>
        <v>Mercredi</v>
      </c>
      <c r="D26" s="17" t="s">
        <v>13</v>
      </c>
      <c r="E26" s="11">
        <f>DATE($K$2,7,14)</f>
        <v>44391</v>
      </c>
      <c r="F26" s="12">
        <f t="shared" si="7"/>
        <v>28</v>
      </c>
      <c r="G26" s="12">
        <f t="shared" si="6"/>
        <v>1</v>
      </c>
      <c r="I26" s="8"/>
      <c r="J26" s="8"/>
      <c r="K26" s="13"/>
      <c r="L26" s="14"/>
      <c r="M26" s="15"/>
      <c r="N26" s="16"/>
      <c r="O26" s="16"/>
    </row>
    <row r="27" spans="1:15" x14ac:dyDescent="0.2">
      <c r="A27" s="8">
        <f t="shared" si="5"/>
        <v>1</v>
      </c>
      <c r="B27" s="8">
        <f t="shared" si="1"/>
        <v>0</v>
      </c>
      <c r="C27" s="9" t="str">
        <f t="shared" si="8"/>
        <v>Dimanche</v>
      </c>
      <c r="D27" s="19" t="s">
        <v>14</v>
      </c>
      <c r="E27" s="11">
        <f>DATE($K$2,8,15)</f>
        <v>44423</v>
      </c>
      <c r="F27" s="12">
        <f t="shared" si="7"/>
        <v>32</v>
      </c>
      <c r="G27" s="12">
        <f t="shared" si="6"/>
        <v>0</v>
      </c>
      <c r="I27" s="8"/>
      <c r="J27" s="8"/>
      <c r="K27" s="13"/>
      <c r="L27" s="14"/>
      <c r="M27" s="15"/>
      <c r="N27" s="16"/>
      <c r="O27" s="16"/>
    </row>
    <row r="28" spans="1:15" x14ac:dyDescent="0.2">
      <c r="A28" s="8">
        <f t="shared" si="5"/>
        <v>1</v>
      </c>
      <c r="B28" s="8">
        <f t="shared" si="1"/>
        <v>1</v>
      </c>
      <c r="C28" s="9" t="str">
        <f t="shared" si="8"/>
        <v>Lundi</v>
      </c>
      <c r="D28" s="19" t="s">
        <v>15</v>
      </c>
      <c r="E28" s="11">
        <f>DATE($K$2,11,1)</f>
        <v>44501</v>
      </c>
      <c r="F28" s="12">
        <f t="shared" si="7"/>
        <v>44</v>
      </c>
      <c r="G28" s="12">
        <f t="shared" si="6"/>
        <v>1</v>
      </c>
      <c r="I28" s="8"/>
      <c r="J28" s="8"/>
      <c r="K28" s="13"/>
      <c r="L28" s="14"/>
      <c r="M28" s="15"/>
      <c r="N28" s="16"/>
      <c r="O28" s="16"/>
    </row>
    <row r="29" spans="1:15" x14ac:dyDescent="0.2">
      <c r="A29" s="8">
        <f t="shared" si="5"/>
        <v>1</v>
      </c>
      <c r="B29" s="8">
        <f t="shared" si="1"/>
        <v>1</v>
      </c>
      <c r="C29" s="9" t="str">
        <f t="shared" si="8"/>
        <v>Jeudi</v>
      </c>
      <c r="D29" s="20" t="s">
        <v>16</v>
      </c>
      <c r="E29" s="11">
        <f>DATE($K$2,11,11)</f>
        <v>44511</v>
      </c>
      <c r="F29" s="12">
        <f t="shared" si="7"/>
        <v>45</v>
      </c>
      <c r="G29" s="12">
        <f t="shared" si="6"/>
        <v>1</v>
      </c>
      <c r="I29" s="8"/>
      <c r="J29" s="8"/>
      <c r="K29" s="13"/>
      <c r="L29" s="14"/>
      <c r="M29" s="15"/>
      <c r="N29" s="16"/>
      <c r="O29" s="16"/>
    </row>
    <row r="30" spans="1:15" x14ac:dyDescent="0.2">
      <c r="A30" s="8">
        <f t="shared" si="5"/>
        <v>0</v>
      </c>
      <c r="B30" s="8">
        <f t="shared" si="1"/>
        <v>1</v>
      </c>
      <c r="C30" s="21" t="str">
        <f t="shared" si="8"/>
        <v>Samedi</v>
      </c>
      <c r="D30" s="10" t="s">
        <v>17</v>
      </c>
      <c r="E30" s="22">
        <f>DATE($K$2,12,25)</f>
        <v>44555</v>
      </c>
      <c r="F30" s="12">
        <f t="shared" si="7"/>
        <v>51</v>
      </c>
      <c r="G30" s="12">
        <f t="shared" si="6"/>
        <v>0</v>
      </c>
      <c r="I30" s="8" t="s">
        <v>19</v>
      </c>
      <c r="J30" s="8">
        <f>SUM(G18:G30)</f>
        <v>7</v>
      </c>
      <c r="K30" s="13"/>
      <c r="L30" s="14"/>
      <c r="M30" s="15"/>
      <c r="N30" s="16"/>
      <c r="O30" s="16"/>
    </row>
    <row r="31" spans="1:15" x14ac:dyDescent="0.2">
      <c r="A31" s="8"/>
      <c r="B31" s="8"/>
      <c r="C31" s="13"/>
      <c r="D31" s="14"/>
      <c r="E31" s="15"/>
      <c r="F31" s="16"/>
      <c r="G31" s="16"/>
      <c r="I31" s="8"/>
      <c r="J31" s="8"/>
      <c r="K31" s="13"/>
      <c r="L31" s="14"/>
      <c r="M31" s="15"/>
      <c r="N31" s="16"/>
      <c r="O31" s="16"/>
    </row>
    <row r="32" spans="1:15" x14ac:dyDescent="0.2">
      <c r="A32" s="8"/>
      <c r="B32" s="8"/>
      <c r="C32" s="13"/>
      <c r="D32" s="14"/>
      <c r="E32" s="15"/>
      <c r="F32" s="16"/>
      <c r="G32" s="16"/>
      <c r="I32" s="8"/>
      <c r="J32" s="8"/>
      <c r="K32" s="13"/>
      <c r="L32" s="14"/>
      <c r="M32" s="15"/>
      <c r="N32" s="16"/>
      <c r="O32" s="16"/>
    </row>
    <row r="33" spans="1:15" x14ac:dyDescent="0.2">
      <c r="A33" s="8"/>
      <c r="B33" s="8"/>
      <c r="C33" s="13"/>
      <c r="D33" s="14"/>
      <c r="E33" s="15"/>
      <c r="F33" s="16"/>
      <c r="G33" s="16"/>
      <c r="I33" s="23"/>
      <c r="J33" s="23"/>
      <c r="K33" s="23"/>
      <c r="L33" s="24"/>
      <c r="M33" s="25"/>
      <c r="N33" s="26"/>
      <c r="O33" s="26"/>
    </row>
    <row r="34" spans="1:15" x14ac:dyDescent="0.2">
      <c r="A34" s="8"/>
      <c r="B34" s="8"/>
      <c r="C34" s="13"/>
      <c r="D34" s="24"/>
      <c r="E34" s="25"/>
      <c r="F34" s="26"/>
      <c r="G34" s="26"/>
      <c r="H34" s="27"/>
      <c r="I34" s="27"/>
      <c r="J34" s="28"/>
      <c r="K34" s="23"/>
      <c r="L34" s="24"/>
      <c r="M34" s="25"/>
      <c r="N34" s="26"/>
      <c r="O34" s="26"/>
    </row>
    <row r="35" spans="1:15" x14ac:dyDescent="0.2">
      <c r="A35" s="16"/>
      <c r="B35" s="16"/>
      <c r="C35" s="29"/>
      <c r="D35" s="30"/>
      <c r="E35" s="26"/>
      <c r="F35" s="26"/>
      <c r="G35" s="31"/>
      <c r="H35" s="27"/>
      <c r="I35" s="27"/>
      <c r="J35" s="28"/>
      <c r="K35" s="26"/>
      <c r="L35" s="30"/>
      <c r="M35" s="26"/>
      <c r="N35" s="26"/>
      <c r="O35" s="31"/>
    </row>
    <row r="36" spans="1:15" x14ac:dyDescent="0.2">
      <c r="A36" s="13"/>
      <c r="B36" s="13"/>
      <c r="C36" s="29"/>
      <c r="D36" s="26"/>
      <c r="E36" s="26"/>
      <c r="F36" s="26"/>
      <c r="G36" s="26"/>
      <c r="H36" s="27"/>
      <c r="I36" s="27"/>
      <c r="J36" s="28"/>
      <c r="K36" s="28"/>
      <c r="L36" s="28"/>
      <c r="M36" s="28"/>
      <c r="N36" s="28"/>
      <c r="O36" s="28"/>
    </row>
    <row r="37" spans="1:15" x14ac:dyDescent="0.2">
      <c r="A37" s="32"/>
      <c r="B37" s="23"/>
      <c r="C37" s="29"/>
      <c r="D37" s="29"/>
      <c r="E37" s="29"/>
      <c r="F37" s="29"/>
      <c r="G37" s="29"/>
    </row>
    <row r="38" spans="1:15" x14ac:dyDescent="0.2">
      <c r="A38" s="33"/>
      <c r="B38" s="33"/>
      <c r="C38" s="33"/>
      <c r="D38" s="33"/>
      <c r="E38" s="33"/>
      <c r="F38" s="33"/>
      <c r="G38" s="33"/>
    </row>
  </sheetData>
  <conditionalFormatting sqref="G5:G17 G31:G34 O5:O34">
    <cfRule type="cellIs" dxfId="7" priority="2" operator="greaterThan">
      <formula>0</formula>
    </cfRule>
  </conditionalFormatting>
  <conditionalFormatting sqref="G18:G30">
    <cfRule type="cellIs" dxfId="6" priority="1" operator="greaterThan">
      <formula>0</formula>
    </cfRule>
  </conditionalFormatting>
  <dataValidations count="1">
    <dataValidation type="date" allowBlank="1" showInputMessage="1" showErrorMessage="1" sqref="E5:E30">
      <formula1>E5</formula1>
      <formula2>E30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RC81</vt:lpstr>
      <vt:lpstr>Jours Fériés</vt:lpstr>
    </vt:vector>
  </TitlesOfParts>
  <Company>GTI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MAURY</dc:creator>
  <cp:lastModifiedBy>Jérôme MAURY</cp:lastModifiedBy>
  <cp:lastPrinted>2020-08-27T06:27:39Z</cp:lastPrinted>
  <dcterms:created xsi:type="dcterms:W3CDTF">2020-08-26T12:27:50Z</dcterms:created>
  <dcterms:modified xsi:type="dcterms:W3CDTF">2020-08-28T12:55:27Z</dcterms:modified>
</cp:coreProperties>
</file>