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90" windowWidth="10515" windowHeight="8250" tabRatio="920" activeTab="6"/>
  </bookViews>
  <sheets>
    <sheet name="SERVICE1-List" sheetId="49" r:id="rId1"/>
    <sheet name="SERVICE2-List" sheetId="50" r:id="rId2"/>
    <sheet name="REGE1-SYNT" sheetId="62" r:id="rId3"/>
    <sheet name="REGE2-SYNT" sheetId="61" r:id="rId4"/>
    <sheet name="REGE1-Repas" sheetId="56" r:id="rId5"/>
    <sheet name="REGE2-Repas" sheetId="55" r:id="rId6"/>
    <sheet name="BDD" sheetId="52" r:id="rId7"/>
  </sheets>
  <definedNames>
    <definedName name="DESSERT">BDD!$N$4:$N$7</definedName>
    <definedName name="HTML_CodePage" hidden="1">1252</definedName>
    <definedName name="HTML_Control" hidden="1">{"'Feuil1'!$A$1:$F$53"}</definedName>
    <definedName name="HTML_Description" hidden="1">""</definedName>
    <definedName name="HTML_Email" hidden="1">""</definedName>
    <definedName name="HTML_Header" hidden="1">"Calories"</definedName>
    <definedName name="HTML_LastUpdate" hidden="1">"25/05/2000"</definedName>
    <definedName name="HTML_LineAfter" hidden="1">FALSE</definedName>
    <definedName name="HTML_LineBefore" hidden="1">FALSE</definedName>
    <definedName name="HTML_Name" hidden="1">"cohen"</definedName>
    <definedName name="HTML_OBDlg2" hidden="1">TRUE</definedName>
    <definedName name="HTML_OBDlg4" hidden="1">TRUE</definedName>
    <definedName name="HTML_OS" hidden="1">0</definedName>
    <definedName name="HTML_PathFile" hidden="1">"D:\med19\MonHTML.htm"</definedName>
    <definedName name="HTML_Title" hidden="1">"Calories"</definedName>
    <definedName name="Pain_mie">BDD!#REF!</definedName>
    <definedName name="Régime" localSheetId="2">'REGE1-SYNT'!#REF!</definedName>
    <definedName name="Régime">'SERVICE1-List'!$C$60:$C$107</definedName>
    <definedName name="_xlnm.Print_Area" localSheetId="2">'REGE1-SYNT'!$A$1:$Q$51</definedName>
    <definedName name="_xlnm.Print_Area" localSheetId="3">'REGE2-SYNT'!$A$1:$Q$51</definedName>
    <definedName name="_xlnm.Print_Area" localSheetId="0">'SERVICE1-List'!$A$1:$U$51</definedName>
    <definedName name="_xlnm.Print_Area" localSheetId="1">'SERVICE2-List'!$A$1:$U$51</definedName>
  </definedNames>
  <calcPr calcId="125725"/>
</workbook>
</file>

<file path=xl/calcChain.xml><?xml version="1.0" encoding="utf-8"?>
<calcChain xmlns="http://schemas.openxmlformats.org/spreadsheetml/2006/main">
  <c r="C33" i="56"/>
  <c r="C33" i="55"/>
  <c r="F46"/>
  <c r="B46"/>
  <c r="F46" i="56"/>
  <c r="L2" i="49"/>
  <c r="B46" i="56"/>
  <c r="C2" i="49"/>
  <c r="S29" i="56"/>
  <c r="S29" i="55"/>
  <c r="S6"/>
  <c r="S6" i="56"/>
  <c r="P33" a="1"/>
  <c r="P33" s="1"/>
  <c r="Q33" a="1"/>
  <c r="Q33" s="1"/>
  <c r="P34" a="1"/>
  <c r="P34" s="1"/>
  <c r="Q34" a="1"/>
  <c r="Q34" s="1"/>
  <c r="P35" a="1"/>
  <c r="P35" s="1"/>
  <c r="Q35" a="1"/>
  <c r="Q35" s="1"/>
  <c r="P36" a="1"/>
  <c r="P36" s="1"/>
  <c r="Q36" a="1"/>
  <c r="Q36" s="1"/>
  <c r="P37" a="1"/>
  <c r="P37" s="1"/>
  <c r="Q37" a="1"/>
  <c r="Q37" s="1"/>
  <c r="P38" a="1"/>
  <c r="P38" s="1"/>
  <c r="Q38" a="1"/>
  <c r="Q38" s="1"/>
  <c r="P39" a="1"/>
  <c r="P39" s="1"/>
  <c r="Q39" a="1"/>
  <c r="Q39" s="1"/>
  <c r="P40" a="1"/>
  <c r="P40" s="1"/>
  <c r="Q40" a="1"/>
  <c r="Q40" s="1"/>
  <c r="P41" a="1"/>
  <c r="P41" s="1"/>
  <c r="Q41" a="1"/>
  <c r="Q41" s="1"/>
  <c r="S33" a="1"/>
  <c r="S33" s="1"/>
  <c r="T33" a="1"/>
  <c r="T33" s="1"/>
  <c r="S34" a="1"/>
  <c r="S34" s="1"/>
  <c r="T34" a="1"/>
  <c r="T34" s="1"/>
  <c r="S35" a="1"/>
  <c r="S35" s="1"/>
  <c r="T35" a="1"/>
  <c r="T35" s="1"/>
  <c r="S36" a="1"/>
  <c r="S36" s="1"/>
  <c r="T36" a="1"/>
  <c r="T36" s="1"/>
  <c r="S37" a="1"/>
  <c r="S37" s="1"/>
  <c r="T37" a="1"/>
  <c r="T37" s="1"/>
  <c r="S38" a="1"/>
  <c r="S38" s="1"/>
  <c r="T38" a="1"/>
  <c r="T38" s="1"/>
  <c r="S39" a="1"/>
  <c r="S39" s="1"/>
  <c r="T39" a="1"/>
  <c r="T39" s="1"/>
  <c r="S40" a="1"/>
  <c r="S40" s="1"/>
  <c r="T40" a="1"/>
  <c r="T40" s="1"/>
  <c r="S41" a="1"/>
  <c r="S41" s="1"/>
  <c r="T41" a="1"/>
  <c r="T41" s="1"/>
  <c r="T32" a="1"/>
  <c r="T32" s="1"/>
  <c r="S32" a="1"/>
  <c r="S32" s="1"/>
  <c r="Q32" a="1"/>
  <c r="Q32" s="1"/>
  <c r="P32" a="1"/>
  <c r="P32" s="1"/>
  <c r="P33" i="55" a="1"/>
  <c r="P33" s="1"/>
  <c r="Q33" a="1"/>
  <c r="Q33" s="1"/>
  <c r="S33" a="1"/>
  <c r="S33" s="1"/>
  <c r="T33" a="1"/>
  <c r="T33" s="1"/>
  <c r="P34" a="1"/>
  <c r="P34" s="1"/>
  <c r="Q34" a="1"/>
  <c r="Q34" s="1"/>
  <c r="S34" a="1"/>
  <c r="S34" s="1"/>
  <c r="T34" a="1"/>
  <c r="T34" s="1"/>
  <c r="P35" a="1"/>
  <c r="P35" s="1"/>
  <c r="Q35" a="1"/>
  <c r="Q35" s="1"/>
  <c r="S35" a="1"/>
  <c r="S35" s="1"/>
  <c r="T35" a="1"/>
  <c r="T35" s="1"/>
  <c r="P36" a="1"/>
  <c r="P36" s="1"/>
  <c r="Q36" a="1"/>
  <c r="Q36" s="1"/>
  <c r="S36" a="1"/>
  <c r="S36" s="1"/>
  <c r="T36" a="1"/>
  <c r="T36" s="1"/>
  <c r="P37" a="1"/>
  <c r="P37" s="1"/>
  <c r="Q37" a="1"/>
  <c r="Q37" s="1"/>
  <c r="S37" a="1"/>
  <c r="S37" s="1"/>
  <c r="T37" a="1"/>
  <c r="T37" s="1"/>
  <c r="P38" a="1"/>
  <c r="P38" s="1"/>
  <c r="Q38" a="1"/>
  <c r="Q38" s="1"/>
  <c r="S38" a="1"/>
  <c r="S38" s="1"/>
  <c r="T38" a="1"/>
  <c r="T38" s="1"/>
  <c r="P39" a="1"/>
  <c r="P39" s="1"/>
  <c r="Q39" a="1"/>
  <c r="Q39" s="1"/>
  <c r="S39" a="1"/>
  <c r="S39" s="1"/>
  <c r="T39" a="1"/>
  <c r="T39" s="1"/>
  <c r="P40" a="1"/>
  <c r="P40" s="1"/>
  <c r="Q40" a="1"/>
  <c r="Q40" s="1"/>
  <c r="S40" a="1"/>
  <c r="S40" s="1"/>
  <c r="T40" a="1"/>
  <c r="T40" s="1"/>
  <c r="P41" a="1"/>
  <c r="P41" s="1"/>
  <c r="Q41" a="1"/>
  <c r="Q41" s="1"/>
  <c r="S41" a="1"/>
  <c r="S41" s="1"/>
  <c r="T41" a="1"/>
  <c r="T41" s="1"/>
  <c r="T32" a="1"/>
  <c r="T32" s="1"/>
  <c r="S32" a="1"/>
  <c r="S32" s="1"/>
  <c r="Q32" a="1"/>
  <c r="Q32" s="1"/>
  <c r="P32" a="1"/>
  <c r="P32" s="1"/>
  <c r="P9" a="1"/>
  <c r="P9" s="1"/>
  <c r="S9" a="1"/>
  <c r="S9" s="1"/>
  <c r="S9" i="56" a="1"/>
  <c r="S9" s="1"/>
  <c r="S10" a="1"/>
  <c r="S10" s="1"/>
  <c r="S11" a="1"/>
  <c r="S11" s="1"/>
  <c r="S12" a="1"/>
  <c r="S12" s="1"/>
  <c r="S13" a="1"/>
  <c r="S13" s="1"/>
  <c r="S14" a="1"/>
  <c r="S14" s="1"/>
  <c r="S15" a="1"/>
  <c r="S15" s="1"/>
  <c r="S16" a="1"/>
  <c r="S16" s="1"/>
  <c r="S17" a="1"/>
  <c r="S17" s="1"/>
  <c r="S18" a="1"/>
  <c r="S18" s="1"/>
  <c r="S10" i="55" a="1"/>
  <c r="S10" s="1"/>
  <c r="S11" a="1"/>
  <c r="S11" s="1"/>
  <c r="S12" a="1"/>
  <c r="S12" s="1"/>
  <c r="S13" a="1"/>
  <c r="S13" s="1"/>
  <c r="S14" a="1"/>
  <c r="S14" s="1"/>
  <c r="S15" a="1"/>
  <c r="S15" s="1"/>
  <c r="S16" a="1"/>
  <c r="S16" s="1"/>
  <c r="S17" a="1"/>
  <c r="S17" s="1"/>
  <c r="S18" a="1"/>
  <c r="S18" s="1"/>
  <c r="T10" a="1"/>
  <c r="T10" s="1"/>
  <c r="T11" a="1"/>
  <c r="T11" s="1"/>
  <c r="T12" a="1"/>
  <c r="T12" s="1"/>
  <c r="T13" a="1"/>
  <c r="T13" s="1"/>
  <c r="T14" a="1"/>
  <c r="T14" s="1"/>
  <c r="T15" a="1"/>
  <c r="T15" s="1"/>
  <c r="T16" a="1"/>
  <c r="T16" s="1"/>
  <c r="T17" a="1"/>
  <c r="T17" s="1"/>
  <c r="T18" a="1"/>
  <c r="T18" s="1"/>
  <c r="T9" a="1"/>
  <c r="T9" s="1"/>
  <c r="P10" a="1"/>
  <c r="P10" s="1"/>
  <c r="Q10" a="1"/>
  <c r="Q10" s="1"/>
  <c r="P11" a="1"/>
  <c r="P11" s="1"/>
  <c r="Q11" a="1"/>
  <c r="Q11" s="1"/>
  <c r="P12" a="1"/>
  <c r="P12" s="1"/>
  <c r="Q12" a="1"/>
  <c r="Q12" s="1"/>
  <c r="P13" a="1"/>
  <c r="P13" s="1"/>
  <c r="Q13" a="1"/>
  <c r="Q13" s="1"/>
  <c r="P14" a="1"/>
  <c r="P14" s="1"/>
  <c r="Q14" a="1"/>
  <c r="Q14" s="1"/>
  <c r="P15" a="1"/>
  <c r="P15" s="1"/>
  <c r="Q15" a="1"/>
  <c r="Q15" s="1"/>
  <c r="P16" a="1"/>
  <c r="P16" s="1"/>
  <c r="Q16" a="1"/>
  <c r="Q16" s="1"/>
  <c r="P17" a="1"/>
  <c r="P17" s="1"/>
  <c r="Q17" a="1"/>
  <c r="Q17" s="1"/>
  <c r="P18" a="1"/>
  <c r="P18" s="1"/>
  <c r="Q18" a="1"/>
  <c r="Q18" s="1"/>
  <c r="P19" a="1"/>
  <c r="P19" s="1"/>
  <c r="Q19" a="1"/>
  <c r="Q19" s="1"/>
  <c r="P20" a="1"/>
  <c r="P20" s="1"/>
  <c r="Q20" a="1"/>
  <c r="Q20" s="1"/>
  <c r="Q9" a="1"/>
  <c r="Q9" s="1"/>
  <c r="P9" i="56" a="1"/>
  <c r="P9" s="1"/>
  <c r="Q10" a="1"/>
  <c r="Q10" s="1"/>
  <c r="Q11" a="1"/>
  <c r="Q11" s="1"/>
  <c r="Q12" a="1"/>
  <c r="Q12" s="1"/>
  <c r="Q13" a="1"/>
  <c r="Q13" s="1"/>
  <c r="Q14" a="1"/>
  <c r="Q14" s="1"/>
  <c r="Q15" a="1"/>
  <c r="Q15" s="1"/>
  <c r="Q16" a="1"/>
  <c r="Q16" s="1"/>
  <c r="Q17" a="1"/>
  <c r="Q17" s="1"/>
  <c r="Q18" a="1"/>
  <c r="Q18" s="1"/>
  <c r="Q9" a="1"/>
  <c r="Q9" s="1"/>
  <c r="T9" a="1"/>
  <c r="T9" s="1"/>
  <c r="T10" a="1"/>
  <c r="T10" s="1"/>
  <c r="T11" a="1"/>
  <c r="T11" s="1"/>
  <c r="T12" a="1"/>
  <c r="T12" s="1"/>
  <c r="T13" a="1"/>
  <c r="T13" s="1"/>
  <c r="T14" a="1"/>
  <c r="T14" s="1"/>
  <c r="T15" a="1"/>
  <c r="T15" s="1"/>
  <c r="T16" a="1"/>
  <c r="T16" s="1"/>
  <c r="T17" a="1"/>
  <c r="T17" s="1"/>
  <c r="T18" a="1"/>
  <c r="T18" s="1"/>
  <c r="T19" a="1"/>
  <c r="T19" s="1"/>
  <c r="T20" a="1"/>
  <c r="T20" s="1"/>
  <c r="P10" a="1"/>
  <c r="P10" s="1"/>
  <c r="P11" a="1"/>
  <c r="P11" s="1"/>
  <c r="P12" a="1"/>
  <c r="P12" s="1"/>
  <c r="P13" a="1"/>
  <c r="P13" s="1"/>
  <c r="P14" a="1"/>
  <c r="P14" s="1"/>
  <c r="P15" a="1"/>
  <c r="P15" s="1"/>
  <c r="P16" a="1"/>
  <c r="P16" s="1"/>
  <c r="P17" a="1"/>
  <c r="P17" s="1"/>
  <c r="P18" a="1"/>
  <c r="P18" s="1"/>
  <c r="W63" i="50" l="1"/>
  <c r="F24" i="55" s="1"/>
  <c r="S19" a="1"/>
  <c r="S19" s="1"/>
  <c r="W62" i="50"/>
  <c r="D24" i="55" s="1"/>
  <c r="W62" i="49"/>
  <c r="D24" i="56" s="1"/>
  <c r="W60" i="49"/>
  <c r="F23" i="56" s="1"/>
  <c r="W61" i="49"/>
  <c r="W60" i="50"/>
  <c r="D23" i="55" s="1"/>
  <c r="W61" i="50"/>
  <c r="F23" i="55" s="1"/>
  <c r="W71" i="50"/>
  <c r="W70"/>
  <c r="W69"/>
  <c r="W68"/>
  <c r="W67"/>
  <c r="W58"/>
  <c r="D25" i="55" s="1"/>
  <c r="W71" i="49"/>
  <c r="W70"/>
  <c r="W69"/>
  <c r="W68"/>
  <c r="W67"/>
  <c r="W58"/>
  <c r="D25" i="56" s="1"/>
  <c r="W59" i="50"/>
  <c r="D26" i="55" s="1"/>
  <c r="W64" i="50"/>
  <c r="W64" i="49"/>
  <c r="W59"/>
  <c r="D26" i="56" s="1"/>
  <c r="W63" i="49"/>
  <c r="F24" i="56" s="1"/>
  <c r="C61" i="49"/>
  <c r="C80"/>
  <c r="L24" i="55" l="1"/>
  <c r="L23" i="56"/>
  <c r="L24"/>
  <c r="J25"/>
  <c r="J25" i="55"/>
  <c r="L23"/>
  <c r="J23"/>
  <c r="J26" i="56"/>
  <c r="J24" i="55"/>
  <c r="J24" i="56"/>
  <c r="J23"/>
  <c r="J26" i="55"/>
  <c r="D23" i="56"/>
  <c r="Q1"/>
  <c r="D7" i="61"/>
  <c r="S52" i="49" l="1"/>
  <c r="F98" i="50"/>
  <c r="C98"/>
  <c r="C96"/>
  <c r="C91"/>
  <c r="C99"/>
  <c r="C95" s="1"/>
  <c r="F103"/>
  <c r="F102"/>
  <c r="F101"/>
  <c r="F100"/>
  <c r="F99"/>
  <c r="F95" s="1"/>
  <c r="F97"/>
  <c r="C97"/>
  <c r="F96"/>
  <c r="F94"/>
  <c r="F90" s="1"/>
  <c r="F93"/>
  <c r="F92"/>
  <c r="F91"/>
  <c r="C104"/>
  <c r="C103"/>
  <c r="C102"/>
  <c r="C101"/>
  <c r="C100"/>
  <c r="C94"/>
  <c r="C90" s="1"/>
  <c r="C93"/>
  <c r="C92"/>
  <c r="T53" i="49"/>
  <c r="T52"/>
  <c r="S53"/>
  <c r="T53" i="50"/>
  <c r="T52"/>
  <c r="S53"/>
  <c r="S52"/>
  <c r="R60" i="49"/>
  <c r="F107"/>
  <c r="F106"/>
  <c r="F105"/>
  <c r="F104"/>
  <c r="F103"/>
  <c r="F99" s="1"/>
  <c r="F102"/>
  <c r="F101"/>
  <c r="F100"/>
  <c r="F98"/>
  <c r="F97"/>
  <c r="F96"/>
  <c r="F95"/>
  <c r="F94"/>
  <c r="F109"/>
  <c r="F93"/>
  <c r="L38" i="62" s="1"/>
  <c r="C109" i="49"/>
  <c r="C93"/>
  <c r="C73"/>
  <c r="C34" i="62" s="1"/>
  <c r="P19" i="56" s="1" a="1"/>
  <c r="P19" s="1"/>
  <c r="C108" i="49"/>
  <c r="C107"/>
  <c r="C106"/>
  <c r="C105"/>
  <c r="C104"/>
  <c r="C103"/>
  <c r="C99" s="1"/>
  <c r="C102"/>
  <c r="C101"/>
  <c r="C100"/>
  <c r="C98"/>
  <c r="C97"/>
  <c r="C96"/>
  <c r="C95"/>
  <c r="C94"/>
  <c r="F108"/>
  <c r="F92"/>
  <c r="F90"/>
  <c r="F89"/>
  <c r="F88"/>
  <c r="F87"/>
  <c r="F86"/>
  <c r="F85"/>
  <c r="F84"/>
  <c r="F83"/>
  <c r="F82"/>
  <c r="F81"/>
  <c r="F80"/>
  <c r="F79"/>
  <c r="F78"/>
  <c r="F77"/>
  <c r="F76"/>
  <c r="F75"/>
  <c r="F74"/>
  <c r="C92"/>
  <c r="C90"/>
  <c r="C89"/>
  <c r="C88"/>
  <c r="C87"/>
  <c r="C86"/>
  <c r="C85"/>
  <c r="C84"/>
  <c r="C83"/>
  <c r="C82"/>
  <c r="C81"/>
  <c r="C79"/>
  <c r="C78"/>
  <c r="C77"/>
  <c r="C76"/>
  <c r="C75"/>
  <c r="C74"/>
  <c r="C72"/>
  <c r="C71"/>
  <c r="C70"/>
  <c r="C69"/>
  <c r="C68"/>
  <c r="C67"/>
  <c r="C66"/>
  <c r="C65"/>
  <c r="C64"/>
  <c r="C63"/>
  <c r="C62"/>
  <c r="R57" i="50"/>
  <c r="C36" i="62" l="1"/>
  <c r="D21" i="56" s="1"/>
  <c r="T2" i="50"/>
  <c r="P27" i="61" s="1"/>
  <c r="S2" i="50"/>
  <c r="G27" i="61" s="1"/>
  <c r="T2" i="49"/>
  <c r="P27" i="62" s="1"/>
  <c r="L47"/>
  <c r="S2" i="49"/>
  <c r="G27" i="62" s="1"/>
  <c r="D74" i="49"/>
  <c r="C48" i="62"/>
  <c r="D94" i="49"/>
  <c r="H94"/>
  <c r="H74"/>
  <c r="D61"/>
  <c r="Q1" i="55"/>
  <c r="I3" s="1"/>
  <c r="I3" i="56"/>
  <c r="I15" l="1"/>
  <c r="C43"/>
  <c r="C43" i="55"/>
  <c r="C10"/>
  <c r="C8" i="56"/>
  <c r="C10"/>
  <c r="C9"/>
  <c r="C58" i="50" l="1"/>
  <c r="I38" i="56" l="1"/>
  <c r="C38"/>
  <c r="C66" i="50"/>
  <c r="C65"/>
  <c r="C64"/>
  <c r="H2" i="61"/>
  <c r="L2" i="50"/>
  <c r="D2" i="62"/>
  <c r="H2"/>
  <c r="K35" i="55"/>
  <c r="I35"/>
  <c r="E35"/>
  <c r="C35"/>
  <c r="K35" i="56"/>
  <c r="E35"/>
  <c r="C35"/>
  <c r="I35"/>
  <c r="C41" i="55"/>
  <c r="I36" i="56"/>
  <c r="C36"/>
  <c r="F104" i="50"/>
  <c r="C89"/>
  <c r="C38" i="61" s="1"/>
  <c r="C69" i="50"/>
  <c r="C70"/>
  <c r="C32" i="61" l="1"/>
  <c r="G20" s="1"/>
  <c r="C32" i="62"/>
  <c r="C34" i="61"/>
  <c r="C37" i="56" l="1"/>
  <c r="I37"/>
  <c r="F85" i="50"/>
  <c r="F84"/>
  <c r="C85"/>
  <c r="C84"/>
  <c r="K33" i="55"/>
  <c r="E34"/>
  <c r="E33"/>
  <c r="F86" i="50"/>
  <c r="F83"/>
  <c r="F77"/>
  <c r="C86"/>
  <c r="C83"/>
  <c r="C77"/>
  <c r="G42" i="62"/>
  <c r="C42" l="1"/>
  <c r="C41" s="1"/>
  <c r="C44" s="1"/>
  <c r="C42" i="61"/>
  <c r="C31" i="55" s="1"/>
  <c r="L42" i="62"/>
  <c r="K42" i="61"/>
  <c r="I31" i="55" s="1"/>
  <c r="E8" i="56"/>
  <c r="C31" l="1"/>
  <c r="I31"/>
  <c r="B2" i="61"/>
  <c r="O47" i="62"/>
  <c r="O48"/>
  <c r="G48"/>
  <c r="G47"/>
  <c r="O48" i="61"/>
  <c r="O47"/>
  <c r="N39" i="55" s="1"/>
  <c r="G48" i="61"/>
  <c r="G47"/>
  <c r="H39" i="55" s="1"/>
  <c r="C68" i="50"/>
  <c r="G32" i="62"/>
  <c r="G31"/>
  <c r="C61" i="50"/>
  <c r="C60"/>
  <c r="C59"/>
  <c r="F80"/>
  <c r="C80"/>
  <c r="F74"/>
  <c r="C74"/>
  <c r="K48" i="61" l="1"/>
  <c r="G32"/>
  <c r="E17" i="55" s="1"/>
  <c r="C48" i="61"/>
  <c r="H40" i="56"/>
  <c r="E17"/>
  <c r="H39"/>
  <c r="N40"/>
  <c r="E16"/>
  <c r="N39"/>
  <c r="C47" i="62"/>
  <c r="C47" i="61"/>
  <c r="C31" i="62"/>
  <c r="K47" i="61"/>
  <c r="C31"/>
  <c r="O44"/>
  <c r="C39" i="55" l="1"/>
  <c r="I39"/>
  <c r="C16"/>
  <c r="C16" i="56"/>
  <c r="I39"/>
  <c r="C39"/>
  <c r="I36" i="55" l="1"/>
  <c r="I38"/>
  <c r="I37"/>
  <c r="C38"/>
  <c r="C37"/>
  <c r="C36"/>
  <c r="M41" i="49" l="1"/>
  <c r="R58" i="50" l="1"/>
  <c r="Q58"/>
  <c r="Q57"/>
  <c r="R61" i="49"/>
  <c r="Q61"/>
  <c r="Q60"/>
  <c r="I12" i="55"/>
  <c r="C41" i="56"/>
  <c r="E34"/>
  <c r="K33"/>
  <c r="C38" i="62"/>
  <c r="G37"/>
  <c r="F22" i="56" s="1"/>
  <c r="L48" i="62"/>
  <c r="B113" i="49" a="1"/>
  <c r="B113" s="1"/>
  <c r="B114" a="1"/>
  <c r="B114" s="1"/>
  <c r="A113" a="1"/>
  <c r="A113" s="1"/>
  <c r="A114" a="1"/>
  <c r="A114" s="1"/>
  <c r="F89" i="50"/>
  <c r="K38" i="61" s="1"/>
  <c r="C87" i="50"/>
  <c r="O49" i="61"/>
  <c r="N40" i="55" s="1"/>
  <c r="C49" i="61"/>
  <c r="G49"/>
  <c r="H40" i="55" s="1"/>
  <c r="F79" i="50"/>
  <c r="F78"/>
  <c r="F75"/>
  <c r="F73"/>
  <c r="F72"/>
  <c r="F71"/>
  <c r="C71"/>
  <c r="C73"/>
  <c r="C79"/>
  <c r="C78"/>
  <c r="C72"/>
  <c r="F82"/>
  <c r="F81"/>
  <c r="O37" i="61" s="1"/>
  <c r="L22" i="55" s="1"/>
  <c r="F76" i="50"/>
  <c r="C82"/>
  <c r="C81"/>
  <c r="G37" i="61" s="1"/>
  <c r="F22" i="55" s="1"/>
  <c r="C76" i="50"/>
  <c r="C75"/>
  <c r="O37" i="62"/>
  <c r="L22" i="56" s="1"/>
  <c r="L39" i="62"/>
  <c r="M44" i="50"/>
  <c r="M43" i="49"/>
  <c r="G11" i="62" s="1"/>
  <c r="C36" i="61" l="1"/>
  <c r="D21" i="55" s="1"/>
  <c r="R59" i="50"/>
  <c r="R62" i="49"/>
  <c r="C40" i="55"/>
  <c r="C46" i="61"/>
  <c r="D90" i="50"/>
  <c r="I15" i="55"/>
  <c r="I14" i="56"/>
  <c r="I14" i="55"/>
  <c r="I12" i="56"/>
  <c r="L36" i="62"/>
  <c r="J21" i="56" s="1"/>
  <c r="C37" i="62"/>
  <c r="D22" i="56" s="1"/>
  <c r="G36" i="62"/>
  <c r="F21" i="56" s="1"/>
  <c r="E31"/>
  <c r="L37" i="62"/>
  <c r="J22" i="56" s="1"/>
  <c r="L49" i="62"/>
  <c r="L46" s="1"/>
  <c r="O42"/>
  <c r="O36"/>
  <c r="L21" i="56" s="1"/>
  <c r="C49" i="62"/>
  <c r="C46" s="1"/>
  <c r="O42" i="61"/>
  <c r="K31" i="55" s="1"/>
  <c r="O36" i="61"/>
  <c r="L21" i="55" s="1"/>
  <c r="C37" i="61"/>
  <c r="D22" i="55" s="1"/>
  <c r="G36" i="61"/>
  <c r="F21" i="55" s="1"/>
  <c r="G42" i="61"/>
  <c r="E31" i="55" s="1"/>
  <c r="K37" i="61"/>
  <c r="J22" i="55" s="1"/>
  <c r="K36" i="61"/>
  <c r="J21" i="55" s="1"/>
  <c r="K49" i="61"/>
  <c r="L46" s="1"/>
  <c r="Q59" i="50"/>
  <c r="Q62" i="49"/>
  <c r="A120" a="1"/>
  <c r="A120" s="1"/>
  <c r="B120" a="1"/>
  <c r="B120" s="1"/>
  <c r="B119" a="1"/>
  <c r="B119" s="1"/>
  <c r="A118" a="1"/>
  <c r="A118" s="1"/>
  <c r="A119" a="1"/>
  <c r="A119" s="1"/>
  <c r="C35" i="62" l="1"/>
  <c r="E4" i="56"/>
  <c r="C35" i="61"/>
  <c r="C42" i="55" s="1"/>
  <c r="L35" i="61"/>
  <c r="C34" i="56"/>
  <c r="K31"/>
  <c r="I40" i="55"/>
  <c r="C40" i="56"/>
  <c r="I40"/>
  <c r="E4" i="55"/>
  <c r="B4" i="56"/>
  <c r="P20" l="1" a="1"/>
  <c r="P20" s="1"/>
  <c r="C42"/>
  <c r="B4" i="55"/>
  <c r="C44" i="61"/>
  <c r="C34" i="55" s="1"/>
  <c r="K43" i="61"/>
  <c r="I33" i="55" s="1"/>
  <c r="C63" i="50"/>
  <c r="C62"/>
  <c r="C67"/>
  <c r="C33" i="61" s="1"/>
  <c r="C111" i="49"/>
  <c r="F88" i="50"/>
  <c r="C88"/>
  <c r="D71" s="1"/>
  <c r="F87"/>
  <c r="C116" i="49"/>
  <c r="C107" i="50"/>
  <c r="C106"/>
  <c r="C2"/>
  <c r="C11" i="56"/>
  <c r="H71" i="50" l="1"/>
  <c r="C39" i="61"/>
  <c r="L35" i="62"/>
  <c r="L43" s="1"/>
  <c r="D2" i="61"/>
  <c r="G31"/>
  <c r="C30" s="1"/>
  <c r="D62" i="50"/>
  <c r="L41" i="61"/>
  <c r="C41"/>
  <c r="K39"/>
  <c r="C33" i="62"/>
  <c r="C30" s="1"/>
  <c r="C39"/>
  <c r="I30" i="56"/>
  <c r="H90" i="50"/>
  <c r="C108"/>
  <c r="F108" s="1"/>
  <c r="L41" i="62" l="1"/>
  <c r="I33" i="56"/>
  <c r="E16" i="55"/>
  <c r="C30"/>
  <c r="C17"/>
  <c r="C17" i="56"/>
  <c r="C30"/>
  <c r="I30" i="55"/>
  <c r="B118" i="49" l="1" a="1"/>
  <c r="B118" s="1"/>
  <c r="B117" a="1"/>
  <c r="B117" s="1"/>
  <c r="B112" a="1"/>
  <c r="B112" s="1"/>
  <c r="A112" l="1" a="1"/>
  <c r="A112" s="1"/>
  <c r="A117" a="1"/>
  <c r="A117" s="1"/>
</calcChain>
</file>

<file path=xl/sharedStrings.xml><?xml version="1.0" encoding="utf-8"?>
<sst xmlns="http://schemas.openxmlformats.org/spreadsheetml/2006/main" count="1693" uniqueCount="433">
  <si>
    <t>CH</t>
  </si>
  <si>
    <t>N</t>
  </si>
  <si>
    <t>Mixé</t>
  </si>
  <si>
    <t>Haché</t>
  </si>
  <si>
    <t>Diabétique</t>
  </si>
  <si>
    <t>Normal</t>
  </si>
  <si>
    <t>TOTAL</t>
  </si>
  <si>
    <t>-</t>
  </si>
  <si>
    <t>S</t>
  </si>
  <si>
    <t>01A</t>
  </si>
  <si>
    <t>02A</t>
  </si>
  <si>
    <t>03A</t>
  </si>
  <si>
    <t>04A</t>
  </si>
  <si>
    <t>05A</t>
  </si>
  <si>
    <t>06A</t>
  </si>
  <si>
    <t>07A</t>
  </si>
  <si>
    <t>08A</t>
  </si>
  <si>
    <t>09A</t>
  </si>
  <si>
    <t>10A</t>
  </si>
  <si>
    <t>11A</t>
  </si>
  <si>
    <t>12A</t>
  </si>
  <si>
    <t>13A</t>
  </si>
  <si>
    <t>14A</t>
  </si>
  <si>
    <t>15A</t>
  </si>
  <si>
    <t>16A</t>
  </si>
  <si>
    <t>19A</t>
  </si>
  <si>
    <t>20A</t>
  </si>
  <si>
    <t>21A</t>
  </si>
  <si>
    <t>22A</t>
  </si>
  <si>
    <t>23A</t>
  </si>
  <si>
    <t>24A</t>
  </si>
  <si>
    <t>25A</t>
  </si>
  <si>
    <t>26A</t>
  </si>
  <si>
    <t>27A</t>
  </si>
  <si>
    <t>28A</t>
  </si>
  <si>
    <t>29A</t>
  </si>
  <si>
    <t>30A</t>
  </si>
  <si>
    <t>31A</t>
  </si>
  <si>
    <t>32A</t>
  </si>
  <si>
    <t>33A</t>
  </si>
  <si>
    <t>34A</t>
  </si>
  <si>
    <t>35S</t>
  </si>
  <si>
    <t>36S</t>
  </si>
  <si>
    <t>37S</t>
  </si>
  <si>
    <t>38S</t>
  </si>
  <si>
    <t>39S</t>
  </si>
  <si>
    <t>40S</t>
  </si>
  <si>
    <t>41S</t>
  </si>
  <si>
    <t>42S</t>
  </si>
  <si>
    <t>43S</t>
  </si>
  <si>
    <t>44S</t>
  </si>
  <si>
    <t>45S</t>
  </si>
  <si>
    <t>46S</t>
  </si>
  <si>
    <t>47S</t>
  </si>
  <si>
    <t>48S</t>
  </si>
  <si>
    <t>49S</t>
  </si>
  <si>
    <t>50S</t>
  </si>
  <si>
    <t>51S</t>
  </si>
  <si>
    <t>52S</t>
  </si>
  <si>
    <t>53S</t>
  </si>
  <si>
    <t>54S</t>
  </si>
  <si>
    <t>55S</t>
  </si>
  <si>
    <t>56S</t>
  </si>
  <si>
    <t>57S</t>
  </si>
  <si>
    <t>58S</t>
  </si>
  <si>
    <t>59S</t>
  </si>
  <si>
    <t>60S</t>
  </si>
  <si>
    <t>61S</t>
  </si>
  <si>
    <t>62S</t>
  </si>
  <si>
    <t>63S</t>
  </si>
  <si>
    <t>64S</t>
  </si>
  <si>
    <t>65S</t>
  </si>
  <si>
    <t>66S</t>
  </si>
  <si>
    <t>67S</t>
  </si>
  <si>
    <t>68S</t>
  </si>
  <si>
    <t>69S</t>
  </si>
  <si>
    <t>70S</t>
  </si>
  <si>
    <t>71S</t>
  </si>
  <si>
    <t>72S</t>
  </si>
  <si>
    <t>M</t>
  </si>
  <si>
    <t>HP</t>
  </si>
  <si>
    <t>TEXTURE</t>
  </si>
  <si>
    <t>Eau pétillante</t>
  </si>
  <si>
    <t>X</t>
  </si>
  <si>
    <t>Date mise à jour :</t>
  </si>
  <si>
    <t>HC</t>
  </si>
  <si>
    <t>REGIME</t>
  </si>
  <si>
    <t>EP</t>
  </si>
  <si>
    <t>EG</t>
  </si>
  <si>
    <t>PSEL</t>
  </si>
  <si>
    <t>SSEL</t>
  </si>
  <si>
    <t>Sans graisse</t>
  </si>
  <si>
    <t>SGR</t>
  </si>
  <si>
    <t>VIN</t>
  </si>
  <si>
    <t>Midi</t>
  </si>
  <si>
    <t>soir</t>
  </si>
  <si>
    <t>EP 
EG</t>
  </si>
  <si>
    <t>E</t>
  </si>
  <si>
    <t>PAIN
MIE</t>
  </si>
  <si>
    <t>MIDI</t>
  </si>
  <si>
    <t>SOIR</t>
  </si>
  <si>
    <t>ECHELLE</t>
  </si>
  <si>
    <t xml:space="preserve">TEXTURE </t>
  </si>
  <si>
    <t>Camembert</t>
  </si>
  <si>
    <t>DIAB</t>
  </si>
  <si>
    <t>DIMAN.</t>
  </si>
  <si>
    <t>DIMAN</t>
  </si>
  <si>
    <t>menthe</t>
  </si>
  <si>
    <t>grenadine</t>
  </si>
  <si>
    <t>EG s/sucre</t>
  </si>
  <si>
    <t>ENTREE Entier Normal</t>
  </si>
  <si>
    <t>ENTREE Entier S/SEL</t>
  </si>
  <si>
    <t>MIXE Normal</t>
  </si>
  <si>
    <t>MIXE S/sel</t>
  </si>
  <si>
    <t>HACHE Normal</t>
  </si>
  <si>
    <t>ENTIER Normal</t>
  </si>
  <si>
    <t>ENTIER s/sel</t>
  </si>
  <si>
    <t>HACHE s/sel</t>
  </si>
  <si>
    <t>ENTREE MIXE s/sel</t>
  </si>
  <si>
    <t>ENTREE MIXE Normal</t>
  </si>
  <si>
    <t>RG ALIZE LES ECHELLES</t>
  </si>
  <si>
    <t>ENTREE</t>
  </si>
  <si>
    <t>VIANDE</t>
  </si>
  <si>
    <t>DESSERT</t>
  </si>
  <si>
    <t>POTAGE</t>
  </si>
  <si>
    <t xml:space="preserve">Entier s/sel : </t>
  </si>
  <si>
    <t>Haché s/sel :</t>
  </si>
  <si>
    <t xml:space="preserve">PUREE : </t>
  </si>
  <si>
    <t>purée s/sel:</t>
  </si>
  <si>
    <t>MIXE  RAVIER:</t>
  </si>
  <si>
    <t>Purée lég. s/sel :</t>
  </si>
  <si>
    <t>MIXE COMPLET:</t>
  </si>
  <si>
    <t xml:space="preserve">Entier  normal : </t>
  </si>
  <si>
    <t xml:space="preserve">Entier Diab :  </t>
  </si>
  <si>
    <t>ENTREE MIXE SI DUR</t>
  </si>
  <si>
    <t>potage</t>
  </si>
  <si>
    <t>TT échelles</t>
  </si>
  <si>
    <t>Beurre :</t>
  </si>
  <si>
    <t>1-si-dur</t>
  </si>
  <si>
    <t>Hyperprotéiné</t>
  </si>
  <si>
    <t>Sans sel</t>
  </si>
  <si>
    <t>SANS ENTREE</t>
  </si>
  <si>
    <t>ENTREES</t>
  </si>
  <si>
    <t>PLATS</t>
  </si>
  <si>
    <t>SIROCO SALLE A MANGER</t>
  </si>
  <si>
    <t>DESSERT Entier Normal</t>
  </si>
  <si>
    <t>DESSERT entier DIAB</t>
  </si>
  <si>
    <t>verres midi</t>
  </si>
  <si>
    <t>verres soir</t>
  </si>
  <si>
    <t xml:space="preserve"> de 125 ml</t>
  </si>
  <si>
    <t>L</t>
  </si>
  <si>
    <t>Commentaires</t>
  </si>
  <si>
    <t>Alimentation PLAISIR</t>
  </si>
  <si>
    <t xml:space="preserve">PUREE LEGUMES: </t>
  </si>
  <si>
    <t>ENTREE entier s/graisse</t>
  </si>
  <si>
    <t>ENITER Sans graisse</t>
  </si>
  <si>
    <t>HACHE Sans graisse</t>
  </si>
  <si>
    <t>DESSERT MIXE Normal</t>
  </si>
  <si>
    <t>DESSERT Mixé DIAB</t>
  </si>
  <si>
    <t>Pain (W-E):</t>
  </si>
  <si>
    <t>GRS = sans graisse</t>
  </si>
  <si>
    <t>Potage</t>
  </si>
  <si>
    <t>COMMANDE JOURNALIERE DES REPAS</t>
  </si>
  <si>
    <t xml:space="preserve">Nom du service :    </t>
  </si>
  <si>
    <t>Date :</t>
  </si>
  <si>
    <t>Soir</t>
  </si>
  <si>
    <t>S/Sel</t>
  </si>
  <si>
    <t>Autre rég</t>
  </si>
  <si>
    <t xml:space="preserve">Pain </t>
  </si>
  <si>
    <t>Pièce</t>
  </si>
  <si>
    <t xml:space="preserve">Eau Gélifiée </t>
  </si>
  <si>
    <t>Verre</t>
  </si>
  <si>
    <t>Potage du jour</t>
  </si>
  <si>
    <t>Litre</t>
  </si>
  <si>
    <t xml:space="preserve">Entrée du jour </t>
  </si>
  <si>
    <t>Portion</t>
  </si>
  <si>
    <t xml:space="preserve">Entrée mixée </t>
  </si>
  <si>
    <t>Pamplemousse</t>
  </si>
  <si>
    <t>Viande du jour</t>
  </si>
  <si>
    <t xml:space="preserve">Jambon </t>
  </si>
  <si>
    <t>Tranche</t>
  </si>
  <si>
    <t>Escalope</t>
  </si>
  <si>
    <t xml:space="preserve">Filet de poisson </t>
  </si>
  <si>
    <t xml:space="preserve">Mixé  </t>
  </si>
  <si>
    <t xml:space="preserve">Légumes du jour </t>
  </si>
  <si>
    <r>
      <t>Purée de pomme de terre</t>
    </r>
    <r>
      <rPr>
        <sz val="8"/>
        <rFont val="Arial"/>
        <family val="2"/>
      </rPr>
      <t xml:space="preserve"> </t>
    </r>
  </si>
  <si>
    <t>Sauces</t>
  </si>
  <si>
    <t>Pichet 1L</t>
  </si>
  <si>
    <t xml:space="preserve">Camembert </t>
  </si>
  <si>
    <t xml:space="preserve">Dessert du jour </t>
  </si>
  <si>
    <t xml:space="preserve">Dessert mixé </t>
  </si>
  <si>
    <t>Laitage (suivant stock cuisine)</t>
  </si>
  <si>
    <t>Micro beurre</t>
  </si>
  <si>
    <t>carton 1 kg</t>
  </si>
  <si>
    <t>Petits fours  (2 par personne)</t>
  </si>
  <si>
    <t>Pétillant</t>
  </si>
  <si>
    <t>Bouteille</t>
  </si>
  <si>
    <t>H=</t>
  </si>
  <si>
    <t>E =</t>
  </si>
  <si>
    <t>Chanteneige</t>
  </si>
  <si>
    <t>FROMAGES</t>
  </si>
  <si>
    <t>MIXÉ si dur</t>
  </si>
  <si>
    <t xml:space="preserve">MIXÉ Diab: </t>
  </si>
  <si>
    <t>MIXÉ si dur</t>
  </si>
  <si>
    <t>MIXÉ si dur:</t>
  </si>
  <si>
    <t>MIXÉ s/sel :</t>
  </si>
  <si>
    <t>ECHELLE ALIZE Sans entrée:</t>
  </si>
  <si>
    <t>ECHELLE ALIZE Alimen. plaisir:</t>
  </si>
  <si>
    <t>ENTREE Entier HP</t>
  </si>
  <si>
    <t>DESSERT ENTIER HP</t>
  </si>
  <si>
    <t>DESSERT Entier HP</t>
  </si>
  <si>
    <t>ENTREE Entier Diab</t>
  </si>
  <si>
    <t>DESSERT Mixé sans sel</t>
  </si>
  <si>
    <t>DESSERT Mixé Normal "si dur"</t>
  </si>
  <si>
    <t>DESSERT Mixé DIAB si dur</t>
  </si>
  <si>
    <t>Pain (semaine):</t>
  </si>
  <si>
    <t>Pain sans sel:</t>
  </si>
  <si>
    <t>Fromage divers</t>
  </si>
  <si>
    <t>Fromage type chanteneige</t>
  </si>
  <si>
    <t>Divers</t>
  </si>
  <si>
    <t>Nombre de résidents / patients :</t>
  </si>
  <si>
    <t>1L</t>
  </si>
  <si>
    <t>LETTRE</t>
  </si>
  <si>
    <t>peu salé</t>
  </si>
  <si>
    <t>Entière</t>
  </si>
  <si>
    <t>Entrée</t>
  </si>
  <si>
    <t>Entrée si dure</t>
  </si>
  <si>
    <t>EP/EG</t>
  </si>
  <si>
    <t>Eau Gélifiée</t>
  </si>
  <si>
    <t>Croissant (diman.)/choco (férié)</t>
  </si>
  <si>
    <t xml:space="preserve">Bouillon </t>
  </si>
  <si>
    <t>Soupe Oignon (dimanche)</t>
  </si>
  <si>
    <t>Tapioca  (jeudi)</t>
  </si>
  <si>
    <t>Œuf dur</t>
  </si>
  <si>
    <t>Bifteak</t>
  </si>
  <si>
    <t>Total A et S Eaux gelifiées</t>
  </si>
  <si>
    <t>Penser  à commander le féculent du menu DIABETIQUE</t>
  </si>
  <si>
    <t>Supplément Féculent Diabétique</t>
  </si>
  <si>
    <t>jus épaissi</t>
  </si>
  <si>
    <t xml:space="preserve">Tomate ou poireaux </t>
  </si>
  <si>
    <t>Purée de légumes (selon stock)</t>
  </si>
  <si>
    <t>Unité entier</t>
  </si>
  <si>
    <t>(H): Haché     (E): Entier      DIAB: Nature ou sans sucre ajouté</t>
  </si>
  <si>
    <t>Menthe</t>
  </si>
  <si>
    <t>ENTIER s/graisse</t>
  </si>
  <si>
    <t>HACHE S/graisse</t>
  </si>
  <si>
    <t>ENTREE Entier S/graisse</t>
  </si>
  <si>
    <t>ENTIER hp</t>
  </si>
  <si>
    <t>HACHE hp</t>
  </si>
  <si>
    <t>ENTIER Diab</t>
  </si>
  <si>
    <t>HACHE Diab</t>
  </si>
  <si>
    <t>DESSERT ENTIER S/sel</t>
  </si>
  <si>
    <t>ENITER hp</t>
  </si>
  <si>
    <t>HACHE Hp</t>
  </si>
  <si>
    <t>SIROCCO</t>
  </si>
  <si>
    <t>ALIZE</t>
  </si>
  <si>
    <t>DESSERT entier S/sel</t>
  </si>
  <si>
    <t>DESSERT MIXE HP</t>
  </si>
  <si>
    <t>DESSERT MIXE sans sel</t>
  </si>
  <si>
    <t>DESSERT MIXE DIAB</t>
  </si>
  <si>
    <t>DESSERT MIXE AP</t>
  </si>
  <si>
    <t>DESSERT Mixé HP "si dur"</t>
  </si>
  <si>
    <t>DESSERT Mixé s/sel "si dur"</t>
  </si>
  <si>
    <t>DESSERT Mixé Normal  "si dur"</t>
  </si>
  <si>
    <t>DESSERT Mixé HP  "si dur"</t>
  </si>
  <si>
    <t>DESSERT Mixé s/sel  "si dur"</t>
  </si>
  <si>
    <t>DESSERT Mixé DIAB "si dur"</t>
  </si>
  <si>
    <t>ALIMENTATION PLAISIR</t>
  </si>
  <si>
    <t>ENTREE Entier Sans résidu</t>
  </si>
  <si>
    <t>ENTIER S/résidu</t>
  </si>
  <si>
    <t>HACHE S/résidu</t>
  </si>
  <si>
    <t>DESSERT ENTIER S/RESIDU</t>
  </si>
  <si>
    <t xml:space="preserve">ENTIER  s/sel : </t>
  </si>
  <si>
    <t xml:space="preserve">ENTIER s/sel : </t>
  </si>
  <si>
    <t>ENTREE Entier S/résidu</t>
  </si>
  <si>
    <t>DESSERT Entier s/résidu</t>
  </si>
  <si>
    <t>MIXÉ Diab "si dur"</t>
  </si>
  <si>
    <t>MIXÉ Diab "si dur"</t>
  </si>
  <si>
    <t>SR = sans RESIDU</t>
  </si>
  <si>
    <t>Ech.</t>
  </si>
  <si>
    <t>Salle</t>
  </si>
  <si>
    <t>Purée s/sel:</t>
  </si>
  <si>
    <t>Nom du Demandeur:  __________________</t>
  </si>
  <si>
    <t>Nbre repas accompagnants :            Table de:</t>
  </si>
  <si>
    <t>Dimanche et jours fériés</t>
  </si>
  <si>
    <t>OIGNON</t>
  </si>
  <si>
    <t xml:space="preserve">+ légumes </t>
  </si>
  <si>
    <t>TAPIOCA</t>
  </si>
  <si>
    <t xml:space="preserve">ENTREE </t>
  </si>
  <si>
    <t xml:space="preserve">Entier :  </t>
  </si>
  <si>
    <t>MIXÉ :</t>
  </si>
  <si>
    <t xml:space="preserve">ENTIER  :  </t>
  </si>
  <si>
    <t>Haché :</t>
  </si>
  <si>
    <t xml:space="preserve">Entier </t>
  </si>
  <si>
    <t>MIXÉ </t>
  </si>
  <si>
    <t>MIXÉ</t>
  </si>
  <si>
    <t>Entier  :</t>
  </si>
  <si>
    <t>Haché  :</t>
  </si>
  <si>
    <t xml:space="preserve">Entier  :  </t>
  </si>
  <si>
    <t>MIXÉ  :</t>
  </si>
  <si>
    <t xml:space="preserve">Entier  :  </t>
  </si>
  <si>
    <t xml:space="preserve">Entier   :  </t>
  </si>
  <si>
    <t xml:space="preserve">Entier: </t>
  </si>
  <si>
    <t xml:space="preserve">MIXÉ : </t>
  </si>
  <si>
    <t>Entier :</t>
  </si>
  <si>
    <t xml:space="preserve">Entier  : </t>
  </si>
  <si>
    <t>oui</t>
  </si>
  <si>
    <t>APERITIFS</t>
  </si>
  <si>
    <t>Petits fours / pers.</t>
  </si>
  <si>
    <t>LEGUMES</t>
  </si>
  <si>
    <t>Bouteille Sirocco</t>
  </si>
  <si>
    <t>Bouteille Alizé</t>
  </si>
  <si>
    <t>Echelle</t>
  </si>
  <si>
    <t xml:space="preserve"> REGIME </t>
  </si>
  <si>
    <t>Plat</t>
  </si>
  <si>
    <t>ENTREE MIXE DIAB</t>
  </si>
  <si>
    <t xml:space="preserve">Entier  s/sel : </t>
  </si>
  <si>
    <t>RESIDENT</t>
  </si>
  <si>
    <r>
      <t xml:space="preserve">COMMENTAIRES OFFICIERES
</t>
    </r>
    <r>
      <rPr>
        <sz val="9"/>
        <rFont val="Arial"/>
        <family val="2"/>
      </rPr>
      <t>(Ne rien commander dans cette zone)</t>
    </r>
  </si>
  <si>
    <t>Féculent du soir</t>
  </si>
  <si>
    <t>Légumes</t>
  </si>
  <si>
    <t>Oui</t>
  </si>
  <si>
    <t>LEGUMES Normaux</t>
  </si>
  <si>
    <t>LEGUMES HP</t>
  </si>
  <si>
    <t>LEGUMES SSEL</t>
  </si>
  <si>
    <t>dimanche</t>
  </si>
  <si>
    <t>jeudi</t>
  </si>
  <si>
    <t>lundi,mardi,mercredi,vendredi,samedi</t>
  </si>
  <si>
    <t>Dessert</t>
  </si>
  <si>
    <t>LEGUMES DIAB</t>
  </si>
  <si>
    <t>LEGUMES Diab</t>
  </si>
  <si>
    <t>17A</t>
  </si>
  <si>
    <t>18A</t>
  </si>
  <si>
    <t>Sauce</t>
  </si>
  <si>
    <t>Sauce Sans sel</t>
  </si>
  <si>
    <t>0L</t>
  </si>
  <si>
    <t>Seuls les chiffres en rouge peuvent être modifiés</t>
  </si>
  <si>
    <t>ENTREE MIXE hp</t>
  </si>
  <si>
    <t>Sans entrée</t>
  </si>
  <si>
    <t>Sans plat</t>
  </si>
  <si>
    <t>Le s/plat correspond aux personnes en alimentation plaisir</t>
  </si>
  <si>
    <t>ENTREE MIXE HP</t>
  </si>
  <si>
    <t>ENTREE MIXE diab</t>
  </si>
  <si>
    <t>Majorer la viande hachée</t>
  </si>
  <si>
    <t>raisin</t>
  </si>
  <si>
    <t>Majorer la purée</t>
  </si>
  <si>
    <t>Majorer la purée légume vert</t>
  </si>
  <si>
    <t>PLAT</t>
  </si>
  <si>
    <t>PAIN</t>
  </si>
  <si>
    <t>JUS</t>
  </si>
  <si>
    <t xml:space="preserve">Liste des textures et régimes </t>
  </si>
  <si>
    <r>
      <t xml:space="preserve">Régime : N = Normal  /  </t>
    </r>
    <r>
      <rPr>
        <b/>
        <sz val="10"/>
        <color rgb="FF0070C0"/>
        <rFont val="Arial"/>
        <family val="2"/>
      </rPr>
      <t xml:space="preserve">SSEL = Sans sel </t>
    </r>
    <r>
      <rPr>
        <sz val="10"/>
        <rFont val="Arial"/>
        <family val="2"/>
      </rPr>
      <t xml:space="preserve"> / </t>
    </r>
    <r>
      <rPr>
        <b/>
        <sz val="10"/>
        <color rgb="FFFF0066"/>
        <rFont val="Arial"/>
        <family val="2"/>
      </rPr>
      <t xml:space="preserve"> DIAB = Diabétique</t>
    </r>
  </si>
  <si>
    <r>
      <t>Texture :</t>
    </r>
    <r>
      <rPr>
        <b/>
        <sz val="10"/>
        <color rgb="FF00B050"/>
        <rFont val="Arial"/>
        <family val="2"/>
      </rPr>
      <t xml:space="preserve"> E = Entier </t>
    </r>
    <r>
      <rPr>
        <sz val="10"/>
        <rFont val="Arial"/>
        <family val="2"/>
      </rPr>
      <t xml:space="preserve"> / </t>
    </r>
    <r>
      <rPr>
        <b/>
        <sz val="10"/>
        <color theme="9" tint="-0.249977111117893"/>
        <rFont val="Arial"/>
        <family val="2"/>
      </rPr>
      <t>HC = Haché</t>
    </r>
    <r>
      <rPr>
        <sz val="10"/>
        <rFont val="Arial"/>
        <family val="2"/>
      </rPr>
      <t xml:space="preserve"> / </t>
    </r>
    <r>
      <rPr>
        <b/>
        <sz val="10"/>
        <color rgb="FFC00000"/>
        <rFont val="Arial"/>
        <family val="2"/>
      </rPr>
      <t>M = Mixé  /</t>
    </r>
    <r>
      <rPr>
        <b/>
        <sz val="10"/>
        <color rgb="FF7030A0"/>
        <rFont val="Arial"/>
        <family val="2"/>
      </rPr>
      <t xml:space="preserve"> EG=Eau gel</t>
    </r>
  </si>
  <si>
    <t>REGE ALIZE ECHELLE</t>
  </si>
  <si>
    <t>REGE SIROCCO  SALLE</t>
  </si>
  <si>
    <t>SANS PLAT</t>
  </si>
  <si>
    <t>TT SALLE</t>
  </si>
  <si>
    <t>SS TT SALLE</t>
  </si>
  <si>
    <t>SS TT ECHELLE</t>
  </si>
  <si>
    <t>TT ECHELLE</t>
  </si>
  <si>
    <r>
      <t xml:space="preserve">ECHELLE : Oui = Plateau sur échelle / Case vide = salle à manger et </t>
    </r>
    <r>
      <rPr>
        <b/>
        <sz val="12"/>
        <rFont val="Arial"/>
        <family val="2"/>
      </rPr>
      <t>-</t>
    </r>
    <r>
      <rPr>
        <sz val="8"/>
        <rFont val="Arial"/>
        <family val="2"/>
      </rPr>
      <t xml:space="preserve">  = Absent et donc décompté</t>
    </r>
  </si>
  <si>
    <t>2 + 2 biscottes</t>
  </si>
  <si>
    <t>Croissant Sirocco:</t>
  </si>
  <si>
    <t>pruneaux épaissi + optifibre</t>
  </si>
  <si>
    <t>4L + gruyère</t>
  </si>
  <si>
    <t>ZONE MODIFIABLE</t>
  </si>
  <si>
    <t>ZONE NON MODIFIABLE</t>
  </si>
  <si>
    <t>Majorer viande hachée</t>
  </si>
  <si>
    <t>Yaourt:</t>
  </si>
  <si>
    <t>DATE DE LA COMMANDE:</t>
  </si>
  <si>
    <t>PARAMETRES</t>
  </si>
  <si>
    <t>Croissants Alizé:</t>
  </si>
  <si>
    <t>Rien</t>
  </si>
  <si>
    <t>PAIN DE MIE</t>
  </si>
  <si>
    <t>Vide</t>
  </si>
  <si>
    <t>ECHELLES</t>
  </si>
  <si>
    <t>DEGOUTS</t>
  </si>
  <si>
    <t>poisson</t>
  </si>
  <si>
    <t>Substitut</t>
  </si>
  <si>
    <t>Steak entier</t>
  </si>
  <si>
    <t>Steak haché</t>
  </si>
  <si>
    <t>Jambon</t>
  </si>
  <si>
    <t>Jambon haché</t>
  </si>
  <si>
    <t>Jambon haché s/sel</t>
  </si>
  <si>
    <t>Poisson</t>
  </si>
  <si>
    <t>mixé s/poisson</t>
  </si>
  <si>
    <t>DEGOUTS POISSON  ALIZE</t>
  </si>
  <si>
    <t>DEGOUTS POISSON  SIROCCO</t>
  </si>
  <si>
    <t>Entier Normal</t>
  </si>
  <si>
    <t>Entier s/sel</t>
  </si>
  <si>
    <t>Haché normal</t>
  </si>
  <si>
    <t>Haché s/sel</t>
  </si>
  <si>
    <t>JE COMMANDE</t>
  </si>
  <si>
    <t>JE DEDUIS DE MA COMMANDE</t>
  </si>
  <si>
    <t>Jambon s/sel</t>
  </si>
  <si>
    <t>NOM RESIDENT</t>
  </si>
  <si>
    <t>dégouts</t>
  </si>
  <si>
    <t>Pas de dégout</t>
  </si>
  <si>
    <t>dégout de poisson</t>
  </si>
  <si>
    <t>DEGOUTS DU MIDI</t>
  </si>
  <si>
    <t>DEGOUTS DU SOIR</t>
  </si>
  <si>
    <t>œuf</t>
  </si>
  <si>
    <t>dégout d'œuf</t>
  </si>
  <si>
    <t>tripes</t>
  </si>
  <si>
    <t>dégout de tripes</t>
  </si>
  <si>
    <t>Arriver à mettre tous les dégouts dans la même colonne</t>
  </si>
  <si>
    <t>Faire un menu dérouleur de substitut</t>
  </si>
  <si>
    <t>Steak</t>
  </si>
  <si>
    <t>Pas de remplacement</t>
  </si>
  <si>
    <t>mixé SANS poisson</t>
  </si>
  <si>
    <t xml:space="preserve">Feuille imprimée le :  </t>
  </si>
  <si>
    <t>à</t>
  </si>
  <si>
    <t xml:space="preserve">Eau gel / résident: </t>
  </si>
  <si>
    <t>Beurre les lun.; Mar.; Ven.</t>
  </si>
  <si>
    <t>SOIT  EG =</t>
  </si>
  <si>
    <t>Majorer purée légume vert</t>
  </si>
  <si>
    <t>Steak Entier</t>
  </si>
  <si>
    <t>Date et heure_______________________</t>
  </si>
  <si>
    <t xml:space="preserve">FEUILLE A RETOURNER A 11h30 A LA  CUISINE </t>
  </si>
  <si>
    <t>Commander 1 repas chaud pour Mme LINOTTE</t>
  </si>
  <si>
    <t>Commander 1 repas chaud  pour Mme LINOTTE</t>
  </si>
  <si>
    <t>Majorer Purée de PDT</t>
  </si>
  <si>
    <t>MAJORATION DES COMMANDES</t>
  </si>
  <si>
    <t>SOUS TOTAUX des Régime &amp; texture</t>
  </si>
  <si>
    <t>Epaissi à l'office</t>
  </si>
  <si>
    <t>COMMANDER SANS GRAISSE</t>
  </si>
  <si>
    <t>SG</t>
  </si>
  <si>
    <t>Ajout autre régime</t>
  </si>
  <si>
    <t>SERVICE 1</t>
  </si>
  <si>
    <t>SERVICE 2</t>
  </si>
  <si>
    <t>RECAP.      REGE   2 ==&gt;  SALLE</t>
  </si>
  <si>
    <t>RECAP.      REGE   1 ==&gt;  ECHELLES</t>
  </si>
  <si>
    <t>xxx</t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</si>
</sst>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5" formatCode="h:mm:ss;@"/>
    <numFmt numFmtId="166" formatCode="dd/mm/yy"/>
    <numFmt numFmtId="167" formatCode="[$-F400]h:mm:ss\ AM/PM"/>
  </numFmts>
  <fonts count="150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b/>
      <u/>
      <sz val="8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b/>
      <sz val="16"/>
      <name val="Arial"/>
      <family val="2"/>
    </font>
    <font>
      <b/>
      <sz val="10"/>
      <color theme="0"/>
      <name val="Arial"/>
      <family val="2"/>
    </font>
    <font>
      <b/>
      <sz val="12"/>
      <name val="Arial"/>
      <family val="2"/>
    </font>
    <font>
      <i/>
      <sz val="9"/>
      <name val="Arial"/>
      <family val="2"/>
    </font>
    <font>
      <sz val="8"/>
      <color theme="0" tint="-0.249977111117893"/>
      <name val="Arial"/>
      <family val="2"/>
    </font>
    <font>
      <b/>
      <sz val="10"/>
      <color rgb="FF7030A0"/>
      <name val="Arial"/>
      <family val="2"/>
    </font>
    <font>
      <b/>
      <sz val="8"/>
      <color rgb="FF7030A0"/>
      <name val="Arial"/>
      <family val="2"/>
    </font>
    <font>
      <b/>
      <sz val="11"/>
      <name val="Arial"/>
      <family val="2"/>
    </font>
    <font>
      <b/>
      <u/>
      <sz val="9"/>
      <name val="Arial"/>
      <family val="2"/>
    </font>
    <font>
      <b/>
      <sz val="7"/>
      <color theme="0"/>
      <name val="Arial"/>
      <family val="2"/>
    </font>
    <font>
      <sz val="8"/>
      <color theme="0" tint="-0.34998626667073579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9"/>
      <color rgb="FFFF0000"/>
      <name val="Arial"/>
      <family val="2"/>
    </font>
    <font>
      <sz val="11"/>
      <name val="Arial"/>
      <family val="2"/>
    </font>
    <font>
      <b/>
      <sz val="22"/>
      <color indexed="53"/>
      <name val="Arial"/>
      <family val="2"/>
    </font>
    <font>
      <b/>
      <sz val="8"/>
      <color rgb="FF00B050"/>
      <name val="Arial"/>
      <family val="2"/>
    </font>
    <font>
      <sz val="8"/>
      <color rgb="FF00B050"/>
      <name val="Arial"/>
      <family val="2"/>
    </font>
    <font>
      <sz val="8"/>
      <color theme="9"/>
      <name val="Arial"/>
      <family val="2"/>
    </font>
    <font>
      <b/>
      <sz val="8"/>
      <color theme="9"/>
      <name val="Arial"/>
      <family val="2"/>
    </font>
    <font>
      <sz val="8"/>
      <color rgb="FFC00000"/>
      <name val="Arial"/>
      <family val="2"/>
    </font>
    <font>
      <b/>
      <sz val="8"/>
      <color rgb="FFC00000"/>
      <name val="Arial"/>
      <family val="2"/>
    </font>
    <font>
      <b/>
      <sz val="9"/>
      <color theme="7"/>
      <name val="Calibri"/>
      <family val="2"/>
      <scheme val="minor"/>
    </font>
    <font>
      <sz val="11"/>
      <name val="Calibri"/>
      <family val="2"/>
    </font>
    <font>
      <b/>
      <u/>
      <sz val="11"/>
      <color rgb="FF002060"/>
      <name val="Calibri"/>
      <family val="2"/>
    </font>
    <font>
      <sz val="11"/>
      <color rgb="FF002060"/>
      <name val="Calibri"/>
      <family val="2"/>
    </font>
    <font>
      <sz val="11"/>
      <color rgb="FF4F6228"/>
      <name val="Calibri"/>
      <family val="2"/>
    </font>
    <font>
      <sz val="11"/>
      <color rgb="FF943634"/>
      <name val="Calibri"/>
      <family val="2"/>
    </font>
    <font>
      <sz val="9"/>
      <color rgb="FF002060"/>
      <name val="Arial"/>
      <family val="2"/>
    </font>
    <font>
      <sz val="10"/>
      <color rgb="FF002060"/>
      <name val="Arial"/>
      <family val="2"/>
    </font>
    <font>
      <b/>
      <u/>
      <sz val="11"/>
      <color theme="6" tint="-0.499984740745262"/>
      <name val="Calibri"/>
      <family val="2"/>
    </font>
    <font>
      <sz val="10"/>
      <color theme="6" tint="-0.499984740745262"/>
      <name val="Arial"/>
      <family val="2"/>
    </font>
    <font>
      <sz val="11"/>
      <color theme="6" tint="-0.499984740745262"/>
      <name val="Calibri"/>
      <family val="2"/>
    </font>
    <font>
      <sz val="10"/>
      <color theme="5"/>
      <name val="Arial"/>
      <family val="2"/>
    </font>
    <font>
      <sz val="10"/>
      <color theme="7"/>
      <name val="Arial"/>
      <family val="2"/>
    </font>
    <font>
      <b/>
      <u/>
      <sz val="11"/>
      <color theme="7"/>
      <name val="Calibri"/>
      <family val="2"/>
    </font>
    <font>
      <sz val="9"/>
      <color theme="7"/>
      <name val="Arial"/>
      <family val="2"/>
    </font>
    <font>
      <sz val="11"/>
      <color theme="7"/>
      <name val="Calibri"/>
      <family val="2"/>
    </font>
    <font>
      <b/>
      <sz val="8"/>
      <color rgb="FFFF0000"/>
      <name val="Arial"/>
      <family val="2"/>
    </font>
    <font>
      <b/>
      <sz val="9"/>
      <color rgb="FFFF0000"/>
      <name val="Arial"/>
      <family val="2"/>
    </font>
    <font>
      <b/>
      <sz val="11"/>
      <color rgb="FF002060"/>
      <name val="Calibri"/>
      <family val="2"/>
    </font>
    <font>
      <b/>
      <sz val="9"/>
      <color rgb="FF002060"/>
      <name val="Arial"/>
      <family val="2"/>
    </font>
    <font>
      <b/>
      <sz val="10"/>
      <color rgb="FF002060"/>
      <name val="Arial"/>
      <family val="2"/>
    </font>
    <font>
      <b/>
      <sz val="11"/>
      <color theme="6" tint="-0.499984740745262"/>
      <name val="Calibri"/>
      <family val="2"/>
    </font>
    <font>
      <b/>
      <sz val="11"/>
      <name val="Calibri"/>
      <family val="2"/>
    </font>
    <font>
      <b/>
      <sz val="10"/>
      <color theme="9" tint="-0.249977111117893"/>
      <name val="Arial"/>
      <family val="2"/>
    </font>
    <font>
      <b/>
      <sz val="11"/>
      <color rgb="FF4F6228"/>
      <name val="Calibri"/>
      <family val="2"/>
    </font>
    <font>
      <sz val="10"/>
      <color rgb="FF7030A0"/>
      <name val="Arial"/>
      <family val="2"/>
    </font>
    <font>
      <b/>
      <sz val="10"/>
      <color theme="7"/>
      <name val="Arial"/>
      <family val="2"/>
    </font>
    <font>
      <b/>
      <sz val="11"/>
      <color theme="7"/>
      <name val="Calibri"/>
      <family val="2"/>
    </font>
    <font>
      <b/>
      <sz val="9"/>
      <color theme="7"/>
      <name val="Arial"/>
      <family val="2"/>
    </font>
    <font>
      <b/>
      <sz val="7"/>
      <color rgb="FF7030A0"/>
      <name val="Arial"/>
      <family val="2"/>
    </font>
    <font>
      <b/>
      <u/>
      <sz val="7"/>
      <color rgb="FF7030A0"/>
      <name val="Arial"/>
      <family val="2"/>
    </font>
    <font>
      <b/>
      <sz val="9"/>
      <color rgb="FF7030A0"/>
      <name val="Calibri"/>
      <family val="2"/>
      <scheme val="minor"/>
    </font>
    <font>
      <b/>
      <i/>
      <sz val="8"/>
      <color rgb="FF7030A0"/>
      <name val="Arial"/>
      <family val="2"/>
    </font>
    <font>
      <b/>
      <sz val="20"/>
      <name val="Calibri"/>
      <family val="2"/>
    </font>
    <font>
      <b/>
      <sz val="9"/>
      <name val="Calibri"/>
      <family val="2"/>
      <scheme val="minor"/>
    </font>
    <font>
      <b/>
      <i/>
      <sz val="8"/>
      <color rgb="FFC00000"/>
      <name val="Arial"/>
      <family val="2"/>
    </font>
    <font>
      <b/>
      <sz val="16"/>
      <name val="Calibri"/>
      <family val="2"/>
    </font>
    <font>
      <b/>
      <u/>
      <sz val="18"/>
      <name val="Arial"/>
      <family val="2"/>
    </font>
    <font>
      <sz val="10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i/>
      <u/>
      <sz val="9"/>
      <color indexed="10"/>
      <name val="Arial"/>
      <family val="2"/>
    </font>
    <font>
      <b/>
      <u/>
      <sz val="10"/>
      <color rgb="FF002060"/>
      <name val="Arial"/>
      <family val="2"/>
    </font>
    <font>
      <b/>
      <sz val="10"/>
      <name val="Calibri"/>
      <family val="2"/>
    </font>
    <font>
      <i/>
      <sz val="10"/>
      <color theme="0" tint="-0.499984740745262"/>
      <name val="Arial"/>
      <family val="2"/>
    </font>
    <font>
      <b/>
      <sz val="11"/>
      <name val="Calibri"/>
      <family val="2"/>
      <scheme val="minor"/>
    </font>
    <font>
      <b/>
      <sz val="12"/>
      <color rgb="FF002060"/>
      <name val="Calibri"/>
      <family val="2"/>
    </font>
    <font>
      <sz val="10"/>
      <color theme="0"/>
      <name val="Arial"/>
      <family val="2"/>
    </font>
    <font>
      <b/>
      <u/>
      <sz val="12"/>
      <color rgb="FF002060"/>
      <name val="Calibri"/>
      <family val="2"/>
    </font>
    <font>
      <b/>
      <sz val="12"/>
      <color rgb="FF7030A0"/>
      <name val="Arial"/>
      <family val="2"/>
    </font>
    <font>
      <b/>
      <sz val="9"/>
      <color rgb="FFFF0000"/>
      <name val="Calibri"/>
      <family val="2"/>
    </font>
    <font>
      <b/>
      <sz val="12"/>
      <color rgb="FF002060"/>
      <name val="Arial"/>
      <family val="2"/>
    </font>
    <font>
      <b/>
      <sz val="14"/>
      <color rgb="FF002060"/>
      <name val="Arial"/>
      <family val="2"/>
    </font>
    <font>
      <sz val="14"/>
      <color rgb="FF002060"/>
      <name val="Arial"/>
      <family val="2"/>
    </font>
    <font>
      <sz val="11"/>
      <color theme="0"/>
      <name val="Calibri"/>
      <family val="2"/>
    </font>
    <font>
      <b/>
      <sz val="11"/>
      <color theme="0"/>
      <name val="Calibri"/>
      <family val="2"/>
    </font>
    <font>
      <b/>
      <u/>
      <sz val="12"/>
      <color theme="7" tint="-0.499984740745262"/>
      <name val="Calibri"/>
      <family val="2"/>
    </font>
    <font>
      <sz val="12"/>
      <color rgb="FF7030A0"/>
      <name val="Arial"/>
      <family val="2"/>
    </font>
    <font>
      <b/>
      <u/>
      <sz val="12"/>
      <color rgb="FF002060"/>
      <name val="Calibri"/>
      <family val="2"/>
      <scheme val="minor"/>
    </font>
    <font>
      <b/>
      <sz val="11"/>
      <color theme="1" tint="0.14999847407452621"/>
      <name val="Calibri"/>
      <family val="2"/>
    </font>
    <font>
      <b/>
      <u/>
      <sz val="12"/>
      <color theme="1" tint="0.14999847407452621"/>
      <name val="Calibri"/>
      <family val="2"/>
    </font>
    <font>
      <b/>
      <sz val="12"/>
      <color theme="1" tint="0.14999847407452621"/>
      <name val="Calibri"/>
      <family val="2"/>
    </font>
    <font>
      <sz val="12"/>
      <color theme="1" tint="0.14999847407452621"/>
      <name val="Arial"/>
      <family val="2"/>
    </font>
    <font>
      <b/>
      <sz val="12"/>
      <color theme="7" tint="-0.499984740745262"/>
      <name val="Calibri"/>
      <family val="2"/>
    </font>
    <font>
      <sz val="8"/>
      <color theme="1" tint="0.499984740745262"/>
      <name val="Arial"/>
      <family val="2"/>
    </font>
    <font>
      <b/>
      <u/>
      <sz val="11"/>
      <color theme="1" tint="0.14999847407452621"/>
      <name val="Calibri"/>
      <family val="2"/>
    </font>
    <font>
      <sz val="10"/>
      <color theme="1" tint="0.14999847407452621"/>
      <name val="Arial"/>
      <family val="2"/>
    </font>
    <font>
      <sz val="11"/>
      <color theme="1" tint="0.14999847407452621"/>
      <name val="Calibri"/>
      <family val="2"/>
      <scheme val="minor"/>
    </font>
    <font>
      <b/>
      <sz val="10"/>
      <color theme="1" tint="0.14999847407452621"/>
      <name val="Arial"/>
      <family val="2"/>
    </font>
    <font>
      <sz val="11"/>
      <color theme="1" tint="0.14999847407452621"/>
      <name val="Calibri"/>
      <family val="2"/>
    </font>
    <font>
      <b/>
      <u/>
      <sz val="10"/>
      <color theme="1" tint="0.14999847407452621"/>
      <name val="Calibri"/>
      <family val="2"/>
    </font>
    <font>
      <b/>
      <sz val="9"/>
      <color theme="1" tint="0.14999847407452621"/>
      <name val="Arial"/>
      <family val="2"/>
    </font>
    <font>
      <i/>
      <sz val="9"/>
      <color theme="1" tint="0.14999847407452621"/>
      <name val="Arial"/>
      <family val="2"/>
    </font>
    <font>
      <b/>
      <sz val="11"/>
      <color theme="1" tint="0.14999847407452621"/>
      <name val="Calibri"/>
      <family val="2"/>
      <scheme val="minor"/>
    </font>
    <font>
      <sz val="10"/>
      <color theme="1" tint="0.14999847407452621"/>
      <name val="Calibri"/>
      <family val="2"/>
    </font>
    <font>
      <b/>
      <sz val="20"/>
      <color indexed="53"/>
      <name val="Arial"/>
      <family val="2"/>
    </font>
    <font>
      <sz val="10"/>
      <color theme="1" tint="0.499984740745262"/>
      <name val="Arial"/>
      <family val="2"/>
    </font>
    <font>
      <sz val="10"/>
      <color theme="0" tint="-4.9989318521683403E-2"/>
      <name val="Arial"/>
      <family val="2"/>
    </font>
    <font>
      <b/>
      <sz val="12"/>
      <color theme="1"/>
      <name val="Calibri"/>
      <family val="2"/>
    </font>
    <font>
      <b/>
      <sz val="10"/>
      <color rgb="FFFF0066"/>
      <name val="Arial"/>
      <family val="2"/>
    </font>
    <font>
      <sz val="9"/>
      <color theme="1" tint="0.499984740745262"/>
      <name val="Arial"/>
      <family val="2"/>
    </font>
    <font>
      <sz val="8"/>
      <color theme="6" tint="-0.499984740745262"/>
      <name val="Arial"/>
      <family val="2"/>
    </font>
    <font>
      <sz val="11"/>
      <name val="Calibri"/>
      <family val="2"/>
      <scheme val="minor"/>
    </font>
    <font>
      <b/>
      <sz val="8"/>
      <name val="Arial"/>
      <family val="2"/>
    </font>
    <font>
      <b/>
      <sz val="20"/>
      <name val="Arial"/>
      <family val="2"/>
    </font>
    <font>
      <b/>
      <sz val="10"/>
      <color rgb="FFC00000"/>
      <name val="Arial"/>
      <family val="2"/>
    </font>
    <font>
      <i/>
      <sz val="10"/>
      <name val="Calibri"/>
      <family val="2"/>
    </font>
    <font>
      <b/>
      <u/>
      <sz val="12"/>
      <color theme="1"/>
      <name val="Calibri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i/>
      <sz val="9"/>
      <color rgb="FFFF0000"/>
      <name val="Arial"/>
      <family val="2"/>
    </font>
    <font>
      <b/>
      <sz val="18"/>
      <name val="Arial"/>
      <family val="2"/>
    </font>
    <font>
      <b/>
      <sz val="10"/>
      <color rgb="FF00B050"/>
      <name val="Arial"/>
      <family val="2"/>
    </font>
    <font>
      <b/>
      <sz val="10"/>
      <color rgb="FF0070C0"/>
      <name val="Arial"/>
      <family val="2"/>
    </font>
    <font>
      <b/>
      <sz val="16"/>
      <name val="Baskerville Old Face"/>
      <family val="1"/>
    </font>
    <font>
      <i/>
      <sz val="10"/>
      <name val="Arial"/>
      <family val="2"/>
    </font>
    <font>
      <i/>
      <sz val="10"/>
      <color rgb="FF7030A0"/>
      <name val="Arial"/>
      <family val="2"/>
    </font>
    <font>
      <b/>
      <i/>
      <sz val="10"/>
      <color rgb="FF7030A0"/>
      <name val="Arial"/>
      <family val="2"/>
    </font>
    <font>
      <sz val="9.5"/>
      <color theme="1" tint="0.499984740745262"/>
      <name val="Arial"/>
      <family val="2"/>
    </font>
    <font>
      <sz val="8"/>
      <name val="Calibri"/>
      <family val="2"/>
    </font>
    <font>
      <b/>
      <u/>
      <sz val="12"/>
      <name val="Calibri"/>
      <family val="2"/>
    </font>
    <font>
      <b/>
      <sz val="22"/>
      <color theme="9"/>
      <name val="Arial"/>
      <family val="2"/>
    </font>
    <font>
      <b/>
      <i/>
      <sz val="9"/>
      <name val="Arial"/>
      <family val="2"/>
    </font>
    <font>
      <b/>
      <sz val="9"/>
      <color rgb="FFFFC000"/>
      <name val="Arial"/>
      <family val="2"/>
    </font>
    <font>
      <b/>
      <sz val="9"/>
      <color rgb="FF00B050"/>
      <name val="Arial"/>
      <family val="2"/>
    </font>
    <font>
      <b/>
      <sz val="9"/>
      <color rgb="FFC00000"/>
      <name val="Arial"/>
      <family val="2"/>
    </font>
    <font>
      <sz val="10"/>
      <color theme="3"/>
      <name val="Arial"/>
      <family val="2"/>
    </font>
    <font>
      <sz val="11"/>
      <color theme="3"/>
      <name val="Calibri"/>
      <family val="2"/>
    </font>
    <font>
      <b/>
      <sz val="9"/>
      <color theme="3"/>
      <name val="Arial"/>
      <family val="2"/>
    </font>
    <font>
      <b/>
      <i/>
      <sz val="11"/>
      <name val="Calibri"/>
      <family val="2"/>
    </font>
  </fonts>
  <fills count="2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gray0625">
        <bgColor theme="0" tint="-0.249977111117893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EFECF4"/>
        <bgColor indexed="64"/>
      </patternFill>
    </fill>
    <fill>
      <patternFill patternType="solid">
        <fgColor rgb="FFF0F5E7"/>
        <bgColor indexed="64"/>
      </patternFill>
    </fill>
    <fill>
      <patternFill patternType="solid">
        <fgColor rgb="FFFFFF00"/>
        <bgColor rgb="FFD9D9D9"/>
      </patternFill>
    </fill>
    <fill>
      <patternFill patternType="solid">
        <fgColor rgb="FFFFE5E5"/>
        <bgColor indexed="64"/>
      </patternFill>
    </fill>
    <fill>
      <patternFill patternType="solid">
        <fgColor rgb="FFFFD1D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theme="0" tint="-4.9989318521683403E-2"/>
      </patternFill>
    </fill>
    <fill>
      <patternFill patternType="solid">
        <fgColor theme="0"/>
        <bgColor rgb="FFD9D9D9"/>
      </patternFill>
    </fill>
  </fills>
  <borders count="10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theme="0" tint="-0.34998626667073579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theme="0" tint="-0.499984740745262"/>
      </bottom>
      <diagonal/>
    </border>
    <border>
      <left style="thin">
        <color indexed="64"/>
      </left>
      <right/>
      <top/>
      <bottom style="thin">
        <color theme="0" tint="-0.34998626667073579"/>
      </bottom>
      <diagonal/>
    </border>
    <border>
      <left style="thin">
        <color indexed="64"/>
      </left>
      <right/>
      <top/>
      <bottom style="thin">
        <color theme="0" tint="-0.24994659260841701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24994659260841701"/>
      </right>
      <top style="medium">
        <color indexed="64"/>
      </top>
      <bottom/>
      <diagonal/>
    </border>
    <border>
      <left style="medium">
        <color indexed="64"/>
      </left>
      <right style="thin">
        <color theme="0" tint="-0.24994659260841701"/>
      </right>
      <top/>
      <bottom style="medium">
        <color indexed="64"/>
      </bottom>
      <diagonal/>
    </border>
    <border>
      <left/>
      <right/>
      <top style="thin">
        <color theme="0" tint="-0.14996795556505021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indexed="64"/>
      </right>
      <top/>
      <bottom style="thin">
        <color theme="0" tint="-0.1499679555650502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3743705557422"/>
      </bottom>
      <diagonal/>
    </border>
    <border>
      <left/>
      <right/>
      <top/>
      <bottom style="thin">
        <color theme="0" tint="-0.14993743705557422"/>
      </bottom>
      <diagonal/>
    </border>
    <border>
      <left/>
      <right style="thin">
        <color indexed="64"/>
      </right>
      <top/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indexed="64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4.9989318521683403E-2"/>
      </left>
      <right/>
      <top/>
      <bottom/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indexed="64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</borders>
  <cellStyleXfs count="3">
    <xf numFmtId="0" fontId="0" fillId="0" borderId="0"/>
    <xf numFmtId="0" fontId="8" fillId="0" borderId="0"/>
    <xf numFmtId="0" fontId="1" fillId="0" borderId="0"/>
  </cellStyleXfs>
  <cellXfs count="870">
    <xf numFmtId="0" fontId="0" fillId="0" borderId="0" xfId="0"/>
    <xf numFmtId="0" fontId="4" fillId="0" borderId="0" xfId="0" applyFont="1"/>
    <xf numFmtId="0" fontId="8" fillId="0" borderId="0" xfId="0" applyFont="1"/>
    <xf numFmtId="0" fontId="2" fillId="0" borderId="0" xfId="0" applyFont="1"/>
    <xf numFmtId="0" fontId="0" fillId="4" borderId="0" xfId="0" applyFill="1"/>
    <xf numFmtId="0" fontId="2" fillId="4" borderId="0" xfId="0" applyFont="1" applyFill="1"/>
    <xf numFmtId="0" fontId="0" fillId="0" borderId="0" xfId="0" applyAlignment="1">
      <alignment vertical="center"/>
    </xf>
    <xf numFmtId="0" fontId="4" fillId="4" borderId="0" xfId="0" applyFont="1" applyFill="1"/>
    <xf numFmtId="0" fontId="8" fillId="4" borderId="0" xfId="0" applyFont="1" applyFill="1"/>
    <xf numFmtId="0" fontId="2" fillId="4" borderId="0" xfId="0" applyFont="1" applyFill="1" applyBorder="1"/>
    <xf numFmtId="0" fontId="2" fillId="4" borderId="0" xfId="0" applyFont="1" applyFill="1" applyBorder="1" applyAlignment="1"/>
    <xf numFmtId="0" fontId="2" fillId="5" borderId="0" xfId="0" applyFont="1" applyFill="1"/>
    <xf numFmtId="0" fontId="10" fillId="4" borderId="21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textRotation="45"/>
    </xf>
    <xf numFmtId="0" fontId="24" fillId="0" borderId="21" xfId="0" applyFont="1" applyBorder="1" applyAlignment="1">
      <alignment horizontal="center" vertical="center"/>
    </xf>
    <xf numFmtId="0" fontId="10" fillId="3" borderId="21" xfId="0" applyFont="1" applyFill="1" applyBorder="1" applyAlignment="1">
      <alignment horizontal="center" vertical="center"/>
    </xf>
    <xf numFmtId="0" fontId="2" fillId="0" borderId="0" xfId="0" applyFont="1" applyFill="1"/>
    <xf numFmtId="0" fontId="0" fillId="0" borderId="0" xfId="0" applyFill="1"/>
    <xf numFmtId="0" fontId="4" fillId="0" borderId="0" xfId="0" applyFont="1" applyFill="1"/>
    <xf numFmtId="0" fontId="2" fillId="0" borderId="0" xfId="0" applyFont="1" applyFill="1" applyBorder="1"/>
    <xf numFmtId="0" fontId="9" fillId="0" borderId="0" xfId="0" applyFont="1" applyFill="1"/>
    <xf numFmtId="0" fontId="7" fillId="0" borderId="0" xfId="0" applyFont="1" applyFill="1"/>
    <xf numFmtId="0" fontId="9" fillId="0" borderId="0" xfId="0" applyFont="1" applyFill="1" applyAlignment="1">
      <alignment horizontal="center"/>
    </xf>
    <xf numFmtId="0" fontId="23" fillId="0" borderId="0" xfId="0" applyFont="1" applyFill="1" applyBorder="1" applyAlignment="1">
      <alignment horizontal="right" vertical="center"/>
    </xf>
    <xf numFmtId="0" fontId="0" fillId="0" borderId="0" xfId="0" applyFill="1" applyBorder="1"/>
    <xf numFmtId="0" fontId="2" fillId="7" borderId="0" xfId="0" applyFont="1" applyFill="1"/>
    <xf numFmtId="0" fontId="2" fillId="4" borderId="0" xfId="0" applyFont="1" applyFill="1" applyBorder="1" applyAlignment="1">
      <alignment horizontal="right"/>
    </xf>
    <xf numFmtId="0" fontId="8" fillId="4" borderId="0" xfId="0" applyFont="1" applyFill="1" applyBorder="1" applyAlignment="1">
      <alignment horizontal="left" vertical="center"/>
    </xf>
    <xf numFmtId="0" fontId="30" fillId="4" borderId="0" xfId="0" applyFont="1" applyFill="1" applyBorder="1" applyAlignment="1">
      <alignment horizontal="left" vertical="center"/>
    </xf>
    <xf numFmtId="0" fontId="32" fillId="4" borderId="0" xfId="0" applyFont="1" applyFill="1" applyBorder="1" applyAlignment="1">
      <alignment horizontal="left" vertical="center"/>
    </xf>
    <xf numFmtId="0" fontId="29" fillId="4" borderId="60" xfId="0" applyFont="1" applyFill="1" applyBorder="1" applyAlignment="1">
      <alignment horizontal="left" vertical="center"/>
    </xf>
    <xf numFmtId="0" fontId="28" fillId="4" borderId="7" xfId="0" applyFont="1" applyFill="1" applyBorder="1" applyAlignment="1">
      <alignment vertical="center"/>
    </xf>
    <xf numFmtId="0" fontId="32" fillId="4" borderId="5" xfId="0" applyFont="1" applyFill="1" applyBorder="1" applyAlignment="1">
      <alignment horizontal="left" vertical="center"/>
    </xf>
    <xf numFmtId="0" fontId="4" fillId="4" borderId="9" xfId="0" applyFont="1" applyFill="1" applyBorder="1"/>
    <xf numFmtId="0" fontId="0" fillId="4" borderId="0" xfId="0" applyFill="1" applyBorder="1"/>
    <xf numFmtId="0" fontId="8" fillId="4" borderId="0" xfId="0" applyFont="1" applyFill="1" applyBorder="1"/>
    <xf numFmtId="0" fontId="0" fillId="4" borderId="0" xfId="0" applyFill="1" applyAlignment="1">
      <alignment vertical="center"/>
    </xf>
    <xf numFmtId="0" fontId="35" fillId="4" borderId="0" xfId="0" applyFont="1" applyFill="1" applyBorder="1" applyAlignment="1">
      <alignment vertical="top" wrapText="1"/>
    </xf>
    <xf numFmtId="0" fontId="4" fillId="4" borderId="0" xfId="0" applyFont="1" applyFill="1" applyBorder="1"/>
    <xf numFmtId="0" fontId="0" fillId="4" borderId="0" xfId="0" applyFill="1" applyBorder="1" applyAlignment="1">
      <alignment vertical="center"/>
    </xf>
    <xf numFmtId="0" fontId="40" fillId="4" borderId="0" xfId="0" applyFont="1" applyFill="1" applyBorder="1"/>
    <xf numFmtId="0" fontId="41" fillId="4" borderId="0" xfId="0" applyFont="1" applyFill="1" applyBorder="1" applyAlignment="1">
      <alignment vertical="center"/>
    </xf>
    <xf numFmtId="0" fontId="42" fillId="4" borderId="0" xfId="0" applyFont="1" applyFill="1" applyBorder="1" applyAlignment="1">
      <alignment vertical="top" wrapText="1"/>
    </xf>
    <xf numFmtId="0" fontId="43" fillId="4" borderId="0" xfId="0" applyFont="1" applyFill="1" applyBorder="1" applyAlignment="1">
      <alignment vertical="center"/>
    </xf>
    <xf numFmtId="0" fontId="44" fillId="4" borderId="0" xfId="0" applyFont="1" applyFill="1" applyBorder="1" applyAlignment="1">
      <alignment vertical="top" wrapText="1"/>
    </xf>
    <xf numFmtId="0" fontId="45" fillId="4" borderId="0" xfId="0" applyFont="1" applyFill="1" applyBorder="1" applyAlignment="1">
      <alignment vertical="center"/>
    </xf>
    <xf numFmtId="0" fontId="27" fillId="3" borderId="0" xfId="0" applyFont="1" applyFill="1" applyAlignment="1">
      <alignment vertical="center"/>
    </xf>
    <xf numFmtId="0" fontId="40" fillId="4" borderId="9" xfId="0" applyFont="1" applyFill="1" applyBorder="1"/>
    <xf numFmtId="0" fontId="41" fillId="4" borderId="9" xfId="0" applyFont="1" applyFill="1" applyBorder="1" applyAlignment="1">
      <alignment vertical="center"/>
    </xf>
    <xf numFmtId="0" fontId="43" fillId="4" borderId="9" xfId="0" applyFont="1" applyFill="1" applyBorder="1" applyAlignment="1">
      <alignment vertical="center"/>
    </xf>
    <xf numFmtId="0" fontId="43" fillId="4" borderId="0" xfId="0" applyFont="1" applyFill="1" applyAlignment="1">
      <alignment vertical="center"/>
    </xf>
    <xf numFmtId="0" fontId="2" fillId="4" borderId="0" xfId="0" applyFont="1" applyFill="1" applyAlignment="1">
      <alignment horizontal="center" vertical="center" wrapText="1"/>
    </xf>
    <xf numFmtId="0" fontId="50" fillId="4" borderId="0" xfId="0" applyFont="1" applyFill="1" applyBorder="1"/>
    <xf numFmtId="0" fontId="36" fillId="4" borderId="0" xfId="0" applyFont="1" applyFill="1" applyBorder="1" applyAlignment="1">
      <alignment horizontal="left" vertical="top" wrapText="1"/>
    </xf>
    <xf numFmtId="0" fontId="37" fillId="4" borderId="0" xfId="0" applyFont="1" applyFill="1" applyBorder="1" applyAlignment="1">
      <alignment horizontal="left" vertical="center" wrapText="1"/>
    </xf>
    <xf numFmtId="0" fontId="40" fillId="4" borderId="0" xfId="0" applyFont="1" applyFill="1" applyBorder="1" applyAlignment="1">
      <alignment horizontal="left" vertical="center"/>
    </xf>
    <xf numFmtId="0" fontId="41" fillId="4" borderId="0" xfId="0" applyFont="1" applyFill="1" applyBorder="1" applyAlignment="1">
      <alignment horizontal="left" vertical="center"/>
    </xf>
    <xf numFmtId="0" fontId="60" fillId="4" borderId="0" xfId="0" applyFont="1" applyFill="1" applyAlignment="1">
      <alignment horizontal="center" vertical="center"/>
    </xf>
    <xf numFmtId="0" fontId="57" fillId="4" borderId="0" xfId="0" applyFont="1" applyFill="1" applyBorder="1" applyAlignment="1">
      <alignment horizontal="center" vertical="center"/>
    </xf>
    <xf numFmtId="0" fontId="59" fillId="4" borderId="0" xfId="0" applyFont="1" applyFill="1" applyBorder="1" applyAlignment="1">
      <alignment horizontal="center" vertical="center"/>
    </xf>
    <xf numFmtId="0" fontId="28" fillId="12" borderId="7" xfId="0" applyFont="1" applyFill="1" applyBorder="1" applyAlignment="1">
      <alignment horizontal="center" vertical="center"/>
    </xf>
    <xf numFmtId="0" fontId="28" fillId="12" borderId="60" xfId="0" applyFont="1" applyFill="1" applyBorder="1" applyAlignment="1">
      <alignment horizontal="center" vertical="center"/>
    </xf>
    <xf numFmtId="0" fontId="31" fillId="12" borderId="0" xfId="0" applyFont="1" applyFill="1" applyBorder="1" applyAlignment="1">
      <alignment horizontal="center" vertical="center"/>
    </xf>
    <xf numFmtId="0" fontId="33" fillId="12" borderId="0" xfId="0" applyFont="1" applyFill="1" applyBorder="1" applyAlignment="1">
      <alignment horizontal="center" vertical="center"/>
    </xf>
    <xf numFmtId="0" fontId="0" fillId="4" borderId="10" xfId="0" applyFill="1" applyBorder="1" applyAlignment="1">
      <alignment vertical="center"/>
    </xf>
    <xf numFmtId="0" fontId="2" fillId="7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/>
    </xf>
    <xf numFmtId="0" fontId="2" fillId="7" borderId="0" xfId="0" applyFont="1" applyFill="1" applyAlignment="1">
      <alignment horizontal="left"/>
    </xf>
    <xf numFmtId="0" fontId="2" fillId="7" borderId="5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left"/>
    </xf>
    <xf numFmtId="0" fontId="10" fillId="7" borderId="0" xfId="0" applyFont="1" applyFill="1" applyAlignment="1">
      <alignment horizontal="center"/>
    </xf>
    <xf numFmtId="2" fontId="2" fillId="7" borderId="0" xfId="0" applyNumberFormat="1" applyFont="1" applyFill="1" applyAlignment="1">
      <alignment horizontal="center"/>
    </xf>
    <xf numFmtId="0" fontId="18" fillId="7" borderId="0" xfId="0" applyFont="1" applyFill="1" applyBorder="1" applyAlignment="1">
      <alignment horizontal="center" vertical="center"/>
    </xf>
    <xf numFmtId="0" fontId="28" fillId="7" borderId="7" xfId="0" applyFont="1" applyFill="1" applyBorder="1" applyAlignment="1">
      <alignment horizontal="center" vertical="center"/>
    </xf>
    <xf numFmtId="0" fontId="28" fillId="7" borderId="60" xfId="0" applyFont="1" applyFill="1" applyBorder="1" applyAlignment="1">
      <alignment horizontal="center" vertical="center"/>
    </xf>
    <xf numFmtId="0" fontId="31" fillId="7" borderId="0" xfId="0" applyFont="1" applyFill="1" applyBorder="1" applyAlignment="1">
      <alignment horizontal="center" vertical="center"/>
    </xf>
    <xf numFmtId="0" fontId="33" fillId="7" borderId="0" xfId="0" applyFont="1" applyFill="1" applyBorder="1" applyAlignment="1">
      <alignment horizontal="center" vertical="center"/>
    </xf>
    <xf numFmtId="0" fontId="33" fillId="7" borderId="5" xfId="0" applyFont="1" applyFill="1" applyBorder="1" applyAlignment="1">
      <alignment horizontal="center" vertical="center"/>
    </xf>
    <xf numFmtId="0" fontId="64" fillId="7" borderId="10" xfId="0" applyFont="1" applyFill="1" applyBorder="1" applyAlignment="1">
      <alignment horizontal="center" vertical="center"/>
    </xf>
    <xf numFmtId="0" fontId="34" fillId="7" borderId="10" xfId="0" applyFont="1" applyFill="1" applyBorder="1" applyAlignment="1">
      <alignment horizontal="center" vertical="center"/>
    </xf>
    <xf numFmtId="0" fontId="34" fillId="7" borderId="10" xfId="0" applyFont="1" applyFill="1" applyBorder="1" applyAlignment="1">
      <alignment horizontal="left" vertical="center"/>
    </xf>
    <xf numFmtId="0" fontId="58" fillId="4" borderId="0" xfId="0" applyFont="1" applyFill="1" applyBorder="1" applyAlignment="1">
      <alignment horizontal="center" vertical="center" wrapText="1"/>
    </xf>
    <xf numFmtId="0" fontId="29" fillId="4" borderId="0" xfId="0" applyFont="1" applyFill="1" applyBorder="1" applyAlignment="1">
      <alignment horizontal="left" vertical="center"/>
    </xf>
    <xf numFmtId="0" fontId="28" fillId="7" borderId="0" xfId="0" applyFont="1" applyFill="1" applyBorder="1" applyAlignment="1">
      <alignment horizontal="center" vertical="center"/>
    </xf>
    <xf numFmtId="0" fontId="8" fillId="8" borderId="0" xfId="0" applyFont="1" applyFill="1"/>
    <xf numFmtId="0" fontId="9" fillId="4" borderId="6" xfId="0" applyFont="1" applyFill="1" applyBorder="1" applyAlignment="1">
      <alignment vertical="center"/>
    </xf>
    <xf numFmtId="0" fontId="7" fillId="4" borderId="7" xfId="0" applyFont="1" applyFill="1" applyBorder="1" applyAlignment="1">
      <alignment vertical="center"/>
    </xf>
    <xf numFmtId="0" fontId="20" fillId="12" borderId="7" xfId="0" applyFont="1" applyFill="1" applyBorder="1" applyAlignment="1">
      <alignment horizontal="center" vertical="center"/>
    </xf>
    <xf numFmtId="0" fontId="20" fillId="5" borderId="6" xfId="0" applyFont="1" applyFill="1" applyBorder="1" applyAlignment="1">
      <alignment horizontal="center" vertical="center"/>
    </xf>
    <xf numFmtId="0" fontId="14" fillId="5" borderId="8" xfId="0" applyFont="1" applyFill="1" applyBorder="1" applyAlignment="1">
      <alignment horizontal="center" vertical="center"/>
    </xf>
    <xf numFmtId="0" fontId="66" fillId="4" borderId="5" xfId="0" applyFont="1" applyFill="1" applyBorder="1"/>
    <xf numFmtId="0" fontId="66" fillId="12" borderId="5" xfId="0" applyFont="1" applyFill="1" applyBorder="1" applyAlignment="1">
      <alignment horizontal="center" vertical="center"/>
    </xf>
    <xf numFmtId="0" fontId="0" fillId="4" borderId="10" xfId="0" applyFill="1" applyBorder="1"/>
    <xf numFmtId="0" fontId="17" fillId="4" borderId="0" xfId="0" applyFont="1" applyFill="1" applyBorder="1" applyAlignment="1">
      <alignment horizontal="left" vertical="top" wrapText="1"/>
    </xf>
    <xf numFmtId="0" fontId="51" fillId="5" borderId="0" xfId="0" applyFont="1" applyFill="1" applyBorder="1" applyAlignment="1">
      <alignment horizontal="center" vertical="center"/>
    </xf>
    <xf numFmtId="0" fontId="72" fillId="0" borderId="0" xfId="1" applyFont="1"/>
    <xf numFmtId="0" fontId="74" fillId="0" borderId="0" xfId="1" applyFont="1"/>
    <xf numFmtId="0" fontId="4" fillId="0" borderId="0" xfId="1" applyFont="1"/>
    <xf numFmtId="0" fontId="8" fillId="0" borderId="0" xfId="1" applyFont="1"/>
    <xf numFmtId="0" fontId="4" fillId="0" borderId="28" xfId="1" applyFont="1" applyBorder="1" applyAlignment="1">
      <alignment vertical="center"/>
    </xf>
    <xf numFmtId="0" fontId="4" fillId="0" borderId="18" xfId="1" applyFont="1" applyBorder="1" applyAlignment="1">
      <alignment vertical="center"/>
    </xf>
    <xf numFmtId="0" fontId="2" fillId="0" borderId="39" xfId="1" applyFont="1" applyBorder="1" applyAlignment="1">
      <alignment vertical="center"/>
    </xf>
    <xf numFmtId="0" fontId="4" fillId="0" borderId="56" xfId="1" applyFont="1" applyBorder="1" applyAlignment="1">
      <alignment vertical="center"/>
    </xf>
    <xf numFmtId="0" fontId="2" fillId="0" borderId="37" xfId="1" applyFont="1" applyBorder="1" applyAlignment="1">
      <alignment vertical="center"/>
    </xf>
    <xf numFmtId="0" fontId="4" fillId="3" borderId="42" xfId="1" applyFont="1" applyFill="1" applyBorder="1" applyAlignment="1">
      <alignment vertical="center"/>
    </xf>
    <xf numFmtId="0" fontId="2" fillId="3" borderId="42" xfId="1" applyFont="1" applyFill="1" applyBorder="1" applyAlignment="1">
      <alignment vertical="center"/>
    </xf>
    <xf numFmtId="0" fontId="4" fillId="3" borderId="38" xfId="1" applyFont="1" applyFill="1" applyBorder="1" applyAlignment="1">
      <alignment vertical="center"/>
    </xf>
    <xf numFmtId="0" fontId="2" fillId="3" borderId="38" xfId="1" applyFont="1" applyFill="1" applyBorder="1" applyAlignment="1">
      <alignment vertical="center"/>
    </xf>
    <xf numFmtId="0" fontId="4" fillId="3" borderId="18" xfId="1" applyFont="1" applyFill="1" applyBorder="1" applyAlignment="1">
      <alignment vertical="center"/>
    </xf>
    <xf numFmtId="0" fontId="2" fillId="3" borderId="39" xfId="1" applyFont="1" applyFill="1" applyBorder="1" applyAlignment="1">
      <alignment vertical="center"/>
    </xf>
    <xf numFmtId="0" fontId="4" fillId="3" borderId="56" xfId="1" applyFont="1" applyFill="1" applyBorder="1" applyAlignment="1">
      <alignment vertical="center"/>
    </xf>
    <xf numFmtId="0" fontId="2" fillId="3" borderId="37" xfId="1" applyFont="1" applyFill="1" applyBorder="1" applyAlignment="1">
      <alignment vertical="center"/>
    </xf>
    <xf numFmtId="0" fontId="4" fillId="3" borderId="19" xfId="1" applyFont="1" applyFill="1" applyBorder="1" applyAlignment="1">
      <alignment vertical="center"/>
    </xf>
    <xf numFmtId="0" fontId="4" fillId="3" borderId="63" xfId="1" applyFont="1" applyFill="1" applyBorder="1" applyAlignment="1">
      <alignment vertical="center"/>
    </xf>
    <xf numFmtId="0" fontId="2" fillId="3" borderId="43" xfId="1" applyFont="1" applyFill="1" applyBorder="1" applyAlignment="1">
      <alignment vertical="center"/>
    </xf>
    <xf numFmtId="0" fontId="4" fillId="3" borderId="28" xfId="1" applyFont="1" applyFill="1" applyBorder="1" applyAlignment="1">
      <alignment vertical="center"/>
    </xf>
    <xf numFmtId="0" fontId="4" fillId="3" borderId="49" xfId="1" applyFont="1" applyFill="1" applyBorder="1" applyAlignment="1">
      <alignment vertical="center"/>
    </xf>
    <xf numFmtId="0" fontId="4" fillId="3" borderId="42" xfId="1" applyFont="1" applyFill="1" applyBorder="1" applyAlignment="1">
      <alignment vertical="center" wrapText="1"/>
    </xf>
    <xf numFmtId="0" fontId="4" fillId="3" borderId="37" xfId="1" applyFont="1" applyFill="1" applyBorder="1" applyAlignment="1">
      <alignment vertical="center" wrapText="1"/>
    </xf>
    <xf numFmtId="0" fontId="75" fillId="0" borderId="0" xfId="1" applyFont="1" applyFill="1" applyBorder="1" applyAlignment="1">
      <alignment vertical="center"/>
    </xf>
    <xf numFmtId="0" fontId="20" fillId="0" borderId="0" xfId="1" applyFont="1"/>
    <xf numFmtId="0" fontId="15" fillId="0" borderId="0" xfId="1" applyFont="1"/>
    <xf numFmtId="0" fontId="2" fillId="3" borderId="56" xfId="1" applyFont="1" applyFill="1" applyBorder="1" applyAlignment="1">
      <alignment vertical="center"/>
    </xf>
    <xf numFmtId="0" fontId="76" fillId="4" borderId="0" xfId="0" applyFont="1" applyFill="1"/>
    <xf numFmtId="0" fontId="50" fillId="5" borderId="0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 wrapText="1"/>
    </xf>
    <xf numFmtId="0" fontId="44" fillId="4" borderId="0" xfId="0" applyFont="1" applyFill="1" applyBorder="1" applyAlignment="1">
      <alignment horizontal="left" vertical="top" wrapText="1"/>
    </xf>
    <xf numFmtId="0" fontId="4" fillId="5" borderId="0" xfId="0" applyFont="1" applyFill="1" applyBorder="1"/>
    <xf numFmtId="0" fontId="4" fillId="0" borderId="0" xfId="0" applyFont="1" applyFill="1" applyBorder="1"/>
    <xf numFmtId="0" fontId="4" fillId="0" borderId="0" xfId="0" quotePrefix="1" applyFont="1" applyFill="1" applyBorder="1" applyAlignment="1">
      <alignment vertical="top"/>
    </xf>
    <xf numFmtId="0" fontId="4" fillId="5" borderId="0" xfId="0" quotePrefix="1" applyFont="1" applyFill="1" applyAlignment="1">
      <alignment vertical="top"/>
    </xf>
    <xf numFmtId="0" fontId="2" fillId="5" borderId="0" xfId="0" applyFont="1" applyFill="1" applyBorder="1" applyAlignment="1">
      <alignment vertical="center" wrapText="1"/>
    </xf>
    <xf numFmtId="0" fontId="24" fillId="0" borderId="26" xfId="0" applyFont="1" applyBorder="1" applyAlignment="1">
      <alignment horizontal="center" vertical="center"/>
    </xf>
    <xf numFmtId="0" fontId="50" fillId="4" borderId="0" xfId="0" applyFont="1" applyFill="1"/>
    <xf numFmtId="0" fontId="71" fillId="4" borderId="0" xfId="1" applyFont="1" applyFill="1" applyAlignment="1"/>
    <xf numFmtId="0" fontId="73" fillId="4" borderId="0" xfId="1" applyFont="1" applyFill="1" applyAlignment="1">
      <alignment horizontal="center"/>
    </xf>
    <xf numFmtId="0" fontId="74" fillId="4" borderId="0" xfId="1" applyFont="1" applyFill="1"/>
    <xf numFmtId="0" fontId="4" fillId="4" borderId="0" xfId="1" applyFont="1" applyFill="1"/>
    <xf numFmtId="0" fontId="2" fillId="4" borderId="0" xfId="1" applyFont="1" applyFill="1"/>
    <xf numFmtId="0" fontId="4" fillId="4" borderId="8" xfId="1" applyFont="1" applyFill="1" applyBorder="1" applyAlignment="1">
      <alignment vertical="center" wrapText="1"/>
    </xf>
    <xf numFmtId="0" fontId="4" fillId="4" borderId="4" xfId="1" applyFont="1" applyFill="1" applyBorder="1" applyAlignment="1">
      <alignment vertical="center" wrapText="1"/>
    </xf>
    <xf numFmtId="0" fontId="4" fillId="4" borderId="63" xfId="1" applyFont="1" applyFill="1" applyBorder="1" applyAlignment="1">
      <alignment vertical="center" wrapText="1"/>
    </xf>
    <xf numFmtId="0" fontId="4" fillId="4" borderId="19" xfId="1" applyFont="1" applyFill="1" applyBorder="1" applyAlignment="1">
      <alignment vertical="center" wrapText="1"/>
    </xf>
    <xf numFmtId="0" fontId="14" fillId="4" borderId="4" xfId="1" applyFont="1" applyFill="1" applyBorder="1" applyAlignment="1">
      <alignment horizontal="center" vertical="center" wrapText="1"/>
    </xf>
    <xf numFmtId="0" fontId="6" fillId="4" borderId="0" xfId="1" applyFont="1" applyFill="1" applyAlignment="1">
      <alignment horizontal="right"/>
    </xf>
    <xf numFmtId="0" fontId="4" fillId="7" borderId="0" xfId="1" applyFont="1" applyFill="1"/>
    <xf numFmtId="0" fontId="4" fillId="7" borderId="0" xfId="1" applyFont="1" applyFill="1" applyAlignment="1"/>
    <xf numFmtId="0" fontId="8" fillId="4" borderId="0" xfId="0" applyFont="1" applyFill="1" applyAlignment="1">
      <alignment vertical="center"/>
    </xf>
    <xf numFmtId="0" fontId="4" fillId="3" borderId="39" xfId="1" applyFont="1" applyFill="1" applyBorder="1" applyAlignment="1">
      <alignment vertical="center"/>
    </xf>
    <xf numFmtId="0" fontId="6" fillId="3" borderId="49" xfId="1" applyFont="1" applyFill="1" applyBorder="1" applyAlignment="1">
      <alignment vertical="center" wrapText="1"/>
    </xf>
    <xf numFmtId="0" fontId="0" fillId="0" borderId="1" xfId="0" applyBorder="1"/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1" fillId="10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/>
    </xf>
    <xf numFmtId="0" fontId="51" fillId="4" borderId="0" xfId="0" applyFont="1" applyFill="1"/>
    <xf numFmtId="0" fontId="4" fillId="4" borderId="17" xfId="1" applyFont="1" applyFill="1" applyBorder="1" applyAlignment="1">
      <alignment vertical="center"/>
    </xf>
    <xf numFmtId="0" fontId="4" fillId="4" borderId="21" xfId="1" applyFont="1" applyFill="1" applyBorder="1" applyAlignment="1">
      <alignment vertical="center"/>
    </xf>
    <xf numFmtId="0" fontId="4" fillId="4" borderId="5" xfId="1" applyFont="1" applyFill="1" applyBorder="1"/>
    <xf numFmtId="0" fontId="4" fillId="4" borderId="5" xfId="1" applyFont="1" applyFill="1" applyBorder="1" applyAlignment="1">
      <alignment vertical="center"/>
    </xf>
    <xf numFmtId="0" fontId="4" fillId="4" borderId="0" xfId="1" applyFont="1" applyFill="1" applyBorder="1" applyAlignment="1">
      <alignment vertical="center" wrapText="1"/>
    </xf>
    <xf numFmtId="0" fontId="4" fillId="4" borderId="40" xfId="1" applyFont="1" applyFill="1" applyBorder="1" applyAlignment="1">
      <alignment vertical="center" wrapText="1"/>
    </xf>
    <xf numFmtId="0" fontId="4" fillId="4" borderId="55" xfId="1" applyFont="1" applyFill="1" applyBorder="1" applyAlignment="1">
      <alignment vertical="center" wrapText="1"/>
    </xf>
    <xf numFmtId="0" fontId="4" fillId="4" borderId="20" xfId="1" applyFont="1" applyFill="1" applyBorder="1" applyAlignment="1">
      <alignment vertical="center" wrapText="1"/>
    </xf>
    <xf numFmtId="0" fontId="4" fillId="4" borderId="50" xfId="1" applyFont="1" applyFill="1" applyBorder="1" applyAlignment="1">
      <alignment vertical="center" wrapText="1"/>
    </xf>
    <xf numFmtId="0" fontId="14" fillId="4" borderId="10" xfId="1" applyFont="1" applyFill="1" applyBorder="1" applyAlignment="1">
      <alignment horizontal="center" vertical="center" wrapText="1"/>
    </xf>
    <xf numFmtId="0" fontId="4" fillId="4" borderId="9" xfId="1" applyFont="1" applyFill="1" applyBorder="1" applyAlignment="1">
      <alignment vertical="center" wrapText="1"/>
    </xf>
    <xf numFmtId="0" fontId="4" fillId="4" borderId="6" xfId="1" applyFont="1" applyFill="1" applyBorder="1" applyAlignment="1">
      <alignment vertical="center" wrapText="1"/>
    </xf>
    <xf numFmtId="0" fontId="4" fillId="4" borderId="11" xfId="1" applyFont="1" applyFill="1" applyBorder="1" applyAlignment="1">
      <alignment vertical="center" wrapText="1"/>
    </xf>
    <xf numFmtId="0" fontId="4" fillId="4" borderId="48" xfId="1" applyFont="1" applyFill="1" applyBorder="1" applyAlignment="1">
      <alignment vertical="center"/>
    </xf>
    <xf numFmtId="0" fontId="4" fillId="4" borderId="0" xfId="1" applyFont="1" applyFill="1" applyBorder="1"/>
    <xf numFmtId="0" fontId="4" fillId="4" borderId="32" xfId="1" applyFont="1" applyFill="1" applyBorder="1" applyAlignment="1">
      <alignment vertical="center" wrapText="1"/>
    </xf>
    <xf numFmtId="0" fontId="14" fillId="4" borderId="7" xfId="1" applyFont="1" applyFill="1" applyBorder="1" applyAlignment="1">
      <alignment horizontal="center" vertical="center" wrapText="1"/>
    </xf>
    <xf numFmtId="0" fontId="14" fillId="4" borderId="5" xfId="1" applyFont="1" applyFill="1" applyBorder="1" applyAlignment="1">
      <alignment horizontal="center" vertical="center" wrapText="1"/>
    </xf>
    <xf numFmtId="0" fontId="14" fillId="4" borderId="4" xfId="1" applyFont="1" applyFill="1" applyBorder="1" applyAlignment="1">
      <alignment horizontal="center" wrapText="1"/>
    </xf>
    <xf numFmtId="0" fontId="14" fillId="4" borderId="14" xfId="1" applyFont="1" applyFill="1" applyBorder="1" applyAlignment="1">
      <alignment vertical="center" wrapText="1"/>
    </xf>
    <xf numFmtId="0" fontId="14" fillId="4" borderId="51" xfId="1" applyFont="1" applyFill="1" applyBorder="1" applyAlignment="1">
      <alignment horizontal="center" vertical="center" wrapText="1"/>
    </xf>
    <xf numFmtId="0" fontId="14" fillId="4" borderId="20" xfId="1" applyFont="1" applyFill="1" applyBorder="1" applyAlignment="1">
      <alignment horizontal="center" vertical="center" wrapText="1"/>
    </xf>
    <xf numFmtId="0" fontId="14" fillId="4" borderId="55" xfId="1" applyFont="1" applyFill="1" applyBorder="1" applyAlignment="1">
      <alignment horizontal="center" vertical="center" wrapText="1"/>
    </xf>
    <xf numFmtId="0" fontId="4" fillId="4" borderId="47" xfId="1" applyFont="1" applyFill="1" applyBorder="1" applyAlignment="1">
      <alignment horizontal="left" vertical="center" wrapText="1"/>
    </xf>
    <xf numFmtId="0" fontId="14" fillId="4" borderId="56" xfId="1" applyFont="1" applyFill="1" applyBorder="1" applyAlignment="1">
      <alignment vertical="center" wrapText="1"/>
    </xf>
    <xf numFmtId="0" fontId="14" fillId="4" borderId="3" xfId="1" applyFont="1" applyFill="1" applyBorder="1" applyAlignment="1">
      <alignment vertical="center" wrapText="1"/>
    </xf>
    <xf numFmtId="0" fontId="8" fillId="0" borderId="0" xfId="0" applyFont="1" applyAlignment="1"/>
    <xf numFmtId="0" fontId="24" fillId="0" borderId="34" xfId="0" applyFont="1" applyBorder="1" applyAlignment="1">
      <alignment horizontal="center" vertical="center"/>
    </xf>
    <xf numFmtId="0" fontId="4" fillId="4" borderId="7" xfId="1" applyFont="1" applyFill="1" applyBorder="1" applyAlignment="1">
      <alignment vertical="center" wrapText="1"/>
    </xf>
    <xf numFmtId="0" fontId="4" fillId="4" borderId="5" xfId="1" applyFont="1" applyFill="1" applyBorder="1" applyAlignment="1">
      <alignment vertical="center" wrapText="1"/>
    </xf>
    <xf numFmtId="0" fontId="14" fillId="4" borderId="44" xfId="1" applyFont="1" applyFill="1" applyBorder="1" applyAlignment="1">
      <alignment vertical="center" wrapText="1"/>
    </xf>
    <xf numFmtId="0" fontId="28" fillId="12" borderId="0" xfId="0" applyFont="1" applyFill="1" applyBorder="1" applyAlignment="1">
      <alignment horizontal="center" vertical="center"/>
    </xf>
    <xf numFmtId="0" fontId="28" fillId="5" borderId="68" xfId="0" applyFont="1" applyFill="1" applyBorder="1" applyAlignment="1">
      <alignment horizontal="center" vertical="center"/>
    </xf>
    <xf numFmtId="0" fontId="28" fillId="5" borderId="6" xfId="0" applyFont="1" applyFill="1" applyBorder="1" applyAlignment="1">
      <alignment horizontal="center" vertical="center"/>
    </xf>
    <xf numFmtId="0" fontId="28" fillId="5" borderId="9" xfId="0" applyFont="1" applyFill="1" applyBorder="1" applyAlignment="1">
      <alignment horizontal="center" vertical="center"/>
    </xf>
    <xf numFmtId="0" fontId="31" fillId="5" borderId="9" xfId="0" applyFont="1" applyFill="1" applyBorder="1" applyAlignment="1">
      <alignment horizontal="center" vertical="center"/>
    </xf>
    <xf numFmtId="0" fontId="31" fillId="5" borderId="69" xfId="0" applyFont="1" applyFill="1" applyBorder="1" applyAlignment="1">
      <alignment horizontal="center" vertical="center"/>
    </xf>
    <xf numFmtId="0" fontId="33" fillId="5" borderId="9" xfId="0" applyFont="1" applyFill="1" applyBorder="1" applyAlignment="1">
      <alignment horizontal="center" vertical="center"/>
    </xf>
    <xf numFmtId="0" fontId="33" fillId="5" borderId="11" xfId="0" applyFont="1" applyFill="1" applyBorder="1" applyAlignment="1">
      <alignment horizontal="center" vertical="center"/>
    </xf>
    <xf numFmtId="0" fontId="18" fillId="5" borderId="0" xfId="0" applyFont="1" applyFill="1" applyBorder="1" applyAlignment="1">
      <alignment horizontal="center" vertical="center"/>
    </xf>
    <xf numFmtId="0" fontId="28" fillId="4" borderId="0" xfId="0" applyFont="1" applyFill="1" applyBorder="1" applyAlignment="1">
      <alignment vertical="center"/>
    </xf>
    <xf numFmtId="0" fontId="82" fillId="4" borderId="0" xfId="0" applyFont="1" applyFill="1" applyBorder="1" applyAlignment="1">
      <alignment vertical="top" wrapText="1"/>
    </xf>
    <xf numFmtId="0" fontId="80" fillId="19" borderId="0" xfId="0" applyFont="1" applyFill="1" applyBorder="1" applyAlignment="1">
      <alignment horizontal="center" vertical="center" wrapText="1"/>
    </xf>
    <xf numFmtId="0" fontId="29" fillId="4" borderId="0" xfId="0" applyFont="1" applyFill="1" applyBorder="1" applyAlignment="1">
      <alignment vertical="center"/>
    </xf>
    <xf numFmtId="0" fontId="29" fillId="4" borderId="60" xfId="0" applyFont="1" applyFill="1" applyBorder="1" applyAlignment="1">
      <alignment vertical="center"/>
    </xf>
    <xf numFmtId="0" fontId="32" fillId="4" borderId="0" xfId="0" applyFont="1" applyFill="1" applyBorder="1" applyAlignment="1">
      <alignment vertical="center"/>
    </xf>
    <xf numFmtId="0" fontId="32" fillId="7" borderId="0" xfId="0" applyFont="1" applyFill="1" applyBorder="1" applyAlignment="1">
      <alignment horizontal="center" vertical="center"/>
    </xf>
    <xf numFmtId="0" fontId="32" fillId="12" borderId="0" xfId="0" applyFont="1" applyFill="1" applyBorder="1" applyAlignment="1">
      <alignment horizontal="center" vertical="center"/>
    </xf>
    <xf numFmtId="0" fontId="33" fillId="12" borderId="64" xfId="0" applyFont="1" applyFill="1" applyBorder="1" applyAlignment="1">
      <alignment horizontal="center" vertical="center"/>
    </xf>
    <xf numFmtId="0" fontId="28" fillId="5" borderId="69" xfId="0" applyFont="1" applyFill="1" applyBorder="1" applyAlignment="1">
      <alignment horizontal="center" vertical="center"/>
    </xf>
    <xf numFmtId="0" fontId="32" fillId="8" borderId="5" xfId="0" applyFont="1" applyFill="1" applyBorder="1" applyAlignment="1">
      <alignment horizontal="left" vertical="center"/>
    </xf>
    <xf numFmtId="0" fontId="33" fillId="8" borderId="5" xfId="0" applyFont="1" applyFill="1" applyBorder="1" applyAlignment="1">
      <alignment horizontal="center" vertical="center"/>
    </xf>
    <xf numFmtId="0" fontId="32" fillId="8" borderId="0" xfId="0" applyFont="1" applyFill="1" applyBorder="1" applyAlignment="1">
      <alignment horizontal="left" vertical="center"/>
    </xf>
    <xf numFmtId="0" fontId="33" fillId="8" borderId="0" xfId="0" applyFont="1" applyFill="1" applyBorder="1" applyAlignment="1">
      <alignment horizontal="center" vertical="center"/>
    </xf>
    <xf numFmtId="0" fontId="29" fillId="8" borderId="60" xfId="0" applyFont="1" applyFill="1" applyBorder="1" applyAlignment="1">
      <alignment horizontal="left" vertical="center"/>
    </xf>
    <xf numFmtId="0" fontId="28" fillId="8" borderId="60" xfId="0" applyFont="1" applyFill="1" applyBorder="1" applyAlignment="1">
      <alignment horizontal="center" vertical="center"/>
    </xf>
    <xf numFmtId="0" fontId="11" fillId="4" borderId="9" xfId="0" applyFont="1" applyFill="1" applyBorder="1" applyAlignment="1">
      <alignment horizontal="center" vertical="center" textRotation="255"/>
    </xf>
    <xf numFmtId="0" fontId="18" fillId="5" borderId="10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 wrapText="1"/>
    </xf>
    <xf numFmtId="0" fontId="29" fillId="8" borderId="61" xfId="0" applyFont="1" applyFill="1" applyBorder="1" applyAlignment="1">
      <alignment horizontal="left" vertical="center"/>
    </xf>
    <xf numFmtId="0" fontId="28" fillId="8" borderId="61" xfId="0" applyFont="1" applyFill="1" applyBorder="1" applyAlignment="1">
      <alignment horizontal="center" vertical="center"/>
    </xf>
    <xf numFmtId="0" fontId="66" fillId="4" borderId="0" xfId="0" applyFont="1" applyFill="1" applyBorder="1"/>
    <xf numFmtId="0" fontId="11" fillId="4" borderId="11" xfId="0" applyFont="1" applyFill="1" applyBorder="1" applyAlignment="1">
      <alignment horizontal="center" vertical="center" textRotation="255" wrapText="1"/>
    </xf>
    <xf numFmtId="0" fontId="14" fillId="4" borderId="8" xfId="1" applyFont="1" applyFill="1" applyBorder="1" applyAlignment="1">
      <alignment horizontal="center" vertical="center" wrapText="1"/>
    </xf>
    <xf numFmtId="0" fontId="71" fillId="4" borderId="0" xfId="1" applyFont="1" applyFill="1" applyAlignment="1">
      <alignment horizontal="center"/>
    </xf>
    <xf numFmtId="0" fontId="14" fillId="4" borderId="34" xfId="1" applyFont="1" applyFill="1" applyBorder="1" applyAlignment="1">
      <alignment horizontal="center" vertical="center"/>
    </xf>
    <xf numFmtId="0" fontId="14" fillId="4" borderId="21" xfId="1" applyFont="1" applyFill="1" applyBorder="1" applyAlignment="1">
      <alignment horizontal="center" vertical="center"/>
    </xf>
    <xf numFmtId="0" fontId="14" fillId="4" borderId="40" xfId="1" applyFont="1" applyFill="1" applyBorder="1" applyAlignment="1">
      <alignment horizontal="center" vertical="center"/>
    </xf>
    <xf numFmtId="0" fontId="8" fillId="6" borderId="0" xfId="0" applyFont="1" applyFill="1"/>
    <xf numFmtId="0" fontId="2" fillId="6" borderId="0" xfId="0" applyFont="1" applyFill="1"/>
    <xf numFmtId="0" fontId="2" fillId="8" borderId="0" xfId="0" applyFont="1" applyFill="1"/>
    <xf numFmtId="0" fontId="32" fillId="0" borderId="61" xfId="0" applyFont="1" applyBorder="1"/>
    <xf numFmtId="0" fontId="33" fillId="7" borderId="61" xfId="0" applyFont="1" applyFill="1" applyBorder="1" applyAlignment="1">
      <alignment horizontal="center" vertical="center"/>
    </xf>
    <xf numFmtId="0" fontId="29" fillId="4" borderId="61" xfId="0" applyFont="1" applyFill="1" applyBorder="1" applyAlignment="1">
      <alignment horizontal="left" vertical="center"/>
    </xf>
    <xf numFmtId="0" fontId="28" fillId="7" borderId="61" xfId="0" applyFont="1" applyFill="1" applyBorder="1" applyAlignment="1">
      <alignment horizontal="center" vertical="center"/>
    </xf>
    <xf numFmtId="0" fontId="30" fillId="4" borderId="61" xfId="0" applyFont="1" applyFill="1" applyBorder="1" applyAlignment="1">
      <alignment horizontal="left" vertical="center"/>
    </xf>
    <xf numFmtId="0" fontId="31" fillId="12" borderId="61" xfId="0" applyFont="1" applyFill="1" applyBorder="1" applyAlignment="1">
      <alignment horizontal="center" vertical="center"/>
    </xf>
    <xf numFmtId="0" fontId="31" fillId="7" borderId="61" xfId="0" applyFont="1" applyFill="1" applyBorder="1" applyAlignment="1">
      <alignment horizontal="center" vertical="center"/>
    </xf>
    <xf numFmtId="0" fontId="31" fillId="5" borderId="70" xfId="0" applyFont="1" applyFill="1" applyBorder="1" applyAlignment="1">
      <alignment horizontal="center" vertical="center"/>
    </xf>
    <xf numFmtId="0" fontId="28" fillId="5" borderId="70" xfId="0" applyFont="1" applyFill="1" applyBorder="1" applyAlignment="1">
      <alignment horizontal="center" vertical="center"/>
    </xf>
    <xf numFmtId="0" fontId="20" fillId="7" borderId="7" xfId="0" applyFont="1" applyFill="1" applyBorder="1" applyAlignment="1">
      <alignment horizontal="center" vertical="center"/>
    </xf>
    <xf numFmtId="0" fontId="4" fillId="7" borderId="8" xfId="0" applyFont="1" applyFill="1" applyBorder="1"/>
    <xf numFmtId="0" fontId="20" fillId="5" borderId="7" xfId="0" applyFont="1" applyFill="1" applyBorder="1" applyAlignment="1">
      <alignment horizontal="center" vertical="center"/>
    </xf>
    <xf numFmtId="0" fontId="14" fillId="4" borderId="40" xfId="1" applyFont="1" applyFill="1" applyBorder="1" applyAlignment="1">
      <alignment horizontal="center" vertical="center"/>
    </xf>
    <xf numFmtId="0" fontId="14" fillId="4" borderId="21" xfId="1" applyFont="1" applyFill="1" applyBorder="1" applyAlignment="1">
      <alignment horizontal="center" vertical="center"/>
    </xf>
    <xf numFmtId="0" fontId="14" fillId="4" borderId="34" xfId="1" applyFont="1" applyFill="1" applyBorder="1" applyAlignment="1">
      <alignment horizontal="center" vertical="center"/>
    </xf>
    <xf numFmtId="0" fontId="71" fillId="4" borderId="0" xfId="1" applyFont="1" applyFill="1" applyAlignment="1">
      <alignment horizontal="center"/>
    </xf>
    <xf numFmtId="0" fontId="14" fillId="4" borderId="8" xfId="1" applyFont="1" applyFill="1" applyBorder="1" applyAlignment="1">
      <alignment horizontal="center" vertical="center" wrapText="1"/>
    </xf>
    <xf numFmtId="0" fontId="81" fillId="4" borderId="0" xfId="0" applyFont="1" applyFill="1" applyAlignment="1">
      <alignment vertical="center"/>
    </xf>
    <xf numFmtId="0" fontId="2" fillId="4" borderId="48" xfId="0" applyFont="1" applyFill="1" applyBorder="1" applyAlignment="1"/>
    <xf numFmtId="0" fontId="16" fillId="4" borderId="40" xfId="0" applyFont="1" applyFill="1" applyBorder="1" applyAlignment="1">
      <alignment horizontal="center" vertical="center"/>
    </xf>
    <xf numFmtId="0" fontId="16" fillId="4" borderId="41" xfId="0" applyFont="1" applyFill="1" applyBorder="1" applyAlignment="1">
      <alignment horizontal="center" vertical="center"/>
    </xf>
    <xf numFmtId="0" fontId="83" fillId="16" borderId="0" xfId="0" applyFont="1" applyFill="1" applyBorder="1" applyAlignment="1">
      <alignment horizontal="center" vertical="center"/>
    </xf>
    <xf numFmtId="0" fontId="18" fillId="4" borderId="0" xfId="0" applyFont="1" applyFill="1" applyAlignment="1">
      <alignment horizontal="right"/>
    </xf>
    <xf numFmtId="0" fontId="59" fillId="4" borderId="0" xfId="0" applyFont="1" applyFill="1"/>
    <xf numFmtId="0" fontId="5" fillId="7" borderId="0" xfId="1" applyFont="1" applyFill="1" applyAlignment="1">
      <alignment horizontal="right"/>
    </xf>
    <xf numFmtId="0" fontId="4" fillId="0" borderId="19" xfId="1" applyFont="1" applyBorder="1" applyAlignment="1">
      <alignment vertical="center"/>
    </xf>
    <xf numFmtId="0" fontId="2" fillId="0" borderId="52" xfId="1" applyFont="1" applyBorder="1" applyAlignment="1">
      <alignment vertical="center"/>
    </xf>
    <xf numFmtId="0" fontId="14" fillId="4" borderId="19" xfId="1" applyFont="1" applyFill="1" applyBorder="1" applyAlignment="1">
      <alignment horizontal="center" vertical="center"/>
    </xf>
    <xf numFmtId="0" fontId="14" fillId="4" borderId="4" xfId="1" applyFont="1" applyFill="1" applyBorder="1" applyAlignment="1">
      <alignment horizontal="center" vertical="center"/>
    </xf>
    <xf numFmtId="0" fontId="2" fillId="0" borderId="42" xfId="1" applyFont="1" applyBorder="1" applyAlignment="1">
      <alignment vertical="center"/>
    </xf>
    <xf numFmtId="14" fontId="0" fillId="8" borderId="0" xfId="0" applyNumberFormat="1" applyFill="1"/>
    <xf numFmtId="14" fontId="0" fillId="19" borderId="0" xfId="0" applyNumberFormat="1" applyFill="1"/>
    <xf numFmtId="14" fontId="0" fillId="11" borderId="0" xfId="0" applyNumberFormat="1" applyFill="1"/>
    <xf numFmtId="0" fontId="24" fillId="4" borderId="21" xfId="0" applyFont="1" applyFill="1" applyBorder="1" applyAlignment="1">
      <alignment horizontal="center" vertical="center"/>
    </xf>
    <xf numFmtId="0" fontId="38" fillId="4" borderId="0" xfId="0" applyFont="1" applyFill="1" applyBorder="1" applyAlignment="1">
      <alignment horizontal="left" vertical="top" wrapText="1"/>
    </xf>
    <xf numFmtId="0" fontId="0" fillId="0" borderId="0" xfId="0" applyBorder="1" applyAlignment="1">
      <alignment vertical="center"/>
    </xf>
    <xf numFmtId="0" fontId="60" fillId="4" borderId="0" xfId="0" applyFont="1" applyFill="1" applyBorder="1" applyAlignment="1">
      <alignment horizontal="center" vertical="center"/>
    </xf>
    <xf numFmtId="49" fontId="84" fillId="4" borderId="0" xfId="0" applyNumberFormat="1" applyFont="1" applyFill="1" applyBorder="1" applyAlignment="1">
      <alignment vertical="top" wrapText="1"/>
    </xf>
    <xf numFmtId="49" fontId="84" fillId="4" borderId="0" xfId="0" applyNumberFormat="1" applyFont="1" applyFill="1" applyBorder="1" applyAlignment="1">
      <alignment vertical="top"/>
    </xf>
    <xf numFmtId="0" fontId="88" fillId="4" borderId="0" xfId="0" applyFont="1" applyFill="1" applyBorder="1" applyAlignment="1">
      <alignment horizontal="left" vertical="center" wrapText="1"/>
    </xf>
    <xf numFmtId="0" fontId="89" fillId="4" borderId="0" xfId="0" applyFont="1" applyFill="1" applyBorder="1" applyAlignment="1">
      <alignment horizontal="center" vertical="center" wrapText="1"/>
    </xf>
    <xf numFmtId="0" fontId="59" fillId="4" borderId="0" xfId="0" applyFont="1" applyFill="1" applyBorder="1" applyAlignment="1">
      <alignment vertical="center"/>
    </xf>
    <xf numFmtId="0" fontId="59" fillId="4" borderId="0" xfId="0" applyFont="1" applyFill="1" applyBorder="1"/>
    <xf numFmtId="0" fontId="59" fillId="4" borderId="10" xfId="0" applyFont="1" applyFill="1" applyBorder="1"/>
    <xf numFmtId="0" fontId="80" fillId="9" borderId="0" xfId="0" applyFont="1" applyFill="1" applyBorder="1" applyAlignment="1">
      <alignment horizontal="center" vertical="center" wrapText="1"/>
    </xf>
    <xf numFmtId="0" fontId="3" fillId="2" borderId="34" xfId="0" applyFont="1" applyFill="1" applyBorder="1" applyAlignment="1">
      <alignment vertical="center" wrapText="1"/>
    </xf>
    <xf numFmtId="0" fontId="22" fillId="4" borderId="40" xfId="0" applyFont="1" applyFill="1" applyBorder="1" applyAlignment="1">
      <alignment horizontal="center" vertical="center"/>
    </xf>
    <xf numFmtId="0" fontId="0" fillId="4" borderId="24" xfId="0" applyFill="1" applyBorder="1"/>
    <xf numFmtId="0" fontId="4" fillId="4" borderId="10" xfId="0" applyFont="1" applyFill="1" applyBorder="1"/>
    <xf numFmtId="0" fontId="90" fillId="9" borderId="0" xfId="0" applyFont="1" applyFill="1" applyBorder="1" applyAlignment="1">
      <alignment horizontal="left" vertical="top" wrapText="1"/>
    </xf>
    <xf numFmtId="0" fontId="94" fillId="18" borderId="0" xfId="0" applyFont="1" applyFill="1" applyBorder="1" applyAlignment="1">
      <alignment vertical="top" wrapText="1"/>
    </xf>
    <xf numFmtId="0" fontId="95" fillId="18" borderId="0" xfId="0" applyFont="1" applyFill="1" applyBorder="1" applyAlignment="1">
      <alignment horizontal="center" vertical="center" wrapText="1"/>
    </xf>
    <xf numFmtId="0" fontId="94" fillId="4" borderId="0" xfId="0" applyFont="1" applyFill="1" applyBorder="1" applyAlignment="1">
      <alignment vertical="top" wrapText="1"/>
    </xf>
    <xf numFmtId="0" fontId="96" fillId="4" borderId="0" xfId="0" applyFont="1" applyFill="1" applyBorder="1" applyAlignment="1">
      <alignment vertical="center"/>
    </xf>
    <xf numFmtId="0" fontId="96" fillId="4" borderId="10" xfId="0" applyFont="1" applyFill="1" applyBorder="1" applyAlignment="1">
      <alignment vertical="center"/>
    </xf>
    <xf numFmtId="0" fontId="82" fillId="9" borderId="0" xfId="0" applyFont="1" applyFill="1" applyBorder="1" applyAlignment="1">
      <alignment horizontal="left" vertical="top" wrapText="1"/>
    </xf>
    <xf numFmtId="0" fontId="97" fillId="9" borderId="0" xfId="0" applyFont="1" applyFill="1" applyBorder="1" applyAlignment="1">
      <alignment horizontal="center" vertical="center" wrapText="1"/>
    </xf>
    <xf numFmtId="0" fontId="94" fillId="14" borderId="0" xfId="0" applyFont="1" applyFill="1" applyBorder="1" applyAlignment="1">
      <alignment vertical="top" wrapText="1"/>
    </xf>
    <xf numFmtId="0" fontId="94" fillId="14" borderId="0" xfId="0" applyFont="1" applyFill="1" applyBorder="1" applyAlignment="1">
      <alignment horizontal="left" vertical="top"/>
    </xf>
    <xf numFmtId="0" fontId="95" fillId="14" borderId="0" xfId="0" applyFont="1" applyFill="1" applyBorder="1" applyAlignment="1">
      <alignment horizontal="center" vertical="center" wrapText="1"/>
    </xf>
    <xf numFmtId="0" fontId="40" fillId="4" borderId="10" xfId="0" applyFont="1" applyFill="1" applyBorder="1"/>
    <xf numFmtId="0" fontId="41" fillId="4" borderId="10" xfId="0" applyFont="1" applyFill="1" applyBorder="1" applyAlignment="1">
      <alignment vertical="center"/>
    </xf>
    <xf numFmtId="0" fontId="2" fillId="4" borderId="0" xfId="0" applyFont="1" applyFill="1" applyBorder="1" applyAlignment="1">
      <alignment horizontal="right" wrapText="1"/>
    </xf>
    <xf numFmtId="0" fontId="98" fillId="4" borderId="0" xfId="0" applyFont="1" applyFill="1" applyBorder="1" applyAlignment="1">
      <alignment horizontal="right"/>
    </xf>
    <xf numFmtId="0" fontId="98" fillId="4" borderId="0" xfId="0" applyFont="1" applyFill="1" applyBorder="1" applyAlignment="1">
      <alignment horizontal="right" wrapText="1"/>
    </xf>
    <xf numFmtId="0" fontId="22" fillId="4" borderId="73" xfId="0" applyFont="1" applyFill="1" applyBorder="1" applyAlignment="1">
      <alignment horizontal="center" vertical="center"/>
    </xf>
    <xf numFmtId="0" fontId="16" fillId="4" borderId="73" xfId="0" applyFont="1" applyFill="1" applyBorder="1" applyAlignment="1">
      <alignment horizontal="center" vertical="center"/>
    </xf>
    <xf numFmtId="0" fontId="100" fillId="4" borderId="10" xfId="0" applyFont="1" applyFill="1" applyBorder="1" applyAlignment="1">
      <alignment vertical="center"/>
    </xf>
    <xf numFmtId="0" fontId="100" fillId="4" borderId="0" xfId="0" applyFont="1" applyFill="1" applyBorder="1" applyAlignment="1">
      <alignment vertical="center"/>
    </xf>
    <xf numFmtId="0" fontId="100" fillId="4" borderId="0" xfId="0" applyFont="1" applyFill="1"/>
    <xf numFmtId="0" fontId="103" fillId="4" borderId="0" xfId="0" applyFont="1" applyFill="1" applyBorder="1" applyAlignment="1">
      <alignment vertical="top" wrapText="1"/>
    </xf>
    <xf numFmtId="0" fontId="100" fillId="4" borderId="9" xfId="0" applyFont="1" applyFill="1" applyBorder="1" applyAlignment="1">
      <alignment vertical="center"/>
    </xf>
    <xf numFmtId="0" fontId="100" fillId="4" borderId="0" xfId="0" applyFont="1" applyFill="1" applyAlignment="1">
      <alignment vertical="center"/>
    </xf>
    <xf numFmtId="0" fontId="100" fillId="0" borderId="0" xfId="0" applyFont="1" applyAlignment="1">
      <alignment vertical="center"/>
    </xf>
    <xf numFmtId="0" fontId="105" fillId="4" borderId="0" xfId="0" applyFont="1" applyFill="1" applyAlignment="1">
      <alignment horizontal="right"/>
    </xf>
    <xf numFmtId="0" fontId="100" fillId="4" borderId="0" xfId="0" applyFont="1" applyFill="1" applyBorder="1" applyAlignment="1">
      <alignment horizontal="left" vertical="center"/>
    </xf>
    <xf numFmtId="0" fontId="106" fillId="4" borderId="0" xfId="0" applyFont="1" applyFill="1" applyAlignment="1">
      <alignment horizontal="right" vertical="top"/>
    </xf>
    <xf numFmtId="0" fontId="105" fillId="18" borderId="0" xfId="0" applyFont="1" applyFill="1" applyAlignment="1">
      <alignment horizontal="center" vertical="center"/>
    </xf>
    <xf numFmtId="0" fontId="17" fillId="4" borderId="0" xfId="0" applyFont="1" applyFill="1" applyBorder="1" applyAlignment="1">
      <alignment horizontal="center" vertical="center"/>
    </xf>
    <xf numFmtId="0" fontId="52" fillId="20" borderId="0" xfId="0" applyFont="1" applyFill="1" applyBorder="1" applyAlignment="1">
      <alignment horizontal="center" vertical="center" wrapText="1"/>
    </xf>
    <xf numFmtId="0" fontId="54" fillId="20" borderId="0" xfId="0" applyFont="1" applyFill="1" applyBorder="1" applyAlignment="1">
      <alignment horizontal="center" vertical="center"/>
    </xf>
    <xf numFmtId="0" fontId="53" fillId="20" borderId="0" xfId="0" applyFont="1" applyFill="1" applyBorder="1" applyAlignment="1">
      <alignment horizontal="center" vertical="center"/>
    </xf>
    <xf numFmtId="0" fontId="99" fillId="4" borderId="0" xfId="0" applyFont="1" applyFill="1" applyBorder="1" applyAlignment="1">
      <alignment vertical="top" wrapText="1"/>
    </xf>
    <xf numFmtId="0" fontId="101" fillId="4" borderId="0" xfId="0" applyFont="1" applyFill="1" applyBorder="1" applyAlignment="1">
      <alignment vertical="top" wrapText="1"/>
    </xf>
    <xf numFmtId="0" fontId="107" fillId="21" borderId="0" xfId="0" applyFont="1" applyFill="1" applyBorder="1" applyAlignment="1">
      <alignment horizontal="center" vertical="center" wrapText="1"/>
    </xf>
    <xf numFmtId="0" fontId="101" fillId="4" borderId="0" xfId="0" applyFont="1" applyFill="1" applyBorder="1" applyAlignment="1">
      <alignment vertical="center"/>
    </xf>
    <xf numFmtId="0" fontId="101" fillId="4" borderId="0" xfId="0" applyFont="1" applyFill="1" applyBorder="1" applyAlignment="1">
      <alignment horizontal="left" vertical="top" wrapText="1"/>
    </xf>
    <xf numFmtId="0" fontId="101" fillId="4" borderId="0" xfId="0" applyFont="1" applyFill="1" applyAlignment="1">
      <alignment vertical="center"/>
    </xf>
    <xf numFmtId="0" fontId="107" fillId="21" borderId="0" xfId="0" applyFont="1" applyFill="1" applyBorder="1" applyAlignment="1">
      <alignment horizontal="center" vertical="center"/>
    </xf>
    <xf numFmtId="0" fontId="101" fillId="0" borderId="0" xfId="0" applyFont="1" applyAlignment="1">
      <alignment vertical="center"/>
    </xf>
    <xf numFmtId="0" fontId="107" fillId="21" borderId="0" xfId="0" applyFont="1" applyFill="1" applyAlignment="1">
      <alignment horizontal="center" vertical="center"/>
    </xf>
    <xf numFmtId="0" fontId="108" fillId="4" borderId="0" xfId="0" applyFont="1" applyFill="1" applyBorder="1" applyAlignment="1">
      <alignment vertical="top" wrapText="1"/>
    </xf>
    <xf numFmtId="0" fontId="96" fillId="4" borderId="9" xfId="0" applyFont="1" applyFill="1" applyBorder="1" applyAlignment="1">
      <alignment vertical="center"/>
    </xf>
    <xf numFmtId="0" fontId="93" fillId="21" borderId="0" xfId="0" applyFont="1" applyFill="1" applyBorder="1" applyAlignment="1">
      <alignment horizontal="center" vertical="center" wrapText="1"/>
    </xf>
    <xf numFmtId="0" fontId="102" fillId="21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vertical="center"/>
    </xf>
    <xf numFmtId="0" fontId="67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46" fillId="0" borderId="0" xfId="0" applyFont="1" applyFill="1" applyBorder="1" applyAlignment="1">
      <alignment vertical="center"/>
    </xf>
    <xf numFmtId="0" fontId="43" fillId="0" borderId="0" xfId="0" applyFont="1" applyFill="1" applyBorder="1" applyAlignment="1">
      <alignment vertical="center"/>
    </xf>
    <xf numFmtId="0" fontId="9" fillId="0" borderId="0" xfId="0" applyFont="1" applyFill="1" applyAlignment="1">
      <alignment horizontal="center" vertical="center"/>
    </xf>
    <xf numFmtId="0" fontId="16" fillId="4" borderId="74" xfId="0" applyFont="1" applyFill="1" applyBorder="1" applyAlignment="1">
      <alignment horizontal="center" vertical="center"/>
    </xf>
    <xf numFmtId="0" fontId="10" fillId="0" borderId="76" xfId="0" applyFont="1" applyBorder="1" applyAlignment="1">
      <alignment horizontal="center" vertical="center"/>
    </xf>
    <xf numFmtId="0" fontId="10" fillId="4" borderId="76" xfId="0" applyFont="1" applyFill="1" applyBorder="1" applyAlignment="1">
      <alignment horizontal="center" vertical="center" wrapText="1"/>
    </xf>
    <xf numFmtId="0" fontId="10" fillId="3" borderId="76" xfId="0" applyFont="1" applyFill="1" applyBorder="1" applyAlignment="1">
      <alignment horizontal="center" vertical="center"/>
    </xf>
    <xf numFmtId="0" fontId="10" fillId="3" borderId="76" xfId="0" applyFont="1" applyFill="1" applyBorder="1" applyAlignment="1">
      <alignment horizontal="center" vertical="center" wrapText="1"/>
    </xf>
    <xf numFmtId="0" fontId="26" fillId="3" borderId="76" xfId="0" applyFont="1" applyFill="1" applyBorder="1" applyAlignment="1">
      <alignment horizontal="center" vertical="center" wrapText="1"/>
    </xf>
    <xf numFmtId="0" fontId="110" fillId="0" borderId="76" xfId="0" applyFont="1" applyBorder="1" applyAlignment="1">
      <alignment horizontal="center" vertical="center"/>
    </xf>
    <xf numFmtId="0" fontId="10" fillId="4" borderId="76" xfId="0" applyFont="1" applyFill="1" applyBorder="1" applyAlignment="1">
      <alignment horizontal="center" vertical="center"/>
    </xf>
    <xf numFmtId="0" fontId="2" fillId="4" borderId="76" xfId="0" applyFont="1" applyFill="1" applyBorder="1" applyAlignment="1">
      <alignment horizontal="center" vertical="center"/>
    </xf>
    <xf numFmtId="0" fontId="110" fillId="4" borderId="76" xfId="0" applyFont="1" applyFill="1" applyBorder="1" applyAlignment="1">
      <alignment horizontal="center" vertical="center"/>
    </xf>
    <xf numFmtId="0" fontId="110" fillId="3" borderId="76" xfId="0" applyFont="1" applyFill="1" applyBorder="1" applyAlignment="1">
      <alignment horizontal="center" vertical="center"/>
    </xf>
    <xf numFmtId="0" fontId="2" fillId="0" borderId="76" xfId="0" applyFont="1" applyBorder="1" applyAlignment="1">
      <alignment horizontal="center" vertical="center"/>
    </xf>
    <xf numFmtId="0" fontId="2" fillId="3" borderId="76" xfId="0" applyFont="1" applyFill="1" applyBorder="1" applyAlignment="1">
      <alignment horizontal="center" vertical="center"/>
    </xf>
    <xf numFmtId="0" fontId="10" fillId="0" borderId="76" xfId="0" applyFont="1" applyBorder="1" applyAlignment="1">
      <alignment horizontal="left" vertical="center"/>
    </xf>
    <xf numFmtId="0" fontId="10" fillId="4" borderId="76" xfId="0" applyFont="1" applyFill="1" applyBorder="1" applyAlignment="1">
      <alignment horizontal="left" vertical="center"/>
    </xf>
    <xf numFmtId="0" fontId="21" fillId="15" borderId="76" xfId="0" applyFont="1" applyFill="1" applyBorder="1" applyAlignment="1">
      <alignment horizontal="center" vertical="center" wrapText="1"/>
    </xf>
    <xf numFmtId="0" fontId="24" fillId="4" borderId="76" xfId="0" applyFont="1" applyFill="1" applyBorder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4" fillId="7" borderId="82" xfId="0" applyFont="1" applyFill="1" applyBorder="1" applyAlignment="1">
      <alignment horizontal="center" vertical="center" wrapText="1"/>
    </xf>
    <xf numFmtId="0" fontId="2" fillId="7" borderId="82" xfId="0" applyFont="1" applyFill="1" applyBorder="1" applyAlignment="1">
      <alignment horizontal="center" vertical="center" wrapText="1"/>
    </xf>
    <xf numFmtId="0" fontId="4" fillId="3" borderId="50" xfId="1" applyFont="1" applyFill="1" applyBorder="1" applyAlignment="1">
      <alignment vertical="center"/>
    </xf>
    <xf numFmtId="0" fontId="2" fillId="3" borderId="52" xfId="1" applyFont="1" applyFill="1" applyBorder="1" applyAlignment="1">
      <alignment vertical="center"/>
    </xf>
    <xf numFmtId="0" fontId="14" fillId="4" borderId="50" xfId="1" applyFont="1" applyFill="1" applyBorder="1" applyAlignment="1">
      <alignment horizontal="center" vertical="center"/>
    </xf>
    <xf numFmtId="0" fontId="14" fillId="4" borderId="10" xfId="1" applyFont="1" applyFill="1" applyBorder="1" applyAlignment="1">
      <alignment horizontal="center" vertical="center"/>
    </xf>
    <xf numFmtId="0" fontId="54" fillId="4" borderId="0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 vertical="center"/>
    </xf>
    <xf numFmtId="0" fontId="114" fillId="0" borderId="76" xfId="0" applyFont="1" applyBorder="1" applyAlignment="1">
      <alignment horizontal="center" vertical="center"/>
    </xf>
    <xf numFmtId="0" fontId="114" fillId="4" borderId="76" xfId="0" applyFont="1" applyFill="1" applyBorder="1" applyAlignment="1">
      <alignment horizontal="center" vertical="center"/>
    </xf>
    <xf numFmtId="0" fontId="114" fillId="3" borderId="76" xfId="0" applyFont="1" applyFill="1" applyBorder="1" applyAlignment="1">
      <alignment horizontal="center" vertical="center"/>
    </xf>
    <xf numFmtId="0" fontId="10" fillId="7" borderId="82" xfId="0" applyFont="1" applyFill="1" applyBorder="1" applyAlignment="1">
      <alignment horizontal="center" vertical="center" wrapText="1"/>
    </xf>
    <xf numFmtId="0" fontId="19" fillId="4" borderId="46" xfId="1" applyFont="1" applyFill="1" applyBorder="1" applyAlignment="1">
      <alignment horizontal="center" vertical="center" wrapText="1"/>
    </xf>
    <xf numFmtId="0" fontId="19" fillId="4" borderId="4" xfId="1" applyFont="1" applyFill="1" applyBorder="1" applyAlignment="1">
      <alignment horizontal="center" vertical="center" wrapText="1"/>
    </xf>
    <xf numFmtId="0" fontId="19" fillId="4" borderId="48" xfId="1" applyFont="1" applyFill="1" applyBorder="1" applyAlignment="1">
      <alignment horizontal="center" vertical="center" wrapText="1"/>
    </xf>
    <xf numFmtId="0" fontId="19" fillId="4" borderId="0" xfId="1" applyFont="1" applyFill="1" applyBorder="1" applyAlignment="1">
      <alignment horizontal="center" vertical="center" wrapText="1"/>
    </xf>
    <xf numFmtId="0" fontId="19" fillId="4" borderId="10" xfId="1" applyFont="1" applyFill="1" applyBorder="1" applyAlignment="1">
      <alignment horizontal="center" vertical="center" wrapText="1"/>
    </xf>
    <xf numFmtId="0" fontId="19" fillId="4" borderId="5" xfId="1" applyFont="1" applyFill="1" applyBorder="1" applyAlignment="1">
      <alignment horizontal="center" vertical="center" wrapText="1"/>
    </xf>
    <xf numFmtId="0" fontId="28" fillId="5" borderId="7" xfId="0" applyFont="1" applyFill="1" applyBorder="1" applyAlignment="1">
      <alignment horizontal="center" vertical="center"/>
    </xf>
    <xf numFmtId="0" fontId="28" fillId="5" borderId="0" xfId="0" applyFont="1" applyFill="1" applyBorder="1" applyAlignment="1">
      <alignment horizontal="center" vertical="center"/>
    </xf>
    <xf numFmtId="0" fontId="31" fillId="5" borderId="0" xfId="0" applyFont="1" applyFill="1" applyBorder="1" applyAlignment="1">
      <alignment horizontal="center" vertical="center"/>
    </xf>
    <xf numFmtId="0" fontId="33" fillId="5" borderId="0" xfId="0" applyFont="1" applyFill="1" applyBorder="1" applyAlignment="1">
      <alignment horizontal="center" vertical="center"/>
    </xf>
    <xf numFmtId="0" fontId="33" fillId="5" borderId="5" xfId="0" applyFont="1" applyFill="1" applyBorder="1" applyAlignment="1">
      <alignment horizontal="center" vertical="center"/>
    </xf>
    <xf numFmtId="0" fontId="10" fillId="7" borderId="77" xfId="0" applyFont="1" applyFill="1" applyBorder="1" applyAlignment="1">
      <alignment horizontal="center" vertical="center" wrapText="1"/>
    </xf>
    <xf numFmtId="0" fontId="2" fillId="7" borderId="0" xfId="0" applyFont="1" applyFill="1" applyBorder="1" applyAlignment="1">
      <alignment horizontal="center"/>
    </xf>
    <xf numFmtId="0" fontId="0" fillId="5" borderId="0" xfId="0" applyFill="1" applyBorder="1"/>
    <xf numFmtId="0" fontId="117" fillId="25" borderId="0" xfId="0" applyFont="1" applyFill="1" applyBorder="1" applyAlignment="1">
      <alignment horizontal="center" vertical="center"/>
    </xf>
    <xf numFmtId="0" fontId="2" fillId="25" borderId="60" xfId="0" applyFont="1" applyFill="1" applyBorder="1" applyAlignment="1">
      <alignment horizontal="left" vertical="center"/>
    </xf>
    <xf numFmtId="0" fontId="117" fillId="25" borderId="60" xfId="0" applyFont="1" applyFill="1" applyBorder="1" applyAlignment="1">
      <alignment horizontal="center" vertical="center"/>
    </xf>
    <xf numFmtId="0" fontId="2" fillId="25" borderId="0" xfId="0" applyFont="1" applyFill="1" applyBorder="1" applyAlignment="1">
      <alignment horizontal="left" vertical="center"/>
    </xf>
    <xf numFmtId="0" fontId="55" fillId="14" borderId="0" xfId="0" applyFont="1" applyFill="1" applyBorder="1" applyAlignment="1">
      <alignment horizontal="center" vertical="center" wrapText="1"/>
    </xf>
    <xf numFmtId="0" fontId="93" fillId="14" borderId="0" xfId="0" applyFont="1" applyFill="1" applyBorder="1" applyAlignment="1">
      <alignment horizontal="center" vertical="center" wrapText="1"/>
    </xf>
    <xf numFmtId="0" fontId="102" fillId="14" borderId="0" xfId="0" applyFont="1" applyFill="1" applyBorder="1" applyAlignment="1">
      <alignment horizontal="center" vertical="center"/>
    </xf>
    <xf numFmtId="0" fontId="93" fillId="14" borderId="0" xfId="0" applyFont="1" applyFill="1" applyBorder="1" applyAlignment="1">
      <alignment horizontal="center" vertical="top" wrapText="1"/>
    </xf>
    <xf numFmtId="0" fontId="104" fillId="4" borderId="0" xfId="0" applyFont="1" applyFill="1" applyBorder="1" applyAlignment="1">
      <alignment vertical="top" wrapText="1"/>
    </xf>
    <xf numFmtId="0" fontId="104" fillId="4" borderId="0" xfId="0" applyFont="1" applyFill="1" applyBorder="1" applyAlignment="1">
      <alignment horizontal="left" vertical="top" wrapText="1"/>
    </xf>
    <xf numFmtId="0" fontId="19" fillId="4" borderId="7" xfId="1" applyFont="1" applyFill="1" applyBorder="1" applyAlignment="1">
      <alignment horizontal="center" vertical="center" wrapText="1"/>
    </xf>
    <xf numFmtId="0" fontId="19" fillId="4" borderId="8" xfId="1" applyFont="1" applyFill="1" applyBorder="1" applyAlignment="1">
      <alignment horizontal="center" vertical="center" wrapText="1"/>
    </xf>
    <xf numFmtId="0" fontId="2" fillId="3" borderId="76" xfId="0" applyFont="1" applyFill="1" applyBorder="1" applyAlignment="1">
      <alignment vertical="center"/>
    </xf>
    <xf numFmtId="0" fontId="2" fillId="0" borderId="76" xfId="0" applyFont="1" applyBorder="1" applyAlignment="1">
      <alignment vertical="center"/>
    </xf>
    <xf numFmtId="0" fontId="2" fillId="0" borderId="76" xfId="0" applyFont="1" applyBorder="1" applyAlignment="1">
      <alignment horizontal="center"/>
    </xf>
    <xf numFmtId="0" fontId="2" fillId="4" borderId="76" xfId="0" applyFont="1" applyFill="1" applyBorder="1" applyAlignment="1">
      <alignment horizontal="center"/>
    </xf>
    <xf numFmtId="0" fontId="2" fillId="0" borderId="76" xfId="0" applyFont="1" applyFill="1" applyBorder="1" applyAlignment="1">
      <alignment horizontal="center"/>
    </xf>
    <xf numFmtId="0" fontId="18" fillId="5" borderId="10" xfId="0" applyFont="1" applyFill="1" applyBorder="1" applyAlignment="1">
      <alignment horizontal="center" vertical="center"/>
    </xf>
    <xf numFmtId="0" fontId="11" fillId="4" borderId="9" xfId="0" applyFont="1" applyFill="1" applyBorder="1" applyAlignment="1">
      <alignment horizontal="center" vertical="center" textRotation="255"/>
    </xf>
    <xf numFmtId="0" fontId="18" fillId="5" borderId="0" xfId="0" applyFont="1" applyFill="1" applyBorder="1" applyAlignment="1">
      <alignment horizontal="center" vertical="center"/>
    </xf>
    <xf numFmtId="0" fontId="32" fillId="4" borderId="0" xfId="0" applyFont="1" applyFill="1" applyBorder="1"/>
    <xf numFmtId="0" fontId="32" fillId="0" borderId="0" xfId="0" applyFont="1" applyBorder="1"/>
    <xf numFmtId="0" fontId="59" fillId="4" borderId="0" xfId="0" applyFont="1" applyFill="1" applyBorder="1" applyAlignment="1">
      <alignment horizontal="left" vertical="center"/>
    </xf>
    <xf numFmtId="0" fontId="43" fillId="4" borderId="0" xfId="0" applyFont="1" applyFill="1" applyBorder="1" applyAlignment="1">
      <alignment horizontal="left" vertical="center"/>
    </xf>
    <xf numFmtId="0" fontId="33" fillId="0" borderId="5" xfId="0" applyFont="1" applyBorder="1"/>
    <xf numFmtId="0" fontId="82" fillId="4" borderId="0" xfId="0" applyFont="1" applyFill="1" applyBorder="1" applyAlignment="1">
      <alignment horizontal="left" vertical="top" wrapText="1"/>
    </xf>
    <xf numFmtId="0" fontId="121" fillId="24" borderId="0" xfId="0" applyFont="1" applyFill="1" applyBorder="1" applyAlignment="1">
      <alignment vertical="center" wrapText="1"/>
    </xf>
    <xf numFmtId="0" fontId="112" fillId="24" borderId="0" xfId="0" applyFont="1" applyFill="1" applyBorder="1" applyAlignment="1">
      <alignment horizontal="center" vertical="center" wrapText="1"/>
    </xf>
    <xf numFmtId="0" fontId="121" fillId="4" borderId="0" xfId="0" applyFont="1" applyFill="1" applyBorder="1" applyAlignment="1">
      <alignment vertical="center" wrapText="1"/>
    </xf>
    <xf numFmtId="0" fontId="122" fillId="4" borderId="0" xfId="0" applyFont="1" applyFill="1" applyBorder="1" applyAlignment="1">
      <alignment vertical="center"/>
    </xf>
    <xf numFmtId="0" fontId="122" fillId="4" borderId="0" xfId="0" applyFont="1" applyFill="1"/>
    <xf numFmtId="0" fontId="122" fillId="4" borderId="10" xfId="0" applyFont="1" applyFill="1" applyBorder="1"/>
    <xf numFmtId="0" fontId="122" fillId="4" borderId="0" xfId="0" applyFont="1" applyFill="1" applyBorder="1"/>
    <xf numFmtId="0" fontId="123" fillId="4" borderId="0" xfId="0" applyFont="1" applyFill="1" applyBorder="1" applyAlignment="1">
      <alignment vertical="center"/>
    </xf>
    <xf numFmtId="0" fontId="124" fillId="4" borderId="0" xfId="0" applyFont="1" applyFill="1" applyBorder="1" applyAlignment="1">
      <alignment vertical="center" wrapText="1"/>
    </xf>
    <xf numFmtId="0" fontId="124" fillId="23" borderId="0" xfId="0" applyFont="1" applyFill="1" applyBorder="1" applyAlignment="1">
      <alignment horizontal="center" vertical="center" wrapText="1"/>
    </xf>
    <xf numFmtId="0" fontId="125" fillId="4" borderId="0" xfId="0" applyFont="1" applyFill="1" applyBorder="1" applyAlignment="1">
      <alignment vertical="center" wrapText="1"/>
    </xf>
    <xf numFmtId="0" fontId="123" fillId="4" borderId="0" xfId="0" applyFont="1" applyFill="1" applyBorder="1"/>
    <xf numFmtId="0" fontId="123" fillId="4" borderId="9" xfId="0" applyFont="1" applyFill="1" applyBorder="1"/>
    <xf numFmtId="0" fontId="124" fillId="4" borderId="0" xfId="0" applyFont="1" applyFill="1" applyBorder="1" applyAlignment="1">
      <alignment horizontal="left" vertical="center" wrapText="1"/>
    </xf>
    <xf numFmtId="0" fontId="126" fillId="23" borderId="0" xfId="0" applyFont="1" applyFill="1" applyBorder="1" applyAlignment="1">
      <alignment horizontal="center" vertical="center"/>
    </xf>
    <xf numFmtId="0" fontId="123" fillId="4" borderId="10" xfId="0" applyFont="1" applyFill="1" applyBorder="1"/>
    <xf numFmtId="0" fontId="123" fillId="0" borderId="0" xfId="0" applyFont="1"/>
    <xf numFmtId="0" fontId="123" fillId="0" borderId="0" xfId="0" applyFont="1" applyBorder="1"/>
    <xf numFmtId="0" fontId="126" fillId="4" borderId="0" xfId="0" applyFont="1" applyFill="1" applyBorder="1" applyAlignment="1">
      <alignment vertical="center"/>
    </xf>
    <xf numFmtId="0" fontId="126" fillId="4" borderId="0" xfId="0" applyFont="1" applyFill="1" applyBorder="1" applyAlignment="1">
      <alignment horizontal="center" vertical="center"/>
    </xf>
    <xf numFmtId="0" fontId="123" fillId="4" borderId="0" xfId="0" applyFont="1" applyFill="1" applyBorder="1" applyAlignment="1">
      <alignment horizontal="left" vertical="center"/>
    </xf>
    <xf numFmtId="0" fontId="69" fillId="4" borderId="0" xfId="0" applyFont="1" applyFill="1" applyBorder="1" applyAlignment="1">
      <alignment horizontal="left" vertical="center"/>
    </xf>
    <xf numFmtId="0" fontId="114" fillId="3" borderId="76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wrapText="1"/>
    </xf>
    <xf numFmtId="0" fontId="19" fillId="4" borderId="0" xfId="0" applyFont="1" applyFill="1" applyBorder="1" applyAlignment="1">
      <alignment horizontal="center" vertical="center"/>
    </xf>
    <xf numFmtId="164" fontId="4" fillId="4" borderId="0" xfId="0" applyNumberFormat="1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/>
    </xf>
    <xf numFmtId="0" fontId="8" fillId="3" borderId="76" xfId="0" applyFont="1" applyFill="1" applyBorder="1" applyAlignment="1">
      <alignment horizontal="center" vertical="center"/>
    </xf>
    <xf numFmtId="0" fontId="8" fillId="4" borderId="76" xfId="0" applyFont="1" applyFill="1" applyBorder="1" applyAlignment="1">
      <alignment horizontal="center" vertical="center"/>
    </xf>
    <xf numFmtId="0" fontId="68" fillId="7" borderId="7" xfId="0" applyFont="1" applyFill="1" applyBorder="1" applyAlignment="1">
      <alignment horizontal="center" vertical="center"/>
    </xf>
    <xf numFmtId="0" fontId="68" fillId="7" borderId="0" xfId="0" applyFont="1" applyFill="1" applyBorder="1" applyAlignment="1">
      <alignment horizontal="center" vertical="center"/>
    </xf>
    <xf numFmtId="0" fontId="68" fillId="7" borderId="5" xfId="0" applyFont="1" applyFill="1" applyBorder="1" applyAlignment="1">
      <alignment horizontal="center" vertical="center"/>
    </xf>
    <xf numFmtId="0" fontId="85" fillId="4" borderId="0" xfId="0" applyFont="1" applyFill="1" applyBorder="1" applyAlignment="1">
      <alignment horizontal="center" vertical="center" wrapText="1"/>
    </xf>
    <xf numFmtId="0" fontId="109" fillId="3" borderId="0" xfId="0" applyFont="1" applyFill="1" applyAlignment="1">
      <alignment vertical="center"/>
    </xf>
    <xf numFmtId="0" fontId="8" fillId="0" borderId="76" xfId="0" applyFont="1" applyBorder="1" applyAlignment="1">
      <alignment horizontal="center" vertical="center"/>
    </xf>
    <xf numFmtId="0" fontId="8" fillId="4" borderId="76" xfId="0" applyFont="1" applyFill="1" applyBorder="1" applyAlignment="1">
      <alignment horizontal="center" vertical="center" wrapText="1"/>
    </xf>
    <xf numFmtId="0" fontId="110" fillId="3" borderId="76" xfId="0" applyFont="1" applyFill="1" applyBorder="1" applyAlignment="1">
      <alignment horizontal="center" vertical="center" wrapText="1"/>
    </xf>
    <xf numFmtId="0" fontId="8" fillId="4" borderId="76" xfId="0" applyFont="1" applyFill="1" applyBorder="1" applyAlignment="1">
      <alignment horizontal="left" vertical="center"/>
    </xf>
    <xf numFmtId="0" fontId="8" fillId="3" borderId="76" xfId="0" applyFont="1" applyFill="1" applyBorder="1" applyAlignment="1">
      <alignment horizontal="center" vertical="center" wrapText="1"/>
    </xf>
    <xf numFmtId="0" fontId="4" fillId="12" borderId="7" xfId="0" applyFont="1" applyFill="1" applyBorder="1"/>
    <xf numFmtId="0" fontId="65" fillId="12" borderId="0" xfId="0" applyFont="1" applyFill="1" applyBorder="1" applyAlignment="1">
      <alignment horizontal="center" vertical="center"/>
    </xf>
    <xf numFmtId="0" fontId="65" fillId="12" borderId="5" xfId="0" applyFont="1" applyFill="1" applyBorder="1" applyAlignment="1">
      <alignment horizontal="center" vertical="center"/>
    </xf>
    <xf numFmtId="0" fontId="8" fillId="13" borderId="76" xfId="0" applyFont="1" applyFill="1" applyBorder="1" applyAlignment="1">
      <alignment horizontal="center" vertical="center"/>
    </xf>
    <xf numFmtId="0" fontId="87" fillId="4" borderId="0" xfId="0" applyFont="1" applyFill="1" applyBorder="1" applyAlignment="1">
      <alignment horizontal="center" vertical="center" wrapText="1"/>
    </xf>
    <xf numFmtId="0" fontId="28" fillId="8" borderId="70" xfId="0" applyFont="1" applyFill="1" applyBorder="1" applyAlignment="1">
      <alignment horizontal="center" vertical="center"/>
    </xf>
    <xf numFmtId="0" fontId="33" fillId="8" borderId="11" xfId="0" applyFont="1" applyFill="1" applyBorder="1" applyAlignment="1">
      <alignment horizontal="center" vertical="center"/>
    </xf>
    <xf numFmtId="0" fontId="8" fillId="0" borderId="76" xfId="0" applyFont="1" applyBorder="1" applyAlignment="1">
      <alignment horizontal="center" vertical="center" wrapText="1"/>
    </xf>
    <xf numFmtId="0" fontId="8" fillId="0" borderId="76" xfId="0" applyFont="1" applyBorder="1" applyAlignment="1">
      <alignment horizontal="left" vertical="center"/>
    </xf>
    <xf numFmtId="0" fontId="2" fillId="0" borderId="76" xfId="0" applyFont="1" applyBorder="1"/>
    <xf numFmtId="0" fontId="2" fillId="0" borderId="0" xfId="0" applyFont="1" applyFill="1" applyAlignment="1">
      <alignment vertical="center"/>
    </xf>
    <xf numFmtId="0" fontId="16" fillId="0" borderId="0" xfId="0" applyFont="1" applyFill="1" applyBorder="1" applyAlignment="1">
      <alignment horizontal="center" vertical="center"/>
    </xf>
    <xf numFmtId="0" fontId="11" fillId="4" borderId="9" xfId="0" applyFont="1" applyFill="1" applyBorder="1" applyAlignment="1">
      <alignment horizontal="center" vertical="center" textRotation="255"/>
    </xf>
    <xf numFmtId="0" fontId="68" fillId="5" borderId="10" xfId="0" applyFont="1" applyFill="1" applyBorder="1" applyAlignment="1">
      <alignment horizontal="center" vertical="center"/>
    </xf>
    <xf numFmtId="0" fontId="68" fillId="5" borderId="4" xfId="0" applyFont="1" applyFill="1" applyBorder="1" applyAlignment="1">
      <alignment horizontal="center" vertical="center"/>
    </xf>
    <xf numFmtId="0" fontId="68" fillId="12" borderId="7" xfId="0" applyFont="1" applyFill="1" applyBorder="1" applyAlignment="1">
      <alignment horizontal="center" vertical="center"/>
    </xf>
    <xf numFmtId="0" fontId="68" fillId="12" borderId="0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right"/>
    </xf>
    <xf numFmtId="0" fontId="69" fillId="12" borderId="0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 textRotation="255"/>
    </xf>
    <xf numFmtId="0" fontId="4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/>
    </xf>
    <xf numFmtId="0" fontId="5" fillId="26" borderId="0" xfId="0" applyFont="1" applyFill="1" applyAlignment="1">
      <alignment horizontal="center" vertical="center"/>
    </xf>
    <xf numFmtId="0" fontId="19" fillId="19" borderId="0" xfId="0" applyFont="1" applyFill="1" applyAlignment="1">
      <alignment horizontal="right" vertical="center"/>
    </xf>
    <xf numFmtId="0" fontId="19" fillId="26" borderId="0" xfId="0" applyFont="1" applyFill="1" applyAlignment="1">
      <alignment horizontal="right" vertical="center"/>
    </xf>
    <xf numFmtId="0" fontId="5" fillId="19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left"/>
    </xf>
    <xf numFmtId="0" fontId="138" fillId="0" borderId="76" xfId="0" applyFont="1" applyBorder="1" applyAlignment="1">
      <alignment horizontal="left" vertical="center"/>
    </xf>
    <xf numFmtId="0" fontId="8" fillId="3" borderId="76" xfId="0" applyFont="1" applyFill="1" applyBorder="1" applyAlignment="1">
      <alignment horizontal="left" vertical="center"/>
    </xf>
    <xf numFmtId="0" fontId="109" fillId="0" borderId="0" xfId="0" applyFont="1" applyFill="1" applyAlignment="1">
      <alignment horizontal="center" vertical="center"/>
    </xf>
    <xf numFmtId="0" fontId="19" fillId="4" borderId="0" xfId="0" applyFont="1" applyFill="1" applyBorder="1" applyAlignment="1">
      <alignment horizontal="center" vertical="center"/>
    </xf>
    <xf numFmtId="0" fontId="19" fillId="4" borderId="0" xfId="0" applyFont="1" applyFill="1" applyAlignment="1">
      <alignment horizontal="center"/>
    </xf>
    <xf numFmtId="164" fontId="0" fillId="4" borderId="0" xfId="0" applyNumberFormat="1" applyFill="1" applyAlignment="1">
      <alignment horizontal="left"/>
    </xf>
    <xf numFmtId="165" fontId="0" fillId="4" borderId="0" xfId="0" applyNumberFormat="1" applyFill="1" applyAlignment="1">
      <alignment horizontal="left"/>
    </xf>
    <xf numFmtId="0" fontId="130" fillId="12" borderId="0" xfId="0" applyFont="1" applyFill="1" applyBorder="1"/>
    <xf numFmtId="0" fontId="0" fillId="12" borderId="0" xfId="0" applyFill="1"/>
    <xf numFmtId="0" fontId="0" fillId="12" borderId="10" xfId="0" applyFill="1" applyBorder="1"/>
    <xf numFmtId="0" fontId="142" fillId="12" borderId="0" xfId="0" applyFont="1" applyFill="1" applyBorder="1"/>
    <xf numFmtId="0" fontId="3" fillId="12" borderId="0" xfId="0" applyFont="1" applyFill="1"/>
    <xf numFmtId="0" fontId="35" fillId="27" borderId="0" xfId="0" applyFont="1" applyFill="1" applyBorder="1" applyAlignment="1">
      <alignment vertical="top" wrapText="1"/>
    </xf>
    <xf numFmtId="0" fontId="128" fillId="12" borderId="0" xfId="0" applyFont="1" applyFill="1" applyBorder="1" applyAlignment="1">
      <alignment horizontal="center" vertical="center" wrapText="1"/>
    </xf>
    <xf numFmtId="0" fontId="47" fillId="27" borderId="0" xfId="0" applyFont="1" applyFill="1" applyBorder="1" applyAlignment="1">
      <alignment vertical="top" wrapText="1"/>
    </xf>
    <xf numFmtId="0" fontId="48" fillId="27" borderId="0" xfId="0" applyFont="1" applyFill="1"/>
    <xf numFmtId="0" fontId="94" fillId="12" borderId="0" xfId="0" applyFont="1" applyFill="1" applyBorder="1" applyAlignment="1">
      <alignment vertical="top" wrapText="1"/>
    </xf>
    <xf numFmtId="0" fontId="47" fillId="12" borderId="0" xfId="0" applyFont="1" applyFill="1" applyBorder="1" applyAlignment="1">
      <alignment vertical="top" wrapText="1"/>
    </xf>
    <xf numFmtId="0" fontId="48" fillId="12" borderId="0" xfId="0" applyFont="1" applyFill="1"/>
    <xf numFmtId="0" fontId="56" fillId="12" borderId="0" xfId="0" applyFont="1" applyFill="1" applyBorder="1" applyAlignment="1">
      <alignment vertical="center" wrapText="1"/>
    </xf>
    <xf numFmtId="0" fontId="70" fillId="12" borderId="0" xfId="0" applyFont="1" applyFill="1" applyBorder="1" applyAlignment="1">
      <alignment horizontal="center" wrapText="1"/>
    </xf>
    <xf numFmtId="0" fontId="0" fillId="12" borderId="0" xfId="0" applyFill="1" applyAlignment="1">
      <alignment vertical="center"/>
    </xf>
    <xf numFmtId="0" fontId="61" fillId="27" borderId="0" xfId="0" applyFont="1" applyFill="1" applyBorder="1" applyAlignment="1">
      <alignment vertical="top" wrapText="1"/>
    </xf>
    <xf numFmtId="0" fontId="62" fillId="27" borderId="0" xfId="0" applyFont="1" applyFill="1"/>
    <xf numFmtId="0" fontId="8" fillId="12" borderId="0" xfId="0" applyFont="1" applyFill="1" applyAlignment="1">
      <alignment vertical="center"/>
    </xf>
    <xf numFmtId="0" fontId="79" fillId="12" borderId="0" xfId="0" applyFont="1" applyFill="1" applyBorder="1" applyAlignment="1">
      <alignment horizontal="left" vertical="top" wrapText="1"/>
    </xf>
    <xf numFmtId="0" fontId="139" fillId="12" borderId="0" xfId="0" applyFont="1" applyFill="1" applyBorder="1" applyAlignment="1">
      <alignment horizontal="left" vertical="top"/>
    </xf>
    <xf numFmtId="0" fontId="62" fillId="12" borderId="0" xfId="0" applyFont="1" applyFill="1" applyBorder="1" applyAlignment="1">
      <alignment horizontal="center"/>
    </xf>
    <xf numFmtId="0" fontId="46" fillId="12" borderId="0" xfId="0" applyFont="1" applyFill="1" applyAlignment="1">
      <alignment vertical="center"/>
    </xf>
    <xf numFmtId="0" fontId="77" fillId="12" borderId="0" xfId="0" applyFont="1" applyFill="1" applyBorder="1" applyAlignment="1">
      <alignment horizontal="center" vertical="center" wrapText="1"/>
    </xf>
    <xf numFmtId="0" fontId="79" fillId="12" borderId="0" xfId="0" applyFont="1" applyFill="1" applyBorder="1" applyAlignment="1">
      <alignment horizontal="left" vertical="center"/>
    </xf>
    <xf numFmtId="49" fontId="8" fillId="12" borderId="0" xfId="0" applyNumberFormat="1" applyFont="1" applyFill="1" applyBorder="1" applyAlignment="1">
      <alignment horizontal="right" vertical="center"/>
    </xf>
    <xf numFmtId="0" fontId="78" fillId="27" borderId="0" xfId="0" applyFont="1" applyFill="1" applyAlignment="1">
      <alignment vertical="center"/>
    </xf>
    <xf numFmtId="0" fontId="3" fillId="12" borderId="0" xfId="0" applyFont="1" applyFill="1" applyBorder="1" applyAlignment="1">
      <alignment vertical="center"/>
    </xf>
    <xf numFmtId="0" fontId="49" fillId="12" borderId="0" xfId="0" applyFont="1" applyFill="1" applyBorder="1" applyAlignment="1">
      <alignment horizontal="center" vertical="top" wrapText="1"/>
    </xf>
    <xf numFmtId="0" fontId="46" fillId="12" borderId="0" xfId="0" applyFont="1" applyFill="1" applyBorder="1" applyAlignment="1">
      <alignment horizontal="center" vertical="center"/>
    </xf>
    <xf numFmtId="0" fontId="2" fillId="12" borderId="0" xfId="0" applyFont="1" applyFill="1"/>
    <xf numFmtId="0" fontId="2" fillId="12" borderId="0" xfId="0" applyFont="1" applyFill="1" applyAlignment="1">
      <alignment horizontal="right"/>
    </xf>
    <xf numFmtId="0" fontId="39" fillId="12" borderId="0" xfId="0" applyFont="1" applyFill="1" applyBorder="1" applyAlignment="1">
      <alignment vertical="center" wrapText="1"/>
    </xf>
    <xf numFmtId="0" fontId="0" fillId="12" borderId="0" xfId="0" applyFill="1" applyBorder="1" applyAlignment="1">
      <alignment vertical="center"/>
    </xf>
    <xf numFmtId="0" fontId="91" fillId="12" borderId="10" xfId="0" applyFont="1" applyFill="1" applyBorder="1"/>
    <xf numFmtId="0" fontId="0" fillId="12" borderId="0" xfId="0" applyFill="1" applyBorder="1"/>
    <xf numFmtId="0" fontId="92" fillId="12" borderId="0" xfId="0" applyFont="1" applyFill="1"/>
    <xf numFmtId="0" fontId="41" fillId="12" borderId="0" xfId="0" applyFont="1" applyFill="1" applyBorder="1" applyAlignment="1">
      <alignment horizontal="left" vertical="center"/>
    </xf>
    <xf numFmtId="0" fontId="37" fillId="12" borderId="0" xfId="0" applyFont="1" applyFill="1" applyBorder="1" applyAlignment="1">
      <alignment horizontal="center" vertical="top" wrapText="1"/>
    </xf>
    <xf numFmtId="0" fontId="41" fillId="12" borderId="0" xfId="0" applyFont="1" applyFill="1" applyBorder="1" applyAlignment="1">
      <alignment horizontal="center" vertical="center"/>
    </xf>
    <xf numFmtId="0" fontId="41" fillId="12" borderId="0" xfId="0" applyFont="1" applyFill="1" applyAlignment="1">
      <alignment horizontal="center"/>
    </xf>
    <xf numFmtId="0" fontId="128" fillId="4" borderId="84" xfId="0" applyFont="1" applyFill="1" applyBorder="1" applyAlignment="1">
      <alignment horizontal="center" vertical="center" wrapText="1"/>
    </xf>
    <xf numFmtId="0" fontId="127" fillId="4" borderId="84" xfId="0" applyFont="1" applyFill="1" applyBorder="1" applyAlignment="1">
      <alignment horizontal="center" vertical="center"/>
    </xf>
    <xf numFmtId="0" fontId="129" fillId="4" borderId="84" xfId="0" applyFont="1" applyFill="1" applyBorder="1" applyAlignment="1">
      <alignment horizontal="center" vertical="center"/>
    </xf>
    <xf numFmtId="0" fontId="128" fillId="4" borderId="84" xfId="0" applyFont="1" applyFill="1" applyBorder="1" applyAlignment="1">
      <alignment horizontal="center" vertical="top" wrapText="1"/>
    </xf>
    <xf numFmtId="0" fontId="23" fillId="12" borderId="71" xfId="0" applyFont="1" applyFill="1" applyBorder="1"/>
    <xf numFmtId="0" fontId="23" fillId="12" borderId="65" xfId="0" applyFont="1" applyFill="1" applyBorder="1"/>
    <xf numFmtId="0" fontId="3" fillId="12" borderId="61" xfId="0" applyFont="1" applyFill="1" applyBorder="1" applyAlignment="1">
      <alignment horizontal="center" vertical="center"/>
    </xf>
    <xf numFmtId="0" fontId="140" fillId="12" borderId="0" xfId="0" applyFont="1" applyFill="1" applyBorder="1" applyAlignment="1">
      <alignment vertical="top" wrapText="1"/>
    </xf>
    <xf numFmtId="0" fontId="4" fillId="27" borderId="0" xfId="0" applyFont="1" applyFill="1" applyAlignment="1">
      <alignment horizontal="right" vertical="center"/>
    </xf>
    <xf numFmtId="0" fontId="6" fillId="12" borderId="0" xfId="0" applyFont="1" applyFill="1" applyBorder="1" applyAlignment="1">
      <alignment horizontal="center"/>
    </xf>
    <xf numFmtId="0" fontId="4" fillId="27" borderId="0" xfId="0" applyFont="1" applyFill="1" applyAlignment="1">
      <alignment horizontal="right"/>
    </xf>
    <xf numFmtId="0" fontId="3" fillId="12" borderId="0" xfId="0" applyFont="1" applyFill="1" applyBorder="1" applyAlignment="1">
      <alignment horizontal="center" vertical="center"/>
    </xf>
    <xf numFmtId="0" fontId="4" fillId="12" borderId="0" xfId="0" applyFont="1" applyFill="1" applyAlignment="1">
      <alignment horizontal="right"/>
    </xf>
    <xf numFmtId="0" fontId="35" fillId="12" borderId="0" xfId="0" applyFont="1" applyFill="1" applyBorder="1" applyAlignment="1">
      <alignment horizontal="center" vertical="top" wrapText="1"/>
    </xf>
    <xf numFmtId="0" fontId="8" fillId="12" borderId="0" xfId="0" applyFont="1" applyFill="1" applyBorder="1" applyAlignment="1">
      <alignment horizontal="center" vertical="center"/>
    </xf>
    <xf numFmtId="0" fontId="4" fillId="12" borderId="0" xfId="0" applyFont="1" applyFill="1"/>
    <xf numFmtId="0" fontId="38" fillId="12" borderId="0" xfId="0" applyFont="1" applyFill="1" applyBorder="1" applyAlignment="1">
      <alignment vertical="top" wrapText="1"/>
    </xf>
    <xf numFmtId="0" fontId="0" fillId="12" borderId="86" xfId="0" applyFill="1" applyBorder="1"/>
    <xf numFmtId="0" fontId="0" fillId="12" borderId="64" xfId="0" applyFill="1" applyBorder="1"/>
    <xf numFmtId="0" fontId="77" fillId="12" borderId="64" xfId="0" applyFont="1" applyFill="1" applyBorder="1" applyAlignment="1">
      <alignment vertical="center" wrapText="1"/>
    </xf>
    <xf numFmtId="0" fontId="0" fillId="12" borderId="80" xfId="0" applyFill="1" applyBorder="1"/>
    <xf numFmtId="0" fontId="130" fillId="12" borderId="64" xfId="0" applyFont="1" applyFill="1" applyBorder="1"/>
    <xf numFmtId="0" fontId="0" fillId="12" borderId="87" xfId="0" applyFill="1" applyBorder="1"/>
    <xf numFmtId="0" fontId="0" fillId="12" borderId="88" xfId="0" applyFill="1" applyBorder="1"/>
    <xf numFmtId="0" fontId="77" fillId="12" borderId="88" xfId="0" applyFont="1" applyFill="1" applyBorder="1" applyAlignment="1">
      <alignment vertical="center" wrapText="1"/>
    </xf>
    <xf numFmtId="0" fontId="0" fillId="12" borderId="89" xfId="0" applyFill="1" applyBorder="1"/>
    <xf numFmtId="0" fontId="130" fillId="12" borderId="88" xfId="0" applyFont="1" applyFill="1" applyBorder="1"/>
    <xf numFmtId="0" fontId="23" fillId="12" borderId="91" xfId="0" applyFont="1" applyFill="1" applyBorder="1"/>
    <xf numFmtId="0" fontId="23" fillId="12" borderId="92" xfId="0" applyFont="1" applyFill="1" applyBorder="1"/>
    <xf numFmtId="0" fontId="35" fillId="27" borderId="0" xfId="0" applyFont="1" applyFill="1" applyBorder="1" applyAlignment="1">
      <alignment horizontal="right" vertical="top" wrapText="1"/>
    </xf>
    <xf numFmtId="0" fontId="130" fillId="0" borderId="0" xfId="0" applyFont="1" applyFill="1" applyBorder="1"/>
    <xf numFmtId="0" fontId="120" fillId="12" borderId="0" xfId="0" applyFont="1" applyFill="1" applyBorder="1" applyAlignment="1">
      <alignment horizontal="left" vertical="center"/>
    </xf>
    <xf numFmtId="0" fontId="13" fillId="15" borderId="1" xfId="0" applyFont="1" applyFill="1" applyBorder="1" applyAlignment="1">
      <alignment horizontal="center" vertical="center"/>
    </xf>
    <xf numFmtId="0" fontId="13" fillId="1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44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43" fillId="4" borderId="1" xfId="0" applyFont="1" applyFill="1" applyBorder="1" applyAlignment="1">
      <alignment horizontal="center" vertical="center"/>
    </xf>
    <xf numFmtId="0" fontId="145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center"/>
    </xf>
    <xf numFmtId="0" fontId="146" fillId="12" borderId="0" xfId="0" applyFont="1" applyFill="1" applyBorder="1" applyAlignment="1">
      <alignment horizontal="left" vertical="center"/>
    </xf>
    <xf numFmtId="0" fontId="147" fillId="27" borderId="0" xfId="0" applyFont="1" applyFill="1" applyBorder="1" applyAlignment="1">
      <alignment vertical="top" wrapText="1"/>
    </xf>
    <xf numFmtId="0" fontId="148" fillId="12" borderId="0" xfId="0" applyFont="1" applyFill="1"/>
    <xf numFmtId="0" fontId="98" fillId="0" borderId="76" xfId="0" applyFont="1" applyBorder="1" applyAlignment="1">
      <alignment horizontal="center" vertical="center"/>
    </xf>
    <xf numFmtId="0" fontId="3" fillId="2" borderId="29" xfId="0" applyFont="1" applyFill="1" applyBorder="1" applyAlignment="1">
      <alignment vertical="center" wrapText="1"/>
    </xf>
    <xf numFmtId="0" fontId="8" fillId="4" borderId="9" xfId="0" applyFont="1" applyFill="1" applyBorder="1"/>
    <xf numFmtId="0" fontId="4" fillId="7" borderId="10" xfId="0" applyFont="1" applyFill="1" applyBorder="1" applyAlignment="1">
      <alignment horizontal="center" vertical="center"/>
    </xf>
    <xf numFmtId="0" fontId="8" fillId="4" borderId="11" xfId="0" applyFont="1" applyFill="1" applyBorder="1"/>
    <xf numFmtId="0" fontId="4" fillId="7" borderId="4" xfId="0" applyFont="1" applyFill="1" applyBorder="1" applyAlignment="1">
      <alignment horizontal="center" vertical="center"/>
    </xf>
    <xf numFmtId="0" fontId="2" fillId="4" borderId="9" xfId="0" applyFont="1" applyFill="1" applyBorder="1"/>
    <xf numFmtId="0" fontId="2" fillId="12" borderId="10" xfId="0" applyFont="1" applyFill="1" applyBorder="1" applyAlignment="1">
      <alignment horizontal="center"/>
    </xf>
    <xf numFmtId="0" fontId="0" fillId="4" borderId="11" xfId="0" applyFill="1" applyBorder="1"/>
    <xf numFmtId="0" fontId="0" fillId="12" borderId="4" xfId="0" applyFill="1" applyBorder="1" applyAlignment="1">
      <alignment horizontal="center"/>
    </xf>
    <xf numFmtId="0" fontId="0" fillId="0" borderId="4" xfId="0" applyBorder="1"/>
    <xf numFmtId="0" fontId="2" fillId="4" borderId="0" xfId="0" applyFont="1" applyFill="1" applyBorder="1" applyAlignment="1">
      <alignment horizontal="center" vertical="center" wrapText="1"/>
    </xf>
    <xf numFmtId="0" fontId="135" fillId="4" borderId="0" xfId="0" applyFont="1" applyFill="1" applyBorder="1"/>
    <xf numFmtId="0" fontId="135" fillId="4" borderId="0" xfId="0" applyFont="1" applyFill="1" applyBorder="1" applyAlignment="1">
      <alignment horizontal="center" vertical="center" wrapText="1"/>
    </xf>
    <xf numFmtId="0" fontId="134" fillId="4" borderId="0" xfId="0" applyFont="1" applyFill="1" applyBorder="1"/>
    <xf numFmtId="0" fontId="18" fillId="4" borderId="0" xfId="0" applyFont="1" applyFill="1" applyBorder="1" applyAlignment="1">
      <alignment horizontal="right"/>
    </xf>
    <xf numFmtId="0" fontId="137" fillId="4" borderId="0" xfId="0" applyFont="1" applyFill="1" applyBorder="1" applyAlignment="1">
      <alignment horizontal="right"/>
    </xf>
    <xf numFmtId="0" fontId="136" fillId="4" borderId="0" xfId="0" applyFont="1" applyFill="1" applyBorder="1"/>
    <xf numFmtId="166" fontId="111" fillId="28" borderId="0" xfId="0" applyNumberFormat="1" applyFont="1" applyFill="1" applyAlignment="1">
      <alignment horizontal="center"/>
    </xf>
    <xf numFmtId="0" fontId="4" fillId="4" borderId="101" xfId="1" applyFont="1" applyFill="1" applyBorder="1"/>
    <xf numFmtId="0" fontId="8" fillId="4" borderId="0" xfId="1" applyFont="1" applyFill="1"/>
    <xf numFmtId="0" fontId="6" fillId="4" borderId="0" xfId="1" applyFont="1" applyFill="1" applyAlignment="1">
      <alignment vertical="center"/>
    </xf>
    <xf numFmtId="0" fontId="72" fillId="4" borderId="0" xfId="1" applyFont="1" applyFill="1"/>
    <xf numFmtId="0" fontId="6" fillId="7" borderId="101" xfId="1" applyFont="1" applyFill="1" applyBorder="1" applyAlignment="1">
      <alignment vertical="center"/>
    </xf>
    <xf numFmtId="0" fontId="4" fillId="0" borderId="0" xfId="0" applyFont="1" applyBorder="1"/>
    <xf numFmtId="0" fontId="8" fillId="0" borderId="0" xfId="0" applyFont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0" fillId="8" borderId="0" xfId="0" applyFill="1" applyBorder="1" applyAlignment="1">
      <alignment vertical="center"/>
    </xf>
    <xf numFmtId="0" fontId="0" fillId="8" borderId="0" xfId="0" applyFill="1" applyAlignment="1">
      <alignment vertical="center"/>
    </xf>
    <xf numFmtId="0" fontId="8" fillId="8" borderId="0" xfId="0" applyFont="1" applyFill="1" applyBorder="1" applyAlignment="1">
      <alignment vertical="center"/>
    </xf>
    <xf numFmtId="0" fontId="8" fillId="0" borderId="1" xfId="0" applyFont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4" fillId="7" borderId="102" xfId="0" applyFont="1" applyFill="1" applyBorder="1"/>
    <xf numFmtId="0" fontId="64" fillId="7" borderId="103" xfId="0" applyFont="1" applyFill="1" applyBorder="1" applyAlignment="1">
      <alignment horizontal="center" vertical="center"/>
    </xf>
    <xf numFmtId="0" fontId="34" fillId="7" borderId="103" xfId="0" applyFont="1" applyFill="1" applyBorder="1" applyAlignment="1">
      <alignment horizontal="center" vertical="center"/>
    </xf>
    <xf numFmtId="0" fontId="34" fillId="7" borderId="103" xfId="0" applyFont="1" applyFill="1" applyBorder="1" applyAlignment="1">
      <alignment horizontal="left" vertical="center"/>
    </xf>
    <xf numFmtId="0" fontId="34" fillId="7" borderId="104" xfId="0" applyFont="1" applyFill="1" applyBorder="1" applyAlignment="1">
      <alignment horizontal="left" vertical="center"/>
    </xf>
    <xf numFmtId="0" fontId="14" fillId="4" borderId="62" xfId="1" applyFont="1" applyFill="1" applyBorder="1" applyAlignment="1">
      <alignment horizontal="center" vertical="center"/>
    </xf>
    <xf numFmtId="0" fontId="98" fillId="4" borderId="76" xfId="0" applyFont="1" applyFill="1" applyBorder="1" applyAlignment="1">
      <alignment horizontal="center" vertical="center"/>
    </xf>
    <xf numFmtId="0" fontId="14" fillId="4" borderId="0" xfId="1" applyFont="1" applyFill="1" applyBorder="1" applyAlignment="1">
      <alignment vertical="center"/>
    </xf>
    <xf numFmtId="0" fontId="2" fillId="12" borderId="0" xfId="0" applyFont="1" applyFill="1" applyAlignment="1">
      <alignment horizontal="right"/>
    </xf>
    <xf numFmtId="0" fontId="4" fillId="0" borderId="0" xfId="1" applyFont="1" applyAlignment="1">
      <alignment horizontal="center"/>
    </xf>
    <xf numFmtId="0" fontId="4" fillId="0" borderId="0" xfId="1" applyFont="1" applyAlignment="1">
      <alignment horizontal="right"/>
    </xf>
    <xf numFmtId="0" fontId="15" fillId="12" borderId="86" xfId="0" applyFont="1" applyFill="1" applyBorder="1" applyAlignment="1">
      <alignment horizontal="left" vertical="top"/>
    </xf>
    <xf numFmtId="0" fontId="116" fillId="27" borderId="0" xfId="0" applyFont="1" applyFill="1" applyBorder="1" applyAlignment="1">
      <alignment horizontal="right" vertical="center"/>
    </xf>
    <xf numFmtId="0" fontId="116" fillId="12" borderId="0" xfId="0" applyFont="1" applyFill="1" applyAlignment="1">
      <alignment horizontal="right" vertical="center"/>
    </xf>
    <xf numFmtId="0" fontId="116" fillId="27" borderId="0" xfId="0" applyFont="1" applyFill="1" applyBorder="1" applyAlignment="1">
      <alignment horizontal="right" vertical="top" wrapText="1"/>
    </xf>
    <xf numFmtId="0" fontId="149" fillId="12" borderId="0" xfId="0" applyFont="1" applyFill="1" applyBorder="1" applyAlignment="1">
      <alignment horizontal="right" vertical="center" wrapText="1"/>
    </xf>
    <xf numFmtId="0" fontId="149" fillId="12" borderId="0" xfId="0" applyFont="1" applyFill="1" applyBorder="1" applyAlignment="1">
      <alignment horizontal="center" vertical="center" wrapText="1"/>
    </xf>
    <xf numFmtId="0" fontId="127" fillId="4" borderId="0" xfId="0" applyFont="1" applyFill="1" applyBorder="1" applyAlignment="1">
      <alignment horizontal="center" vertical="center"/>
    </xf>
    <xf numFmtId="0" fontId="127" fillId="4" borderId="0" xfId="0" applyFont="1" applyFill="1" applyBorder="1" applyAlignment="1">
      <alignment vertical="center"/>
    </xf>
    <xf numFmtId="0" fontId="127" fillId="4" borderId="0" xfId="0" applyFont="1" applyFill="1"/>
    <xf numFmtId="0" fontId="127" fillId="4" borderId="10" xfId="0" applyFont="1" applyFill="1" applyBorder="1"/>
    <xf numFmtId="0" fontId="127" fillId="4" borderId="0" xfId="0" applyFont="1" applyFill="1" applyBorder="1"/>
    <xf numFmtId="0" fontId="2" fillId="12" borderId="0" xfId="0" applyFont="1" applyFill="1" applyAlignment="1">
      <alignment horizontal="center"/>
    </xf>
    <xf numFmtId="0" fontId="110" fillId="4" borderId="76" xfId="0" applyFont="1" applyFill="1" applyBorder="1" applyAlignment="1">
      <alignment horizontal="center" vertical="center" wrapText="1"/>
    </xf>
    <xf numFmtId="0" fontId="114" fillId="4" borderId="76" xfId="0" applyFont="1" applyFill="1" applyBorder="1" applyAlignment="1">
      <alignment horizontal="center" vertical="center" wrapText="1"/>
    </xf>
    <xf numFmtId="0" fontId="114" fillId="4" borderId="76" xfId="0" applyFont="1" applyFill="1" applyBorder="1" applyAlignment="1">
      <alignment horizontal="left" vertical="center"/>
    </xf>
    <xf numFmtId="0" fontId="114" fillId="0" borderId="76" xfId="0" applyFont="1" applyBorder="1" applyAlignment="1">
      <alignment horizontal="left" vertical="center"/>
    </xf>
    <xf numFmtId="0" fontId="15" fillId="12" borderId="0" xfId="0" applyFont="1" applyFill="1" applyBorder="1"/>
    <xf numFmtId="0" fontId="81" fillId="13" borderId="76" xfId="0" applyFont="1" applyFill="1" applyBorder="1" applyAlignment="1">
      <alignment horizontal="center" vertical="center"/>
    </xf>
    <xf numFmtId="0" fontId="2" fillId="3" borderId="76" xfId="0" applyFont="1" applyFill="1" applyBorder="1" applyAlignment="1">
      <alignment horizontal="center" vertical="center" wrapText="1"/>
    </xf>
    <xf numFmtId="0" fontId="117" fillId="7" borderId="0" xfId="0" applyFont="1" applyFill="1" applyBorder="1" applyAlignment="1">
      <alignment horizontal="center" vertical="center" wrapText="1"/>
    </xf>
    <xf numFmtId="0" fontId="98" fillId="0" borderId="0" xfId="0" applyFont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98" fillId="4" borderId="0" xfId="0" applyFont="1" applyFill="1" applyBorder="1" applyAlignment="1">
      <alignment horizontal="center" vertical="center"/>
    </xf>
    <xf numFmtId="0" fontId="117" fillId="4" borderId="0" xfId="0" applyFont="1" applyFill="1" applyBorder="1" applyAlignment="1">
      <alignment horizontal="center"/>
    </xf>
    <xf numFmtId="0" fontId="2" fillId="12" borderId="0" xfId="0" applyFont="1" applyFill="1" applyBorder="1" applyAlignment="1">
      <alignment horizontal="center"/>
    </xf>
    <xf numFmtId="0" fontId="0" fillId="12" borderId="0" xfId="0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4" fillId="7" borderId="0" xfId="0" applyFont="1" applyFill="1" applyBorder="1" applyAlignment="1">
      <alignment horizontal="center" vertical="center"/>
    </xf>
    <xf numFmtId="0" fontId="10" fillId="8" borderId="76" xfId="0" applyFont="1" applyFill="1" applyBorder="1" applyAlignment="1">
      <alignment horizontal="center" vertical="center" wrapText="1"/>
    </xf>
    <xf numFmtId="0" fontId="3" fillId="8" borderId="76" xfId="0" applyFont="1" applyFill="1" applyBorder="1" applyAlignment="1">
      <alignment horizontal="center" vertical="center" wrapText="1"/>
    </xf>
    <xf numFmtId="0" fontId="109" fillId="3" borderId="0" xfId="0" applyFont="1" applyFill="1" applyAlignment="1">
      <alignment horizontal="center" vertical="center"/>
    </xf>
    <xf numFmtId="0" fontId="4" fillId="7" borderId="78" xfId="0" applyFont="1" applyFill="1" applyBorder="1" applyAlignment="1">
      <alignment horizontal="center" vertical="center" wrapText="1"/>
    </xf>
    <xf numFmtId="0" fontId="4" fillId="7" borderId="72" xfId="0" applyFont="1" applyFill="1" applyBorder="1" applyAlignment="1">
      <alignment horizontal="center" vertical="center" wrapText="1"/>
    </xf>
    <xf numFmtId="0" fontId="4" fillId="7" borderId="79" xfId="0" applyFont="1" applyFill="1" applyBorder="1" applyAlignment="1">
      <alignment horizontal="center" vertical="center" wrapText="1"/>
    </xf>
    <xf numFmtId="0" fontId="14" fillId="4" borderId="0" xfId="0" applyFont="1" applyFill="1" applyAlignment="1">
      <alignment horizontal="center"/>
    </xf>
    <xf numFmtId="0" fontId="2" fillId="7" borderId="76" xfId="0" applyFont="1" applyFill="1" applyBorder="1" applyAlignment="1">
      <alignment horizontal="center" vertical="center"/>
    </xf>
    <xf numFmtId="0" fontId="4" fillId="7" borderId="81" xfId="0" applyFont="1" applyFill="1" applyBorder="1" applyAlignment="1">
      <alignment horizontal="center" vertical="center" wrapText="1"/>
    </xf>
    <xf numFmtId="0" fontId="4" fillId="7" borderId="76" xfId="0" applyFont="1" applyFill="1" applyBorder="1" applyAlignment="1">
      <alignment horizontal="center" vertical="center" wrapText="1"/>
    </xf>
    <xf numFmtId="0" fontId="19" fillId="4" borderId="0" xfId="0" applyFont="1" applyFill="1" applyBorder="1" applyAlignment="1">
      <alignment horizontal="center" vertical="center"/>
    </xf>
    <xf numFmtId="164" fontId="4" fillId="4" borderId="0" xfId="0" applyNumberFormat="1" applyFont="1" applyFill="1" applyBorder="1" applyAlignment="1">
      <alignment horizontal="center" vertical="center"/>
    </xf>
    <xf numFmtId="165" fontId="4" fillId="4" borderId="0" xfId="0" applyNumberFormat="1" applyFont="1" applyFill="1" applyBorder="1" applyAlignment="1">
      <alignment horizontal="center" vertical="center"/>
    </xf>
    <xf numFmtId="0" fontId="6" fillId="7" borderId="81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wrapText="1"/>
    </xf>
    <xf numFmtId="0" fontId="63" fillId="4" borderId="9" xfId="0" applyFont="1" applyFill="1" applyBorder="1" applyAlignment="1">
      <alignment horizontal="center" vertical="center" textRotation="255"/>
    </xf>
    <xf numFmtId="0" fontId="63" fillId="4" borderId="11" xfId="0" applyFont="1" applyFill="1" applyBorder="1" applyAlignment="1">
      <alignment horizontal="center" vertical="center" textRotation="255"/>
    </xf>
    <xf numFmtId="0" fontId="65" fillId="12" borderId="0" xfId="0" applyFont="1" applyFill="1" applyBorder="1" applyAlignment="1">
      <alignment horizontal="center" vertical="center"/>
    </xf>
    <xf numFmtId="0" fontId="65" fillId="12" borderId="5" xfId="0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18" fillId="5" borderId="0" xfId="0" applyFont="1" applyFill="1" applyBorder="1" applyAlignment="1">
      <alignment horizontal="center" vertical="center"/>
    </xf>
    <xf numFmtId="0" fontId="18" fillId="5" borderId="10" xfId="0" applyFont="1" applyFill="1" applyBorder="1" applyAlignment="1">
      <alignment horizontal="center" vertical="center"/>
    </xf>
    <xf numFmtId="0" fontId="18" fillId="5" borderId="11" xfId="0" applyFont="1" applyFill="1" applyBorder="1" applyAlignment="1">
      <alignment horizontal="center" vertical="center"/>
    </xf>
    <xf numFmtId="0" fontId="18" fillId="5" borderId="5" xfId="0" applyFont="1" applyFill="1" applyBorder="1" applyAlignment="1">
      <alignment horizontal="center" vertical="center"/>
    </xf>
    <xf numFmtId="0" fontId="18" fillId="5" borderId="4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 textRotation="255"/>
    </xf>
    <xf numFmtId="0" fontId="11" fillId="4" borderId="9" xfId="0" applyFont="1" applyFill="1" applyBorder="1" applyAlignment="1">
      <alignment horizontal="center" vertical="center" textRotation="255"/>
    </xf>
    <xf numFmtId="0" fontId="11" fillId="4" borderId="11" xfId="0" applyFont="1" applyFill="1" applyBorder="1" applyAlignment="1">
      <alignment horizontal="center" vertical="center" textRotation="255"/>
    </xf>
    <xf numFmtId="0" fontId="68" fillId="7" borderId="7" xfId="0" applyFont="1" applyFill="1" applyBorder="1" applyAlignment="1">
      <alignment horizontal="center" vertical="center"/>
    </xf>
    <xf numFmtId="0" fontId="68" fillId="7" borderId="0" xfId="0" applyFont="1" applyFill="1" applyBorder="1" applyAlignment="1">
      <alignment horizontal="center" vertical="center"/>
    </xf>
    <xf numFmtId="0" fontId="68" fillId="5" borderId="8" xfId="0" applyFont="1" applyFill="1" applyBorder="1" applyAlignment="1">
      <alignment horizontal="center" vertical="center"/>
    </xf>
    <xf numFmtId="0" fontId="68" fillId="5" borderId="10" xfId="0" applyFont="1" applyFill="1" applyBorder="1" applyAlignment="1">
      <alignment horizontal="center" vertical="center"/>
    </xf>
    <xf numFmtId="0" fontId="68" fillId="5" borderId="4" xfId="0" applyFont="1" applyFill="1" applyBorder="1" applyAlignment="1">
      <alignment horizontal="center" vertical="center"/>
    </xf>
    <xf numFmtId="0" fontId="68" fillId="12" borderId="7" xfId="0" applyFont="1" applyFill="1" applyBorder="1" applyAlignment="1">
      <alignment horizontal="center" vertical="center"/>
    </xf>
    <xf numFmtId="0" fontId="68" fillId="12" borderId="0" xfId="0" applyFont="1" applyFill="1" applyBorder="1" applyAlignment="1">
      <alignment horizontal="center" vertical="center"/>
    </xf>
    <xf numFmtId="0" fontId="87" fillId="0" borderId="0" xfId="0" applyFont="1" applyBorder="1" applyAlignment="1">
      <alignment horizontal="center" vertical="center" wrapText="1"/>
    </xf>
    <xf numFmtId="0" fontId="86" fillId="16" borderId="0" xfId="0" applyFont="1" applyFill="1" applyBorder="1" applyAlignment="1">
      <alignment horizontal="center" vertical="center"/>
    </xf>
    <xf numFmtId="0" fontId="2" fillId="2" borderId="55" xfId="0" applyFont="1" applyFill="1" applyBorder="1" applyAlignment="1">
      <alignment horizontal="center" vertical="center"/>
    </xf>
    <xf numFmtId="164" fontId="0" fillId="4" borderId="0" xfId="0" applyNumberFormat="1" applyFill="1" applyAlignment="1">
      <alignment horizontal="left"/>
    </xf>
    <xf numFmtId="165" fontId="0" fillId="4" borderId="0" xfId="0" applyNumberFormat="1" applyFill="1" applyAlignment="1">
      <alignment horizontal="left"/>
    </xf>
    <xf numFmtId="0" fontId="5" fillId="4" borderId="0" xfId="0" applyFont="1" applyFill="1" applyBorder="1" applyAlignment="1">
      <alignment horizontal="center"/>
    </xf>
    <xf numFmtId="0" fontId="24" fillId="12" borderId="85" xfId="0" applyFont="1" applyFill="1" applyBorder="1" applyAlignment="1">
      <alignment horizontal="center" vertical="center" textRotation="255"/>
    </xf>
    <xf numFmtId="0" fontId="4" fillId="12" borderId="85" xfId="0" applyFont="1" applyFill="1" applyBorder="1" applyAlignment="1">
      <alignment horizontal="center" vertical="center" textRotation="255"/>
    </xf>
    <xf numFmtId="0" fontId="94" fillId="18" borderId="0" xfId="0" applyFont="1" applyFill="1" applyBorder="1" applyAlignment="1">
      <alignment horizontal="left" vertical="top" wrapText="1"/>
    </xf>
    <xf numFmtId="0" fontId="115" fillId="4" borderId="0" xfId="0" applyFont="1" applyFill="1" applyBorder="1" applyAlignment="1">
      <alignment horizontal="left" vertical="center" wrapText="1"/>
    </xf>
    <xf numFmtId="0" fontId="115" fillId="4" borderId="10" xfId="0" applyFont="1" applyFill="1" applyBorder="1" applyAlignment="1">
      <alignment horizontal="left" vertical="center" wrapText="1"/>
    </xf>
    <xf numFmtId="166" fontId="3" fillId="22" borderId="93" xfId="0" applyNumberFormat="1" applyFont="1" applyFill="1" applyBorder="1" applyAlignment="1">
      <alignment horizontal="center"/>
    </xf>
    <xf numFmtId="166" fontId="3" fillId="22" borderId="65" xfId="0" applyNumberFormat="1" applyFont="1" applyFill="1" applyBorder="1" applyAlignment="1">
      <alignment horizontal="center"/>
    </xf>
    <xf numFmtId="166" fontId="3" fillId="22" borderId="94" xfId="0" applyNumberFormat="1" applyFont="1" applyFill="1" applyBorder="1" applyAlignment="1">
      <alignment horizontal="center"/>
    </xf>
    <xf numFmtId="0" fontId="118" fillId="4" borderId="0" xfId="0" applyFont="1" applyFill="1" applyAlignment="1">
      <alignment horizontal="center" vertical="center"/>
    </xf>
    <xf numFmtId="0" fontId="2" fillId="3" borderId="57" xfId="1" applyFont="1" applyFill="1" applyBorder="1" applyAlignment="1">
      <alignment horizontal="center" vertical="center"/>
    </xf>
    <xf numFmtId="0" fontId="2" fillId="3" borderId="58" xfId="1" applyFont="1" applyFill="1" applyBorder="1" applyAlignment="1">
      <alignment horizontal="center" vertical="center"/>
    </xf>
    <xf numFmtId="0" fontId="2" fillId="3" borderId="62" xfId="1" applyFont="1" applyFill="1" applyBorder="1" applyAlignment="1">
      <alignment horizontal="center" vertical="center"/>
    </xf>
    <xf numFmtId="0" fontId="4" fillId="17" borderId="33" xfId="1" applyFont="1" applyFill="1" applyBorder="1" applyAlignment="1">
      <alignment horizontal="center"/>
    </xf>
    <xf numFmtId="0" fontId="4" fillId="17" borderId="34" xfId="1" applyFont="1" applyFill="1" applyBorder="1" applyAlignment="1">
      <alignment horizontal="center"/>
    </xf>
    <xf numFmtId="0" fontId="14" fillId="4" borderId="56" xfId="1" applyFont="1" applyFill="1" applyBorder="1" applyAlignment="1">
      <alignment horizontal="center" vertical="center"/>
    </xf>
    <xf numFmtId="0" fontId="14" fillId="4" borderId="3" xfId="1" applyFont="1" applyFill="1" applyBorder="1" applyAlignment="1">
      <alignment horizontal="center" vertical="center"/>
    </xf>
    <xf numFmtId="0" fontId="4" fillId="17" borderId="14" xfId="1" applyFont="1" applyFill="1" applyBorder="1" applyAlignment="1">
      <alignment horizontal="center" vertical="center"/>
    </xf>
    <xf numFmtId="0" fontId="4" fillId="17" borderId="3" xfId="1" applyFont="1" applyFill="1" applyBorder="1" applyAlignment="1">
      <alignment horizontal="center" vertical="center"/>
    </xf>
    <xf numFmtId="0" fontId="4" fillId="17" borderId="26" xfId="1" applyFont="1" applyFill="1" applyBorder="1" applyAlignment="1">
      <alignment horizontal="center" vertical="center"/>
    </xf>
    <xf numFmtId="0" fontId="4" fillId="4" borderId="56" xfId="1" applyFont="1" applyFill="1" applyBorder="1" applyAlignment="1">
      <alignment horizontal="center" vertical="center"/>
    </xf>
    <xf numFmtId="0" fontId="4" fillId="4" borderId="3" xfId="1" applyFont="1" applyFill="1" applyBorder="1" applyAlignment="1">
      <alignment horizontal="center" vertical="center"/>
    </xf>
    <xf numFmtId="0" fontId="4" fillId="17" borderId="14" xfId="1" applyFont="1" applyFill="1" applyBorder="1" applyAlignment="1">
      <alignment horizontal="center"/>
    </xf>
    <xf numFmtId="0" fontId="4" fillId="17" borderId="26" xfId="1" applyFont="1" applyFill="1" applyBorder="1" applyAlignment="1">
      <alignment horizontal="center"/>
    </xf>
    <xf numFmtId="0" fontId="14" fillId="4" borderId="18" xfId="1" applyFont="1" applyFill="1" applyBorder="1" applyAlignment="1">
      <alignment horizontal="center" vertical="center"/>
    </xf>
    <xf numFmtId="0" fontId="14" fillId="4" borderId="2" xfId="1" applyFont="1" applyFill="1" applyBorder="1" applyAlignment="1">
      <alignment horizontal="center" vertical="center"/>
    </xf>
    <xf numFmtId="0" fontId="4" fillId="17" borderId="13" xfId="1" applyFont="1" applyFill="1" applyBorder="1" applyAlignment="1">
      <alignment horizontal="center" vertical="center" wrapText="1"/>
    </xf>
    <xf numFmtId="0" fontId="4" fillId="17" borderId="2" xfId="1" applyFont="1" applyFill="1" applyBorder="1" applyAlignment="1">
      <alignment horizontal="center" vertical="center" wrapText="1"/>
    </xf>
    <xf numFmtId="0" fontId="4" fillId="17" borderId="13" xfId="1" applyFont="1" applyFill="1" applyBorder="1" applyAlignment="1">
      <alignment horizontal="center" vertical="center"/>
    </xf>
    <xf numFmtId="0" fontId="4" fillId="17" borderId="2" xfId="1" applyFont="1" applyFill="1" applyBorder="1" applyAlignment="1">
      <alignment horizontal="center" vertical="center"/>
    </xf>
    <xf numFmtId="0" fontId="4" fillId="4" borderId="13" xfId="1" applyFont="1" applyFill="1" applyBorder="1" applyAlignment="1">
      <alignment horizontal="center"/>
    </xf>
    <xf numFmtId="0" fontId="4" fillId="4" borderId="21" xfId="1" applyFont="1" applyFill="1" applyBorder="1" applyAlignment="1">
      <alignment horizontal="center"/>
    </xf>
    <xf numFmtId="0" fontId="14" fillId="4" borderId="28" xfId="1" applyFont="1" applyFill="1" applyBorder="1" applyAlignment="1">
      <alignment horizontal="center" vertical="center"/>
    </xf>
    <xf numFmtId="0" fontId="14" fillId="4" borderId="25" xfId="1" applyFont="1" applyFill="1" applyBorder="1" applyAlignment="1">
      <alignment horizontal="center" vertical="center"/>
    </xf>
    <xf numFmtId="0" fontId="4" fillId="17" borderId="33" xfId="1" applyFont="1" applyFill="1" applyBorder="1" applyAlignment="1">
      <alignment horizontal="center" vertical="center"/>
    </xf>
    <xf numFmtId="0" fontId="4" fillId="17" borderId="25" xfId="1" applyFont="1" applyFill="1" applyBorder="1" applyAlignment="1">
      <alignment horizontal="center" vertical="center"/>
    </xf>
    <xf numFmtId="0" fontId="4" fillId="17" borderId="34" xfId="1" applyFont="1" applyFill="1" applyBorder="1" applyAlignment="1">
      <alignment horizontal="center" vertical="center"/>
    </xf>
    <xf numFmtId="0" fontId="4" fillId="4" borderId="28" xfId="1" applyFont="1" applyFill="1" applyBorder="1" applyAlignment="1">
      <alignment horizontal="center" vertical="center"/>
    </xf>
    <xf numFmtId="0" fontId="4" fillId="4" borderId="25" xfId="1" applyFont="1" applyFill="1" applyBorder="1" applyAlignment="1">
      <alignment horizontal="center" vertical="center"/>
    </xf>
    <xf numFmtId="0" fontId="4" fillId="17" borderId="32" xfId="1" applyFont="1" applyFill="1" applyBorder="1" applyAlignment="1">
      <alignment horizontal="center" vertical="center" wrapText="1"/>
    </xf>
    <xf numFmtId="0" fontId="4" fillId="17" borderId="46" xfId="1" applyFont="1" applyFill="1" applyBorder="1" applyAlignment="1">
      <alignment horizontal="center" vertical="center" wrapText="1"/>
    </xf>
    <xf numFmtId="0" fontId="14" fillId="4" borderId="63" xfId="1" applyFont="1" applyFill="1" applyBorder="1" applyAlignment="1">
      <alignment horizontal="center" vertical="center" wrapText="1"/>
    </xf>
    <xf numFmtId="0" fontId="14" fillId="4" borderId="8" xfId="1" applyFont="1" applyFill="1" applyBorder="1" applyAlignment="1">
      <alignment horizontal="center" vertical="center" wrapText="1"/>
    </xf>
    <xf numFmtId="0" fontId="4" fillId="17" borderId="6" xfId="1" applyFont="1" applyFill="1" applyBorder="1" applyAlignment="1">
      <alignment horizontal="center" vertical="center"/>
    </xf>
    <xf numFmtId="0" fontId="4" fillId="17" borderId="55" xfId="1" applyFont="1" applyFill="1" applyBorder="1" applyAlignment="1">
      <alignment horizontal="center" vertical="center"/>
    </xf>
    <xf numFmtId="0" fontId="14" fillId="4" borderId="56" xfId="1" applyFont="1" applyFill="1" applyBorder="1" applyAlignment="1">
      <alignment horizontal="center" vertical="center" wrapText="1"/>
    </xf>
    <xf numFmtId="0" fontId="14" fillId="4" borderId="3" xfId="1" applyFont="1" applyFill="1" applyBorder="1" applyAlignment="1">
      <alignment horizontal="center" vertical="center" wrapText="1"/>
    </xf>
    <xf numFmtId="0" fontId="14" fillId="4" borderId="18" xfId="1" applyFont="1" applyFill="1" applyBorder="1" applyAlignment="1">
      <alignment horizontal="center" vertical="center" wrapText="1"/>
    </xf>
    <xf numFmtId="0" fontId="14" fillId="4" borderId="2" xfId="1" applyFont="1" applyFill="1" applyBorder="1" applyAlignment="1">
      <alignment horizontal="center" vertical="center" wrapText="1"/>
    </xf>
    <xf numFmtId="0" fontId="4" fillId="17" borderId="21" xfId="1" applyFont="1" applyFill="1" applyBorder="1" applyAlignment="1">
      <alignment horizontal="center" vertical="center"/>
    </xf>
    <xf numFmtId="0" fontId="4" fillId="17" borderId="13" xfId="1" applyFont="1" applyFill="1" applyBorder="1" applyAlignment="1">
      <alignment horizontal="center"/>
    </xf>
    <xf numFmtId="0" fontId="4" fillId="17" borderId="21" xfId="1" applyFont="1" applyFill="1" applyBorder="1" applyAlignment="1">
      <alignment horizontal="center"/>
    </xf>
    <xf numFmtId="0" fontId="14" fillId="4" borderId="28" xfId="1" applyFont="1" applyFill="1" applyBorder="1" applyAlignment="1">
      <alignment horizontal="center" vertical="center" wrapText="1"/>
    </xf>
    <xf numFmtId="0" fontId="14" fillId="4" borderId="25" xfId="1" applyFont="1" applyFill="1" applyBorder="1" applyAlignment="1">
      <alignment horizontal="center" vertical="center" wrapText="1"/>
    </xf>
    <xf numFmtId="0" fontId="14" fillId="4" borderId="33" xfId="1" applyFont="1" applyFill="1" applyBorder="1" applyAlignment="1">
      <alignment horizontal="center" vertical="center"/>
    </xf>
    <xf numFmtId="0" fontId="19" fillId="4" borderId="57" xfId="1" applyFont="1" applyFill="1" applyBorder="1" applyAlignment="1">
      <alignment horizontal="center" vertical="center"/>
    </xf>
    <xf numFmtId="0" fontId="19" fillId="4" borderId="58" xfId="1" applyFont="1" applyFill="1" applyBorder="1" applyAlignment="1">
      <alignment horizontal="center" vertical="center"/>
    </xf>
    <xf numFmtId="0" fontId="14" fillId="4" borderId="67" xfId="1" applyFont="1" applyFill="1" applyBorder="1" applyAlignment="1">
      <alignment horizontal="center" vertical="center" wrapText="1"/>
    </xf>
    <xf numFmtId="0" fontId="14" fillId="4" borderId="66" xfId="1" applyFont="1" applyFill="1" applyBorder="1" applyAlignment="1">
      <alignment horizontal="center" vertical="center" wrapText="1"/>
    </xf>
    <xf numFmtId="0" fontId="4" fillId="17" borderId="67" xfId="1" applyFont="1" applyFill="1" applyBorder="1" applyAlignment="1">
      <alignment horizontal="center" vertical="center" wrapText="1"/>
    </xf>
    <xf numFmtId="0" fontId="4" fillId="17" borderId="62" xfId="1" applyFont="1" applyFill="1" applyBorder="1" applyAlignment="1">
      <alignment horizontal="center" vertical="center" wrapText="1"/>
    </xf>
    <xf numFmtId="0" fontId="14" fillId="4" borderId="57" xfId="1" applyFont="1" applyFill="1" applyBorder="1" applyAlignment="1">
      <alignment horizontal="center" vertical="center"/>
    </xf>
    <xf numFmtId="0" fontId="14" fillId="4" borderId="58" xfId="1" applyFont="1" applyFill="1" applyBorder="1" applyAlignment="1">
      <alignment horizontal="center" vertical="center"/>
    </xf>
    <xf numFmtId="0" fontId="14" fillId="4" borderId="14" xfId="1" applyFont="1" applyFill="1" applyBorder="1" applyAlignment="1">
      <alignment horizontal="center" vertical="center"/>
    </xf>
    <xf numFmtId="0" fontId="14" fillId="4" borderId="26" xfId="1" applyFont="1" applyFill="1" applyBorder="1" applyAlignment="1">
      <alignment horizontal="center" vertical="center"/>
    </xf>
    <xf numFmtId="0" fontId="4" fillId="17" borderId="56" xfId="1" applyFont="1" applyFill="1" applyBorder="1" applyAlignment="1">
      <alignment horizontal="center" vertical="center"/>
    </xf>
    <xf numFmtId="0" fontId="4" fillId="17" borderId="6" xfId="1" applyFont="1" applyFill="1" applyBorder="1" applyAlignment="1">
      <alignment horizontal="center"/>
    </xf>
    <xf numFmtId="0" fontId="4" fillId="17" borderId="55" xfId="1" applyFont="1" applyFill="1" applyBorder="1" applyAlignment="1">
      <alignment horizontal="center"/>
    </xf>
    <xf numFmtId="0" fontId="4" fillId="17" borderId="18" xfId="1" applyFont="1" applyFill="1" applyBorder="1" applyAlignment="1">
      <alignment horizontal="center" vertical="center"/>
    </xf>
    <xf numFmtId="0" fontId="14" fillId="4" borderId="13" xfId="1" applyFont="1" applyFill="1" applyBorder="1" applyAlignment="1">
      <alignment horizontal="center" vertical="center"/>
    </xf>
    <xf numFmtId="0" fontId="14" fillId="4" borderId="21" xfId="1" applyFont="1" applyFill="1" applyBorder="1" applyAlignment="1">
      <alignment horizontal="center" vertical="center"/>
    </xf>
    <xf numFmtId="0" fontId="14" fillId="4" borderId="34" xfId="1" applyFont="1" applyFill="1" applyBorder="1" applyAlignment="1">
      <alignment horizontal="center" vertical="center"/>
    </xf>
    <xf numFmtId="0" fontId="14" fillId="4" borderId="49" xfId="1" applyFont="1" applyFill="1" applyBorder="1" applyAlignment="1">
      <alignment horizontal="center" vertical="center" wrapText="1"/>
    </xf>
    <xf numFmtId="0" fontId="14" fillId="4" borderId="45" xfId="1" applyFont="1" applyFill="1" applyBorder="1" applyAlignment="1">
      <alignment horizontal="center" vertical="center" wrapText="1"/>
    </xf>
    <xf numFmtId="0" fontId="4" fillId="17" borderId="66" xfId="1" applyFont="1" applyFill="1" applyBorder="1" applyAlignment="1">
      <alignment horizontal="center" vertical="center" wrapText="1"/>
    </xf>
    <xf numFmtId="0" fontId="14" fillId="4" borderId="35" xfId="1" applyFont="1" applyFill="1" applyBorder="1" applyAlignment="1">
      <alignment horizontal="center" vertical="center" wrapText="1"/>
    </xf>
    <xf numFmtId="0" fontId="14" fillId="4" borderId="57" xfId="1" applyFont="1" applyFill="1" applyBorder="1" applyAlignment="1">
      <alignment horizontal="center" vertical="center" wrapText="1"/>
    </xf>
    <xf numFmtId="0" fontId="14" fillId="4" borderId="58" xfId="1" applyFont="1" applyFill="1" applyBorder="1" applyAlignment="1">
      <alignment horizontal="center" vertical="center" wrapText="1"/>
    </xf>
    <xf numFmtId="0" fontId="14" fillId="4" borderId="62" xfId="1" applyFont="1" applyFill="1" applyBorder="1" applyAlignment="1">
      <alignment horizontal="center" vertical="center" wrapText="1"/>
    </xf>
    <xf numFmtId="0" fontId="4" fillId="3" borderId="59" xfId="1" applyFont="1" applyFill="1" applyBorder="1" applyAlignment="1">
      <alignment horizontal="left" vertical="center"/>
    </xf>
    <xf numFmtId="0" fontId="4" fillId="3" borderId="38" xfId="1" applyFont="1" applyFill="1" applyBorder="1" applyAlignment="1">
      <alignment horizontal="left" vertical="center"/>
    </xf>
    <xf numFmtId="0" fontId="2" fillId="3" borderId="63" xfId="1" applyFont="1" applyFill="1" applyBorder="1" applyAlignment="1">
      <alignment horizontal="left" vertical="center"/>
    </xf>
    <xf numFmtId="0" fontId="2" fillId="3" borderId="19" xfId="1" applyFont="1" applyFill="1" applyBorder="1" applyAlignment="1">
      <alignment horizontal="left" vertical="center"/>
    </xf>
    <xf numFmtId="0" fontId="14" fillId="4" borderId="27" xfId="1" applyFont="1" applyFill="1" applyBorder="1" applyAlignment="1">
      <alignment horizontal="center" vertical="center" wrapText="1"/>
    </xf>
    <xf numFmtId="0" fontId="14" fillId="4" borderId="14" xfId="1" applyFont="1" applyFill="1" applyBorder="1" applyAlignment="1">
      <alignment horizontal="center" vertical="center" wrapText="1"/>
    </xf>
    <xf numFmtId="0" fontId="14" fillId="4" borderId="26" xfId="1" applyFont="1" applyFill="1" applyBorder="1" applyAlignment="1">
      <alignment horizontal="center" vertical="center" wrapText="1"/>
    </xf>
    <xf numFmtId="0" fontId="4" fillId="3" borderId="36" xfId="1" applyFont="1" applyFill="1" applyBorder="1" applyAlignment="1">
      <alignment horizontal="left" vertical="center"/>
    </xf>
    <xf numFmtId="0" fontId="4" fillId="3" borderId="52" xfId="1" applyFont="1" applyFill="1" applyBorder="1" applyAlignment="1">
      <alignment horizontal="left" vertical="center"/>
    </xf>
    <xf numFmtId="0" fontId="2" fillId="3" borderId="47" xfId="1" applyFont="1" applyFill="1" applyBorder="1" applyAlignment="1">
      <alignment horizontal="left" vertical="center"/>
    </xf>
    <xf numFmtId="0" fontId="2" fillId="3" borderId="50" xfId="1" applyFont="1" applyFill="1" applyBorder="1" applyAlignment="1">
      <alignment horizontal="left" vertical="center"/>
    </xf>
    <xf numFmtId="0" fontId="4" fillId="4" borderId="11" xfId="1" applyFont="1" applyFill="1" applyBorder="1" applyAlignment="1">
      <alignment horizontal="center" vertical="center"/>
    </xf>
    <xf numFmtId="0" fontId="4" fillId="4" borderId="4" xfId="1" applyFont="1" applyFill="1" applyBorder="1" applyAlignment="1">
      <alignment horizontal="center" vertical="center"/>
    </xf>
    <xf numFmtId="0" fontId="4" fillId="4" borderId="20" xfId="1" applyFont="1" applyFill="1" applyBorder="1" applyAlignment="1">
      <alignment horizontal="center" vertical="center"/>
    </xf>
    <xf numFmtId="0" fontId="4" fillId="17" borderId="19" xfId="1" applyFont="1" applyFill="1" applyBorder="1" applyAlignment="1">
      <alignment horizontal="center" vertical="center"/>
    </xf>
    <xf numFmtId="0" fontId="4" fillId="17" borderId="4" xfId="1" applyFont="1" applyFill="1" applyBorder="1" applyAlignment="1">
      <alignment horizontal="center" vertical="center"/>
    </xf>
    <xf numFmtId="0" fontId="4" fillId="17" borderId="11" xfId="1" applyFont="1" applyFill="1" applyBorder="1" applyAlignment="1">
      <alignment horizontal="center" vertical="center"/>
    </xf>
    <xf numFmtId="0" fontId="4" fillId="17" borderId="11" xfId="1" applyFont="1" applyFill="1" applyBorder="1" applyAlignment="1">
      <alignment horizontal="center"/>
    </xf>
    <xf numFmtId="0" fontId="4" fillId="17" borderId="20" xfId="1" applyFont="1" applyFill="1" applyBorder="1" applyAlignment="1">
      <alignment horizontal="center"/>
    </xf>
    <xf numFmtId="0" fontId="4" fillId="17" borderId="8" xfId="1" applyFont="1" applyFill="1" applyBorder="1" applyAlignment="1">
      <alignment horizontal="center" vertical="center"/>
    </xf>
    <xf numFmtId="0" fontId="4" fillId="4" borderId="14" xfId="1" applyFont="1" applyFill="1" applyBorder="1" applyAlignment="1">
      <alignment horizontal="center" vertical="center"/>
    </xf>
    <xf numFmtId="0" fontId="4" fillId="17" borderId="28" xfId="1" applyFont="1" applyFill="1" applyBorder="1" applyAlignment="1">
      <alignment horizontal="center" vertical="center"/>
    </xf>
    <xf numFmtId="0" fontId="4" fillId="4" borderId="13" xfId="1" applyFont="1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 vertical="center"/>
    </xf>
    <xf numFmtId="0" fontId="4" fillId="17" borderId="12" xfId="1" applyFont="1" applyFill="1" applyBorder="1" applyAlignment="1">
      <alignment horizontal="center"/>
    </xf>
    <xf numFmtId="0" fontId="4" fillId="17" borderId="16" xfId="1" applyFont="1" applyFill="1" applyBorder="1" applyAlignment="1">
      <alignment horizontal="center"/>
    </xf>
    <xf numFmtId="0" fontId="4" fillId="17" borderId="1" xfId="1" applyFont="1" applyFill="1" applyBorder="1" applyAlignment="1">
      <alignment horizontal="center"/>
    </xf>
    <xf numFmtId="0" fontId="4" fillId="17" borderId="15" xfId="1" applyFont="1" applyFill="1" applyBorder="1" applyAlignment="1">
      <alignment horizontal="center"/>
    </xf>
    <xf numFmtId="0" fontId="71" fillId="4" borderId="0" xfId="1" applyFont="1" applyFill="1" applyAlignment="1">
      <alignment horizontal="center"/>
    </xf>
    <xf numFmtId="0" fontId="14" fillId="8" borderId="5" xfId="1" applyFont="1" applyFill="1" applyBorder="1" applyAlignment="1">
      <alignment horizontal="center"/>
    </xf>
    <xf numFmtId="164" fontId="19" fillId="4" borderId="0" xfId="1" applyNumberFormat="1" applyFont="1" applyFill="1" applyBorder="1" applyAlignment="1">
      <alignment horizontal="center"/>
    </xf>
    <xf numFmtId="0" fontId="19" fillId="4" borderId="28" xfId="1" applyFont="1" applyFill="1" applyBorder="1" applyAlignment="1">
      <alignment horizontal="center" vertical="center"/>
    </xf>
    <xf numFmtId="0" fontId="19" fillId="4" borderId="29" xfId="1" applyFont="1" applyFill="1" applyBorder="1" applyAlignment="1">
      <alignment horizontal="center" vertical="center"/>
    </xf>
    <xf numFmtId="0" fontId="19" fillId="4" borderId="34" xfId="1" applyFont="1" applyFill="1" applyBorder="1" applyAlignment="1">
      <alignment horizontal="center" vertical="center"/>
    </xf>
    <xf numFmtId="0" fontId="19" fillId="4" borderId="28" xfId="1" applyFont="1" applyFill="1" applyBorder="1" applyAlignment="1">
      <alignment horizontal="center" wrapText="1"/>
    </xf>
    <xf numFmtId="0" fontId="19" fillId="4" borderId="29" xfId="1" applyFont="1" applyFill="1" applyBorder="1" applyAlignment="1">
      <alignment horizontal="center" wrapText="1"/>
    </xf>
    <xf numFmtId="0" fontId="19" fillId="4" borderId="34" xfId="1" applyFont="1" applyFill="1" applyBorder="1" applyAlignment="1">
      <alignment horizontal="center" wrapText="1"/>
    </xf>
    <xf numFmtId="0" fontId="4" fillId="17" borderId="22" xfId="1" applyFont="1" applyFill="1" applyBorder="1" applyAlignment="1">
      <alignment horizontal="center"/>
    </xf>
    <xf numFmtId="0" fontId="4" fillId="17" borderId="23" xfId="1" applyFont="1" applyFill="1" applyBorder="1" applyAlignment="1">
      <alignment horizontal="center"/>
    </xf>
    <xf numFmtId="0" fontId="4" fillId="4" borderId="26" xfId="1" applyFont="1" applyFill="1" applyBorder="1" applyAlignment="1">
      <alignment horizontal="center" vertical="center"/>
    </xf>
    <xf numFmtId="0" fontId="4" fillId="4" borderId="56" xfId="1" applyFont="1" applyFill="1" applyBorder="1" applyAlignment="1">
      <alignment horizontal="center" vertical="center" wrapText="1"/>
    </xf>
    <xf numFmtId="0" fontId="4" fillId="4" borderId="3" xfId="1" applyFont="1" applyFill="1" applyBorder="1" applyAlignment="1">
      <alignment horizontal="center" vertical="center" wrapText="1"/>
    </xf>
    <xf numFmtId="0" fontId="4" fillId="4" borderId="27" xfId="1" applyFont="1" applyFill="1" applyBorder="1" applyAlignment="1">
      <alignment horizontal="center" vertical="center"/>
    </xf>
    <xf numFmtId="0" fontId="4" fillId="4" borderId="41" xfId="1" applyFont="1" applyFill="1" applyBorder="1" applyAlignment="1">
      <alignment horizontal="center" vertical="center"/>
    </xf>
    <xf numFmtId="0" fontId="85" fillId="0" borderId="0" xfId="0" applyFont="1" applyBorder="1" applyAlignment="1">
      <alignment horizontal="center" vertical="center" wrapText="1"/>
    </xf>
    <xf numFmtId="0" fontId="85" fillId="16" borderId="0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 wrapText="1"/>
    </xf>
    <xf numFmtId="0" fontId="14" fillId="4" borderId="0" xfId="0" applyFont="1" applyFill="1" applyAlignment="1">
      <alignment horizontal="center" vertical="center" wrapText="1"/>
    </xf>
    <xf numFmtId="0" fontId="10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68" fillId="7" borderId="8" xfId="0" applyFont="1" applyFill="1" applyBorder="1" applyAlignment="1">
      <alignment horizontal="center" vertical="center"/>
    </xf>
    <xf numFmtId="0" fontId="68" fillId="7" borderId="10" xfId="0" applyFont="1" applyFill="1" applyBorder="1" applyAlignment="1">
      <alignment horizontal="center" vertical="center"/>
    </xf>
    <xf numFmtId="0" fontId="68" fillId="7" borderId="4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 textRotation="255" wrapText="1"/>
    </xf>
    <xf numFmtId="0" fontId="11" fillId="4" borderId="9" xfId="0" applyFont="1" applyFill="1" applyBorder="1" applyAlignment="1">
      <alignment horizontal="center" vertical="center" textRotation="255" wrapText="1"/>
    </xf>
    <xf numFmtId="0" fontId="6" fillId="7" borderId="76" xfId="0" applyFont="1" applyFill="1" applyBorder="1" applyAlignment="1">
      <alignment horizontal="center" vertical="center" wrapText="1"/>
    </xf>
    <xf numFmtId="0" fontId="67" fillId="12" borderId="0" xfId="0" applyFont="1" applyFill="1" applyBorder="1" applyAlignment="1">
      <alignment horizontal="center" vertical="center" wrapText="1"/>
    </xf>
    <xf numFmtId="0" fontId="14" fillId="12" borderId="90" xfId="0" applyFont="1" applyFill="1" applyBorder="1" applyAlignment="1">
      <alignment horizontal="center" vertical="center"/>
    </xf>
    <xf numFmtId="0" fontId="14" fillId="12" borderId="91" xfId="0" applyFont="1" applyFill="1" applyBorder="1" applyAlignment="1">
      <alignment horizontal="center" vertical="center"/>
    </xf>
    <xf numFmtId="14" fontId="0" fillId="12" borderId="0" xfId="0" applyNumberFormat="1" applyFill="1" applyAlignment="1">
      <alignment horizontal="center"/>
    </xf>
    <xf numFmtId="0" fontId="127" fillId="4" borderId="95" xfId="0" applyFont="1" applyFill="1" applyBorder="1" applyAlignment="1">
      <alignment horizontal="center" vertical="center"/>
    </xf>
    <xf numFmtId="0" fontId="127" fillId="4" borderId="0" xfId="0" applyFont="1" applyFill="1" applyBorder="1" applyAlignment="1">
      <alignment horizontal="center" vertical="center"/>
    </xf>
    <xf numFmtId="0" fontId="3" fillId="7" borderId="76" xfId="0" applyFont="1" applyFill="1" applyBorder="1" applyAlignment="1">
      <alignment horizontal="center" vertical="center" wrapText="1"/>
    </xf>
    <xf numFmtId="0" fontId="2" fillId="7" borderId="76" xfId="0" applyFont="1" applyFill="1" applyBorder="1" applyAlignment="1">
      <alignment horizontal="center" vertical="center" wrapText="1"/>
    </xf>
    <xf numFmtId="0" fontId="19" fillId="4" borderId="83" xfId="0" applyFont="1" applyFill="1" applyBorder="1" applyAlignment="1">
      <alignment horizontal="center" vertical="center"/>
    </xf>
    <xf numFmtId="0" fontId="2" fillId="7" borderId="81" xfId="0" applyFont="1" applyFill="1" applyBorder="1" applyAlignment="1">
      <alignment horizontal="center" vertical="center" wrapText="1"/>
    </xf>
    <xf numFmtId="0" fontId="2" fillId="7" borderId="77" xfId="0" applyFont="1" applyFill="1" applyBorder="1" applyAlignment="1">
      <alignment horizontal="center" vertical="center" wrapText="1"/>
    </xf>
    <xf numFmtId="0" fontId="131" fillId="7" borderId="76" xfId="0" applyFont="1" applyFill="1" applyBorder="1" applyAlignment="1">
      <alignment horizontal="center" vertical="center" wrapText="1"/>
    </xf>
    <xf numFmtId="0" fontId="14" fillId="4" borderId="51" xfId="0" applyFont="1" applyFill="1" applyBorder="1" applyAlignment="1">
      <alignment horizontal="right" vertical="center"/>
    </xf>
    <xf numFmtId="0" fontId="12" fillId="4" borderId="54" xfId="0" applyFont="1" applyFill="1" applyBorder="1" applyAlignment="1">
      <alignment horizontal="center" vertical="center"/>
    </xf>
    <xf numFmtId="0" fontId="12" fillId="4" borderId="31" xfId="0" applyFont="1" applyFill="1" applyBorder="1" applyAlignment="1">
      <alignment horizontal="center" vertical="center"/>
    </xf>
    <xf numFmtId="0" fontId="2" fillId="4" borderId="51" xfId="0" applyFont="1" applyFill="1" applyBorder="1" applyAlignment="1">
      <alignment horizontal="center" wrapText="1"/>
    </xf>
    <xf numFmtId="0" fontId="117" fillId="7" borderId="78" xfId="0" applyFont="1" applyFill="1" applyBorder="1" applyAlignment="1">
      <alignment horizontal="center" vertical="center" wrapText="1"/>
    </xf>
    <xf numFmtId="0" fontId="117" fillId="7" borderId="79" xfId="0" applyFont="1" applyFill="1" applyBorder="1" applyAlignment="1">
      <alignment horizontal="center" vertical="center" wrapText="1"/>
    </xf>
    <xf numFmtId="0" fontId="117" fillId="7" borderId="82" xfId="0" applyFont="1" applyFill="1" applyBorder="1" applyAlignment="1">
      <alignment horizontal="center" vertical="center" wrapText="1"/>
    </xf>
    <xf numFmtId="0" fontId="117" fillId="7" borderId="77" xfId="0" applyFont="1" applyFill="1" applyBorder="1" applyAlignment="1">
      <alignment horizontal="center" vertical="center" wrapText="1"/>
    </xf>
    <xf numFmtId="0" fontId="117" fillId="7" borderId="81" xfId="0" applyFont="1" applyFill="1" applyBorder="1" applyAlignment="1">
      <alignment horizontal="center" vertical="center" wrapText="1"/>
    </xf>
    <xf numFmtId="0" fontId="12" fillId="4" borderId="53" xfId="0" applyFont="1" applyFill="1" applyBorder="1" applyAlignment="1">
      <alignment horizontal="center" vertical="center"/>
    </xf>
    <xf numFmtId="0" fontId="12" fillId="4" borderId="30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117" fillId="4" borderId="6" xfId="0" applyFont="1" applyFill="1" applyBorder="1" applyAlignment="1">
      <alignment horizontal="center"/>
    </xf>
    <xf numFmtId="0" fontId="117" fillId="4" borderId="8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 vertical="center"/>
    </xf>
    <xf numFmtId="0" fontId="117" fillId="4" borderId="13" xfId="0" applyFont="1" applyFill="1" applyBorder="1" applyAlignment="1">
      <alignment horizontal="center"/>
    </xf>
    <xf numFmtId="0" fontId="117" fillId="4" borderId="2" xfId="0" applyFont="1" applyFill="1" applyBorder="1" applyAlignment="1">
      <alignment horizontal="center"/>
    </xf>
    <xf numFmtId="0" fontId="141" fillId="4" borderId="24" xfId="0" applyFont="1" applyFill="1" applyBorder="1" applyAlignment="1">
      <alignment horizontal="center" vertical="center"/>
    </xf>
    <xf numFmtId="0" fontId="25" fillId="4" borderId="96" xfId="0" applyFont="1" applyFill="1" applyBorder="1" applyAlignment="1">
      <alignment horizontal="center" vertical="center"/>
    </xf>
    <xf numFmtId="0" fontId="25" fillId="4" borderId="97" xfId="0" applyFont="1" applyFill="1" applyBorder="1" applyAlignment="1">
      <alignment horizontal="center" vertical="center"/>
    </xf>
    <xf numFmtId="0" fontId="25" fillId="4" borderId="98" xfId="0" applyFont="1" applyFill="1" applyBorder="1" applyAlignment="1">
      <alignment horizontal="center" vertical="center"/>
    </xf>
    <xf numFmtId="0" fontId="128" fillId="4" borderId="106" xfId="0" applyNumberFormat="1" applyFont="1" applyFill="1" applyBorder="1" applyAlignment="1">
      <alignment horizontal="left" vertical="center" wrapText="1"/>
    </xf>
    <xf numFmtId="0" fontId="128" fillId="4" borderId="107" xfId="0" applyNumberFormat="1" applyFont="1" applyFill="1" applyBorder="1" applyAlignment="1">
      <alignment horizontal="left" vertical="center" wrapText="1"/>
    </xf>
    <xf numFmtId="0" fontId="128" fillId="4" borderId="108" xfId="0" applyNumberFormat="1" applyFont="1" applyFill="1" applyBorder="1" applyAlignment="1">
      <alignment horizontal="left" vertical="center" wrapText="1"/>
    </xf>
    <xf numFmtId="0" fontId="9" fillId="0" borderId="0" xfId="0" applyFont="1" applyFill="1" applyAlignment="1">
      <alignment horizontal="center" vertical="center"/>
    </xf>
    <xf numFmtId="0" fontId="14" fillId="12" borderId="65" xfId="0" applyFont="1" applyFill="1" applyBorder="1" applyAlignment="1">
      <alignment horizontal="center" vertical="center"/>
    </xf>
    <xf numFmtId="0" fontId="82" fillId="4" borderId="0" xfId="0" applyFont="1" applyFill="1" applyBorder="1" applyAlignment="1">
      <alignment horizontal="center" vertical="top" wrapText="1"/>
    </xf>
    <xf numFmtId="0" fontId="56" fillId="27" borderId="105" xfId="0" applyFont="1" applyFill="1" applyBorder="1" applyAlignment="1">
      <alignment horizontal="left" vertical="top" wrapText="1"/>
    </xf>
    <xf numFmtId="0" fontId="56" fillId="27" borderId="75" xfId="0" applyFont="1" applyFill="1" applyBorder="1" applyAlignment="1">
      <alignment horizontal="left" vertical="top" wrapText="1"/>
    </xf>
    <xf numFmtId="0" fontId="14" fillId="7" borderId="57" xfId="1" applyFont="1" applyFill="1" applyBorder="1" applyAlignment="1">
      <alignment horizontal="center" vertical="center"/>
    </xf>
    <xf numFmtId="0" fontId="14" fillId="7" borderId="58" xfId="1" applyFont="1" applyFill="1" applyBorder="1" applyAlignment="1">
      <alignment horizontal="center" vertical="center"/>
    </xf>
    <xf numFmtId="0" fontId="14" fillId="4" borderId="17" xfId="1" applyFont="1" applyFill="1" applyBorder="1" applyAlignment="1">
      <alignment horizontal="center" vertical="center"/>
    </xf>
    <xf numFmtId="164" fontId="4" fillId="0" borderId="0" xfId="1" applyNumberFormat="1" applyFont="1" applyAlignment="1">
      <alignment horizontal="left"/>
    </xf>
    <xf numFmtId="167" fontId="4" fillId="0" borderId="0" xfId="1" applyNumberFormat="1" applyFont="1" applyAlignment="1">
      <alignment horizontal="left"/>
    </xf>
    <xf numFmtId="0" fontId="5" fillId="7" borderId="0" xfId="1" applyFont="1" applyFill="1" applyAlignment="1">
      <alignment horizontal="right"/>
    </xf>
    <xf numFmtId="0" fontId="2" fillId="7" borderId="81" xfId="0" applyFont="1" applyFill="1" applyBorder="1" applyAlignment="1">
      <alignment horizontal="center" vertical="center"/>
    </xf>
    <xf numFmtId="0" fontId="2" fillId="2" borderId="99" xfId="0" applyFont="1" applyFill="1" applyBorder="1" applyAlignment="1">
      <alignment horizontal="center" vertical="center"/>
    </xf>
    <xf numFmtId="0" fontId="2" fillId="2" borderId="100" xfId="0" applyFont="1" applyFill="1" applyBorder="1" applyAlignment="1">
      <alignment horizontal="center" vertical="center"/>
    </xf>
    <xf numFmtId="0" fontId="12" fillId="4" borderId="36" xfId="0" applyFont="1" applyFill="1" applyBorder="1" applyAlignment="1">
      <alignment horizontal="center" vertical="center"/>
    </xf>
    <xf numFmtId="0" fontId="12" fillId="4" borderId="37" xfId="0" applyFont="1" applyFill="1" applyBorder="1" applyAlignment="1">
      <alignment horizontal="center" vertical="center"/>
    </xf>
    <xf numFmtId="0" fontId="141" fillId="4" borderId="0" xfId="0" applyFont="1" applyFill="1" applyAlignment="1">
      <alignment horizontal="center" vertical="center"/>
    </xf>
    <xf numFmtId="0" fontId="19" fillId="4" borderId="24" xfId="0" applyFont="1" applyFill="1" applyBorder="1" applyAlignment="1">
      <alignment horizontal="center"/>
    </xf>
    <xf numFmtId="164" fontId="0" fillId="4" borderId="24" xfId="0" applyNumberFormat="1" applyFill="1" applyBorder="1" applyAlignment="1">
      <alignment horizontal="left"/>
    </xf>
    <xf numFmtId="165" fontId="0" fillId="4" borderId="24" xfId="0" applyNumberFormat="1" applyFill="1" applyBorder="1" applyAlignment="1">
      <alignment horizontal="left"/>
    </xf>
    <xf numFmtId="0" fontId="4" fillId="17" borderId="58" xfId="1" applyFont="1" applyFill="1" applyBorder="1" applyAlignment="1">
      <alignment horizontal="center" vertical="center" wrapText="1"/>
    </xf>
    <xf numFmtId="0" fontId="4" fillId="4" borderId="18" xfId="1" applyFont="1" applyFill="1" applyBorder="1" applyAlignment="1">
      <alignment horizontal="center" vertical="center"/>
    </xf>
    <xf numFmtId="0" fontId="9" fillId="5" borderId="0" xfId="0" applyFont="1" applyFill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28">
    <dxf>
      <font>
        <color theme="0"/>
      </font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C00000"/>
      </font>
      <fill>
        <patternFill patternType="solid">
          <fgColor auto="1"/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7" tint="0.7999816888943144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color theme="0"/>
      </font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C0000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fgColor theme="0"/>
          <bgColor theme="7" tint="0.79998168889431442"/>
        </patternFill>
      </fill>
    </dxf>
    <dxf>
      <font>
        <b/>
        <i val="0"/>
        <color rgb="FF002060"/>
      </font>
      <fill>
        <patternFill>
          <bgColor theme="7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theme="6" tint="0.7999816888943144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8" tint="0.39994506668294322"/>
        </patternFill>
      </fill>
    </dxf>
  </dxfs>
  <tableStyles count="0" defaultTableStyle="TableStyleMedium9" defaultPivotStyle="PivotStyleLight16"/>
  <colors>
    <mruColors>
      <color rgb="FFFFD1D1"/>
      <color rgb="FFFF0066"/>
      <color rgb="FFFF5353"/>
      <color rgb="FFFFA3A3"/>
      <color rgb="FFEFECF4"/>
      <color rgb="FFFFE5E5"/>
      <color rgb="FFFFFF99"/>
      <color rgb="FFFFEEB7"/>
      <color rgb="FFF0F5E7"/>
      <color rgb="FFFFF4D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219074</xdr:colOff>
      <xdr:row>94</xdr:row>
      <xdr:rowOff>114300</xdr:rowOff>
    </xdr:from>
    <xdr:to>
      <xdr:col>16</xdr:col>
      <xdr:colOff>323849</xdr:colOff>
      <xdr:row>103</xdr:row>
      <xdr:rowOff>85724</xdr:rowOff>
    </xdr:to>
    <xdr:sp macro="" textlink="">
      <xdr:nvSpPr>
        <xdr:cNvPr id="3" name="Rectangle 2"/>
        <xdr:cNvSpPr/>
      </xdr:nvSpPr>
      <xdr:spPr>
        <a:xfrm>
          <a:off x="7200900" y="21259800"/>
          <a:ext cx="12515849" cy="1428749"/>
        </a:xfrm>
        <a:prstGeom prst="rect">
          <a:avLst/>
        </a:prstGeom>
        <a:ln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t"/>
        <a:lstStyle/>
        <a:p>
          <a:pPr algn="l"/>
          <a:r>
            <a:rPr lang="fr-FR" sz="1100"/>
            <a:t>Objet de la Mise à jour:</a:t>
          </a:r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Date</a:t>
          </a:r>
          <a:r>
            <a:rPr lang="fr-FR" sz="1100" baseline="0"/>
            <a:t>: ________________            heure:    ________________                 Nom:  ___________________________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0</xdr:col>
      <xdr:colOff>1114425</xdr:colOff>
      <xdr:row>1</xdr:row>
      <xdr:rowOff>66675</xdr:rowOff>
    </xdr:to>
    <xdr:pic>
      <xdr:nvPicPr>
        <xdr:cNvPr id="2" name="Picture 1" descr="Logo Belleme sans adresse - Ve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0"/>
          <a:ext cx="1095375" cy="41910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0</xdr:col>
      <xdr:colOff>1114425</xdr:colOff>
      <xdr:row>1</xdr:row>
      <xdr:rowOff>66675</xdr:rowOff>
    </xdr:to>
    <xdr:pic>
      <xdr:nvPicPr>
        <xdr:cNvPr id="2" name="Picture 1" descr="Logo Belleme sans adresse - Ve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0"/>
          <a:ext cx="1095375" cy="41910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>
    <tabColor theme="2" tint="-0.249977111117893"/>
  </sheetPr>
  <dimension ref="A1:AJ124"/>
  <sheetViews>
    <sheetView zoomScaleNormal="100" workbookViewId="0">
      <selection activeCell="V8" sqref="V8"/>
    </sheetView>
  </sheetViews>
  <sheetFormatPr baseColWidth="10" defaultRowHeight="12.75"/>
  <cols>
    <col min="1" max="1" width="3.7109375" style="3" customWidth="1"/>
    <col min="2" max="2" width="21.28515625" style="3" customWidth="1"/>
    <col min="3" max="4" width="5.7109375" style="3" customWidth="1"/>
    <col min="5" max="5" width="6.140625" style="3" customWidth="1"/>
    <col min="6" max="6" width="5.7109375" style="3" customWidth="1"/>
    <col min="7" max="7" width="6.42578125" style="3" customWidth="1"/>
    <col min="8" max="8" width="5.42578125" style="3" customWidth="1"/>
    <col min="9" max="13" width="5.7109375" customWidth="1"/>
    <col min="14" max="14" width="7.7109375" style="3" hidden="1" customWidth="1"/>
    <col min="15" max="15" width="7.28515625" style="3" hidden="1" customWidth="1"/>
    <col min="16" max="16" width="7.7109375" style="3" hidden="1" customWidth="1"/>
    <col min="17" max="17" width="7.28515625" style="3" hidden="1" customWidth="1"/>
    <col min="18" max="18" width="15.7109375" style="3" customWidth="1"/>
    <col min="19" max="20" width="4.85546875" style="3" customWidth="1"/>
    <col min="21" max="21" width="4.85546875" style="3" hidden="1" customWidth="1"/>
    <col min="22" max="22" width="12.85546875" style="3" customWidth="1"/>
    <col min="23" max="24" width="10.7109375" style="3" customWidth="1"/>
    <col min="30" max="30" width="4.42578125" customWidth="1"/>
  </cols>
  <sheetData>
    <row r="1" spans="1:36" ht="29.1" customHeight="1">
      <c r="A1" s="636" t="s">
        <v>350</v>
      </c>
      <c r="B1" s="636"/>
      <c r="C1" s="636"/>
      <c r="D1" s="636"/>
      <c r="E1" s="636"/>
      <c r="F1" s="636"/>
      <c r="G1" s="636"/>
      <c r="H1" s="636"/>
      <c r="I1" s="636"/>
      <c r="J1" s="636"/>
      <c r="K1" s="636"/>
      <c r="L1" s="636"/>
      <c r="M1" s="636"/>
      <c r="N1" s="636"/>
      <c r="O1" s="636"/>
      <c r="P1" s="636"/>
      <c r="Q1" s="636"/>
      <c r="R1" s="636"/>
      <c r="S1" s="438"/>
      <c r="T1" s="438"/>
      <c r="U1" s="438"/>
      <c r="V1" s="438"/>
      <c r="W1" s="438"/>
      <c r="X1" s="438"/>
      <c r="AD1" s="327"/>
      <c r="AE1" s="46"/>
      <c r="AF1" s="46"/>
      <c r="AG1" s="46"/>
      <c r="AH1" s="46"/>
      <c r="AI1" s="46"/>
      <c r="AJ1" s="46"/>
    </row>
    <row r="2" spans="1:36" s="6" customFormat="1" ht="20.100000000000001" customHeight="1" thickBot="1">
      <c r="A2" s="818" t="s">
        <v>84</v>
      </c>
      <c r="B2" s="818"/>
      <c r="C2" s="645">
        <f ca="1">TODAY()</f>
        <v>44064</v>
      </c>
      <c r="D2" s="645"/>
      <c r="E2" s="645"/>
      <c r="F2" s="645"/>
      <c r="G2" s="645"/>
      <c r="H2" s="645"/>
      <c r="I2" s="645"/>
      <c r="J2" s="428"/>
      <c r="K2" s="428"/>
      <c r="L2" s="646">
        <f ca="1">NOW()</f>
        <v>44064.421705208333</v>
      </c>
      <c r="M2" s="646"/>
      <c r="N2" s="350"/>
      <c r="O2" s="350"/>
      <c r="P2" s="350"/>
      <c r="Q2" s="350"/>
      <c r="R2" s="468" t="s">
        <v>359</v>
      </c>
      <c r="S2" s="466">
        <f>S52+'SERVICE2-List'!S52</f>
        <v>30</v>
      </c>
      <c r="T2" s="466">
        <f>T52+'SERVICE2-List'!T52</f>
        <v>36</v>
      </c>
      <c r="U2" s="350"/>
      <c r="V2" s="350"/>
      <c r="W2" s="350"/>
      <c r="X2" s="350"/>
      <c r="Y2" s="267"/>
      <c r="AD2" s="329"/>
    </row>
    <row r="3" spans="1:36" s="1" customFormat="1" ht="26.25" customHeight="1">
      <c r="A3" s="641" t="s">
        <v>0</v>
      </c>
      <c r="B3" s="641" t="s">
        <v>317</v>
      </c>
      <c r="C3" s="821" t="s">
        <v>428</v>
      </c>
      <c r="D3" s="821"/>
      <c r="E3" s="821"/>
      <c r="F3" s="821"/>
      <c r="G3" s="821"/>
      <c r="H3" s="821"/>
      <c r="I3" s="821"/>
      <c r="J3" s="821"/>
      <c r="K3" s="821"/>
      <c r="L3" s="821"/>
      <c r="M3" s="821"/>
      <c r="N3" s="821"/>
      <c r="O3" s="821"/>
      <c r="P3" s="821"/>
      <c r="Q3" s="821"/>
      <c r="R3" s="809" t="s">
        <v>151</v>
      </c>
      <c r="S3" s="816" t="s">
        <v>101</v>
      </c>
      <c r="T3" s="816"/>
      <c r="U3" s="277"/>
      <c r="V3" s="826" t="s">
        <v>376</v>
      </c>
      <c r="W3" s="827"/>
      <c r="X3" s="625"/>
      <c r="Y3" s="587"/>
      <c r="AD3" s="328"/>
    </row>
    <row r="4" spans="1:36" s="1" customFormat="1" ht="15" customHeight="1">
      <c r="A4" s="641"/>
      <c r="B4" s="641"/>
      <c r="C4" s="643" t="s">
        <v>313</v>
      </c>
      <c r="D4" s="643"/>
      <c r="E4" s="637" t="s">
        <v>102</v>
      </c>
      <c r="F4" s="638"/>
      <c r="G4" s="638"/>
      <c r="H4" s="639"/>
      <c r="I4" s="819" t="s">
        <v>348</v>
      </c>
      <c r="J4" s="817" t="s">
        <v>98</v>
      </c>
      <c r="K4" s="817" t="s">
        <v>93</v>
      </c>
      <c r="L4" s="817" t="s">
        <v>349</v>
      </c>
      <c r="M4" s="817" t="s">
        <v>96</v>
      </c>
      <c r="R4" s="809"/>
      <c r="S4" s="641" t="s">
        <v>99</v>
      </c>
      <c r="T4" s="641" t="s">
        <v>100</v>
      </c>
      <c r="U4" s="837" t="s">
        <v>105</v>
      </c>
      <c r="V4" s="828" t="s">
        <v>384</v>
      </c>
      <c r="W4" s="830" t="s">
        <v>378</v>
      </c>
      <c r="X4" s="625"/>
      <c r="Y4" s="587"/>
      <c r="AD4" s="328"/>
    </row>
    <row r="5" spans="1:36" s="1" customFormat="1" ht="12.75" customHeight="1">
      <c r="A5" s="641"/>
      <c r="B5" s="641"/>
      <c r="C5" s="643"/>
      <c r="D5" s="643"/>
      <c r="E5" s="374" t="s">
        <v>225</v>
      </c>
      <c r="F5" s="374" t="s">
        <v>314</v>
      </c>
      <c r="G5" s="374" t="s">
        <v>320</v>
      </c>
      <c r="H5" s="374" t="s">
        <v>328</v>
      </c>
      <c r="I5" s="820"/>
      <c r="J5" s="817"/>
      <c r="K5" s="817"/>
      <c r="L5" s="817"/>
      <c r="M5" s="817"/>
      <c r="R5" s="809"/>
      <c r="S5" s="641"/>
      <c r="T5" s="641"/>
      <c r="U5" s="671"/>
      <c r="V5" s="829"/>
      <c r="W5" s="829"/>
      <c r="X5" s="625"/>
      <c r="Y5" s="587"/>
      <c r="AD5" s="128"/>
    </row>
    <row r="6" spans="1:36" s="6" customFormat="1" ht="18" customHeight="1">
      <c r="A6" s="345" t="s">
        <v>9</v>
      </c>
      <c r="B6" s="389" t="s">
        <v>432</v>
      </c>
      <c r="C6" s="335" t="s">
        <v>1</v>
      </c>
      <c r="D6" s="336"/>
      <c r="E6" s="432" t="s">
        <v>79</v>
      </c>
      <c r="F6" s="432" t="s">
        <v>79</v>
      </c>
      <c r="G6" s="432" t="s">
        <v>7</v>
      </c>
      <c r="H6" s="432" t="s">
        <v>79</v>
      </c>
      <c r="I6" s="339" t="s">
        <v>7</v>
      </c>
      <c r="J6" s="339" t="s">
        <v>7</v>
      </c>
      <c r="K6" s="361"/>
      <c r="L6" s="336" t="s">
        <v>87</v>
      </c>
      <c r="M6" s="338" t="s">
        <v>88</v>
      </c>
      <c r="R6" s="336"/>
      <c r="S6" s="339" t="s">
        <v>321</v>
      </c>
      <c r="T6" s="339" t="s">
        <v>321</v>
      </c>
      <c r="U6" s="339" t="s">
        <v>321</v>
      </c>
      <c r="V6" s="563"/>
      <c r="W6" s="563" t="s">
        <v>7</v>
      </c>
      <c r="X6" s="626"/>
      <c r="Y6" s="588"/>
      <c r="AD6" s="329"/>
    </row>
    <row r="7" spans="1:36" s="6" customFormat="1" ht="18" customHeight="1">
      <c r="A7" s="345" t="s">
        <v>10</v>
      </c>
      <c r="B7" s="389" t="s">
        <v>432</v>
      </c>
      <c r="C7" s="335" t="s">
        <v>1</v>
      </c>
      <c r="D7" s="336"/>
      <c r="E7" s="432" t="s">
        <v>79</v>
      </c>
      <c r="F7" s="432" t="s">
        <v>85</v>
      </c>
      <c r="G7" s="432" t="s">
        <v>306</v>
      </c>
      <c r="H7" s="432" t="s">
        <v>79</v>
      </c>
      <c r="I7" s="339"/>
      <c r="J7" s="339">
        <v>1</v>
      </c>
      <c r="K7" s="359"/>
      <c r="L7" s="334" t="s">
        <v>344</v>
      </c>
      <c r="M7" s="334"/>
      <c r="R7" s="336"/>
      <c r="S7" s="339" t="s">
        <v>321</v>
      </c>
      <c r="T7" s="339" t="s">
        <v>321</v>
      </c>
      <c r="U7" s="339" t="s">
        <v>321</v>
      </c>
      <c r="V7" s="563"/>
      <c r="W7" s="563" t="s">
        <v>7</v>
      </c>
      <c r="X7" s="626"/>
      <c r="Y7" s="267"/>
      <c r="AD7" s="330"/>
    </row>
    <row r="8" spans="1:36" s="6" customFormat="1" ht="18" customHeight="1">
      <c r="A8" s="345" t="s">
        <v>11</v>
      </c>
      <c r="B8" s="389" t="s">
        <v>432</v>
      </c>
      <c r="C8" s="335" t="s">
        <v>1</v>
      </c>
      <c r="D8" s="336"/>
      <c r="E8" s="432" t="s">
        <v>97</v>
      </c>
      <c r="F8" s="432" t="s">
        <v>97</v>
      </c>
      <c r="G8" s="432" t="s">
        <v>306</v>
      </c>
      <c r="H8" s="432" t="s">
        <v>97</v>
      </c>
      <c r="I8" s="339" t="s">
        <v>7</v>
      </c>
      <c r="J8" s="339" t="s">
        <v>7</v>
      </c>
      <c r="K8" s="359"/>
      <c r="L8" s="334"/>
      <c r="M8" s="334" t="s">
        <v>87</v>
      </c>
      <c r="R8" s="336"/>
      <c r="S8" s="339"/>
      <c r="T8" s="339"/>
      <c r="U8" s="339"/>
      <c r="V8" s="563" t="s">
        <v>377</v>
      </c>
      <c r="W8" s="563" t="s">
        <v>416</v>
      </c>
      <c r="X8" s="626"/>
      <c r="Y8" s="590"/>
      <c r="Z8" s="591"/>
      <c r="AA8" s="591"/>
      <c r="AB8" s="591"/>
      <c r="AC8" s="591"/>
      <c r="AD8" s="330"/>
    </row>
    <row r="9" spans="1:36" s="6" customFormat="1" ht="18" customHeight="1">
      <c r="A9" s="345" t="s">
        <v>12</v>
      </c>
      <c r="B9" s="389" t="s">
        <v>432</v>
      </c>
      <c r="C9" s="335" t="s">
        <v>1</v>
      </c>
      <c r="D9" s="336"/>
      <c r="E9" s="432" t="s">
        <v>79</v>
      </c>
      <c r="F9" s="447" t="s">
        <v>85</v>
      </c>
      <c r="G9" s="432" t="s">
        <v>7</v>
      </c>
      <c r="H9" s="432" t="s">
        <v>79</v>
      </c>
      <c r="I9" s="339"/>
      <c r="J9" s="339">
        <v>1</v>
      </c>
      <c r="K9" s="359"/>
      <c r="L9" s="334"/>
      <c r="M9" s="338"/>
      <c r="R9" s="336"/>
      <c r="S9" s="339" t="s">
        <v>321</v>
      </c>
      <c r="T9" s="339" t="s">
        <v>321</v>
      </c>
      <c r="U9" s="339" t="s">
        <v>321</v>
      </c>
      <c r="V9" s="563"/>
      <c r="W9" s="563" t="s">
        <v>7</v>
      </c>
      <c r="X9" s="626"/>
      <c r="Y9" s="592" t="s">
        <v>405</v>
      </c>
      <c r="Z9" s="591"/>
      <c r="AA9" s="591"/>
      <c r="AB9" s="591"/>
      <c r="AC9" s="591"/>
      <c r="AD9" s="329"/>
    </row>
    <row r="10" spans="1:36" s="6" customFormat="1" ht="18" customHeight="1">
      <c r="A10" s="345" t="s">
        <v>13</v>
      </c>
      <c r="B10" s="389" t="s">
        <v>432</v>
      </c>
      <c r="C10" s="335" t="s">
        <v>1</v>
      </c>
      <c r="D10" s="337"/>
      <c r="E10" s="432" t="s">
        <v>79</v>
      </c>
      <c r="F10" s="432" t="s">
        <v>79</v>
      </c>
      <c r="G10" s="432" t="s">
        <v>7</v>
      </c>
      <c r="H10" s="432" t="s">
        <v>79</v>
      </c>
      <c r="I10" s="339" t="s">
        <v>7</v>
      </c>
      <c r="J10" s="339" t="s">
        <v>7</v>
      </c>
      <c r="K10" s="361"/>
      <c r="L10" s="336"/>
      <c r="M10" s="338" t="s">
        <v>88</v>
      </c>
      <c r="R10" s="336"/>
      <c r="S10" s="339" t="s">
        <v>321</v>
      </c>
      <c r="T10" s="339" t="s">
        <v>321</v>
      </c>
      <c r="U10" s="339" t="s">
        <v>321</v>
      </c>
      <c r="V10" s="563"/>
      <c r="W10" s="563" t="s">
        <v>7</v>
      </c>
      <c r="X10" s="626"/>
      <c r="Y10" s="592" t="s">
        <v>406</v>
      </c>
      <c r="Z10" s="591"/>
      <c r="AA10" s="591"/>
      <c r="AB10" s="591"/>
      <c r="AC10" s="591"/>
      <c r="AD10" s="329"/>
    </row>
    <row r="11" spans="1:36" s="6" customFormat="1" ht="18" customHeight="1">
      <c r="A11" s="341" t="s">
        <v>14</v>
      </c>
      <c r="B11" s="389" t="s">
        <v>432</v>
      </c>
      <c r="C11" s="335" t="s">
        <v>1</v>
      </c>
      <c r="D11" s="336"/>
      <c r="E11" s="432" t="s">
        <v>79</v>
      </c>
      <c r="F11" s="447" t="s">
        <v>85</v>
      </c>
      <c r="G11" s="432" t="s">
        <v>306</v>
      </c>
      <c r="H11" s="432" t="s">
        <v>79</v>
      </c>
      <c r="I11" s="618" t="s">
        <v>7</v>
      </c>
      <c r="J11" s="618" t="s">
        <v>7</v>
      </c>
      <c r="K11" s="619"/>
      <c r="L11" s="335"/>
      <c r="M11" s="338" t="s">
        <v>88</v>
      </c>
      <c r="R11" s="336"/>
      <c r="S11" s="339" t="s">
        <v>321</v>
      </c>
      <c r="T11" s="339" t="s">
        <v>321</v>
      </c>
      <c r="U11" s="339" t="s">
        <v>321</v>
      </c>
      <c r="V11" s="563"/>
      <c r="W11" s="563" t="s">
        <v>7</v>
      </c>
      <c r="X11" s="626"/>
      <c r="Y11" s="590"/>
      <c r="Z11" s="591"/>
      <c r="AA11" s="591"/>
      <c r="AB11" s="591"/>
      <c r="AC11" s="591"/>
      <c r="AD11" s="329"/>
    </row>
    <row r="12" spans="1:36" s="6" customFormat="1" ht="18" customHeight="1">
      <c r="A12" s="345" t="s">
        <v>15</v>
      </c>
      <c r="B12" s="389" t="s">
        <v>432</v>
      </c>
      <c r="C12" s="335" t="s">
        <v>1</v>
      </c>
      <c r="D12" s="336"/>
      <c r="E12" s="432" t="s">
        <v>97</v>
      </c>
      <c r="F12" s="432" t="s">
        <v>97</v>
      </c>
      <c r="G12" s="432" t="s">
        <v>306</v>
      </c>
      <c r="H12" s="432" t="s">
        <v>97</v>
      </c>
      <c r="I12" s="343">
        <v>2</v>
      </c>
      <c r="J12" s="343" t="s">
        <v>7</v>
      </c>
      <c r="K12" s="361"/>
      <c r="L12" s="336"/>
      <c r="M12" s="336"/>
      <c r="R12" s="336"/>
      <c r="S12" s="339" t="s">
        <v>321</v>
      </c>
      <c r="T12" s="339" t="s">
        <v>321</v>
      </c>
      <c r="U12" s="339"/>
      <c r="V12" s="563" t="s">
        <v>377</v>
      </c>
      <c r="W12" s="563" t="s">
        <v>380</v>
      </c>
      <c r="X12" s="626"/>
      <c r="Y12" s="590"/>
      <c r="Z12" s="591"/>
      <c r="AA12" s="591"/>
      <c r="AB12" s="591"/>
      <c r="AC12" s="591"/>
      <c r="AD12" s="329"/>
    </row>
    <row r="13" spans="1:36" s="6" customFormat="1" ht="18" customHeight="1">
      <c r="A13" s="341" t="s">
        <v>16</v>
      </c>
      <c r="B13" s="389" t="s">
        <v>432</v>
      </c>
      <c r="C13" s="335" t="s">
        <v>1</v>
      </c>
      <c r="D13" s="336"/>
      <c r="E13" s="432" t="s">
        <v>79</v>
      </c>
      <c r="F13" s="433" t="s">
        <v>79</v>
      </c>
      <c r="G13" s="432" t="s">
        <v>7</v>
      </c>
      <c r="H13" s="432" t="s">
        <v>79</v>
      </c>
      <c r="I13" s="339" t="s">
        <v>7</v>
      </c>
      <c r="J13" s="339" t="s">
        <v>7</v>
      </c>
      <c r="K13" s="620"/>
      <c r="L13" s="347"/>
      <c r="M13" s="336" t="s">
        <v>87</v>
      </c>
      <c r="R13" s="336"/>
      <c r="S13" s="339"/>
      <c r="T13" s="339" t="s">
        <v>321</v>
      </c>
      <c r="U13" s="339"/>
      <c r="V13" s="563"/>
      <c r="W13" s="563" t="s">
        <v>7</v>
      </c>
      <c r="X13" s="626"/>
      <c r="Y13" s="267"/>
      <c r="AD13" s="331"/>
    </row>
    <row r="14" spans="1:36" s="6" customFormat="1" ht="18" customHeight="1">
      <c r="A14" s="341" t="s">
        <v>17</v>
      </c>
      <c r="B14" s="389" t="s">
        <v>432</v>
      </c>
      <c r="C14" s="335" t="s">
        <v>1</v>
      </c>
      <c r="D14" s="340"/>
      <c r="E14" s="433" t="s">
        <v>79</v>
      </c>
      <c r="F14" s="433" t="s">
        <v>79</v>
      </c>
      <c r="G14" s="432" t="s">
        <v>7</v>
      </c>
      <c r="H14" s="432" t="s">
        <v>79</v>
      </c>
      <c r="I14" s="339" t="s">
        <v>7</v>
      </c>
      <c r="J14" s="339" t="s">
        <v>7</v>
      </c>
      <c r="K14" s="619"/>
      <c r="L14" s="335"/>
      <c r="M14" s="338" t="s">
        <v>88</v>
      </c>
      <c r="R14" s="336"/>
      <c r="S14" s="339" t="s">
        <v>321</v>
      </c>
      <c r="T14" s="339" t="s">
        <v>321</v>
      </c>
      <c r="U14" s="339" t="s">
        <v>321</v>
      </c>
      <c r="V14" s="563"/>
      <c r="W14" s="563" t="s">
        <v>7</v>
      </c>
      <c r="X14" s="626"/>
      <c r="Y14" s="267"/>
      <c r="AD14" s="331"/>
    </row>
    <row r="15" spans="1:36" s="6" customFormat="1" ht="18" customHeight="1">
      <c r="A15" s="341" t="s">
        <v>18</v>
      </c>
      <c r="B15" s="389" t="s">
        <v>432</v>
      </c>
      <c r="C15" s="335" t="s">
        <v>1</v>
      </c>
      <c r="D15" s="336"/>
      <c r="E15" s="432" t="s">
        <v>79</v>
      </c>
      <c r="F15" s="432" t="s">
        <v>79</v>
      </c>
      <c r="G15" s="432" t="s">
        <v>7</v>
      </c>
      <c r="H15" s="432" t="s">
        <v>79</v>
      </c>
      <c r="I15" s="339" t="s">
        <v>7</v>
      </c>
      <c r="J15" s="339" t="s">
        <v>7</v>
      </c>
      <c r="K15" s="621"/>
      <c r="L15" s="346" t="s">
        <v>238</v>
      </c>
      <c r="M15" s="334"/>
      <c r="R15" s="336"/>
      <c r="S15" s="339" t="s">
        <v>321</v>
      </c>
      <c r="T15" s="339" t="s">
        <v>321</v>
      </c>
      <c r="U15" s="339" t="s">
        <v>321</v>
      </c>
      <c r="V15" s="563"/>
      <c r="W15" s="563" t="s">
        <v>7</v>
      </c>
      <c r="X15" s="626"/>
      <c r="Y15" s="267"/>
      <c r="AD15" s="331"/>
    </row>
    <row r="16" spans="1:36" s="6" customFormat="1" ht="18" customHeight="1">
      <c r="A16" s="341" t="s">
        <v>19</v>
      </c>
      <c r="B16" s="389" t="s">
        <v>432</v>
      </c>
      <c r="C16" s="335" t="s">
        <v>1</v>
      </c>
      <c r="D16" s="336"/>
      <c r="E16" s="432" t="s">
        <v>79</v>
      </c>
      <c r="F16" s="432" t="s">
        <v>79</v>
      </c>
      <c r="G16" s="432" t="s">
        <v>7</v>
      </c>
      <c r="H16" s="432" t="s">
        <v>79</v>
      </c>
      <c r="I16" s="339" t="s">
        <v>7</v>
      </c>
      <c r="J16" s="339" t="s">
        <v>7</v>
      </c>
      <c r="K16" s="360"/>
      <c r="L16" s="340"/>
      <c r="M16" s="338" t="s">
        <v>88</v>
      </c>
      <c r="R16" s="336"/>
      <c r="S16" s="339" t="s">
        <v>321</v>
      </c>
      <c r="T16" s="339" t="s">
        <v>321</v>
      </c>
      <c r="U16" s="339" t="s">
        <v>321</v>
      </c>
      <c r="V16" s="563"/>
      <c r="W16" s="563" t="s">
        <v>7</v>
      </c>
      <c r="X16" s="626"/>
      <c r="Y16" s="267"/>
      <c r="AD16" s="329"/>
    </row>
    <row r="17" spans="1:30" s="6" customFormat="1" ht="18" customHeight="1">
      <c r="A17" s="341" t="s">
        <v>20</v>
      </c>
      <c r="B17" s="389" t="s">
        <v>432</v>
      </c>
      <c r="C17" s="335" t="s">
        <v>1</v>
      </c>
      <c r="D17" s="336"/>
      <c r="E17" s="432" t="s">
        <v>97</v>
      </c>
      <c r="F17" s="432" t="s">
        <v>97</v>
      </c>
      <c r="G17" s="432" t="s">
        <v>306</v>
      </c>
      <c r="H17" s="432" t="s">
        <v>97</v>
      </c>
      <c r="I17" s="342" t="s">
        <v>7</v>
      </c>
      <c r="J17" s="342">
        <v>1</v>
      </c>
      <c r="K17" s="620"/>
      <c r="L17" s="347"/>
      <c r="M17" s="338"/>
      <c r="R17" s="336"/>
      <c r="S17" s="339"/>
      <c r="T17" s="339"/>
      <c r="U17" s="339" t="s">
        <v>321</v>
      </c>
      <c r="V17" s="563"/>
      <c r="W17" s="563" t="s">
        <v>7</v>
      </c>
      <c r="X17" s="626"/>
      <c r="Y17" s="267"/>
      <c r="AD17" s="329"/>
    </row>
    <row r="18" spans="1:30" s="6" customFormat="1" ht="18" customHeight="1">
      <c r="A18" s="345" t="s">
        <v>21</v>
      </c>
      <c r="B18" s="389" t="s">
        <v>432</v>
      </c>
      <c r="C18" s="335" t="s">
        <v>1</v>
      </c>
      <c r="D18" s="336"/>
      <c r="E18" s="432" t="s">
        <v>97</v>
      </c>
      <c r="F18" s="432" t="s">
        <v>97</v>
      </c>
      <c r="G18" s="432" t="s">
        <v>306</v>
      </c>
      <c r="H18" s="432" t="s">
        <v>97</v>
      </c>
      <c r="I18" s="339">
        <v>2</v>
      </c>
      <c r="J18" s="339" t="s">
        <v>7</v>
      </c>
      <c r="K18" s="359" t="s">
        <v>93</v>
      </c>
      <c r="L18" s="334"/>
      <c r="M18" s="334"/>
      <c r="R18" s="336"/>
      <c r="S18" s="339"/>
      <c r="T18" s="339" t="s">
        <v>321</v>
      </c>
      <c r="U18" s="339" t="s">
        <v>321</v>
      </c>
      <c r="V18" s="563"/>
      <c r="W18" s="563" t="s">
        <v>7</v>
      </c>
      <c r="X18" s="626"/>
      <c r="Y18" s="267"/>
      <c r="AD18" s="329"/>
    </row>
    <row r="19" spans="1:30" s="6" customFormat="1" ht="18" customHeight="1">
      <c r="A19" s="345" t="s">
        <v>22</v>
      </c>
      <c r="B19" s="389" t="s">
        <v>432</v>
      </c>
      <c r="C19" s="335" t="s">
        <v>1</v>
      </c>
      <c r="D19" s="336"/>
      <c r="E19" s="432" t="s">
        <v>97</v>
      </c>
      <c r="F19" s="432" t="s">
        <v>97</v>
      </c>
      <c r="G19" s="432" t="s">
        <v>306</v>
      </c>
      <c r="H19" s="432" t="s">
        <v>97</v>
      </c>
      <c r="I19" s="342">
        <v>2</v>
      </c>
      <c r="J19" s="342" t="s">
        <v>7</v>
      </c>
      <c r="K19" s="360"/>
      <c r="L19" s="340"/>
      <c r="M19" s="340"/>
      <c r="R19" s="336"/>
      <c r="S19" s="339"/>
      <c r="T19" s="339"/>
      <c r="U19" s="339"/>
      <c r="V19" s="563"/>
      <c r="W19" s="563" t="s">
        <v>7</v>
      </c>
      <c r="X19" s="626"/>
      <c r="Y19" s="267"/>
      <c r="AD19" s="329"/>
    </row>
    <row r="20" spans="1:30" s="6" customFormat="1" ht="18" customHeight="1">
      <c r="A20" s="341" t="s">
        <v>23</v>
      </c>
      <c r="B20" s="389" t="s">
        <v>432</v>
      </c>
      <c r="C20" s="335" t="s">
        <v>1</v>
      </c>
      <c r="D20" s="336"/>
      <c r="E20" s="432" t="s">
        <v>79</v>
      </c>
      <c r="F20" s="447" t="s">
        <v>85</v>
      </c>
      <c r="G20" s="432" t="s">
        <v>306</v>
      </c>
      <c r="H20" s="432" t="s">
        <v>79</v>
      </c>
      <c r="I20" s="342" t="s">
        <v>7</v>
      </c>
      <c r="J20" s="342">
        <v>2</v>
      </c>
      <c r="K20" s="360"/>
      <c r="L20" s="340"/>
      <c r="M20" s="340"/>
      <c r="R20" s="336"/>
      <c r="S20" s="339" t="s">
        <v>321</v>
      </c>
      <c r="T20" s="339" t="s">
        <v>321</v>
      </c>
      <c r="U20" s="339" t="s">
        <v>321</v>
      </c>
      <c r="V20" s="563"/>
      <c r="W20" s="563" t="s">
        <v>7</v>
      </c>
      <c r="X20" s="626"/>
      <c r="Y20" s="267"/>
      <c r="AD20" s="329"/>
    </row>
    <row r="21" spans="1:30" s="6" customFormat="1" ht="18" customHeight="1">
      <c r="A21" s="345" t="s">
        <v>24</v>
      </c>
      <c r="B21" s="389" t="s">
        <v>432</v>
      </c>
      <c r="C21" s="335" t="s">
        <v>1</v>
      </c>
      <c r="D21" s="336"/>
      <c r="E21" s="432" t="s">
        <v>79</v>
      </c>
      <c r="F21" s="447" t="s">
        <v>85</v>
      </c>
      <c r="G21" s="432" t="s">
        <v>306</v>
      </c>
      <c r="H21" s="432" t="s">
        <v>79</v>
      </c>
      <c r="I21" s="339" t="s">
        <v>7</v>
      </c>
      <c r="J21" s="339">
        <v>1</v>
      </c>
      <c r="K21" s="359"/>
      <c r="L21" s="334"/>
      <c r="M21" s="334"/>
      <c r="R21" s="336"/>
      <c r="S21" s="339" t="s">
        <v>321</v>
      </c>
      <c r="T21" s="339" t="s">
        <v>321</v>
      </c>
      <c r="U21" s="339" t="s">
        <v>321</v>
      </c>
      <c r="V21" s="563"/>
      <c r="W21" s="563" t="s">
        <v>7</v>
      </c>
      <c r="X21" s="626"/>
      <c r="Y21" s="267"/>
      <c r="AD21" s="329"/>
    </row>
    <row r="22" spans="1:30" s="6" customFormat="1" ht="18" customHeight="1">
      <c r="A22" s="345" t="s">
        <v>331</v>
      </c>
      <c r="B22" s="389" t="s">
        <v>432</v>
      </c>
      <c r="C22" s="335"/>
      <c r="D22" s="336"/>
      <c r="E22" s="432"/>
      <c r="F22" s="432"/>
      <c r="G22" s="432"/>
      <c r="H22" s="432"/>
      <c r="I22" s="339"/>
      <c r="J22" s="339"/>
      <c r="K22" s="359"/>
      <c r="L22" s="334"/>
      <c r="M22" s="338"/>
      <c r="R22" s="336"/>
      <c r="S22" s="339" t="s">
        <v>7</v>
      </c>
      <c r="T22" s="339" t="s">
        <v>7</v>
      </c>
      <c r="U22" s="349"/>
      <c r="V22" s="341"/>
      <c r="W22" s="341"/>
      <c r="X22" s="627"/>
      <c r="Y22" s="267"/>
      <c r="AD22" s="329"/>
    </row>
    <row r="23" spans="1:30" s="6" customFormat="1" ht="18" customHeight="1">
      <c r="A23" s="341" t="s">
        <v>332</v>
      </c>
      <c r="B23" s="389" t="s">
        <v>432</v>
      </c>
      <c r="C23" s="335" t="s">
        <v>1</v>
      </c>
      <c r="D23" s="336"/>
      <c r="E23" s="432" t="s">
        <v>97</v>
      </c>
      <c r="F23" s="432" t="s">
        <v>97</v>
      </c>
      <c r="G23" s="432" t="s">
        <v>306</v>
      </c>
      <c r="H23" s="432" t="s">
        <v>97</v>
      </c>
      <c r="I23" s="441">
        <v>1</v>
      </c>
      <c r="J23" s="441" t="s">
        <v>7</v>
      </c>
      <c r="K23" s="425"/>
      <c r="L23" s="337"/>
      <c r="M23" s="337"/>
      <c r="R23" s="336"/>
      <c r="S23" s="339"/>
      <c r="T23" s="339"/>
      <c r="U23" s="339"/>
      <c r="V23" s="563"/>
      <c r="W23" s="563" t="s">
        <v>7</v>
      </c>
      <c r="X23" s="626"/>
      <c r="Y23" s="267"/>
      <c r="AD23" s="329"/>
    </row>
    <row r="24" spans="1:30" s="6" customFormat="1" ht="18" customHeight="1">
      <c r="A24" s="341" t="s">
        <v>332</v>
      </c>
      <c r="B24" s="389" t="s">
        <v>432</v>
      </c>
      <c r="C24" s="335" t="s">
        <v>1</v>
      </c>
      <c r="D24" s="336"/>
      <c r="E24" s="432" t="s">
        <v>97</v>
      </c>
      <c r="F24" s="432" t="s">
        <v>97</v>
      </c>
      <c r="G24" s="432" t="s">
        <v>306</v>
      </c>
      <c r="H24" s="432" t="s">
        <v>97</v>
      </c>
      <c r="I24" s="339" t="s">
        <v>7</v>
      </c>
      <c r="J24" s="339">
        <v>1</v>
      </c>
      <c r="K24" s="359"/>
      <c r="L24" s="334"/>
      <c r="M24" s="334"/>
      <c r="R24" s="336"/>
      <c r="S24" s="339"/>
      <c r="T24" s="339"/>
      <c r="U24" s="339"/>
      <c r="V24" s="563"/>
      <c r="W24" s="563" t="s">
        <v>7</v>
      </c>
      <c r="X24" s="626"/>
      <c r="Y24" s="267"/>
      <c r="AD24" s="24"/>
    </row>
    <row r="25" spans="1:30" s="6" customFormat="1" ht="18" customHeight="1">
      <c r="A25" s="345" t="s">
        <v>25</v>
      </c>
      <c r="B25" s="389" t="s">
        <v>432</v>
      </c>
      <c r="C25" s="335" t="s">
        <v>1</v>
      </c>
      <c r="D25" s="336"/>
      <c r="E25" s="433" t="s">
        <v>79</v>
      </c>
      <c r="F25" s="433" t="s">
        <v>79</v>
      </c>
      <c r="G25" s="432" t="s">
        <v>7</v>
      </c>
      <c r="H25" s="433" t="s">
        <v>79</v>
      </c>
      <c r="I25" s="339" t="s">
        <v>7</v>
      </c>
      <c r="J25" s="339" t="s">
        <v>7</v>
      </c>
      <c r="K25" s="360"/>
      <c r="L25" s="340"/>
      <c r="M25" s="338" t="s">
        <v>88</v>
      </c>
      <c r="R25" s="336"/>
      <c r="S25" s="339" t="s">
        <v>321</v>
      </c>
      <c r="T25" s="339" t="s">
        <v>321</v>
      </c>
      <c r="U25" s="339" t="s">
        <v>321</v>
      </c>
      <c r="V25" s="563"/>
      <c r="W25" s="563" t="s">
        <v>7</v>
      </c>
      <c r="X25" s="626"/>
      <c r="AD25" s="24"/>
    </row>
    <row r="26" spans="1:30" ht="18" customHeight="1">
      <c r="A26" s="391" t="s">
        <v>26</v>
      </c>
      <c r="B26" s="389" t="s">
        <v>432</v>
      </c>
      <c r="C26" s="335" t="s">
        <v>1</v>
      </c>
      <c r="D26" s="336"/>
      <c r="E26" s="432" t="s">
        <v>97</v>
      </c>
      <c r="F26" s="432" t="s">
        <v>97</v>
      </c>
      <c r="G26" s="432" t="s">
        <v>306</v>
      </c>
      <c r="H26" s="432" t="s">
        <v>97</v>
      </c>
      <c r="I26" s="339" t="s">
        <v>7</v>
      </c>
      <c r="J26" s="339">
        <v>1</v>
      </c>
      <c r="K26" s="359"/>
      <c r="L26" s="334"/>
      <c r="M26" s="334"/>
      <c r="R26" s="336"/>
      <c r="S26" s="339"/>
      <c r="T26" s="339"/>
      <c r="U26" s="339"/>
      <c r="V26" s="563"/>
      <c r="W26" s="563" t="s">
        <v>7</v>
      </c>
      <c r="X26" s="626"/>
      <c r="AD26" s="24"/>
    </row>
    <row r="27" spans="1:30" ht="18" customHeight="1">
      <c r="A27" s="391" t="s">
        <v>27</v>
      </c>
      <c r="B27" s="389" t="s">
        <v>432</v>
      </c>
      <c r="C27" s="335" t="s">
        <v>1</v>
      </c>
      <c r="D27" s="336"/>
      <c r="E27" s="432" t="s">
        <v>97</v>
      </c>
      <c r="F27" s="447" t="s">
        <v>85</v>
      </c>
      <c r="G27" s="432" t="s">
        <v>306</v>
      </c>
      <c r="H27" s="432" t="s">
        <v>97</v>
      </c>
      <c r="I27" s="441" t="s">
        <v>7</v>
      </c>
      <c r="J27" s="441">
        <v>1</v>
      </c>
      <c r="K27" s="425"/>
      <c r="L27" s="337"/>
      <c r="M27" s="340"/>
      <c r="R27" s="336"/>
      <c r="S27" s="339"/>
      <c r="T27" s="339"/>
      <c r="U27" s="339"/>
      <c r="V27" s="563"/>
      <c r="W27" s="563" t="s">
        <v>7</v>
      </c>
      <c r="X27" s="626"/>
      <c r="AD27" s="24"/>
    </row>
    <row r="28" spans="1:30" ht="18" customHeight="1">
      <c r="A28" s="391" t="s">
        <v>28</v>
      </c>
      <c r="B28" s="389" t="s">
        <v>432</v>
      </c>
      <c r="C28" s="335" t="s">
        <v>1</v>
      </c>
      <c r="D28" s="336"/>
      <c r="E28" s="433" t="s">
        <v>79</v>
      </c>
      <c r="F28" s="433" t="s">
        <v>79</v>
      </c>
      <c r="G28" s="432" t="s">
        <v>7</v>
      </c>
      <c r="H28" s="433" t="s">
        <v>79</v>
      </c>
      <c r="I28" s="339" t="s">
        <v>7</v>
      </c>
      <c r="J28" s="339" t="s">
        <v>7</v>
      </c>
      <c r="K28" s="360"/>
      <c r="L28" s="340"/>
      <c r="M28" s="338" t="s">
        <v>88</v>
      </c>
      <c r="R28" s="336"/>
      <c r="S28" s="339" t="s">
        <v>321</v>
      </c>
      <c r="T28" s="339" t="s">
        <v>321</v>
      </c>
      <c r="U28" s="339" t="s">
        <v>321</v>
      </c>
      <c r="V28" s="563"/>
      <c r="W28" s="563" t="s">
        <v>7</v>
      </c>
      <c r="X28" s="626"/>
      <c r="AD28" s="24"/>
    </row>
    <row r="29" spans="1:30" ht="18" customHeight="1">
      <c r="A29" s="391" t="s">
        <v>29</v>
      </c>
      <c r="B29" s="389" t="s">
        <v>432</v>
      </c>
      <c r="C29" s="335" t="s">
        <v>1</v>
      </c>
      <c r="D29" s="335"/>
      <c r="E29" s="432" t="s">
        <v>97</v>
      </c>
      <c r="F29" s="443" t="s">
        <v>97</v>
      </c>
      <c r="G29" s="432" t="s">
        <v>306</v>
      </c>
      <c r="H29" s="432" t="s">
        <v>97</v>
      </c>
      <c r="I29" s="441">
        <v>2</v>
      </c>
      <c r="J29" s="441" t="s">
        <v>7</v>
      </c>
      <c r="K29" s="425" t="s">
        <v>93</v>
      </c>
      <c r="L29" s="337"/>
      <c r="M29" s="340"/>
      <c r="R29" s="336"/>
      <c r="S29" s="339"/>
      <c r="T29" s="339"/>
      <c r="U29" s="339"/>
      <c r="V29" s="563"/>
      <c r="W29" s="563" t="s">
        <v>7</v>
      </c>
      <c r="X29" s="626"/>
      <c r="AD29" s="24"/>
    </row>
    <row r="30" spans="1:30" ht="18" customHeight="1">
      <c r="A30" s="391" t="s">
        <v>30</v>
      </c>
      <c r="B30" s="389" t="s">
        <v>432</v>
      </c>
      <c r="C30" s="335" t="s">
        <v>1</v>
      </c>
      <c r="D30" s="336"/>
      <c r="E30" s="432" t="s">
        <v>97</v>
      </c>
      <c r="F30" s="432" t="s">
        <v>97</v>
      </c>
      <c r="G30" s="432" t="s">
        <v>306</v>
      </c>
      <c r="H30" s="432" t="s">
        <v>97</v>
      </c>
      <c r="I30" s="618">
        <v>2</v>
      </c>
      <c r="J30" s="618"/>
      <c r="K30" s="619" t="s">
        <v>93</v>
      </c>
      <c r="L30" s="335"/>
      <c r="M30" s="335"/>
      <c r="R30" s="336"/>
      <c r="S30" s="339"/>
      <c r="T30" s="339" t="s">
        <v>321</v>
      </c>
      <c r="U30" s="339" t="s">
        <v>321</v>
      </c>
      <c r="V30" s="563"/>
      <c r="W30" s="563" t="s">
        <v>7</v>
      </c>
      <c r="X30" s="626"/>
      <c r="AD30" s="24"/>
    </row>
    <row r="31" spans="1:30" ht="18" customHeight="1">
      <c r="A31" s="391" t="s">
        <v>31</v>
      </c>
      <c r="B31" s="389" t="s">
        <v>432</v>
      </c>
      <c r="C31" s="335" t="s">
        <v>1</v>
      </c>
      <c r="D31" s="635" t="s">
        <v>426</v>
      </c>
      <c r="E31" s="432" t="s">
        <v>97</v>
      </c>
      <c r="F31" s="443" t="s">
        <v>97</v>
      </c>
      <c r="G31" s="432" t="s">
        <v>306</v>
      </c>
      <c r="H31" s="432" t="s">
        <v>97</v>
      </c>
      <c r="I31" s="441">
        <v>2</v>
      </c>
      <c r="J31" s="441" t="s">
        <v>7</v>
      </c>
      <c r="K31" s="425" t="s">
        <v>7</v>
      </c>
      <c r="L31" s="337"/>
      <c r="M31" s="340"/>
      <c r="R31" s="634" t="s">
        <v>425</v>
      </c>
      <c r="S31" s="339"/>
      <c r="T31" s="339"/>
      <c r="U31" s="349"/>
      <c r="V31" s="341"/>
      <c r="W31" s="341" t="s">
        <v>7</v>
      </c>
      <c r="X31" s="627"/>
      <c r="AD31" s="24"/>
    </row>
    <row r="32" spans="1:30" ht="18" customHeight="1">
      <c r="A32" s="391" t="s">
        <v>32</v>
      </c>
      <c r="B32" s="389" t="s">
        <v>432</v>
      </c>
      <c r="C32" s="335" t="s">
        <v>1</v>
      </c>
      <c r="D32" s="336"/>
      <c r="E32" s="432" t="s">
        <v>79</v>
      </c>
      <c r="F32" s="433" t="s">
        <v>79</v>
      </c>
      <c r="G32" s="432" t="s">
        <v>7</v>
      </c>
      <c r="H32" s="432" t="s">
        <v>79</v>
      </c>
      <c r="I32" s="339" t="s">
        <v>7</v>
      </c>
      <c r="J32" s="339">
        <v>1</v>
      </c>
      <c r="K32" s="359"/>
      <c r="L32" s="334"/>
      <c r="M32" s="334"/>
      <c r="R32" s="336"/>
      <c r="S32" s="339"/>
      <c r="T32" s="339"/>
      <c r="U32" s="339"/>
      <c r="V32" s="563" t="s">
        <v>377</v>
      </c>
      <c r="W32" s="563" t="s">
        <v>385</v>
      </c>
      <c r="X32" s="626"/>
      <c r="AD32" s="24"/>
    </row>
    <row r="33" spans="1:32" ht="18" customHeight="1">
      <c r="A33" s="392" t="s">
        <v>33</v>
      </c>
      <c r="B33" s="389" t="s">
        <v>432</v>
      </c>
      <c r="C33" s="335" t="s">
        <v>1</v>
      </c>
      <c r="D33" s="336"/>
      <c r="E33" s="623" t="s">
        <v>79</v>
      </c>
      <c r="F33" s="433" t="s">
        <v>79</v>
      </c>
      <c r="G33" s="432" t="s">
        <v>306</v>
      </c>
      <c r="H33" s="623" t="s">
        <v>79</v>
      </c>
      <c r="I33" s="339" t="s">
        <v>7</v>
      </c>
      <c r="J33" s="339" t="s">
        <v>7</v>
      </c>
      <c r="K33" s="359"/>
      <c r="L33" s="334"/>
      <c r="M33" s="338" t="s">
        <v>88</v>
      </c>
      <c r="R33" s="336"/>
      <c r="S33" s="339" t="s">
        <v>321</v>
      </c>
      <c r="T33" s="339" t="s">
        <v>321</v>
      </c>
      <c r="U33" s="339" t="s">
        <v>321</v>
      </c>
      <c r="V33" s="563"/>
      <c r="W33" s="563" t="s">
        <v>7</v>
      </c>
      <c r="X33" s="626"/>
      <c r="AD33" s="24"/>
    </row>
    <row r="34" spans="1:32" ht="18" customHeight="1">
      <c r="A34" s="392" t="s">
        <v>34</v>
      </c>
      <c r="B34" s="389" t="s">
        <v>432</v>
      </c>
      <c r="C34" s="335" t="s">
        <v>1</v>
      </c>
      <c r="D34" s="336"/>
      <c r="E34" s="432" t="s">
        <v>97</v>
      </c>
      <c r="F34" s="432" t="s">
        <v>97</v>
      </c>
      <c r="G34" s="432" t="s">
        <v>306</v>
      </c>
      <c r="H34" s="432" t="s">
        <v>97</v>
      </c>
      <c r="I34" s="339" t="s">
        <v>7</v>
      </c>
      <c r="J34" s="339" t="s">
        <v>7</v>
      </c>
      <c r="K34" s="359"/>
      <c r="L34" s="334"/>
      <c r="M34" s="334"/>
      <c r="R34" s="340"/>
      <c r="S34" s="339"/>
      <c r="T34" s="339"/>
      <c r="U34" s="339"/>
      <c r="V34" s="563"/>
      <c r="W34" s="563" t="s">
        <v>7</v>
      </c>
      <c r="X34" s="626"/>
      <c r="AD34" s="24"/>
    </row>
    <row r="35" spans="1:32" ht="18" customHeight="1">
      <c r="A35" s="392" t="s">
        <v>35</v>
      </c>
      <c r="B35" s="389" t="s">
        <v>432</v>
      </c>
      <c r="C35" s="336" t="s">
        <v>1</v>
      </c>
      <c r="D35" s="336"/>
      <c r="E35" s="623" t="s">
        <v>79</v>
      </c>
      <c r="F35" s="443" t="s">
        <v>83</v>
      </c>
      <c r="G35" s="432" t="s">
        <v>7</v>
      </c>
      <c r="H35" s="432" t="s">
        <v>79</v>
      </c>
      <c r="I35" s="339" t="s">
        <v>7</v>
      </c>
      <c r="J35" s="339" t="s">
        <v>7</v>
      </c>
      <c r="K35" s="619"/>
      <c r="L35" s="390"/>
      <c r="M35" s="338" t="s">
        <v>88</v>
      </c>
      <c r="N35" s="6"/>
      <c r="O35" s="6"/>
      <c r="P35" s="6"/>
      <c r="Q35" s="6"/>
      <c r="R35" s="340"/>
      <c r="S35" s="339" t="s">
        <v>321</v>
      </c>
      <c r="T35" s="339" t="s">
        <v>321</v>
      </c>
      <c r="U35" s="265"/>
      <c r="V35" s="601"/>
      <c r="W35" s="601" t="s">
        <v>7</v>
      </c>
      <c r="X35" s="628"/>
      <c r="AD35" s="24"/>
    </row>
    <row r="36" spans="1:32" ht="18" customHeight="1">
      <c r="A36" s="393" t="s">
        <v>36</v>
      </c>
      <c r="B36" s="389" t="s">
        <v>432</v>
      </c>
      <c r="C36" s="335" t="s">
        <v>1</v>
      </c>
      <c r="D36" s="336"/>
      <c r="E36" s="432" t="s">
        <v>97</v>
      </c>
      <c r="F36" s="432" t="s">
        <v>97</v>
      </c>
      <c r="G36" s="432" t="s">
        <v>306</v>
      </c>
      <c r="H36" s="432" t="s">
        <v>97</v>
      </c>
      <c r="I36" s="339" t="s">
        <v>7</v>
      </c>
      <c r="J36" s="339">
        <v>2</v>
      </c>
      <c r="K36" s="359"/>
      <c r="L36" s="334"/>
      <c r="M36" s="334"/>
      <c r="R36" s="336"/>
      <c r="S36" s="339"/>
      <c r="T36" s="339"/>
      <c r="U36" s="339"/>
      <c r="V36" s="563"/>
      <c r="W36" s="563" t="s">
        <v>7</v>
      </c>
      <c r="X36" s="626"/>
      <c r="AD36" s="24"/>
    </row>
    <row r="37" spans="1:32" ht="18" customHeight="1">
      <c r="A37" s="393" t="s">
        <v>37</v>
      </c>
      <c r="B37" s="389" t="s">
        <v>432</v>
      </c>
      <c r="C37" s="335" t="s">
        <v>90</v>
      </c>
      <c r="D37" s="336"/>
      <c r="E37" s="623" t="s">
        <v>79</v>
      </c>
      <c r="F37" s="447" t="s">
        <v>85</v>
      </c>
      <c r="G37" s="432" t="s">
        <v>7</v>
      </c>
      <c r="H37" s="623" t="s">
        <v>79</v>
      </c>
      <c r="I37" s="618" t="s">
        <v>7</v>
      </c>
      <c r="J37" s="618">
        <v>2</v>
      </c>
      <c r="K37" s="619"/>
      <c r="L37" s="335"/>
      <c r="M37" s="335" t="s">
        <v>87</v>
      </c>
      <c r="R37" s="336"/>
      <c r="S37" s="339"/>
      <c r="T37" s="339"/>
      <c r="U37" s="339"/>
      <c r="V37" s="563" t="s">
        <v>377</v>
      </c>
      <c r="W37" s="563" t="s">
        <v>382</v>
      </c>
      <c r="X37" s="626"/>
      <c r="AD37" s="24"/>
    </row>
    <row r="38" spans="1:32" ht="18" customHeight="1">
      <c r="A38" s="393" t="s">
        <v>38</v>
      </c>
      <c r="B38" s="389" t="s">
        <v>432</v>
      </c>
      <c r="C38" s="335" t="s">
        <v>1</v>
      </c>
      <c r="D38" s="336"/>
      <c r="E38" s="432" t="s">
        <v>79</v>
      </c>
      <c r="F38" s="432" t="s">
        <v>85</v>
      </c>
      <c r="G38" s="432" t="s">
        <v>7</v>
      </c>
      <c r="H38" s="432" t="s">
        <v>79</v>
      </c>
      <c r="I38" s="339" t="s">
        <v>7</v>
      </c>
      <c r="J38" s="339">
        <v>1</v>
      </c>
      <c r="K38" s="359"/>
      <c r="L38" s="334"/>
      <c r="M38" s="334"/>
      <c r="R38" s="336"/>
      <c r="S38" s="339"/>
      <c r="T38" s="339"/>
      <c r="U38" s="339"/>
      <c r="V38" s="563"/>
      <c r="W38" s="563" t="s">
        <v>7</v>
      </c>
      <c r="X38" s="626"/>
      <c r="AD38" s="128"/>
    </row>
    <row r="39" spans="1:32" ht="18" customHeight="1">
      <c r="A39" s="393" t="s">
        <v>39</v>
      </c>
      <c r="B39" s="389" t="s">
        <v>432</v>
      </c>
      <c r="C39" s="335" t="s">
        <v>1</v>
      </c>
      <c r="D39" s="336"/>
      <c r="E39" s="432" t="s">
        <v>79</v>
      </c>
      <c r="F39" s="447" t="s">
        <v>85</v>
      </c>
      <c r="G39" s="432" t="s">
        <v>306</v>
      </c>
      <c r="H39" s="432" t="s">
        <v>79</v>
      </c>
      <c r="I39" s="441" t="s">
        <v>7</v>
      </c>
      <c r="J39" s="441">
        <v>1</v>
      </c>
      <c r="K39" s="425" t="s">
        <v>93</v>
      </c>
      <c r="L39" s="337"/>
      <c r="M39" s="334"/>
      <c r="R39" s="336"/>
      <c r="S39" s="349"/>
      <c r="T39" s="349"/>
      <c r="U39" s="349"/>
      <c r="V39" s="563" t="s">
        <v>377</v>
      </c>
      <c r="W39" s="563" t="s">
        <v>380</v>
      </c>
      <c r="X39" s="626"/>
      <c r="AD39" s="24"/>
    </row>
    <row r="40" spans="1:32" ht="18" customHeight="1" thickBot="1">
      <c r="A40" s="393" t="s">
        <v>40</v>
      </c>
      <c r="B40" s="389" t="s">
        <v>432</v>
      </c>
      <c r="C40" s="335" t="s">
        <v>1</v>
      </c>
      <c r="D40" s="336"/>
      <c r="E40" s="432" t="s">
        <v>97</v>
      </c>
      <c r="F40" s="432" t="s">
        <v>97</v>
      </c>
      <c r="G40" s="432" t="s">
        <v>306</v>
      </c>
      <c r="H40" s="432" t="s">
        <v>97</v>
      </c>
      <c r="I40" s="441">
        <v>2</v>
      </c>
      <c r="J40" s="441" t="s">
        <v>7</v>
      </c>
      <c r="K40" s="425" t="s">
        <v>93</v>
      </c>
      <c r="L40" s="337"/>
      <c r="M40" s="337"/>
      <c r="R40" s="336"/>
      <c r="S40" s="339"/>
      <c r="T40" s="339"/>
      <c r="U40" s="339"/>
      <c r="V40" s="563" t="s">
        <v>377</v>
      </c>
      <c r="W40" s="563" t="s">
        <v>380</v>
      </c>
      <c r="X40" s="626"/>
      <c r="AD40" s="24"/>
      <c r="AE40" s="17"/>
      <c r="AF40" s="17"/>
    </row>
    <row r="41" spans="1:32" s="1" customFormat="1" ht="17.100000000000001" customHeight="1">
      <c r="A41" s="7"/>
      <c r="B41" s="7"/>
      <c r="C41" s="7"/>
      <c r="D41" s="7"/>
      <c r="E41" s="7"/>
      <c r="F41" s="7"/>
      <c r="G41" s="7"/>
      <c r="H41" s="7"/>
      <c r="I41" s="7"/>
      <c r="J41" s="448"/>
      <c r="K41" s="448"/>
      <c r="L41" s="669" t="s">
        <v>88</v>
      </c>
      <c r="M41" s="670">
        <f>COUNTIF(M$6:M$40,"EG")</f>
        <v>9</v>
      </c>
      <c r="N41" s="10"/>
      <c r="O41" s="10"/>
      <c r="P41" s="10"/>
      <c r="Q41" s="26"/>
      <c r="R41" s="7"/>
      <c r="S41" s="7"/>
      <c r="T41" s="7"/>
      <c r="U41" s="251" t="s">
        <v>279</v>
      </c>
      <c r="V41" s="358"/>
      <c r="W41" s="358"/>
      <c r="X41" s="358"/>
      <c r="AD41" s="24"/>
      <c r="AE41" s="18"/>
      <c r="AF41" s="18"/>
    </row>
    <row r="42" spans="1:32" s="1" customFormat="1" ht="17.100000000000001" customHeight="1" thickBot="1">
      <c r="A42" s="7"/>
      <c r="B42" s="7"/>
      <c r="C42" s="7"/>
      <c r="D42" s="7"/>
      <c r="E42" s="7"/>
      <c r="F42" s="7"/>
      <c r="G42" s="7"/>
      <c r="H42" s="7"/>
      <c r="I42" s="7"/>
      <c r="J42" s="448"/>
      <c r="K42" s="448"/>
      <c r="L42" s="669"/>
      <c r="M42" s="670"/>
      <c r="N42" s="7"/>
      <c r="O42" s="7"/>
      <c r="P42" s="7"/>
      <c r="Q42" s="825"/>
      <c r="R42" s="7"/>
      <c r="S42" s="7"/>
      <c r="T42" s="7"/>
      <c r="U42" s="252" t="s">
        <v>280</v>
      </c>
      <c r="V42" s="358"/>
      <c r="W42" s="358"/>
      <c r="X42" s="358"/>
      <c r="AD42" s="24"/>
      <c r="AE42" s="18"/>
      <c r="AF42" s="18"/>
    </row>
    <row r="43" spans="1:32" ht="17.100000000000001" customHeight="1">
      <c r="A43" s="5"/>
      <c r="B43" s="5"/>
      <c r="C43" s="5"/>
      <c r="D43" s="5"/>
      <c r="E43" s="5"/>
      <c r="F43" s="5"/>
      <c r="G43" s="5"/>
      <c r="H43" s="5"/>
      <c r="I43" s="4"/>
      <c r="J43" s="254"/>
      <c r="K43" s="254"/>
      <c r="L43" s="254" t="s">
        <v>235</v>
      </c>
      <c r="M43" s="253">
        <f>COUNTIF(I$6:M$40,"EG")+COUNTIF('SERVICE2-List'!J6:M43,"EG")</f>
        <v>18</v>
      </c>
      <c r="N43" s="5"/>
      <c r="O43" s="5"/>
      <c r="P43" s="5"/>
      <c r="Q43" s="825"/>
      <c r="R43" s="5"/>
      <c r="S43" s="5"/>
      <c r="T43" s="5"/>
      <c r="U43" s="5"/>
      <c r="V43" s="5"/>
      <c r="W43" s="5"/>
      <c r="X43" s="5"/>
      <c r="AD43" s="24"/>
      <c r="AE43" s="16"/>
      <c r="AF43" s="17"/>
    </row>
    <row r="44" spans="1:32" ht="17.100000000000001" customHeight="1">
      <c r="A44" s="5"/>
      <c r="B44" s="5"/>
      <c r="C44" s="5"/>
      <c r="D44" s="5"/>
      <c r="E44" s="5"/>
      <c r="F44" s="5"/>
      <c r="G44" s="5"/>
      <c r="H44" s="5"/>
      <c r="I44" s="26"/>
      <c r="J44" s="26"/>
      <c r="K44" s="26"/>
      <c r="L44" s="34"/>
      <c r="M44" s="34"/>
      <c r="N44" s="9"/>
      <c r="O44" s="9"/>
      <c r="P44" s="9"/>
      <c r="Q44" s="9"/>
      <c r="R44" s="9"/>
      <c r="S44" s="5"/>
      <c r="T44" s="5"/>
      <c r="U44" s="5"/>
      <c r="V44" s="5"/>
      <c r="W44" s="5"/>
      <c r="X44" s="5"/>
      <c r="AD44" s="24"/>
      <c r="AE44" s="16"/>
      <c r="AF44" s="17"/>
    </row>
    <row r="45" spans="1:32" ht="17.100000000000001" customHeight="1">
      <c r="A45" s="5"/>
      <c r="B45" s="5"/>
      <c r="C45" s="5"/>
      <c r="D45" s="5"/>
      <c r="E45" s="5"/>
      <c r="F45" s="5"/>
      <c r="G45" s="5"/>
      <c r="H45" s="5"/>
      <c r="I45" s="34"/>
      <c r="J45" s="577"/>
      <c r="K45" s="34"/>
      <c r="L45" s="34"/>
      <c r="M45" s="574"/>
      <c r="N45" s="574"/>
      <c r="O45" s="574"/>
      <c r="P45" s="9"/>
      <c r="Q45" s="9"/>
      <c r="R45" s="9"/>
      <c r="S45" s="5"/>
      <c r="T45" s="5"/>
      <c r="U45" s="5"/>
      <c r="V45" s="5"/>
      <c r="W45" s="5"/>
      <c r="X45" s="5"/>
      <c r="AD45" s="24"/>
      <c r="AE45" s="16"/>
      <c r="AF45" s="17"/>
    </row>
    <row r="46" spans="1:32" ht="17.100000000000001" customHeight="1">
      <c r="A46" s="5"/>
      <c r="B46" s="5"/>
      <c r="C46" s="5"/>
      <c r="D46" s="5"/>
      <c r="E46" s="5"/>
      <c r="F46" s="5"/>
      <c r="G46" s="5"/>
      <c r="H46" s="5"/>
      <c r="I46" s="34"/>
      <c r="J46" s="575"/>
      <c r="K46" s="34"/>
      <c r="L46" s="34"/>
      <c r="M46" s="574"/>
      <c r="N46" s="574"/>
      <c r="O46" s="574"/>
      <c r="P46" s="9"/>
      <c r="Q46" s="9"/>
      <c r="R46" s="9"/>
      <c r="S46" s="5"/>
      <c r="T46" s="5"/>
      <c r="U46" s="5"/>
      <c r="V46" s="5"/>
      <c r="W46" s="5"/>
      <c r="X46" s="5"/>
      <c r="AD46" s="24"/>
      <c r="AE46" s="16"/>
      <c r="AF46" s="17"/>
    </row>
    <row r="47" spans="1:32" ht="17.100000000000001" customHeight="1">
      <c r="A47" s="5"/>
      <c r="B47" s="5"/>
      <c r="C47" s="5"/>
      <c r="D47" s="5"/>
      <c r="E47" s="5"/>
      <c r="F47" s="5"/>
      <c r="G47" s="5"/>
      <c r="H47" s="5"/>
      <c r="I47" s="578"/>
      <c r="J47" s="578"/>
      <c r="K47" s="578"/>
      <c r="L47" s="274"/>
      <c r="M47" s="34"/>
      <c r="N47" s="9"/>
      <c r="O47" s="9"/>
      <c r="P47" s="9"/>
      <c r="Q47" s="9"/>
      <c r="R47" s="9"/>
      <c r="S47" s="5"/>
      <c r="T47" s="5"/>
      <c r="U47" s="5"/>
      <c r="V47" s="5"/>
      <c r="W47" s="5"/>
      <c r="X47" s="5"/>
      <c r="AD47" s="24"/>
      <c r="AE47" s="16"/>
      <c r="AF47" s="17"/>
    </row>
    <row r="48" spans="1:32" ht="17.100000000000001" customHeight="1">
      <c r="A48" s="5"/>
      <c r="B48" s="5"/>
      <c r="C48" s="5"/>
      <c r="D48" s="5"/>
      <c r="E48" s="5"/>
      <c r="F48" s="5"/>
      <c r="G48" s="5"/>
      <c r="H48" s="5"/>
      <c r="I48" s="4"/>
      <c r="J48" s="4"/>
      <c r="K48" s="4"/>
      <c r="L48" s="4"/>
      <c r="M48" s="4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AD48" s="24"/>
      <c r="AE48" s="16"/>
      <c r="AF48" s="17"/>
    </row>
    <row r="49" spans="1:32" ht="17.100000000000001" customHeight="1">
      <c r="A49" s="8" t="s">
        <v>351</v>
      </c>
      <c r="B49" s="5"/>
      <c r="C49" s="5"/>
      <c r="D49" s="5"/>
      <c r="E49" s="5"/>
      <c r="F49" s="5"/>
      <c r="G49" s="5"/>
      <c r="H49" s="5"/>
      <c r="I49" s="4"/>
      <c r="J49" s="4"/>
      <c r="K49" s="4"/>
      <c r="L49" s="4"/>
      <c r="M49" s="4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AD49" s="24"/>
      <c r="AE49" s="16"/>
      <c r="AF49" s="17"/>
    </row>
    <row r="50" spans="1:32" ht="17.100000000000001" customHeight="1">
      <c r="A50" s="2" t="s">
        <v>352</v>
      </c>
      <c r="B50" s="5"/>
      <c r="C50" s="5"/>
      <c r="D50" s="5"/>
      <c r="E50" s="5"/>
      <c r="F50" s="5"/>
      <c r="G50" s="5"/>
      <c r="H50" s="5"/>
      <c r="I50" s="4"/>
      <c r="J50" s="4"/>
      <c r="K50" s="4"/>
      <c r="L50" s="4"/>
      <c r="M50" s="4"/>
      <c r="N50" s="5"/>
      <c r="O50" s="5"/>
      <c r="P50" s="5"/>
      <c r="Q50" s="5"/>
      <c r="R50" s="5"/>
      <c r="S50" s="5"/>
      <c r="T50" s="5"/>
      <c r="U50" s="8"/>
      <c r="V50" s="8"/>
      <c r="W50" s="8"/>
      <c r="X50" s="8"/>
      <c r="AD50" s="24"/>
      <c r="AE50" s="16"/>
      <c r="AF50" s="17"/>
    </row>
    <row r="51" spans="1:32" ht="17.100000000000001" customHeight="1">
      <c r="A51" s="470" t="s">
        <v>360</v>
      </c>
      <c r="B51" s="470"/>
      <c r="C51" s="470"/>
      <c r="D51" s="470"/>
      <c r="E51" s="470"/>
      <c r="F51" s="470"/>
      <c r="G51" s="470"/>
      <c r="H51" s="470"/>
      <c r="I51" s="470"/>
      <c r="J51" s="470"/>
      <c r="K51" s="4"/>
      <c r="L51" s="4"/>
      <c r="M51" s="4"/>
      <c r="N51" s="5"/>
      <c r="O51" s="5"/>
      <c r="P51" s="5"/>
      <c r="Q51" s="5"/>
      <c r="R51" s="5"/>
      <c r="S51" s="5"/>
      <c r="T51" s="5"/>
      <c r="U51" s="7"/>
      <c r="V51" s="7"/>
      <c r="W51" s="7"/>
      <c r="X51" s="7"/>
      <c r="AD51" s="24"/>
      <c r="AE51" s="16"/>
      <c r="AF51" s="17"/>
    </row>
    <row r="52" spans="1:32" ht="17.100000000000001" customHeight="1">
      <c r="K52" s="470"/>
      <c r="L52" s="470"/>
      <c r="M52" s="470"/>
      <c r="N52" s="470"/>
      <c r="O52" s="5"/>
      <c r="P52" s="5"/>
      <c r="Q52" s="8"/>
      <c r="R52" s="461" t="s">
        <v>358</v>
      </c>
      <c r="S52" s="464">
        <f>COUNTIF(S$6:S$40,"Oui")</f>
        <v>15</v>
      </c>
      <c r="T52" s="464">
        <f>COUNTIF(T$6:T$40,"Oui")</f>
        <v>18</v>
      </c>
      <c r="U52" s="8"/>
      <c r="V52" s="8"/>
      <c r="W52" s="8"/>
      <c r="X52" s="8"/>
      <c r="AD52" s="24"/>
      <c r="AE52" s="17"/>
      <c r="AF52" s="17"/>
    </row>
    <row r="53" spans="1:32" ht="15.95" customHeight="1">
      <c r="A53" s="5"/>
      <c r="B53" s="5"/>
      <c r="C53" s="5"/>
      <c r="D53" s="5"/>
      <c r="E53" s="5"/>
      <c r="F53" s="5"/>
      <c r="G53" s="5"/>
      <c r="H53" s="5"/>
      <c r="I53" s="4"/>
      <c r="J53" s="4"/>
      <c r="K53" s="4"/>
      <c r="L53" s="4"/>
      <c r="M53" s="4"/>
      <c r="N53" s="5"/>
      <c r="O53" s="5"/>
      <c r="P53" s="5"/>
      <c r="Q53" s="7"/>
      <c r="R53" s="461" t="s">
        <v>357</v>
      </c>
      <c r="S53" s="465">
        <f>COUNTIF(S$6:S$40,"")</f>
        <v>19</v>
      </c>
      <c r="T53" s="465">
        <f>COUNTIF(T$6:T$40,"")</f>
        <v>16</v>
      </c>
      <c r="U53" s="7"/>
      <c r="V53" s="7"/>
      <c r="W53" s="7"/>
      <c r="X53" s="7"/>
      <c r="AD53" s="24"/>
      <c r="AE53" s="17"/>
      <c r="AF53" s="17"/>
    </row>
    <row r="54" spans="1:32">
      <c r="A54" s="5"/>
      <c r="B54" s="133"/>
      <c r="C54" s="5"/>
      <c r="D54" s="5"/>
      <c r="E54" s="5"/>
      <c r="F54" s="5"/>
      <c r="G54" s="5"/>
      <c r="H54" s="5"/>
      <c r="I54" s="4"/>
      <c r="J54" s="4"/>
      <c r="K54" s="4"/>
      <c r="L54" s="4"/>
      <c r="M54" s="34"/>
      <c r="N54" s="9"/>
      <c r="O54" s="9"/>
      <c r="P54" s="9"/>
      <c r="Q54" s="8"/>
      <c r="R54" s="8"/>
      <c r="S54" s="8"/>
      <c r="T54" s="8"/>
      <c r="U54" s="16"/>
      <c r="V54" s="16"/>
      <c r="W54" s="16"/>
      <c r="X54" s="16"/>
      <c r="AD54" s="24"/>
    </row>
    <row r="55" spans="1:32">
      <c r="A55" s="5"/>
      <c r="B55" s="5"/>
      <c r="C55" s="5"/>
      <c r="D55" s="5"/>
      <c r="E55" s="5"/>
      <c r="F55" s="5"/>
      <c r="G55" s="5"/>
      <c r="H55" s="5"/>
      <c r="I55" s="4"/>
      <c r="J55" s="4"/>
      <c r="K55" s="4"/>
      <c r="L55" s="4"/>
      <c r="M55" s="4"/>
      <c r="N55" s="5"/>
      <c r="O55" s="7"/>
      <c r="P55" s="7"/>
      <c r="Q55" s="7"/>
      <c r="R55" s="7"/>
      <c r="S55" s="7"/>
      <c r="T55" s="7"/>
      <c r="U55" s="16"/>
      <c r="V55" s="16"/>
      <c r="W55" s="16"/>
      <c r="X55" s="16"/>
      <c r="AD55" s="24"/>
    </row>
    <row r="56" spans="1:32">
      <c r="A56" s="5"/>
      <c r="B56" s="5"/>
      <c r="C56" s="5"/>
      <c r="D56" s="5"/>
      <c r="E56" s="5"/>
      <c r="F56" s="5"/>
      <c r="G56" s="5"/>
      <c r="H56" s="5"/>
      <c r="I56" s="4"/>
      <c r="J56" s="4"/>
      <c r="K56" s="4"/>
      <c r="L56" s="4"/>
      <c r="M56" s="4"/>
      <c r="N56" s="5"/>
      <c r="O56" s="5"/>
      <c r="P56" s="5"/>
      <c r="Q56" s="5"/>
      <c r="R56" s="5"/>
      <c r="S56" s="5"/>
      <c r="T56" s="5"/>
      <c r="U56" s="16"/>
      <c r="V56" s="838" t="s">
        <v>386</v>
      </c>
      <c r="W56" s="839"/>
      <c r="X56" s="629"/>
      <c r="AD56" s="24"/>
    </row>
    <row r="57" spans="1:32">
      <c r="A57" s="5"/>
      <c r="B57" s="5"/>
      <c r="C57" s="5"/>
      <c r="D57" s="5"/>
      <c r="E57" s="5"/>
      <c r="F57" s="5"/>
      <c r="G57" s="5"/>
      <c r="H57" s="5"/>
      <c r="I57" s="4"/>
      <c r="J57" s="4"/>
      <c r="K57" s="4"/>
      <c r="L57" s="4"/>
      <c r="M57" s="4"/>
      <c r="N57" s="5"/>
      <c r="O57" s="5"/>
      <c r="P57" s="5"/>
      <c r="Q57" s="5"/>
      <c r="R57" s="5"/>
      <c r="S57" s="5"/>
      <c r="T57" s="5"/>
      <c r="U57" s="5"/>
      <c r="V57" s="835" t="s">
        <v>392</v>
      </c>
      <c r="W57" s="836"/>
      <c r="X57" s="629"/>
    </row>
    <row r="58" spans="1:32" ht="15.75">
      <c r="A58" s="5"/>
      <c r="B58" s="640" t="s">
        <v>255</v>
      </c>
      <c r="C58" s="640"/>
      <c r="D58" s="640"/>
      <c r="E58" s="640"/>
      <c r="F58" s="640"/>
      <c r="G58" s="640"/>
      <c r="H58" s="640"/>
      <c r="I58" s="4"/>
      <c r="J58" s="4"/>
      <c r="K58" s="4"/>
      <c r="L58" s="4"/>
      <c r="M58" s="4"/>
      <c r="N58" s="5"/>
      <c r="O58" s="5"/>
      <c r="P58" s="5"/>
      <c r="Q58" s="5"/>
      <c r="R58" s="5"/>
      <c r="S58" s="5"/>
      <c r="T58" s="5"/>
      <c r="U58" s="5"/>
      <c r="V58" s="569" t="s">
        <v>379</v>
      </c>
      <c r="W58" s="570">
        <f>COUNTIFS(C6:C40,"=n",W6:W40,"=Steak",V6:V40,"poisson",S6:S40,"Oui")+COUNTIFS('SERVICE2-List'!C6:C43,"=n",'SERVICE2-List'!W6:W43,"=Steak",'SERVICE2-List'!V6:V43,"poisson",'SERVICE2-List'!S6:S43,"Oui")</f>
        <v>0</v>
      </c>
      <c r="X58" s="630"/>
    </row>
    <row r="59" spans="1:32" ht="13.5" thickBot="1">
      <c r="A59" s="5"/>
      <c r="B59" s="5"/>
      <c r="C59" s="5"/>
      <c r="D59" s="5"/>
      <c r="E59" s="5"/>
      <c r="F59" s="5"/>
      <c r="G59" s="5"/>
      <c r="H59" s="5"/>
      <c r="I59" s="4"/>
      <c r="J59" s="4"/>
      <c r="K59" s="4"/>
      <c r="L59" s="4"/>
      <c r="M59" s="4"/>
      <c r="N59" s="5"/>
      <c r="O59" s="5"/>
      <c r="P59" s="5"/>
      <c r="Q59" s="5"/>
      <c r="R59" s="5"/>
      <c r="S59" s="5"/>
      <c r="T59" s="5"/>
      <c r="U59" s="5"/>
      <c r="V59" s="569" t="s">
        <v>380</v>
      </c>
      <c r="W59" s="570">
        <f>COUNTIFS(C6:C40,"=n",W6:W40,"=steak haché",V6:V40,"poisson",S6:S40,"Oui")+COUNTIFS('SERVICE2-List'!C6:C43,"=n",'SERVICE2-List'!W6:W43,"=steak haché",'SERVICE2-List'!V6:V43,"poisson",'SERVICE2-List'!S6:S43,"Oui")</f>
        <v>2</v>
      </c>
      <c r="X59" s="630"/>
    </row>
    <row r="60" spans="1:32" ht="15.75">
      <c r="A60" s="85" t="s">
        <v>120</v>
      </c>
      <c r="B60" s="86"/>
      <c r="C60" s="87" t="s">
        <v>99</v>
      </c>
      <c r="D60" s="444"/>
      <c r="E60" s="444"/>
      <c r="F60" s="88" t="s">
        <v>100</v>
      </c>
      <c r="G60" s="243"/>
      <c r="H60" s="89"/>
      <c r="I60" s="4"/>
      <c r="J60" s="4"/>
      <c r="K60" s="4"/>
      <c r="L60" s="5"/>
      <c r="M60" s="461" t="s">
        <v>353</v>
      </c>
      <c r="N60" s="5"/>
      <c r="O60" s="5"/>
      <c r="P60" s="26" t="s">
        <v>312</v>
      </c>
      <c r="Q60" s="298">
        <f>COUNTIF(S$6:S$40,"PS")+COUNTIF(S$6:S$40,"B")+COUNTIF(S$6:S$40,"A")</f>
        <v>0</v>
      </c>
      <c r="R60" s="251">
        <f>COUNTIF(T$6:T$40,"Oui")</f>
        <v>18</v>
      </c>
      <c r="S60" s="5"/>
      <c r="T60"/>
      <c r="U60"/>
      <c r="V60" s="569" t="s">
        <v>381</v>
      </c>
      <c r="W60" s="570">
        <f>COUNTIFS(C6:C40,"=n",F6:F40,"=e",W6:W40,"=jambon",V6:V40,"poisson",S6:S40,"Oui") +COUNTIFS('SERVICE2-List'!C6:C43,"=n",'SERVICE2-List'!F6:F43,"=E",'SERVICE2-List'!W6:W43,"=jambon",'SERVICE2-List'!V6:V43,"poisson",'SERVICE2-List'!S6:S43,"Oui")</f>
        <v>0</v>
      </c>
      <c r="X60" s="630"/>
    </row>
    <row r="61" spans="1:32" ht="13.5" thickBot="1">
      <c r="A61" s="649" t="s">
        <v>142</v>
      </c>
      <c r="B61" s="204" t="s">
        <v>110</v>
      </c>
      <c r="C61" s="192">
        <f>COUNTIFS(C6:C40,"=N",E6:E40,"=E",S6:S40,"Oui")+COUNTIFS('SERVICE2-List'!C6:C43,"=N",'SERVICE2-List'!E6:E43,"=E",'SERVICE2-List'!S6:S43,"Oui")</f>
        <v>5</v>
      </c>
      <c r="D61" s="651">
        <f>SUM(C61:C73)</f>
        <v>30</v>
      </c>
      <c r="E61" s="445"/>
      <c r="F61" s="653" t="s">
        <v>161</v>
      </c>
      <c r="G61" s="654"/>
      <c r="H61" s="655"/>
      <c r="I61" s="4"/>
      <c r="J61" s="4"/>
      <c r="K61" s="4"/>
      <c r="L61" s="5"/>
      <c r="M61" s="461" t="s">
        <v>354</v>
      </c>
      <c r="N61" s="5"/>
      <c r="O61" s="5"/>
      <c r="P61" s="294" t="s">
        <v>280</v>
      </c>
      <c r="Q61" s="333">
        <f>COUNTIF(S$6:S$40,"")</f>
        <v>19</v>
      </c>
      <c r="R61" s="252">
        <f>COUNTIF(T$6:T$40,"")</f>
        <v>16</v>
      </c>
      <c r="S61" s="5"/>
      <c r="T61"/>
      <c r="U61"/>
      <c r="V61" s="569" t="s">
        <v>394</v>
      </c>
      <c r="W61" s="570">
        <f>COUNTIFS(C6:C40,"=ssel",F6:F40,"=e",W6:W40,"=jambon",V6:V40,"poisson",S6:S40,"Oui") +COUNTIFS('SERVICE2-List'!C6:C43,"=ssel",'SERVICE2-List'!F6:F43,"=E",'SERVICE2-List'!W6:W43,"=jambon",'SERVICE2-List'!V6:V43,"poisson",'SERVICE2-List'!S6:S43,"Oui")</f>
        <v>0</v>
      </c>
      <c r="X61" s="630"/>
    </row>
    <row r="62" spans="1:32" ht="15.75" customHeight="1">
      <c r="A62" s="649"/>
      <c r="B62" s="204" t="s">
        <v>211</v>
      </c>
      <c r="C62" s="192">
        <f>COUNTIFS(C6:C40,"=DIAB",E6:E40,"=E",S6:S40,"Oui")+COUNTIFS('SERVICE2-List'!C6:C43,"=DIAB",'SERVICE2-List'!E6:E43,"=E",'SERVICE2-List'!S6:S43,"Oui")</f>
        <v>0</v>
      </c>
      <c r="D62" s="651"/>
      <c r="E62" s="445"/>
      <c r="F62" s="653"/>
      <c r="G62" s="654"/>
      <c r="H62" s="655"/>
      <c r="I62" s="4"/>
      <c r="J62" s="4"/>
      <c r="K62" s="4"/>
      <c r="L62" s="5"/>
      <c r="M62" s="5"/>
      <c r="N62" s="5"/>
      <c r="O62" s="5"/>
      <c r="P62" s="822" t="s">
        <v>6</v>
      </c>
      <c r="Q62" s="823">
        <f>Q60+'SERVICE2-List'!Q57</f>
        <v>0</v>
      </c>
      <c r="R62" s="831">
        <f>R60+'SERVICE2-List'!R57</f>
        <v>36</v>
      </c>
      <c r="S62" s="5"/>
      <c r="T62"/>
      <c r="U62"/>
      <c r="V62" s="569" t="s">
        <v>382</v>
      </c>
      <c r="W62" s="570">
        <f>COUNTIFS(C6:C40,"=n",W6:W40,"=jambon haché",V6:V40,"poisson",S6:S40,"Oui")+COUNTIFS('SERVICE2-List'!C6:C43,"=n",'SERVICE2-List'!W6:W43,"=jambon haché",'SERVICE2-List'!V6:V43,"poisson",'SERVICE2-List'!S6:S43,"Oui")</f>
        <v>1</v>
      </c>
      <c r="X62" s="630"/>
    </row>
    <row r="63" spans="1:32" ht="16.5" customHeight="1" thickBot="1">
      <c r="A63" s="649"/>
      <c r="B63" s="204" t="s">
        <v>268</v>
      </c>
      <c r="C63" s="192">
        <f>COUNTIFS(C6:C40,"=SR",E6:E40,"=E",S6:S40,"Oui")+COUNTIFS('SERVICE2-List'!C6:C43,"=SR",'SERVICE2-List'!E6:E43,"=E",'SERVICE2-List'!S6:S43,"Oui")</f>
        <v>0</v>
      </c>
      <c r="D63" s="651"/>
      <c r="E63" s="445"/>
      <c r="F63" s="653"/>
      <c r="G63" s="654"/>
      <c r="H63" s="655"/>
      <c r="I63" s="4"/>
      <c r="J63" s="4"/>
      <c r="K63" s="4"/>
      <c r="L63" s="5"/>
      <c r="M63" s="5"/>
      <c r="N63" s="5"/>
      <c r="O63" s="5"/>
      <c r="P63" s="822"/>
      <c r="Q63" s="824"/>
      <c r="R63" s="832"/>
      <c r="S63" s="5"/>
      <c r="T63"/>
      <c r="U63"/>
      <c r="V63" s="569" t="s">
        <v>383</v>
      </c>
      <c r="W63" s="570">
        <f>COUNTIFS(C6:C40,"=SSEL",F6:F40,"=HC",W6:W40,"=jambon",V6:V40,"poisson",S6:S40,"Oui")+COUNTIFS('SERVICE2-List'!C6:C43,"=SSEL",'SERVICE2-List'!F6:F43,"=HC",'SERVICE2-List'!W6:W43,"=jambon",'SERVICE2-List'!V6:V43,"poisson",'SERVICE2-List'!S6:S43,"Oui")</f>
        <v>0</v>
      </c>
      <c r="X63" s="630"/>
    </row>
    <row r="64" spans="1:32">
      <c r="A64" s="649"/>
      <c r="B64" s="204" t="s">
        <v>208</v>
      </c>
      <c r="C64" s="192">
        <f>COUNTIFS(C6:C40,"=HP",E6:E40,"=E",S6:S40,"Oui")+COUNTIFS('SERVICE2-List'!C6:C43,"=HP",'SERVICE2-List'!E6:E43,"=E",'SERVICE2-List'!S6:S43,"Oui")</f>
        <v>0</v>
      </c>
      <c r="D64" s="651"/>
      <c r="E64" s="445"/>
      <c r="F64" s="653"/>
      <c r="G64" s="654"/>
      <c r="H64" s="655"/>
      <c r="I64" s="4"/>
      <c r="J64" s="4"/>
      <c r="K64" s="4"/>
      <c r="L64" s="5"/>
      <c r="M64" s="5"/>
      <c r="N64" s="5"/>
      <c r="O64" s="5"/>
      <c r="P64" s="5"/>
      <c r="Q64" s="250" t="s">
        <v>136</v>
      </c>
      <c r="R64" s="250"/>
      <c r="S64" s="5"/>
      <c r="T64"/>
      <c r="U64"/>
      <c r="V64" s="569" t="s">
        <v>385</v>
      </c>
      <c r="W64" s="570">
        <f>COUNTIFS(C6:C40,"=N",W6:W40,"-",V6:V40,"poisson",S6:S40,"Oui")+COUNTIFS('SERVICE2-List'!C6:C43,"=N",'SERVICE2-List'!W6:W43,"-",'SERVICE2-List'!V6:V43,"poisson",'SERVICE2-List'!S6:S43,"Oui")</f>
        <v>0</v>
      </c>
      <c r="X64" s="630"/>
    </row>
    <row r="65" spans="1:24">
      <c r="A65" s="649"/>
      <c r="B65" s="204" t="s">
        <v>246</v>
      </c>
      <c r="C65" s="192">
        <f>COUNTIFS(C6:C40,"=SGR",E6:E40,"=E",S6:S40,"Oui")+COUNTIFS('SERVICE2-List'!C6:C43,"=SGR",'SERVICE2-List'!E6:E43,"=E",'SERVICE2-List'!S6:S43,"Oui")</f>
        <v>0</v>
      </c>
      <c r="D65" s="651"/>
      <c r="E65" s="445"/>
      <c r="F65" s="653"/>
      <c r="G65" s="654"/>
      <c r="H65" s="655"/>
      <c r="I65" s="4"/>
      <c r="J65" s="4"/>
      <c r="K65" s="4"/>
      <c r="L65" s="5"/>
      <c r="M65" s="5"/>
      <c r="N65" s="5"/>
      <c r="O65" s="5"/>
      <c r="P65" s="5"/>
      <c r="Q65" s="5"/>
      <c r="R65" s="5"/>
      <c r="S65" s="5"/>
      <c r="T65"/>
      <c r="U65"/>
      <c r="V65" s="571"/>
      <c r="W65" s="572"/>
      <c r="X65" s="631"/>
    </row>
    <row r="66" spans="1:24">
      <c r="A66" s="649"/>
      <c r="B66" s="205" t="s">
        <v>111</v>
      </c>
      <c r="C66" s="61">
        <f>COUNTIFS(C6:C40,"=SSEL",E6:E40,"=E",S6:S40,"Oui")+COUNTIFS('SERVICE2-List'!C6:C43,"=SSEL",'SERVICE2-List'!E6:E43,"=E",'SERVICE2-List'!S6:S43,"Oui")</f>
        <v>0</v>
      </c>
      <c r="D66" s="651"/>
      <c r="E66" s="445"/>
      <c r="F66" s="653"/>
      <c r="G66" s="654"/>
      <c r="H66" s="655"/>
      <c r="I66" s="84" t="s">
        <v>160</v>
      </c>
      <c r="J66" s="84"/>
      <c r="K66" s="84"/>
      <c r="L66" s="231"/>
      <c r="M66" s="231"/>
      <c r="N66" s="231"/>
      <c r="P66" s="5"/>
      <c r="Q66" s="5"/>
      <c r="R66" s="5"/>
      <c r="S66" s="5"/>
      <c r="T66"/>
      <c r="U66"/>
      <c r="V66" s="833" t="s">
        <v>393</v>
      </c>
      <c r="W66" s="834"/>
      <c r="X66" s="632"/>
    </row>
    <row r="67" spans="1:24">
      <c r="A67" s="649"/>
      <c r="B67" s="206" t="s">
        <v>119</v>
      </c>
      <c r="C67" s="208">
        <f>COUNTIFS(C6:C40,"=N",E6:E40,"=M",S6:S40,"Oui")+COUNTIFS('SERVICE2-List'!C6:C43,"=N",'SERVICE2-List'!E6:E43,"=M",'SERVICE2-List'!S6:S43,"Oui")</f>
        <v>23</v>
      </c>
      <c r="D67" s="651"/>
      <c r="E67" s="445"/>
      <c r="F67" s="653"/>
      <c r="G67" s="654"/>
      <c r="H67" s="655"/>
      <c r="I67" s="229" t="s">
        <v>278</v>
      </c>
      <c r="J67" s="229"/>
      <c r="K67" s="229"/>
      <c r="L67" s="230"/>
      <c r="M67" s="230"/>
      <c r="N67" s="230"/>
      <c r="P67" s="5"/>
      <c r="Q67" s="5"/>
      <c r="R67" s="5"/>
      <c r="S67" s="5"/>
      <c r="T67"/>
      <c r="U67"/>
      <c r="V67" s="565" t="s">
        <v>388</v>
      </c>
      <c r="W67" s="566">
        <f>COUNTIFS(C6:C40,"=n",F6:F40,"=e",V6:V40,"poisson",S6:S40,"Oui")+COUNTIFS('SERVICE2-List'!C6:C43,"=n",'SERVICE2-List'!F6:F43,"=e",'SERVICE2-List'!V6:V43,"poisson",'SERVICE2-List'!S6:S43,"Oui")</f>
        <v>1</v>
      </c>
      <c r="X67" s="633"/>
    </row>
    <row r="68" spans="1:24">
      <c r="A68" s="649"/>
      <c r="B68" s="206" t="s">
        <v>342</v>
      </c>
      <c r="C68" s="208">
        <f>COUNTIFS(C6:C40,"=diab",E6:E40,"=M",S6:S40,"Oui")+COUNTIFS('SERVICE2-List'!C6:C43,"=diab",'SERVICE2-List'!E6:E43,"=M",'SERVICE2-List'!S6:S43,"Oui")</f>
        <v>0</v>
      </c>
      <c r="D68" s="651"/>
      <c r="E68" s="445"/>
      <c r="F68" s="653"/>
      <c r="G68" s="654"/>
      <c r="H68" s="655"/>
      <c r="I68" s="229"/>
      <c r="J68" s="229"/>
      <c r="K68" s="229"/>
      <c r="L68" s="230"/>
      <c r="M68" s="230"/>
      <c r="N68" s="230"/>
      <c r="P68" s="5"/>
      <c r="Q68" s="5"/>
      <c r="R68" s="5"/>
      <c r="S68" s="5"/>
      <c r="T68"/>
      <c r="U68"/>
      <c r="V68" s="565" t="s">
        <v>389</v>
      </c>
      <c r="W68" s="566">
        <f>COUNTIFS(C6:C40,"=ssel",F6:F40,"=e",V6:V40,"poisson",S6:S40,"Oui")+COUNTIFS('SERVICE2-List'!C6:C43,"=ssel",'SERVICE2-List'!F6:F43,"=e",'SERVICE2-List'!V6:V43,"poisson",'SERVICE2-List'!S6:S43,"Oui")</f>
        <v>0</v>
      </c>
      <c r="X68" s="633"/>
    </row>
    <row r="69" spans="1:24">
      <c r="A69" s="649"/>
      <c r="B69" s="206" t="s">
        <v>337</v>
      </c>
      <c r="C69" s="208">
        <f>COUNTIFS(C6:C40,"=HP",E6:E40,"=M",S6:S40,"Oui")+COUNTIFS('SERVICE2-List'!C6:C43,"=HP",'SERVICE2-List'!E6:E43,"=M",'SERVICE2-List'!S6:S43,"Oui")</f>
        <v>0</v>
      </c>
      <c r="D69" s="651"/>
      <c r="E69" s="445"/>
      <c r="F69" s="653"/>
      <c r="G69" s="654"/>
      <c r="H69" s="655"/>
      <c r="I69" s="229"/>
      <c r="J69" s="229"/>
      <c r="K69" s="229"/>
      <c r="L69" s="230"/>
      <c r="M69" s="230"/>
      <c r="N69" s="230"/>
      <c r="P69" s="5"/>
      <c r="Q69" s="5"/>
      <c r="R69" s="5"/>
      <c r="S69" s="5"/>
      <c r="T69"/>
      <c r="U69"/>
      <c r="V69" s="565" t="s">
        <v>390</v>
      </c>
      <c r="W69" s="566">
        <f>COUNTIFS(C6:C40,"=n",F6:F40,"=hc",V6:V40,"poisson",S6:S40,"Oui")+COUNTIFS('SERVICE2-List'!C6:C43,"=n",'SERVICE2-List'!F6:F43,"=hc",'SERVICE2-List'!V6:V43,"poisson",'SERVICE2-List'!S6:S43,"Oui")</f>
        <v>2</v>
      </c>
      <c r="X69" s="633"/>
    </row>
    <row r="70" spans="1:24">
      <c r="A70" s="649"/>
      <c r="B70" s="206" t="s">
        <v>134</v>
      </c>
      <c r="C70" s="208">
        <f>COUNTIFS(E6:E40,"=1-si-dur",S6:S40,"Oui")+COUNTIFS('SERVICE2-List'!E6:E43,"=1-si-dur",'SERVICE2-List'!S6:S43,"Oui")</f>
        <v>0</v>
      </c>
      <c r="D70" s="651"/>
      <c r="E70" s="445"/>
      <c r="F70" s="653"/>
      <c r="G70" s="654"/>
      <c r="H70" s="655"/>
      <c r="L70" s="3"/>
      <c r="M70" s="3"/>
      <c r="P70" s="5"/>
      <c r="Q70" s="5"/>
      <c r="R70" s="5"/>
      <c r="S70" s="5"/>
      <c r="T70"/>
      <c r="U70"/>
      <c r="V70" s="565" t="s">
        <v>391</v>
      </c>
      <c r="W70" s="566">
        <f>COUNTIFS(C6:C40,"=ssel",F6:F40,"=hc",V6:V40,"poisson",S6:S40,"Oui")+COUNTIFS('SERVICE2-List'!C6:C43,"=ssel",'SERVICE2-List'!F6:F43,"=hc",'SERVICE2-List'!V6:V43,"poisson",'SERVICE2-List'!S6:S43,"Oui")</f>
        <v>0</v>
      </c>
      <c r="X70" s="633"/>
    </row>
    <row r="71" spans="1:24">
      <c r="A71" s="649"/>
      <c r="B71" s="397" t="s">
        <v>118</v>
      </c>
      <c r="C71" s="209">
        <f>COUNTIFS(E6:E40,"=M",C6:C40,"=SSEL",S6:S40,"Oui")+COUNTIFS('SERVICE2-List'!E6:E43,"=M",'SERVICE2-List'!C6:C43,"=SSEL",'SERVICE2-List'!S6:S43,"Oui")</f>
        <v>1</v>
      </c>
      <c r="D71" s="651"/>
      <c r="E71" s="445"/>
      <c r="F71" s="653"/>
      <c r="G71" s="654"/>
      <c r="H71" s="655"/>
      <c r="L71" s="3"/>
      <c r="M71" s="3"/>
      <c r="P71" s="5"/>
      <c r="Q71" s="5"/>
      <c r="R71" s="5"/>
      <c r="S71" s="5"/>
      <c r="T71"/>
      <c r="U71"/>
      <c r="V71" s="567" t="s">
        <v>2</v>
      </c>
      <c r="W71" s="568">
        <f>COUNTIFS(C6:C40,"=n",F6:F40,"=m",V6:V40,"poisson",S6:S40,"Oui")+COUNTIFS('SERVICE2-List'!C6:C43,"=n",'SERVICE2-List'!F6:F43,"=m",'SERVICE2-List'!V6:V43,"poisson",'SERVICE2-List'!S6:S43,"Oui")</f>
        <v>1</v>
      </c>
      <c r="X71" s="633"/>
    </row>
    <row r="72" spans="1:24">
      <c r="A72" s="649"/>
      <c r="B72" s="424" t="s">
        <v>152</v>
      </c>
      <c r="C72" s="63">
        <f>COUNTIFS(C6:C40,"=AP",S6:S40,"=Oui")+COUNTIFS('SERVICE2-List'!C6:C43,"=AP",'SERVICE2-List'!S6:S43,"Oui")</f>
        <v>0</v>
      </c>
      <c r="D72" s="651"/>
      <c r="E72" s="445"/>
      <c r="F72" s="653"/>
      <c r="G72" s="654"/>
      <c r="H72" s="655"/>
      <c r="L72" s="3"/>
      <c r="M72" s="3"/>
      <c r="P72" s="5"/>
      <c r="Q72" s="5"/>
      <c r="R72" s="5"/>
      <c r="S72" s="5"/>
      <c r="T72"/>
      <c r="U72"/>
    </row>
    <row r="73" spans="1:24">
      <c r="A73" s="650"/>
      <c r="B73" s="90" t="s">
        <v>141</v>
      </c>
      <c r="C73" s="91">
        <f>COUNTIFS(E6:E40,"=X",S6:S40,"Oui")+COUNTIFS('SERVICE2-List'!E6:E43,"=X",'SERVICE2-List'!S6:S43,"Oui")</f>
        <v>1</v>
      </c>
      <c r="D73" s="652"/>
      <c r="E73" s="446"/>
      <c r="F73" s="656"/>
      <c r="G73" s="657"/>
      <c r="H73" s="658"/>
      <c r="L73" s="3"/>
      <c r="M73" s="3"/>
      <c r="R73" s="16"/>
      <c r="S73" s="16"/>
      <c r="T73"/>
      <c r="U73"/>
    </row>
    <row r="74" spans="1:24">
      <c r="A74" s="659" t="s">
        <v>143</v>
      </c>
      <c r="B74" s="31" t="s">
        <v>115</v>
      </c>
      <c r="C74" s="60">
        <f>COUNTIFS(C6:C40,"=n",F6:F40,"=E",S6:S40,"Oui")+COUNTIFS('SERVICE2-List'!C6:C43,"=n",'SERVICE2-List'!F6:F43,"=E",'SERVICE2-List'!S6:S43,"Oui")</f>
        <v>3</v>
      </c>
      <c r="D74" s="667">
        <f>SUM(C74:C93)-(C86+C87+C89)</f>
        <v>30</v>
      </c>
      <c r="E74" s="459"/>
      <c r="F74" s="194">
        <f>COUNTIFS(C6:C40,"=n",F6:F40,"E",T6:T40,"Oui")+COUNTIFS('SERVICE2-List'!C6:C43,"=n",'SERVICE2-List'!F6:F43,"=E",'SERVICE2-List'!T6:T43,"Oui")</f>
        <v>7</v>
      </c>
      <c r="G74" s="369"/>
      <c r="H74" s="664">
        <f>SUM(F74:F93)-(F86+F87+F89)</f>
        <v>36</v>
      </c>
      <c r="I74" s="17"/>
      <c r="J74" s="17"/>
      <c r="K74" s="17"/>
      <c r="L74" s="16"/>
      <c r="M74" s="16"/>
      <c r="N74" s="16"/>
      <c r="O74" s="16"/>
      <c r="P74" s="16"/>
      <c r="Q74" s="16"/>
      <c r="R74" s="16"/>
      <c r="S74" s="16"/>
      <c r="T74"/>
      <c r="U74"/>
    </row>
    <row r="75" spans="1:24">
      <c r="A75" s="660"/>
      <c r="B75" s="201" t="s">
        <v>247</v>
      </c>
      <c r="C75" s="192">
        <f>COUNTIFS(C5:C39,"=hp",F5:F39,"=E",S5:S39,"Oui")+COUNTIFS('SERVICE2-List'!C5:C42,"=hp",'SERVICE2-List'!F5:F42,"=E",'SERVICE2-List'!S5:S42,"Oui")</f>
        <v>0</v>
      </c>
      <c r="D75" s="668"/>
      <c r="E75" s="460"/>
      <c r="F75" s="195">
        <f>COUNTIFS(C6:C40,"=hp",F6:F40,"E",T6:T40,"Oui")+COUNTIFS('SERVICE2-List'!C6:C43,"=hp",'SERVICE2-List'!F6:F43,"=E",'SERVICE2-List'!T6:T43,"Oui")</f>
        <v>0</v>
      </c>
      <c r="G75" s="370"/>
      <c r="H75" s="665"/>
      <c r="I75" s="17"/>
      <c r="J75" s="17"/>
      <c r="K75" s="17"/>
      <c r="L75" s="16"/>
      <c r="M75" s="16"/>
      <c r="N75" s="16"/>
      <c r="O75" s="16"/>
      <c r="P75" s="16"/>
      <c r="Q75" s="16"/>
      <c r="R75" s="16"/>
      <c r="S75" s="16"/>
      <c r="T75"/>
      <c r="U75"/>
      <c r="V75"/>
      <c r="W75"/>
      <c r="X75"/>
    </row>
    <row r="76" spans="1:24">
      <c r="A76" s="660"/>
      <c r="B76" s="82" t="s">
        <v>116</v>
      </c>
      <c r="C76" s="192">
        <f>COUNTIFS(C6:C40,"=SSEL",F6:F40,"=E",S6:S40,"Oui")+COUNTIFS('SERVICE2-List'!C6:C43,"=SSEL",'SERVICE2-List'!F6:F43,"=E",'SERVICE2-List'!S6:S43,"Oui")</f>
        <v>0</v>
      </c>
      <c r="D76" s="668"/>
      <c r="E76" s="460"/>
      <c r="F76" s="195">
        <f>COUNTIFS(C6:C40,"=SSEL",F6:F40,"E",T6:T40,"Oui")+COUNTIFS('SERVICE2-List'!C6:C43,"=SSEL",'SERVICE2-List'!F6:F43,"=E",'SERVICE2-List'!T6:T43,"Oui")</f>
        <v>0</v>
      </c>
      <c r="G76" s="370"/>
      <c r="H76" s="665"/>
      <c r="I76" s="17"/>
      <c r="J76" s="17"/>
      <c r="K76" s="17"/>
      <c r="L76" s="16"/>
      <c r="M76" s="16"/>
      <c r="N76" s="16"/>
      <c r="O76" s="16"/>
      <c r="P76" s="16"/>
      <c r="Q76" s="16"/>
      <c r="R76" s="16"/>
      <c r="S76" s="16"/>
      <c r="T76"/>
      <c r="U76"/>
      <c r="V76"/>
      <c r="W76"/>
      <c r="X76"/>
    </row>
    <row r="77" spans="1:24">
      <c r="A77" s="660"/>
      <c r="B77" s="82" t="s">
        <v>269</v>
      </c>
      <c r="C77" s="192">
        <f>COUNTIFS(C6:C40,"=SR",F6:F40,"=E",S6:S40,"Oui")+COUNTIFS('SERVICE2-List'!C6:C43,"=SR",'SERVICE2-List'!F6:F43,"=E",'SERVICE2-List'!S6:S43,"Oui")</f>
        <v>0</v>
      </c>
      <c r="D77" s="668"/>
      <c r="E77" s="460"/>
      <c r="F77" s="195">
        <f>COUNTIFS(C6:C40,"=Sr",F6:F40,"E",T6:T40,"Oui")+COUNTIFS('SERVICE2-List'!C6:C43,"=Sr",'SERVICE2-List'!F6:F43,"=E",'SERVICE2-List'!T6:T43,"Oui")</f>
        <v>0</v>
      </c>
      <c r="G77" s="370"/>
      <c r="H77" s="665"/>
      <c r="I77" s="17"/>
      <c r="J77" s="17"/>
      <c r="K77" s="17"/>
      <c r="L77" s="16"/>
      <c r="M77" s="16"/>
      <c r="N77" s="16"/>
      <c r="O77" s="16"/>
      <c r="P77" s="16"/>
      <c r="Q77" s="16"/>
      <c r="R77" s="16"/>
      <c r="S77" s="16"/>
      <c r="T77"/>
      <c r="U77"/>
      <c r="V77"/>
      <c r="W77"/>
      <c r="X77"/>
    </row>
    <row r="78" spans="1:24">
      <c r="A78" s="660"/>
      <c r="B78" s="82" t="s">
        <v>249</v>
      </c>
      <c r="C78" s="192">
        <f>COUNTIFS(C6:C40,"=diab",F6:F40,"=E",S6:S40,"Oui")+COUNTIFS('SERVICE2-List'!C6:C43,"=diab",'SERVICE2-List'!F6:F43,"=E",'SERVICE2-List'!S6:S43,"Oui")</f>
        <v>0</v>
      </c>
      <c r="D78" s="668"/>
      <c r="E78" s="460"/>
      <c r="F78" s="195">
        <f>COUNTIFS(C6:C40,"=DIAB",F6:F40,"E",T6:T40,"Oui")+COUNTIFS('SERVICE2-List'!C6:C43,"=DIAB",'SERVICE2-List'!F6:F43,"=E",'SERVICE2-List'!T6:T43,"Oui")</f>
        <v>0</v>
      </c>
      <c r="G78" s="370"/>
      <c r="H78" s="665"/>
      <c r="I78" s="17"/>
      <c r="J78" s="17"/>
      <c r="K78" s="17"/>
      <c r="L78" s="16"/>
      <c r="M78" s="16"/>
      <c r="N78" s="16"/>
      <c r="O78" s="16"/>
      <c r="P78" s="16"/>
      <c r="Q78" s="16"/>
      <c r="R78" s="16"/>
      <c r="S78" s="16"/>
      <c r="T78"/>
      <c r="U78"/>
      <c r="V78"/>
      <c r="W78"/>
      <c r="X78"/>
    </row>
    <row r="79" spans="1:24">
      <c r="A79" s="660"/>
      <c r="B79" s="30" t="s">
        <v>244</v>
      </c>
      <c r="C79" s="61">
        <f>COUNTIFS(C6:C40,"=SGR",F6:F40,"=E",S6:S40,"Oui")+COUNTIFS('SERVICE2-List'!C6:C43,"=SGR",'SERVICE2-List'!F6:F43,"=E",'SERVICE2-List'!S6:S43,"Oui")</f>
        <v>0</v>
      </c>
      <c r="D79" s="668"/>
      <c r="E79" s="460"/>
      <c r="F79" s="193">
        <f>COUNTIFS(C6:C40,"=SGR",F6:F40,"E",T6:T40,"Oui")+COUNTIFS('SERVICE2-List'!C6:C43,"=SGR",'SERVICE2-List'!F6:F43,"=E",'SERVICE2-List'!T6:T43,"Oui")</f>
        <v>0</v>
      </c>
      <c r="G79" s="370"/>
      <c r="H79" s="665"/>
      <c r="I79" s="17"/>
      <c r="J79" s="17"/>
      <c r="K79" s="17"/>
      <c r="L79" s="16"/>
      <c r="M79" s="16"/>
      <c r="N79" s="16"/>
      <c r="O79" s="16"/>
      <c r="P79" s="16"/>
      <c r="Q79" s="16"/>
      <c r="R79" s="16"/>
      <c r="S79" s="16"/>
      <c r="T79"/>
      <c r="U79"/>
      <c r="V79"/>
      <c r="W79"/>
      <c r="X79"/>
    </row>
    <row r="80" spans="1:24">
      <c r="A80" s="660"/>
      <c r="B80" s="28" t="s">
        <v>114</v>
      </c>
      <c r="C80" s="62">
        <f>COUNTIFS(C6:C40,"=n",F6:F40,"=HC",S6:S40,"Oui")+COUNTIFS('SERVICE2-List'!C6:C43,"=n",'SERVICE2-List'!F6:F43,"=HC",'SERVICE2-List'!S6:S43,"Oui")</f>
        <v>9</v>
      </c>
      <c r="D80" s="668"/>
      <c r="E80" s="460"/>
      <c r="F80" s="196">
        <f>COUNTIFS(C6:C40,"=N",F6:F40,"HC",T6:T40,"Oui")+COUNTIFS('SERVICE2-List'!C6:C43,"=N",'SERVICE2-List'!F6:F43,"HC",'SERVICE2-List'!T6:T43,"Oui")</f>
        <v>9</v>
      </c>
      <c r="G80" s="371"/>
      <c r="H80" s="665"/>
      <c r="I80" s="17"/>
      <c r="J80" s="17"/>
      <c r="K80" s="17"/>
      <c r="L80" s="16"/>
      <c r="M80" s="16"/>
      <c r="N80" s="16"/>
      <c r="O80" s="16"/>
      <c r="P80" s="16"/>
      <c r="Q80" s="16"/>
      <c r="T80"/>
      <c r="U80"/>
      <c r="V80"/>
      <c r="W80"/>
      <c r="X80"/>
    </row>
    <row r="81" spans="1:24">
      <c r="A81" s="660"/>
      <c r="B81" s="28" t="s">
        <v>248</v>
      </c>
      <c r="C81" s="62">
        <f>COUNTIFS(C6:C40,"=hp",F6:F40,"=HC",S6:S40,"Oui")+COUNTIFS('SERVICE2-List'!C6:C43,"=hp",'SERVICE2-List'!F6:F43,"=HC",'SERVICE2-List'!S6:S43,"Oui")</f>
        <v>0</v>
      </c>
      <c r="D81" s="668"/>
      <c r="E81" s="460"/>
      <c r="F81" s="196">
        <f>COUNTIFS(C6:C40,"=HP",F6:F40,"HC",T6:T40,"Oui")+COUNTIFS('SERVICE2-List'!C6:C43,"=HP",'SERVICE2-List'!F6:F43,"HC",'SERVICE2-List'!T6:T43,"Oui")</f>
        <v>0</v>
      </c>
      <c r="G81" s="371"/>
      <c r="H81" s="665"/>
      <c r="I81" s="17"/>
      <c r="J81" s="17"/>
      <c r="K81" s="17"/>
      <c r="L81" s="16"/>
      <c r="M81" s="16"/>
      <c r="N81" s="16"/>
      <c r="O81" s="16"/>
      <c r="P81" s="16"/>
      <c r="Q81" s="16"/>
      <c r="T81"/>
      <c r="U81"/>
      <c r="V81"/>
      <c r="W81"/>
      <c r="X81"/>
    </row>
    <row r="82" spans="1:24">
      <c r="A82" s="660"/>
      <c r="B82" s="28" t="s">
        <v>250</v>
      </c>
      <c r="C82" s="62">
        <f>COUNTIFS(C6:C40,"=diab",F6:F40,"=HC",S6:S40,"Oui")+COUNTIFS('SERVICE2-List'!C6:C43,"=diab",'SERVICE2-List'!F6:F43,"=HC",'SERVICE2-List'!S6:S43,"Oui")</f>
        <v>0</v>
      </c>
      <c r="D82" s="668"/>
      <c r="E82" s="460"/>
      <c r="F82" s="196">
        <f>COUNTIFS(C6:C40,"=DIAB",F6:F40,"HC",T6:T40,"Oui")+COUNTIFS('SERVICE2-List'!C6:C43,"=DIAB",'SERVICE2-List'!F6:F43,"HC",'SERVICE2-List'!T6:T43,"Oui")</f>
        <v>0</v>
      </c>
      <c r="G82" s="371"/>
      <c r="H82" s="665"/>
      <c r="I82" s="17"/>
      <c r="J82" s="17"/>
      <c r="K82" s="17"/>
      <c r="L82" s="16"/>
      <c r="M82" s="16"/>
      <c r="N82" s="16"/>
      <c r="O82" s="16"/>
      <c r="P82" s="16"/>
      <c r="Q82" s="16"/>
      <c r="T82"/>
      <c r="U82"/>
      <c r="V82"/>
      <c r="W82"/>
      <c r="X82"/>
    </row>
    <row r="83" spans="1:24">
      <c r="A83" s="660"/>
      <c r="B83" s="28" t="s">
        <v>270</v>
      </c>
      <c r="C83" s="62">
        <f>COUNTIFS(C6:C40,"=sr",F6:F40,"=HC",S6:S40,"Oui")+COUNTIFS('SERVICE2-List'!C6:C43,"=sr",'SERVICE2-List'!F6:F43,"=HC",'SERVICE2-List'!S6:S43,"Oui")</f>
        <v>0</v>
      </c>
      <c r="D83" s="668"/>
      <c r="E83" s="460"/>
      <c r="F83" s="196">
        <f>COUNTIFS(C6:C40,"=sr",F6:F40,"HC",T6:T40,"Oui")+COUNTIFS('SERVICE2-List'!C6:C43,"=sr",'SERVICE2-List'!F6:F43,"HC",'SERVICE2-List'!T6:T43,"Oui")</f>
        <v>0</v>
      </c>
      <c r="G83" s="371"/>
      <c r="H83" s="665"/>
      <c r="I83" s="17"/>
      <c r="J83" s="17"/>
      <c r="K83" s="17"/>
      <c r="L83" s="16"/>
      <c r="M83" s="16"/>
      <c r="N83" s="16"/>
      <c r="O83" s="16"/>
      <c r="P83" s="16"/>
      <c r="Q83" s="16"/>
      <c r="T83"/>
      <c r="U83"/>
      <c r="V83"/>
      <c r="W83"/>
      <c r="X83"/>
    </row>
    <row r="84" spans="1:24">
      <c r="A84" s="660"/>
      <c r="B84" s="28" t="s">
        <v>117</v>
      </c>
      <c r="C84" s="62">
        <f>COUNTIFS(C6:C40,"=SSEL",F6:F40,"=HC",S6:S40,"Oui")+COUNTIFS('SERVICE2-List'!C6:C43,"=SSEL",'SERVICE2-List'!F6:F43,"=HC",'SERVICE2-List'!S6:S43,"Oui")</f>
        <v>1</v>
      </c>
      <c r="D84" s="668"/>
      <c r="E84" s="460"/>
      <c r="F84" s="196">
        <f>COUNTIFS(C6:C40,"=SSEL",F6:F40,"HC",T6:T40,"Oui")+COUNTIFS('SERVICE2-List'!C6:C43,"=SSEL",'SERVICE2-List'!F6:F43,"HC",'SERVICE2-List'!T6:T43,"Oui")</f>
        <v>1</v>
      </c>
      <c r="G84" s="371"/>
      <c r="H84" s="665"/>
      <c r="I84" s="17"/>
      <c r="J84" s="17"/>
      <c r="K84" s="17"/>
      <c r="L84" s="16"/>
      <c r="M84" s="16"/>
      <c r="N84" s="16"/>
      <c r="O84" s="16"/>
      <c r="P84" s="16"/>
      <c r="Q84" s="16"/>
      <c r="T84"/>
      <c r="U84"/>
      <c r="V84"/>
      <c r="W84"/>
      <c r="X84"/>
    </row>
    <row r="85" spans="1:24">
      <c r="A85" s="660"/>
      <c r="B85" s="236" t="s">
        <v>245</v>
      </c>
      <c r="C85" s="237">
        <f>COUNTIFS(C6:C40,"=SGR",F6:F40,"=HC",S6:S40,"Oui")+COUNTIFS('SERVICE2-List'!C6:C43,"=SGR",'SERVICE2-List'!F6:F43,"=HC",'SERVICE2-List'!S6:S43,"Oui")</f>
        <v>0</v>
      </c>
      <c r="D85" s="668"/>
      <c r="E85" s="460"/>
      <c r="F85" s="197">
        <f>COUNTIFS(C6:C40,"=SGR",F6:F40,"HC",T6:T40,"Oui")+COUNTIFS('SERVICE2-List'!C6:C43,"=SGR",'SERVICE2-List'!F6:F43,"HC",'SERVICE2-List'!T6:T43,"Oui")</f>
        <v>0</v>
      </c>
      <c r="G85" s="371"/>
      <c r="H85" s="665"/>
      <c r="I85" s="17"/>
      <c r="J85" s="17"/>
      <c r="K85" s="17"/>
      <c r="L85" s="16"/>
      <c r="M85" s="16"/>
      <c r="N85" s="16"/>
      <c r="O85" s="16"/>
      <c r="P85" s="16"/>
      <c r="Q85" s="16"/>
      <c r="T85"/>
      <c r="U85"/>
      <c r="V85"/>
      <c r="W85"/>
      <c r="X85"/>
    </row>
    <row r="86" spans="1:24">
      <c r="A86" s="660"/>
      <c r="B86" s="380" t="s">
        <v>322</v>
      </c>
      <c r="C86" s="377">
        <f>COUNTIFS(C6:C40,"=n",G6:G40,"=oui",S6:S40,"Oui")+COUNTIFS('SERVICE2-List'!C6:C43,"=n",'SERVICE2-List'!G6:G43,"=oui",'SERVICE2-List'!S6:S43,"Oui")</f>
        <v>11</v>
      </c>
      <c r="D86" s="668"/>
      <c r="E86" s="460"/>
      <c r="F86" s="377">
        <f>COUNTIFS(C6:C40,"=N",G6:G40,"oui",T6:T40,"Oui")+COUNTIFS('SERVICE2-List'!C6:C43,"=N",'SERVICE2-List'!G6:G43,"oui",'SERVICE2-List'!T6:T43,"Oui")</f>
        <v>15</v>
      </c>
      <c r="G86" s="376"/>
      <c r="H86" s="665"/>
      <c r="I86" s="17"/>
      <c r="J86" s="17"/>
      <c r="K86" s="17"/>
      <c r="L86" s="16"/>
      <c r="M86" s="16"/>
      <c r="N86" s="16"/>
      <c r="O86" s="16"/>
      <c r="P86" s="16"/>
      <c r="Q86"/>
      <c r="T86"/>
      <c r="U86"/>
      <c r="V86"/>
      <c r="W86"/>
      <c r="X86"/>
    </row>
    <row r="87" spans="1:24">
      <c r="A87" s="660"/>
      <c r="B87" s="380" t="s">
        <v>323</v>
      </c>
      <c r="C87" s="377">
        <f>COUNTIFS(C6:C40,"=hp",G6:G40,"=oui",S6:S40,"Oui")+COUNTIFS('SERVICE2-List'!C6:C43,"=hp",'SERVICE2-List'!G6:G43,"=oui",'SERVICE2-List'!S6:S43,"Oui")</f>
        <v>0</v>
      </c>
      <c r="D87" s="668"/>
      <c r="E87" s="460"/>
      <c r="F87" s="377">
        <f>COUNTIFS(C6:C40,"=hp",G6:G40,"oui",T6:T40,"Oui")+COUNTIFS('SERVICE2-List'!C6:C43,"=hp",'SERVICE2-List'!G6:G43,"oui",'SERVICE2-List'!T6:T43,"Oui")</f>
        <v>0</v>
      </c>
      <c r="G87" s="376"/>
      <c r="H87" s="665"/>
      <c r="I87" s="17"/>
      <c r="J87" s="17"/>
      <c r="K87" s="17"/>
      <c r="L87" s="16"/>
      <c r="M87" s="16"/>
      <c r="N87" s="16"/>
      <c r="O87" s="16"/>
      <c r="P87" s="16"/>
      <c r="Q87"/>
      <c r="R87"/>
      <c r="S87"/>
      <c r="T87"/>
      <c r="U87"/>
      <c r="V87"/>
      <c r="W87"/>
      <c r="X87"/>
    </row>
    <row r="88" spans="1:24">
      <c r="A88" s="660"/>
      <c r="B88" s="380" t="s">
        <v>330</v>
      </c>
      <c r="C88" s="377">
        <f>COUNTIFS(C6:C40,"=DIAB",G6:G40,"=oui",S6:S40,"Oui")+COUNTIFS('SERVICE2-List'!C6:C43,"=DIAB",'SERVICE2-List'!G6:G43,"=oui",'SERVICE2-List'!S6:S43,"Oui")</f>
        <v>0</v>
      </c>
      <c r="D88" s="668"/>
      <c r="E88" s="460"/>
      <c r="F88" s="377">
        <f>COUNTIFS(C6:C40,"=diab",G6:G40,"oui",T6:T40,"Oui")+COUNTIFS('SERVICE2-List'!C6:C43,"=diab",'SERVICE2-List'!G6:G43,"oui",'SERVICE2-List'!T6:T43,"Oui")</f>
        <v>0</v>
      </c>
      <c r="G88" s="376"/>
      <c r="H88" s="665"/>
      <c r="I88" s="17"/>
      <c r="J88" s="17"/>
      <c r="K88" s="17"/>
      <c r="L88" s="16"/>
      <c r="M88" s="16"/>
      <c r="N88" s="16"/>
      <c r="O88" s="16"/>
      <c r="P88" s="16"/>
      <c r="Q88"/>
      <c r="R88"/>
      <c r="S88"/>
      <c r="T88"/>
      <c r="U88"/>
      <c r="V88"/>
      <c r="W88"/>
      <c r="X88"/>
    </row>
    <row r="89" spans="1:24">
      <c r="A89" s="660"/>
      <c r="B89" s="378" t="s">
        <v>324</v>
      </c>
      <c r="C89" s="379">
        <f>COUNTIFS(C6:C40,"=ssel",G6:G40,"=oui",S6:S40,"Oui")+COUNTIFS('SERVICE2-List'!C6:C43,"=ssel",'SERVICE2-List'!G6:G43,"=oui",'SERVICE2-List'!S6:S43,"Oui")</f>
        <v>0</v>
      </c>
      <c r="D89" s="668"/>
      <c r="E89" s="460"/>
      <c r="F89" s="377">
        <f>COUNTIFS(C6:C40,"=ssel",G6:G40,"oui",T6:T40,"Oui")+COUNTIFS('SERVICE2-List'!C6:C43,"=ssel",'SERVICE2-List'!G6:G43,"oui",'SERVICE2-List'!T6:T43,"Oui")</f>
        <v>0</v>
      </c>
      <c r="G89" s="376"/>
      <c r="H89" s="665"/>
      <c r="I89" s="17"/>
      <c r="J89" s="17"/>
      <c r="K89" s="17"/>
      <c r="L89" s="16"/>
      <c r="M89" s="16"/>
      <c r="N89" s="16"/>
      <c r="O89" s="16"/>
      <c r="P89" s="16"/>
      <c r="Q89"/>
      <c r="R89"/>
      <c r="S89"/>
      <c r="T89"/>
      <c r="U89"/>
      <c r="V89"/>
      <c r="W89"/>
      <c r="X89"/>
    </row>
    <row r="90" spans="1:24">
      <c r="A90" s="660"/>
      <c r="B90" s="29" t="s">
        <v>112</v>
      </c>
      <c r="C90" s="63">
        <f>COUNTIFS(F6:F40,"=M",S6:S40,"=Oui")+COUNTIFS('SERVICE2-List'!F6:F43,"=M",'SERVICE2-List'!S6:S43,"Oui")</f>
        <v>16</v>
      </c>
      <c r="D90" s="668"/>
      <c r="E90" s="460"/>
      <c r="F90" s="198">
        <f>COUNTIFS(C6:C40,"*",F6:F40,"M",T6:T40,"Oui")+COUNTIFS('SERVICE2-List'!C6:C43,"*",'SERVICE2-List'!F6:F43,"M",'SERVICE2-List'!T6:T43,"Oui")</f>
        <v>18</v>
      </c>
      <c r="G90" s="372"/>
      <c r="H90" s="665"/>
      <c r="I90" s="17"/>
      <c r="J90" s="17"/>
      <c r="K90" s="17"/>
      <c r="L90" s="16"/>
      <c r="M90" s="16"/>
      <c r="N90" s="16"/>
      <c r="O90" s="16"/>
      <c r="P90" s="16"/>
      <c r="Q90" s="16"/>
      <c r="R90" s="16"/>
      <c r="S90" s="16"/>
      <c r="T90"/>
      <c r="U90"/>
      <c r="V90"/>
      <c r="W90"/>
      <c r="X90"/>
    </row>
    <row r="91" spans="1:24">
      <c r="A91" s="660"/>
      <c r="B91" s="29" t="s">
        <v>113</v>
      </c>
      <c r="C91" s="63">
        <v>0</v>
      </c>
      <c r="D91" s="668"/>
      <c r="E91" s="460"/>
      <c r="F91" s="198">
        <v>0</v>
      </c>
      <c r="G91" s="372"/>
      <c r="H91" s="665"/>
      <c r="I91" s="17"/>
      <c r="J91" s="17"/>
      <c r="K91" s="17"/>
      <c r="L91" s="16"/>
      <c r="M91" s="16"/>
      <c r="N91" s="16"/>
      <c r="O91" s="16"/>
      <c r="P91" s="16"/>
      <c r="Q91" s="16"/>
      <c r="R91" s="16"/>
      <c r="S91" s="16"/>
      <c r="T91"/>
      <c r="U91"/>
      <c r="V91"/>
      <c r="W91"/>
      <c r="X91"/>
    </row>
    <row r="92" spans="1:24">
      <c r="A92" s="660"/>
      <c r="B92" s="424" t="s">
        <v>152</v>
      </c>
      <c r="C92" s="462">
        <f>COUNTIFS(C6:C40,"=AP",S6:S40,"Oui")+COUNTIFS('SERVICE2-List'!C6:C43,"=AP",'SERVICE2-List'!S6:S43,"Oui")</f>
        <v>0</v>
      </c>
      <c r="D92" s="668"/>
      <c r="E92" s="460"/>
      <c r="F92" s="198">
        <f>COUNTIFS(C6:C40,"=AP",T6:T40,"Oui")+COUNTIFS('SERVICE2-List'!C6:C43,"=AP",'SERVICE2-List'!T6:T43,"Oui")</f>
        <v>0</v>
      </c>
      <c r="G92" s="372"/>
      <c r="H92" s="665"/>
      <c r="I92" s="17"/>
      <c r="J92" s="17"/>
      <c r="K92" s="17"/>
      <c r="L92" s="16"/>
      <c r="M92" s="16"/>
      <c r="N92" s="16"/>
      <c r="O92" s="16"/>
      <c r="P92" s="16"/>
      <c r="Q92" s="16"/>
      <c r="R92" s="16"/>
      <c r="S92" s="16"/>
      <c r="T92"/>
      <c r="U92"/>
      <c r="V92"/>
      <c r="W92"/>
      <c r="X92"/>
    </row>
    <row r="93" spans="1:24">
      <c r="A93" s="456"/>
      <c r="B93" s="90" t="s">
        <v>355</v>
      </c>
      <c r="C93" s="462">
        <f>COUNTIFS(F6:F40,"=X",S6:S40,"Oui")+COUNTIFS('SERVICE2-List'!F6:F43,"=X",'SERVICE2-List'!S6:S43,"Oui")</f>
        <v>1</v>
      </c>
      <c r="D93" s="460"/>
      <c r="E93" s="460"/>
      <c r="F93" s="198">
        <f>COUNTIFS(F6:F40,"=X",T6:T40,"Oui")+COUNTIFS('SERVICE2-List'!F6:F43,"=X",'SERVICE2-List'!T6:T43,"Oui")</f>
        <v>1</v>
      </c>
      <c r="G93" s="372"/>
      <c r="H93" s="457"/>
      <c r="I93" s="17"/>
      <c r="J93" s="17"/>
      <c r="K93" s="17"/>
      <c r="L93" s="16"/>
      <c r="M93" s="16"/>
      <c r="N93" s="16"/>
      <c r="O93" s="16"/>
      <c r="P93" s="16"/>
      <c r="Q93" s="16"/>
      <c r="R93" s="16"/>
      <c r="S93" s="16"/>
      <c r="T93"/>
      <c r="U93"/>
      <c r="V93"/>
      <c r="W93"/>
      <c r="X93"/>
    </row>
    <row r="94" spans="1:24">
      <c r="A94" s="659" t="s">
        <v>123</v>
      </c>
      <c r="B94" s="31" t="s">
        <v>145</v>
      </c>
      <c r="C94" s="73">
        <f>COUNTIFS(C6:C40,"=N",H6:H40,"=E",S6:S40,"Oui")+COUNTIFS('SERVICE2-List'!C6:C43,"=N",'SERVICE2-List'!H6:H43,"=E",'SERVICE2-List'!S6:S43,"Oui")-C98</f>
        <v>5</v>
      </c>
      <c r="D94" s="662">
        <f>SUM(C94:C109)</f>
        <v>30</v>
      </c>
      <c r="E94" s="434"/>
      <c r="F94" s="194">
        <f>COUNTIFS(C6:C40,"=N",H6:H40,"=E",T6:T40,"Oui")+COUNTIFS('SERVICE2-List'!C6:C43,"=N",'SERVICE2-List'!H6:H43,"=E",'SERVICE2-List'!T6:T43,"Oui")-F98</f>
        <v>9</v>
      </c>
      <c r="G94" s="369"/>
      <c r="H94" s="664">
        <f>SUM(F94:F109)</f>
        <v>36</v>
      </c>
      <c r="I94" s="17"/>
      <c r="J94" s="17"/>
      <c r="K94" s="17"/>
      <c r="L94" s="16"/>
      <c r="M94" s="16"/>
      <c r="N94" s="16"/>
      <c r="O94" s="16"/>
      <c r="P94" s="16"/>
      <c r="Q94" s="16"/>
      <c r="R94" s="16"/>
      <c r="S94" s="16"/>
      <c r="T94"/>
      <c r="U94"/>
      <c r="V94"/>
      <c r="W94"/>
      <c r="X94"/>
    </row>
    <row r="95" spans="1:24">
      <c r="A95" s="660"/>
      <c r="B95" s="201" t="s">
        <v>209</v>
      </c>
      <c r="C95" s="83">
        <f>COUNTIFS(C6:C40,"=HP",H6:H40,"=E",S6:S40,"Oui")+COUNTIFS('SERVICE2-List'!C6:C43,"=HP",'SERVICE2-List'!H6:H43,"=E",'SERVICE2-List'!S6:S43,"Oui")</f>
        <v>0</v>
      </c>
      <c r="D95" s="663"/>
      <c r="E95" s="435"/>
      <c r="F95" s="195">
        <f>COUNTIFS(C6:C40,"=HP",H6:H40,"=E",T6:T40,"Oui")+COUNTIFS('SERVICE2-List'!C6:C43,"=HP",'SERVICE2-List'!H6:H43,"=E",'SERVICE2-List'!T6:T43,"Oui")</f>
        <v>0</v>
      </c>
      <c r="G95" s="370"/>
      <c r="H95" s="665"/>
      <c r="I95" s="17"/>
      <c r="J95" s="17"/>
      <c r="K95" s="17"/>
      <c r="L95" s="16"/>
      <c r="M95" s="16"/>
      <c r="N95" s="16"/>
      <c r="O95" s="16"/>
      <c r="P95" s="16"/>
      <c r="Q95" s="16"/>
      <c r="R95" s="16"/>
      <c r="S95" s="16"/>
      <c r="T95"/>
      <c r="U95"/>
      <c r="V95"/>
      <c r="W95"/>
      <c r="X95"/>
    </row>
    <row r="96" spans="1:24">
      <c r="A96" s="660"/>
      <c r="B96" s="201" t="s">
        <v>271</v>
      </c>
      <c r="C96" s="83">
        <f>COUNTIFS(C6:C40,"=sr",H6:H40,"=E",S6:S40,"Oui")+COUNTIFS('SERVICE2-List'!C6:C43,"=sr",'SERVICE2-List'!H6:H43,"=E",'SERVICE2-List'!S6:S43,"Oui")</f>
        <v>0</v>
      </c>
      <c r="D96" s="663"/>
      <c r="E96" s="435"/>
      <c r="F96" s="195">
        <f>COUNTIFS(C6:C40,"=sr",H6:H40,"=E",T6:T40,"Oui")+COUNTIFS('SERVICE2-List'!C6:C43,"=sr",'SERVICE2-List'!H6:H43,"=E",'SERVICE2-List'!T6:T43,"Oui")</f>
        <v>0</v>
      </c>
      <c r="G96" s="370"/>
      <c r="H96" s="665"/>
      <c r="I96" s="17"/>
      <c r="J96" s="17"/>
      <c r="K96" s="17"/>
      <c r="L96" s="16"/>
      <c r="M96" s="16"/>
      <c r="N96" s="16"/>
      <c r="O96" s="16"/>
      <c r="P96" s="16"/>
      <c r="Q96" s="16"/>
      <c r="R96" s="16"/>
      <c r="S96" s="16"/>
      <c r="T96"/>
      <c r="U96"/>
      <c r="V96"/>
      <c r="W96"/>
      <c r="X96"/>
    </row>
    <row r="97" spans="1:24">
      <c r="A97" s="660"/>
      <c r="B97" s="201" t="s">
        <v>251</v>
      </c>
      <c r="C97" s="83">
        <f>COUNTIFS(C6:C40,"=ssel",H6:H40,"=E",S6:S40,"Oui")+COUNTIFS('SERVICE2-List'!C6:C43,"=ssel",'SERVICE2-List'!H6:H43,"=E",'SERVICE2-List'!S6:S43,"Oui")</f>
        <v>0</v>
      </c>
      <c r="D97" s="663"/>
      <c r="E97" s="435"/>
      <c r="F97" s="195">
        <f>COUNTIFS(C6:C40,"=ssel",H6:H40,"=E",T6:T40,"Oui")+COUNTIFS('SERVICE2-List'!C6:C43,"=ssel",'SERVICE2-List'!H6:H43,"=E",'SERVICE2-List'!T6:T43,"Oui")</f>
        <v>0</v>
      </c>
      <c r="G97" s="370"/>
      <c r="H97" s="665"/>
      <c r="I97" s="17"/>
      <c r="J97" s="17"/>
      <c r="K97" s="17"/>
      <c r="L97" s="16"/>
      <c r="M97" s="16"/>
      <c r="N97" s="16"/>
      <c r="O97" s="16"/>
      <c r="P97" s="16"/>
      <c r="Q97" s="16"/>
      <c r="R97" s="16"/>
      <c r="S97" s="16"/>
      <c r="T97"/>
      <c r="U97"/>
      <c r="V97"/>
      <c r="W97"/>
      <c r="X97"/>
    </row>
    <row r="98" spans="1:24">
      <c r="A98" s="660"/>
      <c r="B98" s="215" t="s">
        <v>146</v>
      </c>
      <c r="C98" s="216">
        <f>COUNTIFS(D6:D40,"=DIAB",H6:H40,"=E",S6:S40,"Oui")+COUNTIFS('SERVICE2-List'!D6:D43,"=DIAB",'SERVICE2-List'!H6:H43,"=E",'SERVICE2-List'!S6:S43,"Oui")</f>
        <v>0</v>
      </c>
      <c r="D98" s="663"/>
      <c r="E98" s="435"/>
      <c r="F98" s="210">
        <f>COUNTIFS(D6:D40,"=diab",H6:H40,"=E",T6:T40,"Oui")+COUNTIFS('SERVICE2-List'!D6:D43,"=diab",'SERVICE2-List'!H6:H43,"=E",'SERVICE2-List'!T6:T43,"Oui")</f>
        <v>0</v>
      </c>
      <c r="G98" s="370"/>
      <c r="H98" s="665"/>
      <c r="I98" s="17"/>
      <c r="J98" s="17"/>
      <c r="K98" s="17"/>
      <c r="L98" s="16"/>
      <c r="M98" s="16"/>
      <c r="N98" s="16"/>
      <c r="O98" s="16"/>
      <c r="P98" s="16"/>
      <c r="Q98" s="16"/>
      <c r="R98" s="16"/>
      <c r="S98" s="16"/>
      <c r="T98"/>
      <c r="U98"/>
      <c r="V98"/>
      <c r="W98"/>
      <c r="X98"/>
    </row>
    <row r="99" spans="1:24">
      <c r="A99" s="660"/>
      <c r="B99" s="29" t="s">
        <v>157</v>
      </c>
      <c r="C99" s="76">
        <f>COUNTIFS(H6:H40,"=m",C6:C40,"=n",S6:S40,"Oui")+COUNTIFS('SERVICE2-List'!C6:C43,"=n",'SERVICE2-List'!H6:H43,"=m",'SERVICE2-List'!S6:S43,"Oui")-C103</f>
        <v>24</v>
      </c>
      <c r="D99" s="663"/>
      <c r="E99" s="435"/>
      <c r="F99" s="198">
        <f>COUNTIFS(H6:H40,"=m",C6:C40,"=n",T6:T40,"Oui")+COUNTIFS('SERVICE2-List'!C6:C43,"=n",'SERVICE2-List'!H6:H43,"=m",'SERVICE2-List'!T6:T43,"Oui")-F103</f>
        <v>26</v>
      </c>
      <c r="G99" s="372"/>
      <c r="H99" s="665"/>
      <c r="I99" s="17"/>
      <c r="J99" s="17"/>
      <c r="K99" s="17"/>
      <c r="L99" s="16"/>
      <c r="M99" s="16"/>
      <c r="N99" s="16"/>
      <c r="O99" s="16"/>
      <c r="P99" s="16"/>
      <c r="Q99" s="16"/>
      <c r="R99" s="16"/>
      <c r="S99" s="16"/>
      <c r="T99"/>
      <c r="U99"/>
      <c r="V99"/>
      <c r="W99"/>
      <c r="X99"/>
    </row>
    <row r="100" spans="1:24">
      <c r="A100" s="660"/>
      <c r="B100" s="29" t="s">
        <v>260</v>
      </c>
      <c r="C100" s="76">
        <f>COUNTIFS(C6:C40,"=ap",S6:S40,"Oui")+COUNTIFS('SERVICE2-List'!C6:C43,"=ap",'SERVICE2-List'!S6:S43,"Oui")</f>
        <v>0</v>
      </c>
      <c r="D100" s="663"/>
      <c r="E100" s="435"/>
      <c r="F100" s="198">
        <f>COUNTIFS(C6:C40,"=ap",T6:T40,"Oui")+COUNTIFS('SERVICE2-List'!C6:C43,"=ap",'SERVICE2-List'!T6:T43,"Oui")</f>
        <v>0</v>
      </c>
      <c r="G100" s="372"/>
      <c r="H100" s="665"/>
      <c r="I100" s="17"/>
      <c r="J100" s="17"/>
      <c r="K100" s="17"/>
      <c r="L100" s="16"/>
      <c r="M100" s="16"/>
      <c r="N100" s="16"/>
      <c r="O100" s="16"/>
      <c r="P100" s="16"/>
      <c r="Q100" s="16"/>
      <c r="R100" s="16"/>
      <c r="S100" s="16"/>
      <c r="T100"/>
      <c r="U100"/>
      <c r="V100"/>
      <c r="W100"/>
      <c r="X100"/>
    </row>
    <row r="101" spans="1:24">
      <c r="A101" s="660"/>
      <c r="B101" s="29" t="s">
        <v>257</v>
      </c>
      <c r="C101" s="76">
        <f>COUNTIFS(H6:H40,"=m",C6:C40,"=hp",S6:S40,"Oui")+COUNTIFS('SERVICE2-List'!C6:C43,"=hp",'SERVICE2-List'!H6:H43,"=m",'SERVICE2-List'!S6:S43,"Oui")</f>
        <v>0</v>
      </c>
      <c r="D101" s="663"/>
      <c r="E101" s="435"/>
      <c r="F101" s="198">
        <f>COUNTIFS(H6:H40,"=m",C6:C40,"=hp",T6:T40,"Oui")+COUNTIFS('SERVICE2-List'!C6:C43,"=hp",'SERVICE2-List'!H6:H43,"=m",'SERVICE2-List'!T6:T43,"Oui")</f>
        <v>0</v>
      </c>
      <c r="G101" s="372"/>
      <c r="H101" s="665"/>
      <c r="I101" s="17"/>
      <c r="J101" s="17"/>
      <c r="K101" s="17"/>
      <c r="L101" s="16"/>
      <c r="M101" s="16"/>
      <c r="N101" s="16"/>
      <c r="O101" s="16"/>
      <c r="P101" s="16"/>
      <c r="Q101" s="16"/>
      <c r="R101" s="16"/>
      <c r="S101" s="16"/>
      <c r="T101"/>
      <c r="U101"/>
      <c r="V101"/>
      <c r="W101"/>
      <c r="X101"/>
    </row>
    <row r="102" spans="1:24">
      <c r="A102" s="660"/>
      <c r="B102" s="29" t="s">
        <v>258</v>
      </c>
      <c r="C102" s="76">
        <f>COUNTIFS(H6:H40,"=m",C6:C40,"=ssel",S6:S40,"Oui")+COUNTIFS('SERVICE2-List'!C6:C43,"=ssel",'SERVICE2-List'!H6:H43,"=m",'SERVICE2-List'!S6:S43,"Oui")</f>
        <v>1</v>
      </c>
      <c r="D102" s="663"/>
      <c r="E102" s="435"/>
      <c r="F102" s="198">
        <f>COUNTIFS(H6:H40,"=m",C6:C40,"=ssel",T6:T40,"Oui")+COUNTIFS('SERVICE2-List'!C6:C43,"=ssel",'SERVICE2-List'!H6:H43,"=m",'SERVICE2-List'!T6:T43,"Oui")</f>
        <v>1</v>
      </c>
      <c r="G102" s="372"/>
      <c r="H102" s="665"/>
      <c r="I102" s="17"/>
      <c r="J102" s="17"/>
      <c r="K102" s="17"/>
      <c r="L102" s="16"/>
      <c r="M102" s="16"/>
      <c r="N102" s="16"/>
      <c r="O102" s="16"/>
      <c r="P102" s="16"/>
      <c r="Q102" s="16"/>
      <c r="R102" s="16"/>
      <c r="S102" s="16"/>
      <c r="T102"/>
      <c r="U102"/>
      <c r="V102"/>
      <c r="W102"/>
      <c r="X102"/>
    </row>
    <row r="103" spans="1:24">
      <c r="A103" s="660"/>
      <c r="B103" s="211" t="s">
        <v>259</v>
      </c>
      <c r="C103" s="212">
        <f>COUNTIFS(H6:H40,"=m",D6:D40,"=diab",S6:S40,"Oui")+COUNTIFS('SERVICE2-List'!D6:D43,"=diab",'SERVICE2-List'!H6:H43,"=m",'SERVICE2-List'!S6:S43,"Oui")</f>
        <v>0</v>
      </c>
      <c r="D103" s="663"/>
      <c r="E103" s="435"/>
      <c r="F103" s="199">
        <f>COUNTIFS(H6:H40,"=m",D6:D40,"=diab",T6:T40,"Oui")+COUNTIFS('SERVICE2-List'!D6:D43,"=diab",'SERVICE2-List'!H6:H43,"=m",'SERVICE2-List'!T6:T43,"Oui")</f>
        <v>0</v>
      </c>
      <c r="G103" s="372"/>
      <c r="H103" s="665"/>
      <c r="I103" s="17"/>
      <c r="J103" s="17"/>
      <c r="K103" s="17"/>
      <c r="L103" s="16"/>
      <c r="M103" s="16"/>
      <c r="N103" s="16"/>
      <c r="O103" s="16"/>
      <c r="P103" s="16"/>
      <c r="Q103" s="16"/>
      <c r="R103" s="16"/>
      <c r="S103" s="16"/>
      <c r="T103"/>
      <c r="U103"/>
      <c r="V103"/>
      <c r="W103"/>
      <c r="X103"/>
    </row>
    <row r="104" spans="1:24">
      <c r="A104" s="660"/>
      <c r="B104" s="29" t="s">
        <v>263</v>
      </c>
      <c r="C104" s="76">
        <f>COUNTIFS(H6:H40,"=1-si-dur",C6:C40,"=n",S6:S40,"Oui")+COUNTIFS('SERVICE2-List'!C6:C43,"=n",'SERVICE2-List'!H6:H43,"=1-si-dur",'SERVICE2-List'!S6:S43,"Oui")</f>
        <v>0</v>
      </c>
      <c r="D104" s="663"/>
      <c r="E104" s="435"/>
      <c r="F104" s="198">
        <f>COUNTIFS(H6:H40,"=1-si-dur",C6:C40,"=n",T6:T40,"Oui")+COUNTIFS('SERVICE2-List'!C6:C43,"=n",'SERVICE2-List'!H6:H43,"=1-si-dur",'SERVICE2-List'!T6:T43,"Oui")</f>
        <v>0</v>
      </c>
      <c r="G104" s="372"/>
      <c r="H104" s="665"/>
      <c r="I104" s="17"/>
      <c r="J104" s="17"/>
      <c r="K104" s="17"/>
      <c r="L104" s="16"/>
      <c r="M104" s="16"/>
      <c r="N104" s="16"/>
      <c r="O104" s="16"/>
      <c r="P104" s="16"/>
      <c r="Q104" s="16"/>
      <c r="R104" s="16"/>
      <c r="S104" s="16"/>
      <c r="T104"/>
      <c r="U104"/>
      <c r="V104"/>
      <c r="W104"/>
      <c r="X104"/>
    </row>
    <row r="105" spans="1:24">
      <c r="A105" s="660"/>
      <c r="B105" s="29" t="s">
        <v>264</v>
      </c>
      <c r="C105" s="76">
        <f>COUNTIFS(H6:H40,"=1-si-dur",C6:C40,"=hp",S6:S40,"Oui")+COUNTIFS('SERVICE2-List'!C6:C43,"=hp",'SERVICE2-List'!H6:H43,"=1-si-dur",'SERVICE2-List'!S6:S43,"Oui")</f>
        <v>0</v>
      </c>
      <c r="D105" s="663"/>
      <c r="E105" s="435"/>
      <c r="F105" s="198">
        <f>COUNTIFS(H6:H40,"=1-si-dur",C6:C40,"=hp",T6:T40,"Oui")+COUNTIFS('SERVICE2-List'!C6:C43,"=hp",'SERVICE2-List'!H6:H43,"=1-si-dur",'SERVICE2-List'!T6:T43,"Oui")</f>
        <v>0</v>
      </c>
      <c r="G105" s="372"/>
      <c r="H105" s="665"/>
      <c r="I105" s="17"/>
      <c r="J105" s="17"/>
      <c r="K105" s="17"/>
      <c r="L105" s="16"/>
      <c r="M105" s="16"/>
      <c r="N105" s="16"/>
      <c r="O105" s="16"/>
      <c r="P105" s="16"/>
      <c r="Q105" s="16"/>
      <c r="R105" s="16"/>
      <c r="S105" s="16"/>
      <c r="T105"/>
      <c r="U105"/>
      <c r="V105"/>
      <c r="W105"/>
      <c r="X105"/>
    </row>
    <row r="106" spans="1:24">
      <c r="A106" s="660"/>
      <c r="B106" s="29" t="s">
        <v>265</v>
      </c>
      <c r="C106" s="76">
        <f>COUNTIFS(H5:H39,"=1-si-dur",C5:C39,"=ssel",S5:S39,"Oui")+COUNTIFS('SERVICE2-List'!C5:C42,"=ssel",'SERVICE2-List'!H5:H42,"=1-si-dur",'SERVICE2-List'!S5:S42,"Oui")</f>
        <v>0</v>
      </c>
      <c r="D106" s="663"/>
      <c r="E106" s="435"/>
      <c r="F106" s="198">
        <f>COUNTIFS(H5:H39,"=1-si-dur",C5:C39,"=ssel",T5:T39,"Oui")+COUNTIFS('SERVICE2-List'!C5:C42,"=ssel",'SERVICE2-List'!H5:H42,"=1-si-dur",'SERVICE2-List'!T5:T42,"Oui")</f>
        <v>0</v>
      </c>
      <c r="G106" s="372"/>
      <c r="H106" s="665"/>
      <c r="I106" s="17"/>
      <c r="J106" s="17"/>
      <c r="K106" s="17"/>
      <c r="L106" s="16"/>
      <c r="M106" s="16"/>
      <c r="N106" s="16"/>
      <c r="O106" s="16"/>
      <c r="P106" s="16"/>
      <c r="Q106" s="16"/>
      <c r="R106" s="16"/>
      <c r="S106" s="16"/>
      <c r="T106"/>
      <c r="U106"/>
      <c r="V106"/>
      <c r="W106"/>
      <c r="X106"/>
    </row>
    <row r="107" spans="1:24">
      <c r="A107" s="660"/>
      <c r="B107" s="213" t="s">
        <v>266</v>
      </c>
      <c r="C107" s="214">
        <f>COUNTIFS(H6:H40,"=1-si-dur",C6:C40,"=diab",S6:S40,"Oui")+COUNTIFS('SERVICE2-List'!C6:C43,"=diab",'SERVICE2-List'!H6:H43,"=1-si-dur",'SERVICE2-List'!S6:S43,"Oui")</f>
        <v>0</v>
      </c>
      <c r="D107" s="663"/>
      <c r="E107" s="435"/>
      <c r="F107" s="198">
        <f>COUNTIFS(H6:H40,"=1-si-dur",C6:C40,"=diab",T6:T40,"Oui")+COUNTIFS('SERVICE2-List'!C6:C43,"=diab",'SERVICE2-List'!H6:H43,"=1-si-dur",'SERVICE2-List'!T6:T43,"Oui")</f>
        <v>0</v>
      </c>
      <c r="G107" s="372"/>
      <c r="H107" s="665"/>
      <c r="I107" s="17"/>
      <c r="J107" s="17"/>
      <c r="K107" s="17"/>
      <c r="L107" s="16"/>
      <c r="M107" s="16"/>
      <c r="N107" s="16"/>
      <c r="O107" s="16"/>
      <c r="P107" s="16"/>
      <c r="Q107" s="16"/>
      <c r="R107" s="16"/>
      <c r="S107" s="16"/>
      <c r="T107"/>
      <c r="U107"/>
      <c r="V107"/>
      <c r="W107"/>
      <c r="X107"/>
    </row>
    <row r="108" spans="1:24">
      <c r="A108" s="660"/>
      <c r="B108" s="29" t="s">
        <v>152</v>
      </c>
      <c r="C108" s="76">
        <f>COUNTIFS(C6:C40,"=AP",S6:S40,"Oui")+COUNTIFS('SERVICE2-List'!C6:C43,"=AP",'SERVICE2-List'!S6:S43,"Oui")</f>
        <v>0</v>
      </c>
      <c r="D108" s="663"/>
      <c r="E108" s="435"/>
      <c r="F108" s="198">
        <f>COUNTIFS(C6:C40,"=AP",T6:T40,"Oui")+COUNTIFS('SERVICE2-List'!C6:C43,"=AP",'SERVICE2-List'!T6:T43,"Oui")</f>
        <v>0</v>
      </c>
      <c r="G108" s="372"/>
      <c r="H108" s="665"/>
      <c r="I108" s="17"/>
      <c r="J108" s="17"/>
      <c r="K108" s="17"/>
      <c r="L108" s="16"/>
      <c r="M108" s="16"/>
      <c r="N108" s="16"/>
      <c r="O108" s="16"/>
      <c r="P108" s="16"/>
      <c r="Q108" s="16"/>
      <c r="R108" s="16"/>
      <c r="S108" s="16"/>
      <c r="T108"/>
      <c r="U108"/>
      <c r="V108"/>
      <c r="W108"/>
      <c r="X108"/>
    </row>
    <row r="109" spans="1:24">
      <c r="A109" s="463"/>
      <c r="B109" s="90" t="s">
        <v>355</v>
      </c>
      <c r="C109" s="77">
        <f>COUNTIFS(H6:H40,"=X",S6:S40,"Oui")+COUNTIFS('SERVICE2-List'!H6:H43,"=X",'SERVICE2-List'!S6:S43,"Oui")</f>
        <v>0</v>
      </c>
      <c r="D109" s="436"/>
      <c r="E109" s="436"/>
      <c r="F109" s="199">
        <f>COUNTIFS(H6:H40,"=X",T6:T40,"Oui")+COUNTIFS('SERVICE2-List'!H6:H43,"=X",'SERVICE2-List'!T6:T43,"Oui")</f>
        <v>0</v>
      </c>
      <c r="G109" s="373"/>
      <c r="H109" s="458"/>
      <c r="I109" s="17"/>
      <c r="J109" s="17"/>
      <c r="K109" s="17"/>
      <c r="L109" s="16"/>
      <c r="M109" s="16"/>
      <c r="N109" s="16"/>
      <c r="O109" s="16"/>
      <c r="P109" s="16"/>
      <c r="Q109" s="16"/>
      <c r="R109" s="16"/>
      <c r="S109" s="16"/>
      <c r="T109"/>
      <c r="U109"/>
      <c r="V109"/>
      <c r="W109"/>
      <c r="X109"/>
    </row>
    <row r="110" spans="1:24">
      <c r="A110" s="16"/>
      <c r="B110" s="16"/>
      <c r="C110" s="16"/>
      <c r="D110" s="16"/>
      <c r="E110" s="16"/>
      <c r="F110" s="16"/>
      <c r="G110" s="16"/>
      <c r="H110" s="16"/>
      <c r="I110" s="17"/>
      <c r="J110" s="17"/>
      <c r="K110" s="17"/>
      <c r="L110" s="17"/>
      <c r="M110" s="17"/>
      <c r="N110" s="16"/>
      <c r="O110" s="16"/>
      <c r="P110" s="16"/>
      <c r="Q110" s="16"/>
      <c r="R110" s="16"/>
      <c r="S110" s="16"/>
      <c r="T110" s="16"/>
      <c r="U110" s="16"/>
      <c r="V110"/>
      <c r="W110"/>
      <c r="X110"/>
    </row>
    <row r="111" spans="1:24">
      <c r="A111" s="52" t="s">
        <v>206</v>
      </c>
      <c r="B111" s="1"/>
      <c r="C111" s="94">
        <f>C73</f>
        <v>1</v>
      </c>
      <c r="D111" s="7"/>
      <c r="E111" s="7"/>
      <c r="I111" s="16"/>
      <c r="J111" s="16"/>
      <c r="K111" s="16"/>
      <c r="L111" s="17"/>
      <c r="M111" s="17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</row>
    <row r="112" spans="1:24">
      <c r="A112" s="131" t="str">
        <f t="array" ref="A112">IFERROR(INDEX($B$1:$B$40,SMALL(IF(($E$6:$E$40="x")*($S$6:$S$40&lt;&gt;""),ROW($E$6:$E$40)),ROW(A1))),"")</f>
        <v/>
      </c>
      <c r="B112" s="648" t="str">
        <f t="array" ref="B112">IFERROR(INDEX('SERVICE2-List'!$B$1:$B$43,SMALL(IF(('SERVICE2-List'!$E$6:$E$43="x")*('SERVICE2-List'!$S$6:$S$43&lt;&gt;""),ROW('SERVICE2-List'!$E$6:$E$43)),ROW('SERVICE2-List'!A1))),"")</f>
        <v>xxx</v>
      </c>
      <c r="C112" s="648"/>
      <c r="D112" s="648"/>
      <c r="E112" s="426"/>
      <c r="I112" s="16"/>
      <c r="J112" s="16"/>
      <c r="K112" s="16"/>
      <c r="L112" s="17"/>
      <c r="M112" s="17"/>
      <c r="N112" s="16"/>
      <c r="O112" s="16"/>
      <c r="P112" s="16"/>
      <c r="Q112" s="16"/>
      <c r="R112" s="16"/>
      <c r="S112" s="16"/>
      <c r="T112" s="16"/>
      <c r="V112" s="16"/>
      <c r="W112" s="16"/>
      <c r="X112" s="16"/>
    </row>
    <row r="113" spans="1:20">
      <c r="A113" s="131" t="str">
        <f t="array" ref="A113">IFERROR(INDEX($B$1:$B$40,SMALL(IF(($E$6:$E$40="x")*($S$6:$S$40&lt;&gt;""),ROW($E$6:$E$40)),ROW(A2))),"")</f>
        <v/>
      </c>
      <c r="B113" s="648" t="str">
        <f t="array" ref="B113">IFERROR(INDEX('SERVICE2-List'!$B$1:$B$43,SMALL(IF(('SERVICE2-List'!$E$6:$E$43="x")*('SERVICE2-List'!$S$6:$S$43&lt;&gt;""),ROW('SERVICE2-List'!$E$6:$E$43)),ROW('SERVICE2-List'!A2))),"")</f>
        <v/>
      </c>
      <c r="C113" s="648"/>
      <c r="D113" s="648"/>
      <c r="E113" s="426"/>
      <c r="I113" s="16"/>
      <c r="J113" s="16"/>
      <c r="K113" s="16"/>
      <c r="L113" s="17"/>
      <c r="M113" s="17"/>
      <c r="N113" s="16"/>
      <c r="O113" s="16"/>
      <c r="P113" s="16"/>
      <c r="Q113" s="16"/>
      <c r="R113" s="16"/>
      <c r="S113" s="16"/>
      <c r="T113" s="16"/>
    </row>
    <row r="114" spans="1:20">
      <c r="A114" s="131" t="str">
        <f t="array" ref="A114">IFERROR(INDEX($B$1:$B$40,SMALL(IF(($E$6:$E$40="x")*($S$6:$S$40&lt;&gt;""),ROW($E$6:$E$40)),ROW(A3))),"")</f>
        <v/>
      </c>
      <c r="B114" s="648" t="str">
        <f t="array" ref="B114">IFERROR(INDEX('SERVICE2-List'!$B$1:$B$43,SMALL(IF(('SERVICE2-List'!$E$6:$E$43="x")*('SERVICE2-List'!$S$6:$S$43&lt;&gt;""),ROW('SERVICE2-List'!$E$6:$E$43)),ROW('SERVICE2-List'!A3))),"")</f>
        <v/>
      </c>
      <c r="C114" s="648"/>
      <c r="D114" s="648"/>
      <c r="E114" s="426"/>
      <c r="I114" s="16"/>
      <c r="J114" s="16"/>
      <c r="K114" s="16"/>
      <c r="L114" s="17"/>
      <c r="N114"/>
      <c r="Q114" s="16"/>
      <c r="R114" s="16"/>
      <c r="S114" s="16"/>
    </row>
    <row r="115" spans="1:20">
      <c r="A115" s="5"/>
      <c r="B115" s="5"/>
      <c r="C115" s="5"/>
      <c r="D115" s="5"/>
      <c r="E115" s="5"/>
      <c r="I115" s="16"/>
      <c r="J115" s="16"/>
      <c r="K115" s="16"/>
      <c r="L115" s="17"/>
      <c r="N115"/>
      <c r="Q115" s="16"/>
      <c r="R115" s="16"/>
      <c r="S115" s="16"/>
    </row>
    <row r="116" spans="1:20">
      <c r="A116" s="52" t="s">
        <v>207</v>
      </c>
      <c r="C116" s="124">
        <f>COUNTIFS(C6:C40,"=AP",S6:S40,"=A")+COUNTIFS(C6:C40,"=AP",S6:S40,"=B")+COUNTIFS(C6:C40,"=AP",S6:S40,"=PS")+COUNTIFS('SERVICE2-List'!C6:C43,"=AP",'SERVICE2-List'!S6:S43,"=PS")+COUNTIFS('SERVICE2-List'!C6:C43,"=AP",'SERVICE2-List'!S6:S43,"=S")</f>
        <v>0</v>
      </c>
      <c r="D116" s="5"/>
      <c r="E116" s="5"/>
      <c r="I116" s="16"/>
      <c r="J116" s="16"/>
      <c r="K116" s="16"/>
      <c r="L116" s="17"/>
      <c r="M116" s="17"/>
      <c r="N116"/>
      <c r="Q116" s="16"/>
      <c r="R116" s="16"/>
      <c r="S116" s="16"/>
    </row>
    <row r="117" spans="1:20">
      <c r="A117" s="130" t="str">
        <f t="array" ref="A117">IFERROR(INDEX($B$1:$B$40,SMALL(IF(($C$6:$C$40="AP")*($S$6:$S$40&lt;&gt;""),ROW($E$6:$E$40)),ROW(B1))),"")</f>
        <v/>
      </c>
      <c r="B117" s="127" t="str">
        <f t="array" ref="B117">IFERROR(INDEX('SERVICE2-List'!$B$1:$B$43,SMALL(IF(('SERVICE2-List'!$C$6:$C$43="AP")*('SERVICE2-List'!$S$6:$S$43&lt;&gt;""),ROW('SERVICE2-List'!$F$6:$F$43)),ROW('SERVICE2-List'!A1))),"")</f>
        <v/>
      </c>
      <c r="C117" s="131"/>
      <c r="D117" s="131"/>
      <c r="E117" s="131"/>
      <c r="I117" s="16"/>
      <c r="J117" s="16"/>
      <c r="K117" s="16"/>
      <c r="L117" s="17"/>
      <c r="M117" s="17"/>
      <c r="N117"/>
      <c r="Q117" s="16"/>
      <c r="R117" s="16"/>
      <c r="S117" s="16"/>
    </row>
    <row r="118" spans="1:20">
      <c r="A118" s="130" t="str">
        <f t="array" ref="A118">IFERROR(INDEX($B$1:$B$40,SMALL(IF(($C$6:$C$40="AP")*($S$6:$S$40&lt;&gt;""),ROW($E$6:$E$40)),ROW(B2))),"")</f>
        <v/>
      </c>
      <c r="B118" s="127" t="str">
        <f t="array" ref="B118">IFERROR(INDEX('SERVICE2-List'!$B$1:$B$43,SMALL(IF(('SERVICE2-List'!$C$6:$C$43="AP")*('SERVICE2-List'!$S$6:$S$43&lt;&gt;""),ROW('SERVICE2-List'!$F$6:$F$43)),ROW('SERVICE2-List'!A2))),"")</f>
        <v/>
      </c>
      <c r="C118" s="131"/>
      <c r="D118" s="131"/>
      <c r="E118" s="131"/>
      <c r="I118" s="16"/>
      <c r="J118" s="16"/>
      <c r="K118" s="16"/>
      <c r="L118" s="17"/>
      <c r="M118" s="17"/>
      <c r="N118"/>
      <c r="Q118" s="16"/>
      <c r="R118" s="16"/>
      <c r="S118" s="16"/>
    </row>
    <row r="119" spans="1:20">
      <c r="A119" s="130" t="str">
        <f t="array" ref="A119">IFERROR(INDEX($B$1:$B$40,SMALL(IF(($C$6:$C$40="AP")*($S$6:$S$40&lt;&gt;""),ROW($E$6:$E$40)),ROW(B3))),"")</f>
        <v/>
      </c>
      <c r="B119" s="127" t="str">
        <f t="array" ref="B119">IFERROR(INDEX('SERVICE2-List'!$B$1:$B$43,SMALL(IF(('SERVICE2-List'!$C$6:$C$43="AP")*('SERVICE2-List'!$S$6:$S$43&lt;&gt;""),ROW('SERVICE2-List'!$F$6:$F$43)),ROW('SERVICE2-List'!A3))),"")</f>
        <v/>
      </c>
      <c r="C119" s="11"/>
      <c r="D119" s="11"/>
      <c r="E119" s="11"/>
      <c r="N119"/>
      <c r="Q119" s="16"/>
      <c r="R119" s="16"/>
      <c r="S119" s="16"/>
    </row>
    <row r="120" spans="1:20">
      <c r="A120" s="130" t="str">
        <f t="array" ref="A120">IFERROR(INDEX($B$1:$B$40,SMALL(IF(($C$6:$C$40="AP")*($S$6:$S$40&lt;&gt;""),ROW($E$6:$E$40)),ROW(B4))),"")</f>
        <v/>
      </c>
      <c r="B120" s="127" t="str">
        <f t="array" ref="B120">IFERROR(INDEX('SERVICE2-List'!$B$1:$B$43,SMALL(IF(('SERVICE2-List'!$C$6:$C$43="AP")*('SERVICE2-List'!$S$6:$S$43&lt;&gt;""),ROW('SERVICE2-List'!$F$6:$F$43)),ROW('SERVICE2-List'!A4))),"")</f>
        <v/>
      </c>
      <c r="C120" s="11"/>
      <c r="D120" s="11"/>
      <c r="E120" s="11"/>
      <c r="N120"/>
      <c r="Q120" s="16"/>
      <c r="R120" s="16"/>
      <c r="S120" s="16"/>
    </row>
    <row r="121" spans="1:20">
      <c r="N121"/>
      <c r="Q121" s="16"/>
      <c r="R121" s="16"/>
      <c r="S121" s="16"/>
    </row>
    <row r="122" spans="1:20">
      <c r="N122"/>
      <c r="Q122" s="16"/>
      <c r="R122" s="16"/>
      <c r="S122" s="16"/>
    </row>
    <row r="123" spans="1:20">
      <c r="N123"/>
      <c r="Q123" s="16"/>
      <c r="R123" s="16"/>
      <c r="S123" s="16"/>
    </row>
    <row r="124" spans="1:20">
      <c r="N124"/>
      <c r="Q124" s="16"/>
      <c r="R124" s="16"/>
      <c r="S124" s="16"/>
    </row>
  </sheetData>
  <sortState ref="A6:Q40">
    <sortCondition ref="A6:A40"/>
  </sortState>
  <mergeCells count="44">
    <mergeCell ref="V3:W3"/>
    <mergeCell ref="V4:V5"/>
    <mergeCell ref="W4:W5"/>
    <mergeCell ref="R62:R63"/>
    <mergeCell ref="V66:W66"/>
    <mergeCell ref="V57:W57"/>
    <mergeCell ref="U4:U5"/>
    <mergeCell ref="V56:W56"/>
    <mergeCell ref="A94:A108"/>
    <mergeCell ref="F61:H73"/>
    <mergeCell ref="A74:A92"/>
    <mergeCell ref="H74:H92"/>
    <mergeCell ref="A61:A73"/>
    <mergeCell ref="H94:H108"/>
    <mergeCell ref="D94:D108"/>
    <mergeCell ref="D74:D92"/>
    <mergeCell ref="B114:D114"/>
    <mergeCell ref="C2:I2"/>
    <mergeCell ref="B58:H58"/>
    <mergeCell ref="C3:Q3"/>
    <mergeCell ref="B112:D112"/>
    <mergeCell ref="B113:D113"/>
    <mergeCell ref="B3:B5"/>
    <mergeCell ref="D61:D73"/>
    <mergeCell ref="M4:M5"/>
    <mergeCell ref="P62:P63"/>
    <mergeCell ref="L41:L42"/>
    <mergeCell ref="M41:M42"/>
    <mergeCell ref="Q62:Q63"/>
    <mergeCell ref="Q42:Q43"/>
    <mergeCell ref="A1:R1"/>
    <mergeCell ref="S3:T3"/>
    <mergeCell ref="A3:A5"/>
    <mergeCell ref="C4:D5"/>
    <mergeCell ref="L4:L5"/>
    <mergeCell ref="R3:R5"/>
    <mergeCell ref="A2:B2"/>
    <mergeCell ref="L2:M2"/>
    <mergeCell ref="I4:I5"/>
    <mergeCell ref="K4:K5"/>
    <mergeCell ref="E4:H4"/>
    <mergeCell ref="S4:S5"/>
    <mergeCell ref="T4:T5"/>
    <mergeCell ref="J4:J5"/>
  </mergeCells>
  <conditionalFormatting sqref="R6:R40">
    <cfRule type="cellIs" dxfId="27" priority="571" operator="equal">
      <formula>"CREME HP"</formula>
    </cfRule>
    <cfRule type="cellIs" dxfId="26" priority="657" stopIfTrue="1" operator="equal">
      <formula>"O"</formula>
    </cfRule>
  </conditionalFormatting>
  <conditionalFormatting sqref="R28 R25 R10:R11 R7 R17 R33 R13:R15 E40:H40 R21 C6:D40">
    <cfRule type="cellIs" dxfId="25" priority="577" operator="equal">
      <formula>"SSEL"</formula>
    </cfRule>
    <cfRule type="cellIs" dxfId="24" priority="578" operator="equal">
      <formula>"DIAB"</formula>
    </cfRule>
  </conditionalFormatting>
  <conditionalFormatting sqref="C6:C40">
    <cfRule type="containsText" dxfId="23" priority="546" operator="containsText" text="AP">
      <formula>NOT(ISERROR(SEARCH("AP",C6)))</formula>
    </cfRule>
    <cfRule type="cellIs" dxfId="22" priority="583" operator="equal">
      <formula>"N"</formula>
    </cfRule>
  </conditionalFormatting>
  <conditionalFormatting sqref="R35 R20 C6:C40 C35:D35">
    <cfRule type="cellIs" dxfId="21" priority="540" operator="equal">
      <formula>"SSEL"</formula>
    </cfRule>
    <cfRule type="cellIs" dxfId="20" priority="541" operator="equal">
      <formula>"SSU"</formula>
    </cfRule>
    <cfRule type="cellIs" dxfId="19" priority="542" operator="equal">
      <formula>"SGR"</formula>
    </cfRule>
    <cfRule type="cellIs" dxfId="18" priority="543" operator="equal">
      <formula>"PSL"</formula>
    </cfRule>
    <cfRule type="cellIs" dxfId="17" priority="544" operator="equal">
      <formula>"N"</formula>
    </cfRule>
    <cfRule type="containsText" dxfId="16" priority="545" operator="containsText" text="HP">
      <formula>NOT(ISERROR(SEARCH("HP",C6)))</formula>
    </cfRule>
  </conditionalFormatting>
  <conditionalFormatting sqref="C6:C40">
    <cfRule type="containsText" dxfId="15" priority="539" operator="containsText" text="AP">
      <formula>NOT(ISERROR(SEARCH("AP",C6)))</formula>
    </cfRule>
  </conditionalFormatting>
  <conditionalFormatting sqref="J41:L41 M35">
    <cfRule type="containsText" dxfId="14" priority="475" operator="containsText" text="EG">
      <formula>NOT(ISERROR(SEARCH("EG",J35)))</formula>
    </cfRule>
  </conditionalFormatting>
  <conditionalFormatting sqref="M6:M40">
    <cfRule type="containsText" dxfId="13" priority="474" operator="containsText" text="EG">
      <formula>NOT(ISERROR(SEARCH("EG",M6)))</formula>
    </cfRule>
  </conditionalFormatting>
  <conditionalFormatting sqref="E6:H40">
    <cfRule type="cellIs" dxfId="12" priority="5" operator="equal">
      <formula>"M"</formula>
    </cfRule>
    <cfRule type="cellIs" dxfId="11" priority="12" operator="equal">
      <formula>"E"</formula>
    </cfRule>
  </conditionalFormatting>
  <conditionalFormatting sqref="E6:H39">
    <cfRule type="cellIs" dxfId="10" priority="3" operator="equal">
      <formula>"HC"</formula>
    </cfRule>
  </conditionalFormatting>
  <dataValidations count="4">
    <dataValidation type="list" allowBlank="1" showInputMessage="1" showErrorMessage="1" sqref="F36:F39 G6:G34 F6:F29 G36:G40 F31:F34">
      <formula1>Texture</formula1>
    </dataValidation>
    <dataValidation type="list" allowBlank="1" showInputMessage="1" showErrorMessage="1" sqref="C36:C40 C6:C34">
      <formula1>#REF!</formula1>
    </dataValidation>
    <dataValidation type="list" allowBlank="1" showInputMessage="1" showErrorMessage="1" sqref="W6:X40">
      <formula1>BDD!$T$28:$T$36</formula1>
    </dataValidation>
    <dataValidation type="list" allowBlank="1" showInputMessage="1" showErrorMessage="1" sqref="H6:H16">
      <formula1>DESSERT</formula1>
    </dataValidation>
  </dataValidations>
  <pageMargins left="0" right="0" top="0" bottom="0" header="0.51181102362204722" footer="0.51181102362204722"/>
  <pageSetup paperSize="9" scale="9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3">
    <tabColor theme="2" tint="-0.249977111117893"/>
  </sheetPr>
  <dimension ref="A1:W116"/>
  <sheetViews>
    <sheetView zoomScaleNormal="100" workbookViewId="0">
      <selection activeCell="B35" sqref="B35"/>
    </sheetView>
  </sheetViews>
  <sheetFormatPr baseColWidth="10" defaultRowHeight="12.75"/>
  <cols>
    <col min="1" max="1" width="3.7109375" style="3" customWidth="1"/>
    <col min="2" max="2" width="21.7109375" style="3" customWidth="1"/>
    <col min="3" max="4" width="5.7109375" style="3" customWidth="1"/>
    <col min="5" max="5" width="5.85546875" style="3" customWidth="1"/>
    <col min="6" max="7" width="5.7109375" style="3" customWidth="1"/>
    <col min="8" max="8" width="5.42578125" style="3" customWidth="1"/>
    <col min="9" max="11" width="6" customWidth="1"/>
    <col min="12" max="13" width="5.7109375" customWidth="1"/>
    <col min="14" max="14" width="7.7109375" style="3" hidden="1" customWidth="1"/>
    <col min="15" max="15" width="7.28515625" style="3" hidden="1" customWidth="1"/>
    <col min="16" max="16" width="7.7109375" style="3" hidden="1" customWidth="1"/>
    <col min="17" max="17" width="7.28515625" style="3" hidden="1" customWidth="1"/>
    <col min="18" max="18" width="15.85546875" style="3" customWidth="1"/>
    <col min="19" max="20" width="4.85546875" style="3" customWidth="1"/>
    <col min="21" max="21" width="4.85546875" style="3" hidden="1" customWidth="1"/>
    <col min="22" max="22" width="16.85546875" style="3" customWidth="1"/>
    <col min="23" max="23" width="13.7109375" style="3" customWidth="1"/>
  </cols>
  <sheetData>
    <row r="1" spans="1:23" ht="29.1" customHeight="1">
      <c r="A1" s="636" t="s">
        <v>350</v>
      </c>
      <c r="B1" s="636"/>
      <c r="C1" s="636"/>
      <c r="D1" s="636"/>
      <c r="E1" s="636"/>
      <c r="F1" s="636"/>
      <c r="G1" s="636"/>
      <c r="H1" s="636"/>
      <c r="I1" s="636"/>
      <c r="J1" s="636"/>
      <c r="K1" s="636"/>
      <c r="L1" s="636"/>
      <c r="M1" s="636"/>
      <c r="N1" s="636"/>
      <c r="O1" s="636"/>
      <c r="P1" s="636"/>
      <c r="Q1" s="636"/>
      <c r="R1" s="636"/>
      <c r="S1" s="636"/>
      <c r="T1" s="636"/>
      <c r="U1" s="636"/>
      <c r="V1" s="473"/>
      <c r="W1" s="473"/>
    </row>
    <row r="2" spans="1:23" s="6" customFormat="1" ht="20.100000000000001" customHeight="1" thickBot="1">
      <c r="A2" s="644" t="s">
        <v>84</v>
      </c>
      <c r="B2" s="644"/>
      <c r="C2" s="645">
        <f ca="1">TODAY()</f>
        <v>44064</v>
      </c>
      <c r="D2" s="645"/>
      <c r="E2" s="645"/>
      <c r="F2" s="645"/>
      <c r="G2" s="645"/>
      <c r="H2" s="645"/>
      <c r="I2" s="645"/>
      <c r="J2" s="428"/>
      <c r="K2" s="428"/>
      <c r="L2" s="646">
        <f ca="1">NOW()</f>
        <v>44064.421705208333</v>
      </c>
      <c r="M2" s="646"/>
      <c r="N2" s="350"/>
      <c r="O2" s="350"/>
      <c r="P2" s="350"/>
      <c r="Q2" s="350"/>
      <c r="R2" s="467" t="s">
        <v>356</v>
      </c>
      <c r="S2" s="469">
        <f>S53+'SERVICE1-List'!S53</f>
        <v>41</v>
      </c>
      <c r="T2" s="469">
        <f>T53+'SERVICE1-List'!T53</f>
        <v>35</v>
      </c>
      <c r="U2" s="350"/>
      <c r="V2" s="454"/>
      <c r="W2" s="454"/>
    </row>
    <row r="3" spans="1:23" s="1" customFormat="1" ht="25.5" customHeight="1">
      <c r="A3" s="641" t="s">
        <v>0</v>
      </c>
      <c r="B3" s="641" t="s">
        <v>317</v>
      </c>
      <c r="C3" s="821" t="s">
        <v>429</v>
      </c>
      <c r="D3" s="821"/>
      <c r="E3" s="821"/>
      <c r="F3" s="821"/>
      <c r="G3" s="821"/>
      <c r="H3" s="821"/>
      <c r="I3" s="821"/>
      <c r="J3" s="821"/>
      <c r="K3" s="821"/>
      <c r="L3" s="821"/>
      <c r="M3" s="821"/>
      <c r="N3" s="821"/>
      <c r="O3" s="821"/>
      <c r="P3" s="821"/>
      <c r="Q3" s="821"/>
      <c r="R3" s="809" t="s">
        <v>151</v>
      </c>
      <c r="S3" s="816" t="s">
        <v>101</v>
      </c>
      <c r="T3" s="816"/>
      <c r="U3" s="564"/>
      <c r="V3" s="826" t="s">
        <v>376</v>
      </c>
      <c r="W3" s="827"/>
    </row>
    <row r="4" spans="1:23" s="1" customFormat="1" ht="17.25" customHeight="1">
      <c r="A4" s="641"/>
      <c r="B4" s="641"/>
      <c r="C4" s="643" t="s">
        <v>313</v>
      </c>
      <c r="D4" s="643"/>
      <c r="E4" s="637" t="s">
        <v>102</v>
      </c>
      <c r="F4" s="638"/>
      <c r="G4" s="638"/>
      <c r="H4" s="639"/>
      <c r="I4" s="817" t="s">
        <v>348</v>
      </c>
      <c r="J4" s="817" t="s">
        <v>98</v>
      </c>
      <c r="K4" s="817" t="s">
        <v>93</v>
      </c>
      <c r="L4" s="817" t="s">
        <v>349</v>
      </c>
      <c r="M4" s="817" t="s">
        <v>96</v>
      </c>
      <c r="R4" s="809"/>
      <c r="S4" s="641" t="s">
        <v>99</v>
      </c>
      <c r="T4" s="641" t="s">
        <v>100</v>
      </c>
      <c r="U4" s="859" t="s">
        <v>106</v>
      </c>
      <c r="V4" s="828" t="s">
        <v>384</v>
      </c>
      <c r="W4" s="830" t="s">
        <v>378</v>
      </c>
    </row>
    <row r="5" spans="1:23" s="1" customFormat="1" ht="12.75" customHeight="1" thickBot="1">
      <c r="A5" s="858"/>
      <c r="B5" s="858"/>
      <c r="C5" s="642"/>
      <c r="D5" s="642"/>
      <c r="E5" s="352" t="s">
        <v>225</v>
      </c>
      <c r="F5" s="351" t="s">
        <v>314</v>
      </c>
      <c r="G5" s="362" t="s">
        <v>320</v>
      </c>
      <c r="H5" s="352" t="s">
        <v>328</v>
      </c>
      <c r="I5" s="819"/>
      <c r="J5" s="819"/>
      <c r="K5" s="819"/>
      <c r="L5" s="819"/>
      <c r="M5" s="819"/>
      <c r="R5" s="647"/>
      <c r="S5" s="858"/>
      <c r="T5" s="641"/>
      <c r="U5" s="860"/>
      <c r="V5" s="829"/>
      <c r="W5" s="829"/>
    </row>
    <row r="6" spans="1:23" s="6" customFormat="1" ht="18" customHeight="1">
      <c r="A6" s="391" t="s">
        <v>41</v>
      </c>
      <c r="B6" s="390" t="s">
        <v>432</v>
      </c>
      <c r="C6" s="336" t="s">
        <v>1</v>
      </c>
      <c r="D6" s="336"/>
      <c r="E6" s="432" t="s">
        <v>97</v>
      </c>
      <c r="F6" s="432" t="s">
        <v>97</v>
      </c>
      <c r="G6" s="432" t="s">
        <v>306</v>
      </c>
      <c r="H6" s="432" t="s">
        <v>97</v>
      </c>
      <c r="I6" s="441" t="s">
        <v>7</v>
      </c>
      <c r="J6" s="441">
        <v>2</v>
      </c>
      <c r="K6" s="432"/>
      <c r="L6" s="390"/>
      <c r="M6" s="443"/>
      <c r="R6" s="336"/>
      <c r="S6" s="339" t="s">
        <v>321</v>
      </c>
      <c r="T6" s="339" t="s">
        <v>321</v>
      </c>
      <c r="U6" s="188" t="s">
        <v>7</v>
      </c>
      <c r="V6" s="563"/>
      <c r="W6" s="563" t="s">
        <v>7</v>
      </c>
    </row>
    <row r="7" spans="1:23" s="6" customFormat="1" ht="18" customHeight="1">
      <c r="A7" s="391" t="s">
        <v>42</v>
      </c>
      <c r="B7" s="390" t="s">
        <v>432</v>
      </c>
      <c r="C7" s="336" t="s">
        <v>1</v>
      </c>
      <c r="D7" s="336"/>
      <c r="E7" s="432" t="s">
        <v>79</v>
      </c>
      <c r="F7" s="432" t="s">
        <v>79</v>
      </c>
      <c r="G7" s="432" t="s">
        <v>7</v>
      </c>
      <c r="H7" s="432" t="s">
        <v>79</v>
      </c>
      <c r="I7" s="339" t="s">
        <v>7</v>
      </c>
      <c r="J7" s="339" t="s">
        <v>7</v>
      </c>
      <c r="K7" s="439"/>
      <c r="L7" s="344" t="s">
        <v>87</v>
      </c>
      <c r="M7" s="451" t="s">
        <v>88</v>
      </c>
      <c r="R7" s="336"/>
      <c r="S7" s="339" t="s">
        <v>321</v>
      </c>
      <c r="T7" s="339" t="s">
        <v>321</v>
      </c>
      <c r="U7" s="14"/>
      <c r="V7" s="563"/>
      <c r="W7" s="563" t="s">
        <v>7</v>
      </c>
    </row>
    <row r="8" spans="1:23" s="6" customFormat="1" ht="18" customHeight="1">
      <c r="A8" s="391" t="s">
        <v>43</v>
      </c>
      <c r="B8" s="390" t="s">
        <v>432</v>
      </c>
      <c r="C8" s="336" t="s">
        <v>1</v>
      </c>
      <c r="D8" s="336"/>
      <c r="E8" s="432" t="s">
        <v>97</v>
      </c>
      <c r="F8" s="432" t="s">
        <v>97</v>
      </c>
      <c r="G8" s="432" t="s">
        <v>306</v>
      </c>
      <c r="H8" s="432" t="s">
        <v>97</v>
      </c>
      <c r="I8" s="339" t="s">
        <v>7</v>
      </c>
      <c r="J8" s="339" t="s">
        <v>7</v>
      </c>
      <c r="K8" s="439"/>
      <c r="L8" s="390"/>
      <c r="M8" s="439"/>
      <c r="R8" s="336"/>
      <c r="S8" s="339"/>
      <c r="T8" s="339"/>
      <c r="U8" s="14"/>
      <c r="V8" s="563"/>
      <c r="W8" s="563" t="s">
        <v>7</v>
      </c>
    </row>
    <row r="9" spans="1:23" s="6" customFormat="1" ht="18" customHeight="1">
      <c r="A9" s="391" t="s">
        <v>44</v>
      </c>
      <c r="B9" s="390" t="s">
        <v>432</v>
      </c>
      <c r="C9" s="336" t="s">
        <v>1</v>
      </c>
      <c r="D9" s="336"/>
      <c r="E9" s="432" t="s">
        <v>97</v>
      </c>
      <c r="F9" s="432" t="s">
        <v>97</v>
      </c>
      <c r="G9" s="432" t="s">
        <v>306</v>
      </c>
      <c r="H9" s="432" t="s">
        <v>97</v>
      </c>
      <c r="I9" s="339">
        <v>2</v>
      </c>
      <c r="J9" s="339" t="s">
        <v>7</v>
      </c>
      <c r="K9" s="443"/>
      <c r="L9" s="390"/>
      <c r="M9" s="451"/>
      <c r="R9" s="336"/>
      <c r="S9" s="343"/>
      <c r="T9" s="343"/>
      <c r="U9" s="14" t="s">
        <v>8</v>
      </c>
      <c r="V9" s="563"/>
      <c r="W9" s="563" t="s">
        <v>7</v>
      </c>
    </row>
    <row r="10" spans="1:23" s="6" customFormat="1" ht="18" customHeight="1">
      <c r="A10" s="392" t="s">
        <v>45</v>
      </c>
      <c r="B10" s="390" t="s">
        <v>432</v>
      </c>
      <c r="C10" s="336" t="s">
        <v>1</v>
      </c>
      <c r="D10" s="336"/>
      <c r="E10" s="432" t="s">
        <v>97</v>
      </c>
      <c r="F10" s="432" t="s">
        <v>85</v>
      </c>
      <c r="G10" s="432" t="s">
        <v>306</v>
      </c>
      <c r="H10" s="432" t="s">
        <v>97</v>
      </c>
      <c r="I10" s="441" t="s">
        <v>7</v>
      </c>
      <c r="J10" s="441">
        <v>2</v>
      </c>
      <c r="K10" s="443" t="s">
        <v>93</v>
      </c>
      <c r="L10" s="345" t="s">
        <v>107</v>
      </c>
      <c r="M10" s="432"/>
      <c r="R10" s="336"/>
      <c r="S10" s="339"/>
      <c r="T10" s="339"/>
      <c r="U10" s="14" t="s">
        <v>8</v>
      </c>
      <c r="V10" s="563" t="s">
        <v>377</v>
      </c>
      <c r="W10" s="563" t="s">
        <v>380</v>
      </c>
    </row>
    <row r="11" spans="1:23" s="6" customFormat="1" ht="18" customHeight="1">
      <c r="A11" s="391" t="s">
        <v>46</v>
      </c>
      <c r="B11" s="390" t="s">
        <v>432</v>
      </c>
      <c r="C11" s="336" t="s">
        <v>1</v>
      </c>
      <c r="D11" s="336"/>
      <c r="E11" s="432" t="s">
        <v>97</v>
      </c>
      <c r="F11" s="432" t="s">
        <v>97</v>
      </c>
      <c r="G11" s="432" t="s">
        <v>306</v>
      </c>
      <c r="H11" s="432" t="s">
        <v>97</v>
      </c>
      <c r="I11" s="339">
        <v>2</v>
      </c>
      <c r="J11" s="339" t="s">
        <v>7</v>
      </c>
      <c r="K11" s="432"/>
      <c r="L11" s="345"/>
      <c r="M11" s="432"/>
      <c r="R11" s="336"/>
      <c r="S11" s="339"/>
      <c r="T11" s="339"/>
      <c r="U11" s="265"/>
      <c r="V11" s="601"/>
      <c r="W11" s="601"/>
    </row>
    <row r="12" spans="1:23" s="6" customFormat="1" ht="18" customHeight="1">
      <c r="A12" s="391" t="s">
        <v>47</v>
      </c>
      <c r="B12" s="390" t="s">
        <v>432</v>
      </c>
      <c r="C12" s="336" t="s">
        <v>1</v>
      </c>
      <c r="D12" s="336"/>
      <c r="E12" s="432" t="s">
        <v>97</v>
      </c>
      <c r="F12" s="432" t="s">
        <v>97</v>
      </c>
      <c r="G12" s="432" t="s">
        <v>306</v>
      </c>
      <c r="H12" s="432" t="s">
        <v>97</v>
      </c>
      <c r="I12" s="339">
        <v>2</v>
      </c>
      <c r="J12" s="339" t="s">
        <v>7</v>
      </c>
      <c r="K12" s="432"/>
      <c r="L12" s="345" t="s">
        <v>243</v>
      </c>
      <c r="M12" s="432"/>
      <c r="R12" s="336"/>
      <c r="S12" s="343"/>
      <c r="T12" s="343"/>
      <c r="U12" s="15"/>
      <c r="V12" s="563"/>
      <c r="W12" s="563" t="s">
        <v>7</v>
      </c>
    </row>
    <row r="13" spans="1:23" s="6" customFormat="1" ht="18" customHeight="1">
      <c r="A13" s="392" t="s">
        <v>48</v>
      </c>
      <c r="B13" s="390" t="s">
        <v>432</v>
      </c>
      <c r="C13" s="336" t="s">
        <v>1</v>
      </c>
      <c r="D13" s="337"/>
      <c r="E13" s="432" t="s">
        <v>79</v>
      </c>
      <c r="F13" s="432" t="s">
        <v>79</v>
      </c>
      <c r="G13" s="433" t="s">
        <v>7</v>
      </c>
      <c r="H13" s="432" t="s">
        <v>79</v>
      </c>
      <c r="I13" s="339" t="s">
        <v>7</v>
      </c>
      <c r="J13" s="339" t="s">
        <v>7</v>
      </c>
      <c r="K13" s="452"/>
      <c r="L13" s="390"/>
      <c r="M13" s="451" t="s">
        <v>88</v>
      </c>
      <c r="R13" s="336" t="s">
        <v>363</v>
      </c>
      <c r="S13" s="339" t="s">
        <v>321</v>
      </c>
      <c r="T13" s="339" t="s">
        <v>321</v>
      </c>
      <c r="U13" s="12"/>
      <c r="V13" s="563"/>
      <c r="W13" s="563" t="s">
        <v>7</v>
      </c>
    </row>
    <row r="14" spans="1:23" s="6" customFormat="1" ht="18" customHeight="1">
      <c r="A14" s="391" t="s">
        <v>49</v>
      </c>
      <c r="B14" s="390" t="s">
        <v>432</v>
      </c>
      <c r="C14" s="336" t="s">
        <v>1</v>
      </c>
      <c r="D14" s="340"/>
      <c r="E14" s="432" t="s">
        <v>97</v>
      </c>
      <c r="F14" s="433" t="s">
        <v>97</v>
      </c>
      <c r="G14" s="432" t="s">
        <v>306</v>
      </c>
      <c r="H14" s="432" t="s">
        <v>97</v>
      </c>
      <c r="I14" s="441" t="s">
        <v>7</v>
      </c>
      <c r="J14" s="441">
        <v>1</v>
      </c>
      <c r="K14" s="439" t="s">
        <v>93</v>
      </c>
      <c r="L14" s="390"/>
      <c r="M14" s="440" t="s">
        <v>87</v>
      </c>
      <c r="R14" s="336"/>
      <c r="S14" s="339"/>
      <c r="T14" s="339"/>
      <c r="U14" s="12"/>
      <c r="V14" s="563"/>
      <c r="W14" s="563" t="s">
        <v>7</v>
      </c>
    </row>
    <row r="15" spans="1:23" s="6" customFormat="1" ht="18" customHeight="1">
      <c r="A15" s="392" t="s">
        <v>50</v>
      </c>
      <c r="B15" s="390" t="s">
        <v>432</v>
      </c>
      <c r="C15" s="336" t="s">
        <v>1</v>
      </c>
      <c r="D15" s="336"/>
      <c r="E15" s="443" t="s">
        <v>83</v>
      </c>
      <c r="F15" s="432" t="s">
        <v>79</v>
      </c>
      <c r="G15" s="433" t="s">
        <v>7</v>
      </c>
      <c r="H15" s="432" t="s">
        <v>79</v>
      </c>
      <c r="I15" s="339" t="s">
        <v>7</v>
      </c>
      <c r="J15" s="339" t="s">
        <v>7</v>
      </c>
      <c r="K15" s="439"/>
      <c r="L15" s="344" t="s">
        <v>108</v>
      </c>
      <c r="M15" s="439" t="s">
        <v>87</v>
      </c>
      <c r="R15" s="336"/>
      <c r="S15" s="339" t="s">
        <v>321</v>
      </c>
      <c r="T15" s="339" t="s">
        <v>321</v>
      </c>
      <c r="U15" s="14"/>
      <c r="V15" s="563" t="s">
        <v>377</v>
      </c>
      <c r="W15" s="563" t="s">
        <v>385</v>
      </c>
    </row>
    <row r="16" spans="1:23" s="6" customFormat="1" ht="18" customHeight="1">
      <c r="A16" s="392" t="s">
        <v>51</v>
      </c>
      <c r="B16" s="390" t="s">
        <v>432</v>
      </c>
      <c r="C16" s="336" t="s">
        <v>1</v>
      </c>
      <c r="D16" s="336"/>
      <c r="E16" s="432" t="s">
        <v>97</v>
      </c>
      <c r="F16" s="432" t="s">
        <v>97</v>
      </c>
      <c r="G16" s="432" t="s">
        <v>306</v>
      </c>
      <c r="H16" s="432" t="s">
        <v>97</v>
      </c>
      <c r="I16" s="339" t="s">
        <v>7</v>
      </c>
      <c r="J16" s="339">
        <v>2</v>
      </c>
      <c r="K16" s="439"/>
      <c r="L16" s="390"/>
      <c r="M16" s="451"/>
      <c r="R16" s="340"/>
      <c r="S16" s="339"/>
      <c r="T16" s="339"/>
      <c r="U16" s="15"/>
      <c r="V16" s="563"/>
      <c r="W16" s="563" t="s">
        <v>7</v>
      </c>
    </row>
    <row r="17" spans="1:23" s="6" customFormat="1" ht="18" customHeight="1">
      <c r="A17" s="392" t="s">
        <v>52</v>
      </c>
      <c r="B17" s="390" t="s">
        <v>432</v>
      </c>
      <c r="C17" s="337" t="s">
        <v>1</v>
      </c>
      <c r="D17" s="336"/>
      <c r="E17" s="432" t="s">
        <v>97</v>
      </c>
      <c r="F17" s="432" t="s">
        <v>97</v>
      </c>
      <c r="G17" s="432" t="s">
        <v>306</v>
      </c>
      <c r="H17" s="432" t="s">
        <v>97</v>
      </c>
      <c r="I17" s="339">
        <v>2</v>
      </c>
      <c r="J17" s="339" t="s">
        <v>7</v>
      </c>
      <c r="K17" s="442"/>
      <c r="L17" s="390"/>
      <c r="M17" s="433"/>
      <c r="R17" s="336"/>
      <c r="S17" s="343"/>
      <c r="T17" s="339" t="s">
        <v>321</v>
      </c>
      <c r="U17" s="14"/>
      <c r="V17" s="563"/>
      <c r="W17" s="563" t="s">
        <v>7</v>
      </c>
    </row>
    <row r="18" spans="1:23" s="6" customFormat="1" ht="18" customHeight="1">
      <c r="A18" s="392" t="s">
        <v>53</v>
      </c>
      <c r="B18" s="390" t="s">
        <v>432</v>
      </c>
      <c r="C18" s="337" t="s">
        <v>1</v>
      </c>
      <c r="D18" s="336"/>
      <c r="E18" s="432" t="s">
        <v>97</v>
      </c>
      <c r="F18" s="432" t="s">
        <v>97</v>
      </c>
      <c r="G18" s="432" t="s">
        <v>306</v>
      </c>
      <c r="H18" s="432" t="s">
        <v>97</v>
      </c>
      <c r="I18" s="339">
        <v>2</v>
      </c>
      <c r="J18" s="339" t="s">
        <v>7</v>
      </c>
      <c r="K18" s="439"/>
      <c r="L18" s="390"/>
      <c r="M18" s="439"/>
      <c r="R18" s="336"/>
      <c r="S18" s="339"/>
      <c r="T18" s="339"/>
      <c r="U18" s="14" t="s">
        <v>8</v>
      </c>
      <c r="V18" s="563"/>
      <c r="W18" s="563" t="s">
        <v>7</v>
      </c>
    </row>
    <row r="19" spans="1:23" s="6" customFormat="1" ht="18" customHeight="1">
      <c r="A19" s="392" t="s">
        <v>54</v>
      </c>
      <c r="B19" s="390" t="s">
        <v>432</v>
      </c>
      <c r="C19" s="337" t="s">
        <v>1</v>
      </c>
      <c r="D19" s="336"/>
      <c r="E19" s="432" t="s">
        <v>97</v>
      </c>
      <c r="F19" s="432" t="s">
        <v>85</v>
      </c>
      <c r="G19" s="432" t="s">
        <v>306</v>
      </c>
      <c r="H19" s="432" t="s">
        <v>97</v>
      </c>
      <c r="I19" s="441" t="s">
        <v>7</v>
      </c>
      <c r="J19" s="441">
        <v>2</v>
      </c>
      <c r="K19" s="433"/>
      <c r="L19" s="390"/>
      <c r="M19" s="433"/>
      <c r="R19" s="336"/>
      <c r="S19" s="339" t="s">
        <v>321</v>
      </c>
      <c r="T19" s="339" t="s">
        <v>321</v>
      </c>
      <c r="U19" s="15"/>
      <c r="V19" s="563"/>
      <c r="W19" s="563" t="s">
        <v>7</v>
      </c>
    </row>
    <row r="20" spans="1:23" s="6" customFormat="1" ht="18" customHeight="1">
      <c r="A20" s="392" t="s">
        <v>55</v>
      </c>
      <c r="B20" s="390" t="s">
        <v>432</v>
      </c>
      <c r="C20" s="337" t="s">
        <v>1</v>
      </c>
      <c r="D20" s="336"/>
      <c r="E20" s="432" t="s">
        <v>97</v>
      </c>
      <c r="F20" s="432" t="s">
        <v>97</v>
      </c>
      <c r="G20" s="432" t="s">
        <v>306</v>
      </c>
      <c r="H20" s="432" t="s">
        <v>97</v>
      </c>
      <c r="I20" s="339">
        <v>2</v>
      </c>
      <c r="J20" s="339" t="s">
        <v>7</v>
      </c>
      <c r="K20" s="433" t="s">
        <v>93</v>
      </c>
      <c r="L20" s="390"/>
      <c r="M20" s="433"/>
      <c r="R20" s="336"/>
      <c r="S20" s="339"/>
      <c r="T20" s="339"/>
      <c r="U20" s="15"/>
      <c r="V20" s="563"/>
      <c r="W20" s="563" t="s">
        <v>7</v>
      </c>
    </row>
    <row r="21" spans="1:23" s="6" customFormat="1" ht="18" customHeight="1">
      <c r="A21" s="392" t="s">
        <v>56</v>
      </c>
      <c r="B21" s="390" t="s">
        <v>432</v>
      </c>
      <c r="C21" s="337" t="s">
        <v>1</v>
      </c>
      <c r="D21" s="336"/>
      <c r="E21" s="432" t="s">
        <v>97</v>
      </c>
      <c r="F21" s="433" t="s">
        <v>97</v>
      </c>
      <c r="G21" s="432" t="s">
        <v>306</v>
      </c>
      <c r="H21" s="432" t="s">
        <v>97</v>
      </c>
      <c r="I21" s="339">
        <v>2</v>
      </c>
      <c r="J21" s="339" t="s">
        <v>7</v>
      </c>
      <c r="K21" s="439" t="s">
        <v>93</v>
      </c>
      <c r="L21" s="390"/>
      <c r="M21" s="439"/>
      <c r="R21" s="345"/>
      <c r="S21" s="339"/>
      <c r="T21" s="339"/>
      <c r="U21" s="14"/>
      <c r="V21" s="563"/>
      <c r="W21" s="563" t="s">
        <v>7</v>
      </c>
    </row>
    <row r="22" spans="1:23" s="6" customFormat="1" ht="18" customHeight="1">
      <c r="A22" s="392" t="s">
        <v>57</v>
      </c>
      <c r="B22" s="390" t="s">
        <v>432</v>
      </c>
      <c r="C22" s="337" t="s">
        <v>1</v>
      </c>
      <c r="D22" s="336"/>
      <c r="E22" s="432" t="s">
        <v>97</v>
      </c>
      <c r="F22" s="432" t="s">
        <v>97</v>
      </c>
      <c r="G22" s="432" t="s">
        <v>306</v>
      </c>
      <c r="H22" s="432" t="s">
        <v>97</v>
      </c>
      <c r="I22" s="339" t="s">
        <v>7</v>
      </c>
      <c r="J22" s="339" t="s">
        <v>7</v>
      </c>
      <c r="K22" s="439"/>
      <c r="L22" s="390"/>
      <c r="M22" s="451"/>
      <c r="R22" s="336"/>
      <c r="S22" s="339"/>
      <c r="T22" s="339"/>
      <c r="U22" s="14" t="s">
        <v>8</v>
      </c>
      <c r="V22" s="563" t="s">
        <v>377</v>
      </c>
      <c r="W22" s="563" t="s">
        <v>380</v>
      </c>
    </row>
    <row r="23" spans="1:23" s="6" customFormat="1" ht="18" customHeight="1">
      <c r="A23" s="392" t="s">
        <v>58</v>
      </c>
      <c r="B23" s="390" t="s">
        <v>432</v>
      </c>
      <c r="C23" s="337" t="s">
        <v>1</v>
      </c>
      <c r="D23" s="336"/>
      <c r="E23" s="432" t="s">
        <v>97</v>
      </c>
      <c r="F23" s="432" t="s">
        <v>97</v>
      </c>
      <c r="G23" s="432" t="s">
        <v>306</v>
      </c>
      <c r="H23" s="432" t="s">
        <v>97</v>
      </c>
      <c r="I23" s="339" t="s">
        <v>7</v>
      </c>
      <c r="J23" s="339">
        <v>2</v>
      </c>
      <c r="K23" s="443"/>
      <c r="L23" s="390"/>
      <c r="M23" s="472"/>
      <c r="R23" s="336"/>
      <c r="S23" s="339"/>
      <c r="T23" s="339"/>
      <c r="U23" s="14" t="s">
        <v>8</v>
      </c>
      <c r="V23" s="563"/>
      <c r="W23" s="563" t="s">
        <v>7</v>
      </c>
    </row>
    <row r="24" spans="1:23" s="6" customFormat="1" ht="18" customHeight="1">
      <c r="A24" s="392" t="s">
        <v>59</v>
      </c>
      <c r="B24" s="390" t="s">
        <v>432</v>
      </c>
      <c r="C24" s="337" t="s">
        <v>1</v>
      </c>
      <c r="D24" s="336"/>
      <c r="E24" s="432" t="s">
        <v>97</v>
      </c>
      <c r="F24" s="432" t="s">
        <v>97</v>
      </c>
      <c r="G24" s="432" t="s">
        <v>306</v>
      </c>
      <c r="H24" s="432" t="s">
        <v>97</v>
      </c>
      <c r="I24" s="339">
        <v>1</v>
      </c>
      <c r="J24" s="339" t="s">
        <v>7</v>
      </c>
      <c r="K24" s="439"/>
      <c r="L24" s="390"/>
      <c r="M24" s="439"/>
      <c r="R24" s="336"/>
      <c r="S24" s="339"/>
      <c r="T24" s="339"/>
      <c r="U24" s="14" t="s">
        <v>8</v>
      </c>
      <c r="V24" s="563"/>
      <c r="W24" s="563" t="s">
        <v>7</v>
      </c>
    </row>
    <row r="25" spans="1:23" s="6" customFormat="1" ht="18" customHeight="1">
      <c r="A25" s="392" t="s">
        <v>60</v>
      </c>
      <c r="B25" s="390" t="s">
        <v>432</v>
      </c>
      <c r="C25" s="337" t="s">
        <v>1</v>
      </c>
      <c r="D25" s="336"/>
      <c r="E25" s="432" t="s">
        <v>79</v>
      </c>
      <c r="F25" s="433" t="s">
        <v>79</v>
      </c>
      <c r="G25" s="433" t="s">
        <v>7</v>
      </c>
      <c r="H25" s="432" t="s">
        <v>79</v>
      </c>
      <c r="I25" s="339" t="s">
        <v>7</v>
      </c>
      <c r="J25" s="339" t="s">
        <v>7</v>
      </c>
      <c r="K25" s="433"/>
      <c r="L25" s="390"/>
      <c r="M25" s="451" t="s">
        <v>88</v>
      </c>
      <c r="R25" s="336"/>
      <c r="S25" s="339" t="s">
        <v>321</v>
      </c>
      <c r="T25" s="339" t="s">
        <v>321</v>
      </c>
      <c r="U25" s="15"/>
      <c r="V25" s="563"/>
      <c r="W25" s="563" t="s">
        <v>7</v>
      </c>
    </row>
    <row r="26" spans="1:23" ht="18" customHeight="1">
      <c r="A26" s="391" t="s">
        <v>61</v>
      </c>
      <c r="B26" s="390" t="s">
        <v>432</v>
      </c>
      <c r="C26" s="335" t="s">
        <v>1</v>
      </c>
      <c r="D26" s="336"/>
      <c r="E26" s="432" t="s">
        <v>97</v>
      </c>
      <c r="F26" s="432" t="s">
        <v>97</v>
      </c>
      <c r="G26" s="432" t="s">
        <v>306</v>
      </c>
      <c r="H26" s="432" t="s">
        <v>97</v>
      </c>
      <c r="I26" s="339">
        <v>2</v>
      </c>
      <c r="J26" s="339" t="s">
        <v>7</v>
      </c>
      <c r="K26" s="439"/>
      <c r="L26" s="453"/>
      <c r="M26" s="439"/>
      <c r="R26" s="336"/>
      <c r="S26" s="339"/>
      <c r="T26" s="339"/>
      <c r="U26" s="15"/>
      <c r="V26" s="563"/>
      <c r="W26" s="563" t="s">
        <v>7</v>
      </c>
    </row>
    <row r="27" spans="1:23" ht="18" customHeight="1">
      <c r="A27" s="391" t="s">
        <v>62</v>
      </c>
      <c r="B27" s="390" t="s">
        <v>432</v>
      </c>
      <c r="C27" s="335" t="s">
        <v>90</v>
      </c>
      <c r="D27" s="337"/>
      <c r="E27" s="623" t="s">
        <v>79</v>
      </c>
      <c r="F27" s="432" t="s">
        <v>85</v>
      </c>
      <c r="G27" s="433" t="s">
        <v>7</v>
      </c>
      <c r="H27" s="623" t="s">
        <v>79</v>
      </c>
      <c r="I27" s="339" t="s">
        <v>7</v>
      </c>
      <c r="J27" s="339" t="s">
        <v>7</v>
      </c>
      <c r="K27" s="433"/>
      <c r="L27" s="453"/>
      <c r="M27" s="451" t="s">
        <v>88</v>
      </c>
      <c r="R27" s="336"/>
      <c r="S27" s="339" t="s">
        <v>321</v>
      </c>
      <c r="T27" s="339" t="s">
        <v>321</v>
      </c>
      <c r="U27" s="15"/>
      <c r="V27" s="563"/>
      <c r="W27" s="563" t="s">
        <v>7</v>
      </c>
    </row>
    <row r="28" spans="1:23" ht="18" customHeight="1">
      <c r="A28" s="392" t="s">
        <v>63</v>
      </c>
      <c r="B28" s="390" t="s">
        <v>432</v>
      </c>
      <c r="C28" s="335" t="s">
        <v>1</v>
      </c>
      <c r="D28" s="337"/>
      <c r="E28" s="623" t="s">
        <v>79</v>
      </c>
      <c r="F28" s="432" t="s">
        <v>85</v>
      </c>
      <c r="G28" s="433"/>
      <c r="H28" s="432" t="s">
        <v>79</v>
      </c>
      <c r="I28" s="441" t="s">
        <v>7</v>
      </c>
      <c r="J28" s="441" t="s">
        <v>7</v>
      </c>
      <c r="K28" s="433"/>
      <c r="L28" s="453"/>
      <c r="M28" s="451" t="s">
        <v>88</v>
      </c>
      <c r="R28" s="336"/>
      <c r="S28" s="339" t="s">
        <v>321</v>
      </c>
      <c r="T28" s="339" t="s">
        <v>321</v>
      </c>
      <c r="U28" s="14" t="s">
        <v>8</v>
      </c>
      <c r="V28" s="563"/>
      <c r="W28" s="563" t="s">
        <v>7</v>
      </c>
    </row>
    <row r="29" spans="1:23" ht="18" customHeight="1">
      <c r="A29" s="391" t="s">
        <v>64</v>
      </c>
      <c r="B29" s="390" t="s">
        <v>432</v>
      </c>
      <c r="C29" s="336" t="s">
        <v>1</v>
      </c>
      <c r="D29" s="336"/>
      <c r="E29" s="443" t="s">
        <v>79</v>
      </c>
      <c r="F29" s="432" t="s">
        <v>85</v>
      </c>
      <c r="G29" s="432" t="s">
        <v>306</v>
      </c>
      <c r="H29" s="443" t="s">
        <v>79</v>
      </c>
      <c r="I29" s="441" t="s">
        <v>7</v>
      </c>
      <c r="J29" s="441">
        <v>1</v>
      </c>
      <c r="K29" s="433"/>
      <c r="L29" s="453"/>
      <c r="M29" s="433"/>
      <c r="R29" s="336"/>
      <c r="S29" s="339" t="s">
        <v>321</v>
      </c>
      <c r="T29" s="339" t="s">
        <v>321</v>
      </c>
      <c r="U29" s="14" t="s">
        <v>8</v>
      </c>
      <c r="V29" s="563" t="s">
        <v>377</v>
      </c>
      <c r="W29" s="563" t="s">
        <v>382</v>
      </c>
    </row>
    <row r="30" spans="1:23" ht="18" customHeight="1">
      <c r="A30" s="392" t="s">
        <v>65</v>
      </c>
      <c r="B30" s="390" t="s">
        <v>432</v>
      </c>
      <c r="C30" s="335" t="s">
        <v>1</v>
      </c>
      <c r="D30" s="336"/>
      <c r="E30" s="443" t="s">
        <v>79</v>
      </c>
      <c r="F30" s="433" t="s">
        <v>79</v>
      </c>
      <c r="G30" s="433" t="s">
        <v>7</v>
      </c>
      <c r="H30" s="443" t="s">
        <v>79</v>
      </c>
      <c r="I30" s="339" t="s">
        <v>7</v>
      </c>
      <c r="J30" s="339" t="s">
        <v>7</v>
      </c>
      <c r="K30" s="440"/>
      <c r="L30" s="453"/>
      <c r="M30" s="451" t="s">
        <v>88</v>
      </c>
      <c r="R30" s="336"/>
      <c r="S30" s="339" t="s">
        <v>321</v>
      </c>
      <c r="T30" s="339" t="s">
        <v>321</v>
      </c>
      <c r="U30" s="15"/>
      <c r="V30" s="563"/>
      <c r="W30" s="563" t="s">
        <v>7</v>
      </c>
    </row>
    <row r="31" spans="1:23" ht="18" customHeight="1">
      <c r="A31" s="391" t="s">
        <v>66</v>
      </c>
      <c r="B31" s="390" t="s">
        <v>432</v>
      </c>
      <c r="C31" s="335" t="s">
        <v>1</v>
      </c>
      <c r="D31" s="336"/>
      <c r="E31" s="432" t="s">
        <v>97</v>
      </c>
      <c r="F31" s="432" t="s">
        <v>85</v>
      </c>
      <c r="G31" s="432" t="s">
        <v>306</v>
      </c>
      <c r="H31" s="432" t="s">
        <v>97</v>
      </c>
      <c r="I31" s="441" t="s">
        <v>7</v>
      </c>
      <c r="J31" s="441">
        <v>2</v>
      </c>
      <c r="K31" s="439" t="s">
        <v>93</v>
      </c>
      <c r="L31" s="453"/>
      <c r="M31" s="433"/>
      <c r="R31" s="336"/>
      <c r="S31" s="343"/>
      <c r="T31" s="343"/>
      <c r="U31" s="14" t="s">
        <v>8</v>
      </c>
      <c r="V31" s="563" t="s">
        <v>377</v>
      </c>
      <c r="W31" s="563" t="s">
        <v>380</v>
      </c>
    </row>
    <row r="32" spans="1:23" ht="18" customHeight="1">
      <c r="A32" s="393" t="s">
        <v>67</v>
      </c>
      <c r="B32" s="390" t="s">
        <v>432</v>
      </c>
      <c r="C32" s="335" t="s">
        <v>1</v>
      </c>
      <c r="D32" s="336"/>
      <c r="E32" s="432" t="s">
        <v>79</v>
      </c>
      <c r="F32" s="433" t="s">
        <v>79</v>
      </c>
      <c r="G32" s="433" t="s">
        <v>7</v>
      </c>
      <c r="H32" s="432" t="s">
        <v>79</v>
      </c>
      <c r="I32" s="339" t="s">
        <v>7</v>
      </c>
      <c r="J32" s="339" t="s">
        <v>7</v>
      </c>
      <c r="K32" s="439"/>
      <c r="L32" s="453"/>
      <c r="M32" s="451" t="s">
        <v>88</v>
      </c>
      <c r="R32" s="336"/>
      <c r="S32" s="339" t="s">
        <v>321</v>
      </c>
      <c r="T32" s="339" t="s">
        <v>321</v>
      </c>
      <c r="U32" s="14"/>
      <c r="V32" s="563"/>
      <c r="W32" s="563" t="s">
        <v>7</v>
      </c>
    </row>
    <row r="33" spans="1:23" ht="18" customHeight="1">
      <c r="A33" s="391" t="s">
        <v>68</v>
      </c>
      <c r="B33" s="390" t="s">
        <v>432</v>
      </c>
      <c r="C33" s="335" t="s">
        <v>1</v>
      </c>
      <c r="D33" s="336"/>
      <c r="E33" s="432" t="s">
        <v>97</v>
      </c>
      <c r="F33" s="433" t="s">
        <v>97</v>
      </c>
      <c r="G33" s="432" t="s">
        <v>306</v>
      </c>
      <c r="H33" s="432" t="s">
        <v>97</v>
      </c>
      <c r="I33" s="339">
        <v>2</v>
      </c>
      <c r="J33" s="339" t="s">
        <v>7</v>
      </c>
      <c r="K33" s="439" t="s">
        <v>93</v>
      </c>
      <c r="L33" s="453"/>
      <c r="M33" s="439"/>
      <c r="R33" s="336"/>
      <c r="S33" s="339"/>
      <c r="T33" s="339"/>
      <c r="U33" s="14"/>
      <c r="V33" s="563" t="s">
        <v>377</v>
      </c>
      <c r="W33" s="563" t="s">
        <v>380</v>
      </c>
    </row>
    <row r="34" spans="1:23" ht="21.75" customHeight="1">
      <c r="A34" s="391" t="s">
        <v>69</v>
      </c>
      <c r="B34" s="390" t="s">
        <v>432</v>
      </c>
      <c r="C34" s="335" t="s">
        <v>1</v>
      </c>
      <c r="D34" s="348" t="s">
        <v>104</v>
      </c>
      <c r="E34" s="432" t="s">
        <v>79</v>
      </c>
      <c r="F34" s="433" t="s">
        <v>79</v>
      </c>
      <c r="G34" s="432" t="s">
        <v>7</v>
      </c>
      <c r="H34" s="432" t="s">
        <v>79</v>
      </c>
      <c r="I34" s="441" t="s">
        <v>7</v>
      </c>
      <c r="J34" s="441" t="s">
        <v>7</v>
      </c>
      <c r="K34" s="443"/>
      <c r="L34" s="453"/>
      <c r="M34" s="624" t="s">
        <v>109</v>
      </c>
      <c r="R34" s="336" t="s">
        <v>424</v>
      </c>
      <c r="S34" s="339"/>
      <c r="T34" s="339"/>
      <c r="U34" s="14"/>
      <c r="V34" s="563"/>
      <c r="W34" s="563" t="s">
        <v>7</v>
      </c>
    </row>
    <row r="35" spans="1:23" ht="18" customHeight="1">
      <c r="A35" s="391" t="s">
        <v>70</v>
      </c>
      <c r="B35" s="390" t="s">
        <v>432</v>
      </c>
      <c r="C35" s="335" t="s">
        <v>1</v>
      </c>
      <c r="D35" s="336"/>
      <c r="E35" s="432" t="s">
        <v>97</v>
      </c>
      <c r="F35" s="432" t="s">
        <v>97</v>
      </c>
      <c r="G35" s="432" t="s">
        <v>306</v>
      </c>
      <c r="H35" s="432" t="s">
        <v>97</v>
      </c>
      <c r="I35" s="471" t="s">
        <v>361</v>
      </c>
      <c r="J35" s="339"/>
      <c r="K35" s="439" t="s">
        <v>93</v>
      </c>
      <c r="L35" s="453"/>
      <c r="M35" s="440"/>
      <c r="R35" s="340"/>
      <c r="S35" s="342"/>
      <c r="T35" s="342"/>
      <c r="U35" s="14" t="s">
        <v>8</v>
      </c>
      <c r="V35" s="563" t="s">
        <v>377</v>
      </c>
      <c r="W35" s="563" t="s">
        <v>380</v>
      </c>
    </row>
    <row r="36" spans="1:23" ht="18" customHeight="1">
      <c r="A36" s="391" t="s">
        <v>71</v>
      </c>
      <c r="B36" s="390" t="s">
        <v>432</v>
      </c>
      <c r="C36" s="335" t="s">
        <v>1</v>
      </c>
      <c r="D36" s="336"/>
      <c r="E36" s="432" t="s">
        <v>97</v>
      </c>
      <c r="F36" s="432" t="s">
        <v>97</v>
      </c>
      <c r="G36" s="432" t="s">
        <v>306</v>
      </c>
      <c r="H36" s="432" t="s">
        <v>97</v>
      </c>
      <c r="I36" s="339">
        <v>2</v>
      </c>
      <c r="J36" s="339" t="s">
        <v>7</v>
      </c>
      <c r="K36" s="439"/>
      <c r="L36" s="453"/>
      <c r="M36" s="439"/>
      <c r="R36" s="336"/>
      <c r="S36" s="339" t="s">
        <v>321</v>
      </c>
      <c r="T36" s="339" t="s">
        <v>321</v>
      </c>
      <c r="U36" s="14" t="s">
        <v>8</v>
      </c>
      <c r="V36" s="341"/>
      <c r="W36" s="341" t="s">
        <v>7</v>
      </c>
    </row>
    <row r="37" spans="1:23" ht="18" customHeight="1">
      <c r="A37" s="392" t="s">
        <v>72</v>
      </c>
      <c r="B37" s="390" t="s">
        <v>432</v>
      </c>
      <c r="C37" s="335"/>
      <c r="D37" s="336"/>
      <c r="E37" s="432"/>
      <c r="F37" s="432"/>
      <c r="G37" s="433"/>
      <c r="H37" s="432"/>
      <c r="I37" s="339"/>
      <c r="J37" s="339"/>
      <c r="K37" s="439"/>
      <c r="L37" s="453"/>
      <c r="M37" s="451"/>
      <c r="R37" s="336"/>
      <c r="S37" s="339" t="s">
        <v>7</v>
      </c>
      <c r="T37" s="339" t="s">
        <v>7</v>
      </c>
      <c r="U37" s="15"/>
      <c r="V37" s="341"/>
      <c r="W37" s="341" t="s">
        <v>7</v>
      </c>
    </row>
    <row r="38" spans="1:23" ht="18" customHeight="1">
      <c r="A38" s="391" t="s">
        <v>73</v>
      </c>
      <c r="B38" s="390" t="s">
        <v>432</v>
      </c>
      <c r="C38" s="340" t="s">
        <v>1</v>
      </c>
      <c r="D38" s="336"/>
      <c r="E38" s="432" t="s">
        <v>79</v>
      </c>
      <c r="F38" s="432" t="s">
        <v>79</v>
      </c>
      <c r="G38" s="433" t="s">
        <v>7</v>
      </c>
      <c r="H38" s="432" t="s">
        <v>79</v>
      </c>
      <c r="I38" s="339" t="s">
        <v>7</v>
      </c>
      <c r="J38" s="339" t="s">
        <v>7</v>
      </c>
      <c r="K38" s="439"/>
      <c r="L38" s="453"/>
      <c r="M38" s="451" t="s">
        <v>88</v>
      </c>
      <c r="R38" s="336"/>
      <c r="S38" s="339" t="s">
        <v>321</v>
      </c>
      <c r="T38" s="339" t="s">
        <v>321</v>
      </c>
      <c r="U38" s="15"/>
      <c r="V38" s="341"/>
      <c r="W38" s="341" t="s">
        <v>7</v>
      </c>
    </row>
    <row r="39" spans="1:23" ht="18" customHeight="1">
      <c r="A39" s="391" t="s">
        <v>74</v>
      </c>
      <c r="B39" s="390" t="s">
        <v>432</v>
      </c>
      <c r="C39" s="340" t="s">
        <v>1</v>
      </c>
      <c r="D39" s="336"/>
      <c r="E39" s="432" t="s">
        <v>79</v>
      </c>
      <c r="F39" s="432" t="s">
        <v>79</v>
      </c>
      <c r="G39" s="433" t="s">
        <v>7</v>
      </c>
      <c r="H39" s="432" t="s">
        <v>79</v>
      </c>
      <c r="I39" s="441" t="s">
        <v>7</v>
      </c>
      <c r="J39" s="441" t="s">
        <v>7</v>
      </c>
      <c r="K39" s="439"/>
      <c r="L39" s="453"/>
      <c r="M39" s="439"/>
      <c r="R39" s="336"/>
      <c r="S39" s="339"/>
      <c r="T39" s="339" t="s">
        <v>321</v>
      </c>
      <c r="U39" s="14" t="s">
        <v>8</v>
      </c>
      <c r="V39" s="341"/>
      <c r="W39" s="341" t="s">
        <v>7</v>
      </c>
    </row>
    <row r="40" spans="1:23" ht="18" customHeight="1">
      <c r="A40" s="391" t="s">
        <v>75</v>
      </c>
      <c r="B40" s="390" t="s">
        <v>432</v>
      </c>
      <c r="C40" s="340" t="s">
        <v>1</v>
      </c>
      <c r="D40" s="337"/>
      <c r="E40" s="432" t="s">
        <v>97</v>
      </c>
      <c r="F40" s="432" t="s">
        <v>85</v>
      </c>
      <c r="G40" s="432" t="s">
        <v>306</v>
      </c>
      <c r="H40" s="432" t="s">
        <v>97</v>
      </c>
      <c r="I40" s="339">
        <v>2</v>
      </c>
      <c r="J40" s="339" t="s">
        <v>7</v>
      </c>
      <c r="K40" s="439"/>
      <c r="L40" s="453"/>
      <c r="M40" s="439"/>
      <c r="R40" s="337"/>
      <c r="S40" s="339" t="s">
        <v>321</v>
      </c>
      <c r="T40" s="339" t="s">
        <v>321</v>
      </c>
      <c r="U40" s="14" t="s">
        <v>8</v>
      </c>
      <c r="V40" s="563" t="s">
        <v>377</v>
      </c>
      <c r="W40" s="563" t="s">
        <v>380</v>
      </c>
    </row>
    <row r="41" spans="1:23" ht="18" customHeight="1">
      <c r="A41" s="392" t="s">
        <v>76</v>
      </c>
      <c r="B41" s="390" t="s">
        <v>432</v>
      </c>
      <c r="C41" s="337" t="s">
        <v>1</v>
      </c>
      <c r="D41" s="336"/>
      <c r="E41" s="432" t="s">
        <v>97</v>
      </c>
      <c r="F41" s="433" t="s">
        <v>97</v>
      </c>
      <c r="G41" s="432" t="s">
        <v>306</v>
      </c>
      <c r="H41" s="432" t="s">
        <v>97</v>
      </c>
      <c r="I41" s="339">
        <v>2</v>
      </c>
      <c r="J41" s="339" t="s">
        <v>7</v>
      </c>
      <c r="K41" s="439"/>
      <c r="L41" s="453"/>
      <c r="M41" s="451"/>
      <c r="R41" s="336"/>
      <c r="S41" s="339"/>
      <c r="T41" s="339" t="s">
        <v>321</v>
      </c>
      <c r="U41" s="14" t="s">
        <v>8</v>
      </c>
      <c r="V41" s="341"/>
      <c r="W41" s="341" t="s">
        <v>7</v>
      </c>
    </row>
    <row r="42" spans="1:23" ht="18" customHeight="1">
      <c r="A42" s="391" t="s">
        <v>77</v>
      </c>
      <c r="B42" s="390" t="s">
        <v>432</v>
      </c>
      <c r="C42" s="337" t="s">
        <v>1</v>
      </c>
      <c r="D42" s="337"/>
      <c r="E42" s="432" t="s">
        <v>79</v>
      </c>
      <c r="F42" s="432" t="s">
        <v>79</v>
      </c>
      <c r="G42" s="433" t="s">
        <v>7</v>
      </c>
      <c r="H42" s="432" t="s">
        <v>79</v>
      </c>
      <c r="I42" s="339" t="s">
        <v>7</v>
      </c>
      <c r="J42" s="339" t="s">
        <v>7</v>
      </c>
      <c r="K42" s="439"/>
      <c r="L42" s="344" t="s">
        <v>87</v>
      </c>
      <c r="M42" s="451" t="s">
        <v>88</v>
      </c>
      <c r="R42" s="336"/>
      <c r="S42" s="339" t="s">
        <v>321</v>
      </c>
      <c r="T42" s="339" t="s">
        <v>321</v>
      </c>
      <c r="U42" s="14" t="s">
        <v>8</v>
      </c>
      <c r="V42" s="341"/>
      <c r="W42" s="341" t="s">
        <v>7</v>
      </c>
    </row>
    <row r="43" spans="1:23" ht="18" customHeight="1" thickBot="1">
      <c r="A43" s="391" t="s">
        <v>78</v>
      </c>
      <c r="B43" s="390" t="s">
        <v>432</v>
      </c>
      <c r="C43" s="337" t="s">
        <v>1</v>
      </c>
      <c r="D43" s="348" t="s">
        <v>104</v>
      </c>
      <c r="E43" s="432" t="s">
        <v>97</v>
      </c>
      <c r="F43" s="432" t="s">
        <v>97</v>
      </c>
      <c r="G43" s="432" t="s">
        <v>306</v>
      </c>
      <c r="H43" s="432" t="s">
        <v>97</v>
      </c>
      <c r="I43" s="339">
        <v>2</v>
      </c>
      <c r="J43" s="339"/>
      <c r="K43" s="443"/>
      <c r="L43" s="453"/>
      <c r="M43" s="443"/>
      <c r="R43" s="336"/>
      <c r="S43" s="343"/>
      <c r="T43" s="343"/>
      <c r="U43" s="132" t="s">
        <v>8</v>
      </c>
      <c r="V43" s="341"/>
      <c r="W43" s="341" t="s">
        <v>7</v>
      </c>
    </row>
    <row r="44" spans="1:23" s="1" customFormat="1" ht="17.100000000000001" customHeight="1">
      <c r="A44" s="7"/>
      <c r="B44" s="7"/>
      <c r="C44" s="7"/>
      <c r="D44" s="7"/>
      <c r="E44" s="7"/>
      <c r="F44" s="7"/>
      <c r="G44" s="7"/>
      <c r="H44" s="7"/>
      <c r="I44" s="7"/>
      <c r="J44" s="437"/>
      <c r="K44" s="7"/>
      <c r="L44" s="797" t="s">
        <v>88</v>
      </c>
      <c r="M44" s="798">
        <f>COUNTIF(M$6:M$43,"EG")</f>
        <v>9</v>
      </c>
      <c r="N44" s="7"/>
      <c r="O44" s="7"/>
      <c r="P44" s="7"/>
      <c r="Q44" s="26"/>
      <c r="R44" s="7"/>
      <c r="S44" s="7"/>
      <c r="T44" s="7"/>
      <c r="U44" s="251" t="s">
        <v>279</v>
      </c>
      <c r="V44" s="455"/>
      <c r="W44" s="455"/>
    </row>
    <row r="45" spans="1:23" s="1" customFormat="1" ht="17.100000000000001" customHeight="1" thickBot="1">
      <c r="A45" s="7"/>
      <c r="B45" s="7"/>
      <c r="C45" s="7"/>
      <c r="D45" s="7"/>
      <c r="E45" s="7"/>
      <c r="F45" s="7"/>
      <c r="G45" s="431"/>
      <c r="H45" s="7"/>
      <c r="I45" s="7"/>
      <c r="J45" s="437"/>
      <c r="K45" s="7"/>
      <c r="L45" s="797"/>
      <c r="M45" s="798"/>
      <c r="N45" s="7"/>
      <c r="O45" s="7"/>
      <c r="P45" s="7"/>
      <c r="Q45" s="825"/>
      <c r="R45" s="7"/>
      <c r="S45" s="7"/>
      <c r="T45" s="7"/>
      <c r="U45" s="252" t="s">
        <v>280</v>
      </c>
      <c r="V45" s="455"/>
      <c r="W45" s="455"/>
    </row>
    <row r="46" spans="1:23" ht="17.100000000000001" customHeight="1">
      <c r="A46" s="5"/>
      <c r="B46" s="5"/>
      <c r="C46" s="5"/>
      <c r="D46" s="5"/>
      <c r="E46" s="5"/>
      <c r="F46" s="5"/>
      <c r="G46" s="427"/>
      <c r="H46" s="5"/>
      <c r="I46" s="4"/>
      <c r="J46" s="4"/>
      <c r="K46" s="4"/>
      <c r="L46" s="4"/>
      <c r="M46" s="4"/>
      <c r="N46" s="5"/>
      <c r="O46" s="5"/>
      <c r="P46" s="5"/>
      <c r="Q46" s="825"/>
      <c r="R46" s="5"/>
      <c r="S46" s="5"/>
      <c r="T46" s="5"/>
      <c r="U46" s="5"/>
      <c r="V46" s="16"/>
      <c r="W46" s="16"/>
    </row>
    <row r="47" spans="1:23" ht="11.25" customHeight="1">
      <c r="A47" s="5"/>
      <c r="B47" s="5"/>
      <c r="C47" s="5"/>
      <c r="D47" s="5"/>
      <c r="E47" s="5"/>
      <c r="F47" s="5"/>
      <c r="G47" s="427"/>
      <c r="H47" s="5"/>
      <c r="I47" s="4"/>
      <c r="J47" s="26"/>
      <c r="K47" s="577"/>
      <c r="L47" s="26"/>
      <c r="M47" s="34"/>
      <c r="N47" s="34"/>
      <c r="O47" s="9"/>
      <c r="P47" s="9"/>
      <c r="Q47" s="9"/>
      <c r="R47" s="9"/>
      <c r="S47" s="9"/>
      <c r="T47" s="5"/>
      <c r="U47" s="5"/>
      <c r="V47" s="16"/>
      <c r="W47" s="16"/>
    </row>
    <row r="48" spans="1:23" ht="17.100000000000001" customHeight="1">
      <c r="A48" s="5"/>
      <c r="B48" s="5"/>
      <c r="C48" s="5"/>
      <c r="D48" s="5"/>
      <c r="E48" s="5"/>
      <c r="F48" s="5"/>
      <c r="G48" s="427"/>
      <c r="H48" s="5"/>
      <c r="I48" s="4"/>
      <c r="J48" s="34"/>
      <c r="K48" s="575"/>
      <c r="L48" s="575"/>
      <c r="M48" s="575"/>
      <c r="N48" s="576"/>
      <c r="O48" s="576"/>
      <c r="P48" s="576"/>
      <c r="Q48" s="575"/>
      <c r="R48" s="575"/>
      <c r="S48" s="9"/>
      <c r="T48" s="5"/>
      <c r="U48" s="5"/>
      <c r="V48" s="16"/>
      <c r="W48" s="16"/>
    </row>
    <row r="49" spans="1:23" ht="17.100000000000001" customHeight="1">
      <c r="A49" s="8" t="s">
        <v>351</v>
      </c>
      <c r="B49" s="5"/>
      <c r="C49" s="5"/>
      <c r="D49" s="5"/>
      <c r="E49" s="5"/>
      <c r="F49" s="5"/>
      <c r="G49" s="5"/>
      <c r="H49" s="5"/>
      <c r="I49" s="429"/>
      <c r="J49" s="34"/>
      <c r="K49" s="575"/>
      <c r="L49" s="575"/>
      <c r="M49" s="575"/>
      <c r="N49" s="576"/>
      <c r="O49" s="576"/>
      <c r="P49" s="576"/>
      <c r="Q49" s="575"/>
      <c r="R49" s="575"/>
      <c r="S49" s="9"/>
      <c r="T49" s="5"/>
      <c r="U49" s="5"/>
      <c r="V49" s="16"/>
      <c r="W49" s="16"/>
    </row>
    <row r="50" spans="1:23" ht="17.100000000000001" customHeight="1">
      <c r="A50" s="2" t="s">
        <v>352</v>
      </c>
      <c r="B50" s="5"/>
      <c r="C50" s="4"/>
      <c r="D50" s="4"/>
      <c r="E50" s="4"/>
      <c r="F50" s="4"/>
      <c r="G50" s="4"/>
      <c r="H50" s="4"/>
      <c r="I50" s="429"/>
      <c r="J50" s="578"/>
      <c r="K50" s="575"/>
      <c r="L50" s="579"/>
      <c r="M50" s="580"/>
      <c r="N50" s="575"/>
      <c r="O50" s="575"/>
      <c r="P50" s="575"/>
      <c r="Q50" s="575"/>
      <c r="R50" s="575"/>
      <c r="S50" s="9"/>
      <c r="T50" s="5"/>
      <c r="U50" s="5"/>
      <c r="V50" s="16"/>
      <c r="W50" s="16"/>
    </row>
    <row r="51" spans="1:23" ht="17.100000000000001" customHeight="1">
      <c r="A51" s="470" t="s">
        <v>360</v>
      </c>
      <c r="C51" s="5"/>
      <c r="D51" s="5"/>
      <c r="E51" s="5"/>
      <c r="F51" s="5"/>
      <c r="G51" s="5"/>
      <c r="H51" s="5"/>
      <c r="I51" s="4"/>
      <c r="J51" s="4"/>
      <c r="K51" s="4"/>
      <c r="L51" s="4"/>
      <c r="M51" s="4"/>
      <c r="N51" s="802"/>
      <c r="O51" s="802"/>
      <c r="P51" s="802"/>
      <c r="Q51" s="5"/>
      <c r="R51" s="5"/>
      <c r="S51" s="5"/>
      <c r="T51" s="5"/>
      <c r="U51" s="5"/>
      <c r="V51" s="16"/>
      <c r="W51" s="16"/>
    </row>
    <row r="52" spans="1:23" ht="17.100000000000001" customHeight="1">
      <c r="A52" s="5"/>
      <c r="B52" s="5"/>
      <c r="C52" s="5"/>
      <c r="D52" s="5"/>
      <c r="E52" s="5"/>
      <c r="F52" s="5"/>
      <c r="G52" s="5"/>
      <c r="H52" s="5"/>
      <c r="I52" s="4"/>
      <c r="J52" s="4"/>
      <c r="K52" s="4"/>
      <c r="L52" s="4"/>
      <c r="M52" s="4"/>
      <c r="N52" s="5"/>
      <c r="O52" s="5"/>
      <c r="P52" s="5"/>
      <c r="Q52" s="7"/>
      <c r="R52" s="461" t="s">
        <v>358</v>
      </c>
      <c r="S52" s="464">
        <f>COUNTIF(S$6:S$43,"Oui")</f>
        <v>15</v>
      </c>
      <c r="T52" s="464">
        <f>COUNTIF(T$6:T$43,"Oui")</f>
        <v>18</v>
      </c>
      <c r="U52" s="7"/>
      <c r="V52" s="18"/>
      <c r="W52" s="18"/>
    </row>
    <row r="53" spans="1:23">
      <c r="A53" s="5"/>
      <c r="B53" s="5"/>
      <c r="C53" s="5"/>
      <c r="D53" s="5"/>
      <c r="E53" s="5"/>
      <c r="F53" s="5"/>
      <c r="G53" s="5"/>
      <c r="H53" s="5"/>
      <c r="I53" s="801"/>
      <c r="J53" s="801"/>
      <c r="K53" s="801"/>
      <c r="L53" s="801"/>
      <c r="M53" s="801"/>
      <c r="N53" s="802"/>
      <c r="O53" s="802"/>
      <c r="P53" s="802"/>
      <c r="Q53" s="7"/>
      <c r="R53" s="461" t="s">
        <v>357</v>
      </c>
      <c r="S53" s="465">
        <f>COUNTIF(S$6:S$43,"")</f>
        <v>22</v>
      </c>
      <c r="T53" s="465">
        <f>COUNTIF(T$6:T$43,"")</f>
        <v>19</v>
      </c>
      <c r="U53" s="7"/>
      <c r="V53" s="18"/>
      <c r="W53" s="18"/>
    </row>
    <row r="54" spans="1:23">
      <c r="A54" s="5"/>
      <c r="B54" s="5"/>
      <c r="C54" s="5"/>
      <c r="D54" s="5"/>
      <c r="E54" s="5"/>
      <c r="F54" s="5"/>
      <c r="G54" s="5"/>
      <c r="H54" s="5"/>
      <c r="I54" s="4"/>
      <c r="J54" s="4"/>
      <c r="K54" s="4"/>
      <c r="L54" s="4"/>
      <c r="M54" s="4"/>
      <c r="N54" s="5"/>
      <c r="O54" s="5"/>
      <c r="P54" s="5"/>
      <c r="Q54" s="5"/>
      <c r="R54" s="5"/>
      <c r="S54" s="5"/>
      <c r="T54" s="5"/>
      <c r="V54" s="16"/>
      <c r="W54" s="16"/>
    </row>
    <row r="55" spans="1:23">
      <c r="A55" s="5"/>
      <c r="B55" s="5"/>
      <c r="C55" s="5"/>
      <c r="D55" s="5"/>
      <c r="E55" s="5"/>
      <c r="F55" s="5"/>
      <c r="G55" s="5"/>
      <c r="H55" s="5"/>
      <c r="I55" s="4"/>
      <c r="J55" s="4"/>
      <c r="K55" s="4"/>
      <c r="L55" s="4"/>
      <c r="M55" s="4"/>
      <c r="N55" s="5"/>
      <c r="O55" s="5"/>
      <c r="P55" s="5"/>
      <c r="Q55" s="7"/>
      <c r="R55" s="7"/>
      <c r="S55" s="7"/>
      <c r="T55" s="7"/>
      <c r="U55" s="7"/>
      <c r="V55" s="18"/>
      <c r="W55" s="18"/>
    </row>
    <row r="56" spans="1:23" ht="16.5" thickBot="1">
      <c r="A56" s="5"/>
      <c r="B56" s="799" t="s">
        <v>254</v>
      </c>
      <c r="C56" s="800"/>
      <c r="D56" s="5"/>
      <c r="E56" s="5"/>
      <c r="F56" s="5"/>
      <c r="G56" s="5"/>
      <c r="H56" s="5"/>
      <c r="I56" s="4"/>
      <c r="J56" s="4"/>
      <c r="K56" s="4"/>
      <c r="L56" s="4"/>
      <c r="M56" s="4"/>
      <c r="N56" s="5"/>
      <c r="O56" s="5"/>
      <c r="P56" s="5"/>
      <c r="Q56" s="7"/>
      <c r="R56" s="7"/>
      <c r="S56" s="7"/>
      <c r="T56" s="7"/>
      <c r="U56" s="7"/>
      <c r="V56" s="835" t="s">
        <v>387</v>
      </c>
      <c r="W56" s="836"/>
    </row>
    <row r="57" spans="1:23" ht="15.75">
      <c r="A57" s="85" t="s">
        <v>120</v>
      </c>
      <c r="B57" s="86" t="s">
        <v>144</v>
      </c>
      <c r="C57" s="241" t="s">
        <v>99</v>
      </c>
      <c r="D57" s="242"/>
      <c r="E57" s="595"/>
      <c r="F57" s="243" t="s">
        <v>100</v>
      </c>
      <c r="G57" s="243"/>
      <c r="H57" s="89"/>
      <c r="I57" s="4"/>
      <c r="J57" s="4"/>
      <c r="K57" s="4"/>
      <c r="L57" s="5"/>
      <c r="M57" s="461" t="s">
        <v>353</v>
      </c>
      <c r="N57" s="7"/>
      <c r="O57" s="18"/>
      <c r="P57" s="295" t="s">
        <v>312</v>
      </c>
      <c r="Q57" s="297">
        <f>COUNTIF(S$6:S$43,"S")+COUNTIF(S$6:S$43,"PS")</f>
        <v>0</v>
      </c>
      <c r="R57" s="278">
        <f>COUNTIF(T$6:T$43,"Oui")</f>
        <v>18</v>
      </c>
      <c r="S57" s="7"/>
      <c r="T57"/>
      <c r="U57"/>
      <c r="V57" s="835" t="s">
        <v>392</v>
      </c>
      <c r="W57" s="836"/>
    </row>
    <row r="58" spans="1:23" ht="13.5" thickBot="1">
      <c r="A58" s="660" t="s">
        <v>142</v>
      </c>
      <c r="B58" s="204" t="s">
        <v>110</v>
      </c>
      <c r="C58" s="83">
        <f>COUNTIFS(C6:C43,"=N",E6:E43,"=E",S6:S43,"")+COUNTIFS('SERVICE1-List'!C6:C40,"=N",'SERVICE1-List'!E6:E40,"=E",'SERVICE1-List'!S6:S40,"")</f>
        <v>34</v>
      </c>
      <c r="D58" s="78"/>
      <c r="E58" s="596"/>
      <c r="F58" s="654" t="s">
        <v>135</v>
      </c>
      <c r="G58" s="654"/>
      <c r="H58" s="655"/>
      <c r="I58" s="4"/>
      <c r="J58" s="4"/>
      <c r="K58" s="4"/>
      <c r="L58" s="5"/>
      <c r="M58" s="461" t="s">
        <v>354</v>
      </c>
      <c r="N58" s="5"/>
      <c r="O58" s="16"/>
      <c r="P58" s="296" t="s">
        <v>280</v>
      </c>
      <c r="Q58" s="333">
        <f>COUNTIF(S$6:S$43,"")</f>
        <v>22</v>
      </c>
      <c r="R58" s="252">
        <f>COUNTIF(T$6:T$43,"")</f>
        <v>19</v>
      </c>
      <c r="S58" s="5"/>
      <c r="T58"/>
      <c r="U58"/>
      <c r="V58" s="569" t="s">
        <v>379</v>
      </c>
      <c r="W58" s="570">
        <f>COUNTIFS(C6:C43,"=n",W6:W43,"=steak",V6:V43,"poisson",S6:S43,"")+COUNTIFS('SERVICE1-List'!C6:C40,"=n",'SERVICE1-List'!W6:W40,"=steak",'SERVICE1-List'!V6:V40,"poisson",'SERVICE1-List'!S6:S40,"")</f>
        <v>0</v>
      </c>
    </row>
    <row r="59" spans="1:23" ht="12.75" customHeight="1">
      <c r="A59" s="660"/>
      <c r="B59" s="204" t="s">
        <v>211</v>
      </c>
      <c r="C59" s="83">
        <f>COUNTIFS(C6:C43,"=diab",E6:E43,"=E",S6:S43,"")+COUNTIFS('SERVICE1-List'!C6:C40,"=diab",'SERVICE1-List'!E6:E40,"=E",'SERVICE1-List'!S6:S40,"")</f>
        <v>0</v>
      </c>
      <c r="D59" s="78"/>
      <c r="E59" s="596"/>
      <c r="F59" s="654"/>
      <c r="G59" s="654"/>
      <c r="H59" s="655"/>
      <c r="I59" s="4"/>
      <c r="J59" s="4"/>
      <c r="K59" s="4"/>
      <c r="L59" s="5"/>
      <c r="M59" s="5"/>
      <c r="N59" s="5"/>
      <c r="O59" s="16"/>
      <c r="P59" s="822" t="s">
        <v>6</v>
      </c>
      <c r="Q59" s="861">
        <f>'SERVICE1-List'!Q61+'SERVICE2-List'!Q58</f>
        <v>41</v>
      </c>
      <c r="R59" s="861">
        <f>R58+'SERVICE1-List'!R61</f>
        <v>35</v>
      </c>
      <c r="S59" s="5"/>
      <c r="T59"/>
      <c r="U59"/>
      <c r="V59" s="569" t="s">
        <v>380</v>
      </c>
      <c r="W59" s="570">
        <f>COUNTIFS(C6:C43,"=n",W6:W43,"=steak haché",V6:V43,"poisson",S6:S43,"")+COUNTIFS('SERVICE1-List'!C6:C40,"=n",'SERVICE1-List'!W6:W40,"=steak haché",'SERVICE1-List'!V6:V40,"poisson",'SERVICE1-List'!S6:S40,"")</f>
        <v>7</v>
      </c>
    </row>
    <row r="60" spans="1:23" ht="13.5" customHeight="1" thickBot="1">
      <c r="A60" s="660"/>
      <c r="B60" s="204" t="s">
        <v>274</v>
      </c>
      <c r="C60" s="83">
        <f>COUNTIFS(C6:C43,"=sr",E6:E43,"=E",S6:S43,"")+COUNTIFS('SERVICE1-List'!C6:C40,"=sr",'SERVICE1-List'!E6:E40,"=E",'SERVICE1-List'!S6:S40,"")</f>
        <v>0</v>
      </c>
      <c r="D60" s="78"/>
      <c r="E60" s="596"/>
      <c r="F60" s="654"/>
      <c r="G60" s="654"/>
      <c r="H60" s="655"/>
      <c r="I60" s="4"/>
      <c r="J60" s="4"/>
      <c r="K60" s="4"/>
      <c r="L60" s="5"/>
      <c r="M60" s="5"/>
      <c r="N60" s="5"/>
      <c r="O60" s="16"/>
      <c r="P60" s="822"/>
      <c r="Q60" s="862"/>
      <c r="R60" s="862"/>
      <c r="S60" s="5"/>
      <c r="T60"/>
      <c r="U60"/>
      <c r="V60" s="569" t="s">
        <v>381</v>
      </c>
      <c r="W60" s="570">
        <f>COUNTIFS(C6:C43,"=n",F6:F43,"=e",W6:W43,"=jambon",V6:V43,"poisson",S6:S43,"") +COUNTIFS('SERVICE1-List'!C6:C40,"=n",'SERVICE1-List'!F6:F40,"=E",'SERVICE1-List'!W6:W40,"=jambon",'SERVICE1-List'!V6:V40,"poisson",'SERVICE1-List'!S6:S40,"")</f>
        <v>0</v>
      </c>
    </row>
    <row r="61" spans="1:23">
      <c r="A61" s="660"/>
      <c r="B61" s="204" t="s">
        <v>208</v>
      </c>
      <c r="C61" s="83">
        <f>COUNTIFS(C6:C43,"=hp",E6:E43,"=E",S6:S43,"")+COUNTIFS('SERVICE1-List'!C6:C40,"=hp",'SERVICE1-List'!F6:F40,"=E",'SERVICE1-List'!S6:S40,"")</f>
        <v>0</v>
      </c>
      <c r="D61" s="78"/>
      <c r="E61" s="596"/>
      <c r="F61" s="654"/>
      <c r="G61" s="654"/>
      <c r="H61" s="655"/>
      <c r="I61" s="4"/>
      <c r="J61" s="4"/>
      <c r="K61" s="4"/>
      <c r="L61" s="5"/>
      <c r="M61" s="5"/>
      <c r="N61" s="5"/>
      <c r="O61" s="5"/>
      <c r="P61" s="5"/>
      <c r="Q61" s="5"/>
      <c r="R61" s="5"/>
      <c r="S61" s="5"/>
      <c r="T61"/>
      <c r="U61"/>
      <c r="V61" s="569" t="s">
        <v>394</v>
      </c>
      <c r="W61" s="570">
        <f>COUNTIFS(C6:C43,"=ssel",F6:F43,"=e",W6:W43,"=jambon",V6:V43,"poisson",S6:S43,"") +COUNTIFS('SERVICE1-List'!C6:C40,"=ssel",'SERVICE1-List'!F6:F40,"=E",'SERVICE1-List'!W6:W40,"=jambon",'SERVICE1-List'!V6:V40,"poisson",'SERVICE1-List'!S6:S40,"")</f>
        <v>0</v>
      </c>
    </row>
    <row r="62" spans="1:23">
      <c r="A62" s="660"/>
      <c r="B62" s="204" t="s">
        <v>111</v>
      </c>
      <c r="C62" s="83">
        <f>COUNTIFS(C6:C40,"=SSEL",F6:F40,"=E",S6:S40,"")+COUNTIFS('SERVICE1-List'!C6:C40,"=SSEL",'SERVICE1-List'!F6:F40,"=E",'SERVICE1-List'!S6:S40,"")</f>
        <v>0</v>
      </c>
      <c r="D62" s="79">
        <f>SUM(C58:C70)</f>
        <v>41</v>
      </c>
      <c r="E62" s="597"/>
      <c r="F62" s="654"/>
      <c r="G62" s="654"/>
      <c r="H62" s="655"/>
      <c r="I62" s="4"/>
      <c r="J62" s="4"/>
      <c r="K62" s="4"/>
      <c r="L62" s="5"/>
      <c r="M62" s="5"/>
      <c r="N62" s="5"/>
      <c r="O62" s="5"/>
      <c r="P62" s="5"/>
      <c r="Q62" s="5"/>
      <c r="R62" s="5"/>
      <c r="S62" s="5"/>
      <c r="T62"/>
      <c r="U62"/>
      <c r="V62" s="569" t="s">
        <v>382</v>
      </c>
      <c r="W62" s="570">
        <f>COUNTIFS(C6:C43,"=n",W6:W43,"=jambon haché",V6:V43,"poisson",S6:S43,"") +COUNTIFS('SERVICE1-List'!C6:C40,"=n",'SERVICE1-List'!W6:W40,"=jambon haché",'SERVICE1-List'!V6:V40,"poisson",'SERVICE1-List'!S6:S40,"")</f>
        <v>0</v>
      </c>
    </row>
    <row r="63" spans="1:23">
      <c r="A63" s="660"/>
      <c r="B63" s="205" t="s">
        <v>154</v>
      </c>
      <c r="C63" s="74">
        <f>COUNTIFS(C6:C40,"=GRS",F6:F40,"=E",S6:S40,"")+COUNTIFS('SERVICE1-List'!C6:C40,"=GRS",'SERVICE1-List'!F6:F40,"=E",'SERVICE1-List'!S6:S40,"")</f>
        <v>0</v>
      </c>
      <c r="D63" s="79"/>
      <c r="E63" s="597"/>
      <c r="F63" s="654"/>
      <c r="G63" s="654"/>
      <c r="H63" s="655"/>
      <c r="I63" s="84" t="s">
        <v>160</v>
      </c>
      <c r="J63" s="84"/>
      <c r="K63" s="84"/>
      <c r="L63" s="231"/>
      <c r="M63" s="231"/>
      <c r="N63" s="231"/>
      <c r="O63" s="16"/>
      <c r="P63" s="5"/>
      <c r="Q63" s="5"/>
      <c r="R63" s="5"/>
      <c r="S63" s="5"/>
      <c r="T63"/>
      <c r="U63"/>
      <c r="V63" s="569" t="s">
        <v>383</v>
      </c>
      <c r="W63" s="570">
        <f>COUNTIFS(C6:C43,"=SSEL",F6:F43,"=HC",W6:W43,"=jambon haché",V6:V43,"poisson",S6:S43,"")+COUNTIFS('SERVICE1-List'!C6:C40,"=SSEL",'SERVICE1-List'!F6:F40,"=HC",'SERVICE1-List'!W6:W40,"=jambon haché",'SERVICE1-List'!V6:V40,"poisson",'SERVICE1-List'!S6:S40,"")</f>
        <v>1</v>
      </c>
    </row>
    <row r="64" spans="1:23">
      <c r="A64" s="660"/>
      <c r="B64" s="206" t="s">
        <v>119</v>
      </c>
      <c r="C64" s="207">
        <f>COUNTIFS(C6:C43,"=N",E6:E43,"=M",S6:S43,"")+COUNTIFS('SERVICE1-List'!C6:C40,"=N",'SERVICE1-List'!E6:E40,"=M",'SERVICE1-List'!S6:S40,"")</f>
        <v>6</v>
      </c>
      <c r="D64" s="80"/>
      <c r="E64" s="598"/>
      <c r="F64" s="654"/>
      <c r="G64" s="654"/>
      <c r="H64" s="655"/>
      <c r="I64" s="229" t="s">
        <v>278</v>
      </c>
      <c r="J64" s="229"/>
      <c r="K64" s="229"/>
      <c r="L64" s="230"/>
      <c r="M64" s="230"/>
      <c r="N64" s="230"/>
      <c r="O64" s="16"/>
      <c r="P64" s="5"/>
      <c r="Q64" s="5"/>
      <c r="R64" s="5"/>
      <c r="S64" s="5"/>
      <c r="T64"/>
      <c r="U64"/>
      <c r="V64" s="569" t="s">
        <v>385</v>
      </c>
      <c r="W64" s="570">
        <f>COUNTIFS(C6:C43,"=N",W6:W43,"-",V6:V43,"poisson",S6:S43,"")+COUNTIFS('SERVICE1-List'!C6:C40,"=N",'SERVICE1-List'!W6:W40,"-",'SERVICE1-List'!V6:V40,"poisson",'SERVICE1-List'!S6:S40,"")</f>
        <v>0</v>
      </c>
    </row>
    <row r="65" spans="1:23">
      <c r="A65" s="660"/>
      <c r="B65" s="206" t="s">
        <v>341</v>
      </c>
      <c r="C65" s="207">
        <f>COUNTIFS(C6:C43,"=HP",E6:E43,"=M",S6:S43,"")+COUNTIFS('SERVICE1-List'!C6:C40,"=HP",'SERVICE1-List'!E6:E40,"=M",'SERVICE1-List'!S6:S40,"")</f>
        <v>0</v>
      </c>
      <c r="D65" s="80"/>
      <c r="E65" s="598"/>
      <c r="F65" s="654"/>
      <c r="G65" s="654"/>
      <c r="H65" s="655"/>
      <c r="I65" s="8"/>
      <c r="J65" s="8"/>
      <c r="K65" s="8"/>
      <c r="L65" s="5"/>
      <c r="M65" s="5"/>
      <c r="N65" s="5"/>
      <c r="O65" s="16"/>
      <c r="P65" s="5"/>
      <c r="Q65" s="5"/>
      <c r="R65" s="5"/>
      <c r="S65" s="5"/>
      <c r="T65"/>
      <c r="U65"/>
      <c r="V65" s="571"/>
      <c r="W65" s="573"/>
    </row>
    <row r="66" spans="1:23">
      <c r="A66" s="660"/>
      <c r="B66" s="206" t="s">
        <v>315</v>
      </c>
      <c r="C66" s="207">
        <f>COUNTIFS(C6:C43,"=diab",E6:E43,"=M",S6:S43,"")+COUNTIFS('SERVICE1-List'!C6:C40,"=diab",'SERVICE1-List'!E6:E40,"=M",'SERVICE1-List'!S6:S40,"")</f>
        <v>0</v>
      </c>
      <c r="D66" s="80"/>
      <c r="E66" s="598"/>
      <c r="F66" s="654"/>
      <c r="G66" s="654"/>
      <c r="H66" s="655"/>
      <c r="I66" s="8"/>
      <c r="J66" s="8"/>
      <c r="K66" s="8"/>
      <c r="L66" s="5"/>
      <c r="M66" s="5"/>
      <c r="N66" s="5"/>
      <c r="O66" s="16"/>
      <c r="P66" s="5"/>
      <c r="Q66" s="5"/>
      <c r="R66" s="5"/>
      <c r="S66" s="5"/>
      <c r="T66"/>
      <c r="U66"/>
      <c r="V66" s="833" t="s">
        <v>393</v>
      </c>
      <c r="W66" s="834"/>
    </row>
    <row r="67" spans="1:23">
      <c r="A67" s="660"/>
      <c r="B67" s="206" t="s">
        <v>134</v>
      </c>
      <c r="C67" s="207">
        <f>COUNTIFS(E6:E40,"=1-si-dur",S6:S40,"")+COUNTIFS('SERVICE1-List'!E6:E40,"=1-si-dur",'SERVICE1-List'!S6:S40,"")</f>
        <v>0</v>
      </c>
      <c r="D67" s="80"/>
      <c r="E67" s="598"/>
      <c r="F67" s="654"/>
      <c r="G67" s="654"/>
      <c r="H67" s="655"/>
      <c r="I67" s="13"/>
      <c r="J67" s="13"/>
      <c r="K67" s="13"/>
      <c r="L67" s="10"/>
      <c r="M67" s="10"/>
      <c r="N67" s="10"/>
      <c r="O67" s="16"/>
      <c r="P67" s="5"/>
      <c r="Q67" s="5"/>
      <c r="R67" s="5"/>
      <c r="S67" s="5"/>
      <c r="T67"/>
      <c r="U67"/>
      <c r="V67" s="565" t="s">
        <v>388</v>
      </c>
      <c r="W67" s="566">
        <f>COUNTIFS(C6:C43,"=n",F6:F43,"=e",V6:V43,"poisson",S6:S43,"")+COUNTIFS('SERVICE1-List'!C6:C40,"=n",'SERVICE1-List'!F6:F40,"=e",'SERVICE1-List'!V6:V40,"poisson",'SERVICE1-List'!S6:S40,"")</f>
        <v>5</v>
      </c>
    </row>
    <row r="68" spans="1:23">
      <c r="A68" s="660"/>
      <c r="B68" s="232" t="s">
        <v>118</v>
      </c>
      <c r="C68" s="233">
        <f>COUNTIFS(E6:E40,"=M",C6:C40,"=SSEL",S6:S40,"")+COUNTIFS('SERVICE1-List'!E6:E40,"=M",'SERVICE1-List'!C6:C40,"=SSEL",'SERVICE1-List'!S6:S40,"")</f>
        <v>1</v>
      </c>
      <c r="D68" s="80"/>
      <c r="E68" s="598"/>
      <c r="F68" s="654"/>
      <c r="G68" s="654"/>
      <c r="H68" s="655"/>
      <c r="I68" s="5"/>
      <c r="J68" s="5"/>
      <c r="K68" s="5"/>
      <c r="L68" s="7"/>
      <c r="M68" s="7"/>
      <c r="N68" s="7"/>
      <c r="O68" s="16"/>
      <c r="P68" s="5"/>
      <c r="Q68" s="5"/>
      <c r="R68" s="5"/>
      <c r="S68" s="5"/>
      <c r="T68"/>
      <c r="U68"/>
      <c r="V68" s="565" t="s">
        <v>389</v>
      </c>
      <c r="W68" s="566">
        <f>COUNTIFS(C6:C43,"=ssel",F6:F43,"=e",V6:V43,"poisson",S6:S43,"")+COUNTIFS('SERVICE1-List'!C6:C40,"=ssel",'SERVICE1-List'!F6:F40,"=e",'SERVICE1-List'!V6:V40,"poisson",'SERVICE1-List'!S6:S40,"")</f>
        <v>0</v>
      </c>
    </row>
    <row r="69" spans="1:23">
      <c r="A69" s="395"/>
      <c r="B69" s="398" t="s">
        <v>267</v>
      </c>
      <c r="C69" s="76">
        <f>COUNTIFS(C6:C43,"=ap",S6:S43,"")+COUNTIFS('SERVICE1-List'!C6:C40,"=ap",'SERVICE1-List'!S6:S40,"")</f>
        <v>0</v>
      </c>
      <c r="D69" s="80"/>
      <c r="E69" s="598"/>
      <c r="F69" s="396"/>
      <c r="G69" s="396"/>
      <c r="H69" s="394"/>
      <c r="I69" s="5"/>
      <c r="J69" s="5"/>
      <c r="K69" s="5"/>
      <c r="L69" s="7"/>
      <c r="M69" s="7"/>
      <c r="N69" s="7"/>
      <c r="O69" s="16"/>
      <c r="P69" s="5"/>
      <c r="Q69" s="5"/>
      <c r="R69" s="5"/>
      <c r="S69" s="5"/>
      <c r="T69"/>
      <c r="U69"/>
      <c r="V69" s="565" t="s">
        <v>390</v>
      </c>
      <c r="W69" s="566">
        <f>COUNTIFS(C6:C43,"=n",F6:F43,"=hc",V6:V43,"poisson",S6:S43,"")+COUNTIFS('SERVICE1-List'!C6:C40,"=n",'SERVICE1-List'!F6:F40,"=hc",'SERVICE1-List'!V6:V40,"poisson",'SERVICE1-List'!S6:S40,"")</f>
        <v>3</v>
      </c>
    </row>
    <row r="70" spans="1:23">
      <c r="A70" s="217"/>
      <c r="B70" s="222" t="s">
        <v>141</v>
      </c>
      <c r="C70" s="72">
        <f>COUNTIFS(E6:E40,"=X",S6:S40,"")+COUNTIFS('SERVICE1-List'!H6:H43,"=X",'SERVICE2-List'!S6:S43,"")</f>
        <v>0</v>
      </c>
      <c r="D70" s="80"/>
      <c r="E70" s="599"/>
      <c r="F70" s="200"/>
      <c r="G70" s="200"/>
      <c r="H70" s="218"/>
      <c r="I70" s="5"/>
      <c r="J70" s="5"/>
      <c r="K70" s="5"/>
      <c r="L70" s="7"/>
      <c r="M70" s="7"/>
      <c r="N70" s="7"/>
      <c r="O70" s="16"/>
      <c r="P70" s="5"/>
      <c r="Q70" s="5"/>
      <c r="R70" s="5"/>
      <c r="S70" s="5"/>
      <c r="T70"/>
      <c r="U70"/>
      <c r="V70" s="565" t="s">
        <v>391</v>
      </c>
      <c r="W70" s="566">
        <f>COUNTIFS(C6:C43,"=ssel",F6:F43,"=hc",V6:V43,"poisson",S6:S43,"")+COUNTIFS('SERVICE1-List'!C6:C40,"=ssel",'SERVICE1-List'!F6:F40,"=hc",'SERVICE1-List'!V6:V40,"poisson",'SERVICE1-List'!S6:S40,"")</f>
        <v>1</v>
      </c>
    </row>
    <row r="71" spans="1:23" ht="15" customHeight="1">
      <c r="A71" s="807" t="s">
        <v>143</v>
      </c>
      <c r="B71" s="31" t="s">
        <v>115</v>
      </c>
      <c r="C71" s="73">
        <f>COUNTIFS(C6:C43,"=n",F6:F43,"=E",S6:S43,"")+COUNTIFS('SERVICE1-List'!C6:C40,"=n",'SERVICE1-List'!F6:F40,"=E",'SERVICE1-List'!S6:S40,"")</f>
        <v>31</v>
      </c>
      <c r="D71" s="804">
        <f>SUM(C71:C89)-C83-C84-C85-C86</f>
        <v>41</v>
      </c>
      <c r="E71" s="434"/>
      <c r="F71" s="194">
        <f>COUNTIFS(C6:C43,"=n",F6:F43,"=E",T6:T43,"")+COUNTIFS('SERVICE1-List'!C6:C40,"=n",'SERVICE1-List'!F6:F40,"=E",'SERVICE1-List'!T6:T40,"")</f>
        <v>27</v>
      </c>
      <c r="G71" s="369"/>
      <c r="H71" s="664">
        <f>SUM(F71:F89)-F83-F84-F85-F86</f>
        <v>35</v>
      </c>
      <c r="I71" s="803"/>
      <c r="J71" s="803"/>
      <c r="K71" s="803"/>
      <c r="L71" s="803"/>
      <c r="M71" s="803"/>
      <c r="N71" s="5"/>
      <c r="O71" s="16"/>
      <c r="P71" s="16"/>
      <c r="Q71" s="16"/>
      <c r="R71" s="16"/>
      <c r="S71" s="16"/>
      <c r="T71"/>
      <c r="U71"/>
      <c r="V71" s="567" t="s">
        <v>2</v>
      </c>
      <c r="W71" s="568">
        <f>COUNTIFS(C6:C43,"=n",F6:F43,"=m",V6:V43,"poisson",S6:S43,"")+COUNTIFS('SERVICE1-List'!C6:C40,"=n",'SERVICE1-List'!F6:F40,"=m",'SERVICE1-List'!V6:V40,"poisson",'SERVICE1-List'!S6:S40,"")</f>
        <v>1</v>
      </c>
    </row>
    <row r="72" spans="1:23" ht="15" customHeight="1">
      <c r="A72" s="808"/>
      <c r="B72" s="201" t="s">
        <v>252</v>
      </c>
      <c r="C72" s="83">
        <f>COUNTIFS(C6:C43,"=hp",F6:F43,"=E",S6:S43,"")+COUNTIFS('SERVICE1-List'!C6:C40,"=hp",'SERVICE1-List'!F6:F40,"=E",'SERVICE1-List'!S6:S40,"")</f>
        <v>0</v>
      </c>
      <c r="D72" s="805"/>
      <c r="E72" s="435"/>
      <c r="F72" s="195">
        <f>COUNTIFS(C6:C43,"=hp",F6:F43,"=E",T6:T43,"")+COUNTIFS('SERVICE1-List'!C6:C40,"=hp",'SERVICE1-List'!F6:F40,"=E",'SERVICE1-List'!T6:T40,"")</f>
        <v>0</v>
      </c>
      <c r="G72" s="370"/>
      <c r="H72" s="665"/>
      <c r="I72" s="803"/>
      <c r="J72" s="803"/>
      <c r="K72" s="803"/>
      <c r="L72" s="803"/>
      <c r="M72" s="803"/>
      <c r="N72" s="5"/>
      <c r="O72" s="16"/>
      <c r="P72" s="16"/>
      <c r="Q72" s="16"/>
      <c r="R72" s="16"/>
      <c r="S72" s="16"/>
      <c r="T72"/>
      <c r="U72"/>
      <c r="V72"/>
      <c r="W72"/>
    </row>
    <row r="73" spans="1:23" ht="15" customHeight="1">
      <c r="A73" s="808"/>
      <c r="B73" s="201" t="s">
        <v>249</v>
      </c>
      <c r="C73" s="83">
        <f>COUNTIFS(C6:C43,"=diab",F6:F43,"=E",S6:S43,"")+COUNTIFS('SERVICE1-List'!C6:C40,"=diab",'SERVICE1-List'!F6:F40,"=E",'SERVICE1-List'!S6:S40,"")</f>
        <v>0</v>
      </c>
      <c r="D73" s="805"/>
      <c r="E73" s="435"/>
      <c r="F73" s="195">
        <f>COUNTIFS(C6:C43,"=diab",F6:F43,"=E",T6:T43,"")+COUNTIFS('SERVICE1-List'!C6:C40,"=diab",'SERVICE1-List'!F6:F40,"=E",'SERVICE1-List'!T6:T40,"")</f>
        <v>0</v>
      </c>
      <c r="G73" s="370"/>
      <c r="H73" s="665"/>
      <c r="I73" s="803"/>
      <c r="J73" s="803"/>
      <c r="K73" s="803"/>
      <c r="L73" s="803"/>
      <c r="M73" s="803"/>
      <c r="N73" s="5"/>
      <c r="O73" s="16"/>
      <c r="P73" s="16"/>
      <c r="Q73" s="16"/>
      <c r="R73" s="16"/>
      <c r="S73" s="16"/>
      <c r="T73"/>
      <c r="U73"/>
    </row>
    <row r="74" spans="1:23" ht="15" customHeight="1">
      <c r="A74" s="808"/>
      <c r="B74" s="201" t="s">
        <v>269</v>
      </c>
      <c r="C74" s="83">
        <f>COUNTIFS(C7:C43,"=sr",F7:F43,"=E",S7:S43,"")+COUNTIFS('SERVICE1-List'!C7:C40,"=sr",'SERVICE1-List'!F7:F40,"=E",'SERVICE1-List'!S7:S40,"")</f>
        <v>0</v>
      </c>
      <c r="D74" s="805"/>
      <c r="E74" s="435"/>
      <c r="F74" s="195">
        <f>COUNTIFS(C7:C43,"=sr",F7:F43,"=E",T7:T43,"")+COUNTIFS('SERVICE1-List'!C7:C40,"=sr",'SERVICE1-List'!F7:F40,"=E",'SERVICE1-List'!T7:T40,"")</f>
        <v>0</v>
      </c>
      <c r="G74" s="370"/>
      <c r="H74" s="665"/>
      <c r="I74" s="803"/>
      <c r="J74" s="803"/>
      <c r="K74" s="803"/>
      <c r="L74" s="803"/>
      <c r="M74" s="803"/>
      <c r="N74" s="5"/>
      <c r="O74" s="16"/>
      <c r="P74" s="16"/>
      <c r="Q74" s="16"/>
      <c r="R74" s="16"/>
      <c r="S74" s="16"/>
      <c r="T74"/>
      <c r="U74"/>
      <c r="V74"/>
      <c r="W74"/>
    </row>
    <row r="75" spans="1:23" ht="15" customHeight="1">
      <c r="A75" s="808"/>
      <c r="B75" s="82" t="s">
        <v>116</v>
      </c>
      <c r="C75" s="83">
        <f>COUNTIFS(C6:C43,"=ssel",F6:F43,"=E",S6:S43,"")+COUNTIFS('SERVICE1-List'!C6:C40,"=ssel",'SERVICE1-List'!F6:F40,"=E",'SERVICE1-List'!S6:S40,"")</f>
        <v>0</v>
      </c>
      <c r="D75" s="805"/>
      <c r="E75" s="435"/>
      <c r="F75" s="195">
        <f>COUNTIFS(C6:C43,"=ssel",F6:F43,"=E",T6:T43,"")+COUNTIFS('SERVICE1-List'!C6:C40,"=ssel",'SERVICE1-List'!F6:F40,"=E",'SERVICE1-List'!T6:T40,"")</f>
        <v>0</v>
      </c>
      <c r="G75" s="370"/>
      <c r="H75" s="665"/>
      <c r="I75" s="803"/>
      <c r="J75" s="803"/>
      <c r="K75" s="803"/>
      <c r="L75" s="803"/>
      <c r="M75" s="803"/>
      <c r="N75" s="5"/>
      <c r="O75" s="16"/>
      <c r="P75" s="16"/>
      <c r="Q75" s="16"/>
      <c r="R75" s="16"/>
      <c r="S75" s="16"/>
      <c r="T75"/>
      <c r="U75"/>
      <c r="V75"/>
      <c r="W75"/>
    </row>
    <row r="76" spans="1:23" ht="15" customHeight="1">
      <c r="A76" s="808"/>
      <c r="B76" s="234" t="s">
        <v>155</v>
      </c>
      <c r="C76" s="235">
        <f>COUNTIFS(C6:C43,"=sgr",F6:F43,"=E",S6:S43,"")+COUNTIFS('SERVICE1-List'!C6:C40,"=sgr",'SERVICE1-List'!F6:F40,"=E",'SERVICE1-List'!S6:S40,"")</f>
        <v>0</v>
      </c>
      <c r="D76" s="805"/>
      <c r="E76" s="435"/>
      <c r="F76" s="240">
        <f>COUNTIFS(C6:C43,"=sgr",F6:F43,"=E",T6:T43,"")+COUNTIFS('SERVICE1-List'!C6:C40,"=sgr",'SERVICE1-List'!F6:F40,"=E",'SERVICE1-List'!T6:T40,"")</f>
        <v>0</v>
      </c>
      <c r="G76" s="370"/>
      <c r="H76" s="665"/>
      <c r="I76" s="799"/>
      <c r="J76" s="799"/>
      <c r="K76" s="799"/>
      <c r="L76" s="800"/>
      <c r="M76" s="51"/>
      <c r="N76" s="5"/>
      <c r="O76" s="16"/>
      <c r="P76" s="16"/>
      <c r="Q76" s="16"/>
      <c r="R76" s="16"/>
      <c r="S76" s="16"/>
      <c r="T76"/>
      <c r="U76"/>
      <c r="V76"/>
      <c r="W76"/>
    </row>
    <row r="77" spans="1:23" ht="15" customHeight="1">
      <c r="A77" s="808"/>
      <c r="B77" s="28" t="s">
        <v>114</v>
      </c>
      <c r="C77" s="75">
        <f>COUNTIFS(C6:C43,"=n",F6:F43,"=hc",S6:S43,"")+COUNTIFS('SERVICE1-List'!C6:C40,"=n",'SERVICE1-List'!F6:F40,"=hc",'SERVICE1-List'!S6:S40,"")</f>
        <v>5</v>
      </c>
      <c r="D77" s="805"/>
      <c r="E77" s="435"/>
      <c r="F77" s="196">
        <f>COUNTIFS(C6:C43,"=n",F6:F43,"=hc",T6:T43,"")+COUNTIFS('SERVICE1-List'!C6:C40,"=n",'SERVICE1-List'!F6:F40,"=hc",'SERVICE1-List'!T6:T40,"")</f>
        <v>5</v>
      </c>
      <c r="G77" s="371"/>
      <c r="H77" s="665"/>
      <c r="I77" s="5"/>
      <c r="J77" s="5"/>
      <c r="K77" s="5"/>
      <c r="L77" s="5"/>
      <c r="M77" s="5"/>
      <c r="N77" s="5"/>
      <c r="O77" s="16"/>
      <c r="P77" s="16"/>
      <c r="Q77" s="16"/>
      <c r="R77" s="16"/>
      <c r="S77" s="16"/>
      <c r="T77"/>
      <c r="U77"/>
      <c r="V77"/>
      <c r="W77"/>
    </row>
    <row r="78" spans="1:23">
      <c r="A78" s="808"/>
      <c r="B78" s="28" t="s">
        <v>253</v>
      </c>
      <c r="C78" s="75">
        <f>COUNTIFS(C6:C43,"=hp",F6:F43,"=hc",S6:S43,"")+COUNTIFS('SERVICE1-List'!C6:C40,"=hp",'SERVICE1-List'!F6:F40,"=hc",'SERVICE1-List'!S6:S40,"")</f>
        <v>0</v>
      </c>
      <c r="D78" s="805"/>
      <c r="E78" s="435"/>
      <c r="F78" s="196">
        <f>COUNTIFS(C6:C43,"=hp",F6:F43,"=hc",T6:T43,"")+COUNTIFS('SERVICE1-List'!C6:C40,"=hp",'SERVICE1-List'!F6:F40,"=hc",'SERVICE1-List'!T6:T40,"")</f>
        <v>0</v>
      </c>
      <c r="G78" s="371"/>
      <c r="H78" s="665"/>
      <c r="I78" s="5"/>
      <c r="J78" s="5"/>
      <c r="K78" s="5"/>
      <c r="L78" s="5"/>
      <c r="M78" s="5"/>
      <c r="N78" s="5"/>
      <c r="O78" s="16"/>
      <c r="P78" s="16"/>
      <c r="Q78" s="16"/>
      <c r="R78" s="16"/>
      <c r="S78" s="16"/>
      <c r="T78"/>
      <c r="U78"/>
      <c r="V78"/>
      <c r="W78"/>
    </row>
    <row r="79" spans="1:23">
      <c r="A79" s="808"/>
      <c r="B79" s="28" t="s">
        <v>250</v>
      </c>
      <c r="C79" s="75">
        <f>COUNTIFS(C6:C43,"=diab",F6:F43,"=hc",S6:S43,"")+COUNTIFS('SERVICE1-List'!C6:C40,"=diab",'SERVICE1-List'!F6:F40,"=hc",'SERVICE1-List'!S6:S40,"")</f>
        <v>0</v>
      </c>
      <c r="D79" s="805"/>
      <c r="E79" s="435"/>
      <c r="F79" s="196">
        <f>COUNTIFS(C6:C43,"=diab",F6:F43,"=hc",T6:T43,"")+COUNTIFS('SERVICE1-List'!C6:C40,"=diab",'SERVICE1-List'!F6:F40,"=hc",'SERVICE1-List'!T6:T40,"")</f>
        <v>0</v>
      </c>
      <c r="G79" s="371"/>
      <c r="H79" s="665"/>
      <c r="I79" s="5"/>
      <c r="J79" s="5"/>
      <c r="K79" s="5"/>
      <c r="L79" s="5"/>
      <c r="M79" s="5"/>
      <c r="N79" s="5"/>
      <c r="O79" s="16"/>
      <c r="P79" s="16"/>
      <c r="Q79" s="16"/>
      <c r="R79" s="16"/>
      <c r="S79" s="16"/>
      <c r="T79"/>
      <c r="U79"/>
      <c r="V79"/>
      <c r="W79"/>
    </row>
    <row r="80" spans="1:23">
      <c r="A80" s="808"/>
      <c r="B80" s="28" t="s">
        <v>270</v>
      </c>
      <c r="C80" s="75">
        <f>COUNTIFS(C6:C43,"=sr",F6:F43,"=hc",S6:S43,"")+COUNTIFS('SERVICE1-List'!C6:C40,"=sr",'SERVICE1-List'!F6:F40,"=hc",'SERVICE1-List'!S6:S40,"")</f>
        <v>0</v>
      </c>
      <c r="D80" s="805"/>
      <c r="E80" s="435"/>
      <c r="F80" s="196">
        <f>COUNTIFS(C6:C43,"=sr",F6:F43,"=hc",T6:T43,"")+COUNTIFS('SERVICE1-List'!C6:C40,"=sr",'SERVICE1-List'!F6:F40,"=hc",'SERVICE1-List'!T6:T40,"")</f>
        <v>0</v>
      </c>
      <c r="G80" s="371"/>
      <c r="H80" s="665"/>
      <c r="I80" s="5"/>
      <c r="J80" s="5"/>
      <c r="K80" s="5"/>
      <c r="L80" s="5"/>
      <c r="M80" s="5"/>
      <c r="N80" s="5"/>
      <c r="O80" s="16"/>
      <c r="P80" s="16"/>
      <c r="Q80" s="16"/>
      <c r="R80" s="16"/>
      <c r="S80" s="16"/>
      <c r="T80"/>
      <c r="U80"/>
      <c r="V80"/>
      <c r="W80"/>
    </row>
    <row r="81" spans="1:23">
      <c r="A81" s="808"/>
      <c r="B81" s="28" t="s">
        <v>117</v>
      </c>
      <c r="C81" s="75">
        <f>COUNTIFS(C6:C43,"=ssel",F6:F43,"=hc",S6:S43,"")+COUNTIFS('SERVICE1-List'!C6:C40,"=ssel",'SERVICE1-List'!F6:F40,"=hc",'SERVICE1-List'!S6:S40,"")</f>
        <v>1</v>
      </c>
      <c r="D81" s="805"/>
      <c r="E81" s="435"/>
      <c r="F81" s="196">
        <f>COUNTIFS(C6:C43,"=ssel",F6:F43,"=hc",T6:T43,"")+COUNTIFS('SERVICE1-List'!C6:C40,"=ssel",'SERVICE1-List'!F6:F40,"=hc",'SERVICE1-List'!T6:T40,"")</f>
        <v>1</v>
      </c>
      <c r="G81" s="371"/>
      <c r="H81" s="665"/>
      <c r="I81" s="34"/>
      <c r="J81" s="34"/>
      <c r="K81" s="34"/>
      <c r="L81" s="5"/>
      <c r="M81" s="5"/>
      <c r="N81" s="5"/>
      <c r="O81" s="16"/>
      <c r="P81" s="16"/>
      <c r="Q81" s="16"/>
      <c r="R81" s="16"/>
      <c r="S81" s="16"/>
      <c r="T81"/>
      <c r="U81"/>
      <c r="V81"/>
      <c r="W81"/>
    </row>
    <row r="82" spans="1:23">
      <c r="A82" s="808"/>
      <c r="B82" s="236" t="s">
        <v>156</v>
      </c>
      <c r="C82" s="238">
        <f>COUNTIFS(C6:C43,"=sgr",F6:F43,"=hc",S6:S43,"")+COUNTIFS('SERVICE1-List'!C6:C40,"=sgr",'SERVICE1-List'!F6:F40,"=hc",'SERVICE1-List'!S6:S40,"")</f>
        <v>0</v>
      </c>
      <c r="D82" s="805"/>
      <c r="E82" s="435"/>
      <c r="F82" s="239">
        <f>COUNTIFS(C6:C43,"=sgr",F6:F43,"=hc",T6:T43,"")+COUNTIFS('SERVICE1-List'!C6:C40,"=sgr",'SERVICE1-List'!F6:F40,"=hc",'SERVICE1-List'!T6:T40,"")</f>
        <v>0</v>
      </c>
      <c r="G82" s="371"/>
      <c r="H82" s="665"/>
      <c r="I82" s="34"/>
      <c r="J82" s="34"/>
      <c r="K82" s="34"/>
      <c r="L82" s="5"/>
      <c r="M82" s="5"/>
      <c r="N82" s="5"/>
      <c r="O82" s="16"/>
      <c r="P82" s="16"/>
      <c r="Q82" s="16"/>
      <c r="R82" s="16"/>
      <c r="S82" s="16"/>
      <c r="T82"/>
      <c r="U82"/>
      <c r="V82"/>
      <c r="W82"/>
    </row>
    <row r="83" spans="1:23">
      <c r="A83" s="808"/>
      <c r="B83" s="380" t="s">
        <v>322</v>
      </c>
      <c r="C83" s="377">
        <f>COUNTIFS(C6:C43,"=n",G6:G43,"=oui",S6:S43,"")+COUNTIFS('SERVICE1-List'!C6:C40,"=n",'SERVICE1-List'!G6:G40,"=oui",'SERVICE1-List'!S6:S40,"")</f>
        <v>35</v>
      </c>
      <c r="D83" s="805"/>
      <c r="E83" s="435"/>
      <c r="F83" s="377">
        <f>COUNTIFS(C6:C43,"=n",G6:G43,"=oui",T6:T43,"")+COUNTIFS('SERVICE1-List'!C6:C40,"=n",'SERVICE1-List'!G6:G40,"=oui",'SERVICE1-List'!T6:T40,"")</f>
        <v>31</v>
      </c>
      <c r="G83" s="376"/>
      <c r="H83" s="665"/>
      <c r="I83" s="16"/>
      <c r="J83" s="16"/>
      <c r="K83" s="16"/>
      <c r="L83" s="16"/>
      <c r="M83" s="16"/>
      <c r="N83" s="16"/>
      <c r="O83"/>
      <c r="P83"/>
      <c r="Q83"/>
      <c r="R83"/>
      <c r="S83"/>
      <c r="T83"/>
      <c r="U83"/>
      <c r="V83"/>
      <c r="W83"/>
    </row>
    <row r="84" spans="1:23">
      <c r="A84" s="808"/>
      <c r="B84" s="380" t="s">
        <v>323</v>
      </c>
      <c r="C84" s="377">
        <f>COUNTIFS(C6:C43,"=hp",G6:G43,"=oui",S6:S43,"")+COUNTIFS('SERVICE1-List'!C6:C40,"=hp",'SERVICE1-List'!G6:G40,"=oui",'SERVICE1-List'!S6:S40,"")</f>
        <v>0</v>
      </c>
      <c r="D84" s="805"/>
      <c r="E84" s="435"/>
      <c r="F84" s="377">
        <f>COUNTIFS(C6:C43,"=hp",G6:G43,"=oui",T6:T43,"")+COUNTIFS('SERVICE1-List'!C6:C40,"=hp",'SERVICE1-List'!G6:G40,"=oui",'SERVICE1-List'!T6:T40,"")</f>
        <v>0</v>
      </c>
      <c r="G84" s="376"/>
      <c r="H84" s="665"/>
      <c r="I84" s="16"/>
      <c r="J84" s="16"/>
      <c r="K84" s="16"/>
      <c r="L84" s="16"/>
      <c r="M84" s="16"/>
      <c r="N84" s="16"/>
      <c r="O84"/>
      <c r="P84"/>
      <c r="Q84"/>
      <c r="R84"/>
      <c r="S84"/>
      <c r="T84"/>
      <c r="U84"/>
      <c r="V84"/>
      <c r="W84"/>
    </row>
    <row r="85" spans="1:23">
      <c r="A85" s="808"/>
      <c r="B85" s="380" t="s">
        <v>329</v>
      </c>
      <c r="C85" s="377">
        <f>COUNTIFS(C6:C43,"=DIAB",G6:G43,"=oui",S6:S43,"")+COUNTIFS('SERVICE1-List'!C6:C40,"=diab",'SERVICE1-List'!G6:G40,"=oui",'SERVICE1-List'!S6:S40,"")</f>
        <v>0</v>
      </c>
      <c r="D85" s="805"/>
      <c r="E85" s="435"/>
      <c r="F85" s="377">
        <f>COUNTIFS(C6:C43,"=diab",G6:G43,"=oui",T6:T43,"")+COUNTIFS('SERVICE1-List'!C6:C40,"=diab",'SERVICE1-List'!G6:G40,"=oui",'SERVICE1-List'!T6:T40,"")</f>
        <v>0</v>
      </c>
      <c r="G85" s="376"/>
      <c r="H85" s="665"/>
      <c r="I85" s="16"/>
      <c r="J85" s="16"/>
      <c r="K85" s="16"/>
      <c r="L85" s="16"/>
      <c r="M85" s="16"/>
      <c r="N85" s="16"/>
      <c r="O85"/>
      <c r="P85"/>
      <c r="Q85"/>
      <c r="R85"/>
      <c r="S85"/>
      <c r="T85"/>
      <c r="U85"/>
      <c r="V85"/>
      <c r="W85"/>
    </row>
    <row r="86" spans="1:23">
      <c r="A86" s="808"/>
      <c r="B86" s="378" t="s">
        <v>324</v>
      </c>
      <c r="C86" s="379">
        <f>COUNTIFS(C6:C43,"=ssel",G6:G43,"=oui",S6:S43,"")+COUNTIFS('SERVICE1-List'!C6:C40,"=ssel",'SERVICE1-List'!G6:G40,"=oui",'SERVICE1-List'!S6:S40,"")</f>
        <v>0</v>
      </c>
      <c r="D86" s="805"/>
      <c r="E86" s="435"/>
      <c r="F86" s="377">
        <f>COUNTIFS(C6:C43,"=ssel",G6:G43,"=oui",T6:T43,"")+COUNTIFS('SERVICE1-List'!C6:C40,"=ssel",'SERVICE1-List'!G6:G40,"=oui",'SERVICE1-List'!T6:T40,"")</f>
        <v>0</v>
      </c>
      <c r="G86" s="376"/>
      <c r="H86" s="665"/>
      <c r="I86" s="16"/>
      <c r="J86" s="16"/>
      <c r="K86" s="16"/>
      <c r="L86" s="16"/>
      <c r="M86" s="16"/>
      <c r="N86" s="16"/>
      <c r="O86"/>
      <c r="P86"/>
      <c r="Q86"/>
      <c r="R86"/>
      <c r="S86"/>
      <c r="T86"/>
      <c r="U86"/>
      <c r="V86"/>
      <c r="W86"/>
    </row>
    <row r="87" spans="1:23">
      <c r="A87" s="808"/>
      <c r="B87" s="29" t="s">
        <v>112</v>
      </c>
      <c r="C87" s="76">
        <f>COUNTIFS(F6:F43,"=M",S6:S43,"")+COUNTIFS('SERVICE1-List'!F6:F40,"=M",'SERVICE1-List'!S6:S40,"")</f>
        <v>4</v>
      </c>
      <c r="D87" s="805"/>
      <c r="E87" s="435"/>
      <c r="F87" s="198">
        <f>COUNTIFS(F6:F43,"=M",T6:T43,"")+COUNTIFS('SERVICE1-List'!F6:F40,"=M",'SERVICE1-List'!T6:T40,"")</f>
        <v>2</v>
      </c>
      <c r="G87" s="372"/>
      <c r="H87" s="665"/>
      <c r="I87" s="9"/>
      <c r="J87" s="9"/>
      <c r="K87" s="9"/>
      <c r="L87" s="5"/>
      <c r="M87" s="5"/>
      <c r="N87" s="5"/>
      <c r="O87" s="16"/>
      <c r="P87" s="16"/>
      <c r="Q87" s="16"/>
      <c r="R87" s="16"/>
      <c r="S87" s="16"/>
      <c r="T87"/>
      <c r="U87"/>
      <c r="V87"/>
      <c r="W87"/>
    </row>
    <row r="88" spans="1:23">
      <c r="A88" s="808"/>
      <c r="B88" s="29" t="s">
        <v>113</v>
      </c>
      <c r="C88" s="76">
        <f>COUNTIFS(F6:F43,"=m",C6:C43,"=SSEL",S6:S43,"")+COUNTIFS('SERVICE1-List'!F6:F40,"=m",'SERVICE1-List'!C6:C40,"=SSEL",'SERVICE1-List'!S6:S40,"")</f>
        <v>0</v>
      </c>
      <c r="D88" s="805"/>
      <c r="E88" s="435"/>
      <c r="F88" s="198">
        <f>COUNTIFS(F6:F43,"=m",C6:C43,"=SSEL",T6:T43,"")+COUNTIFS('SERVICE1-List'!F6:F40,"=m",'SERVICE1-List'!C6:C40,"=SSEL",'SERVICE1-List'!T6:T40,"")</f>
        <v>0</v>
      </c>
      <c r="G88" s="372"/>
      <c r="H88" s="665"/>
      <c r="I88" s="803"/>
      <c r="J88" s="803"/>
      <c r="K88" s="803"/>
      <c r="L88" s="803"/>
      <c r="M88" s="803"/>
      <c r="N88" s="5"/>
      <c r="O88" s="16"/>
      <c r="P88" s="16"/>
      <c r="Q88" s="16"/>
      <c r="R88" s="16"/>
      <c r="S88" s="16"/>
      <c r="T88"/>
      <c r="U88"/>
      <c r="V88"/>
      <c r="W88"/>
    </row>
    <row r="89" spans="1:23">
      <c r="A89" s="223"/>
      <c r="B89" s="32" t="s">
        <v>267</v>
      </c>
      <c r="C89" s="77">
        <f>COUNTIFS(C6:C43,"=ap",S6:S43,"")+COUNTIFS('SERVICE1-List'!C6:C40,"=ap",'SERVICE1-List'!S6:S40,"")</f>
        <v>0</v>
      </c>
      <c r="D89" s="806"/>
      <c r="E89" s="436"/>
      <c r="F89" s="199">
        <f>COUNTIFS(C6:C43,"=ap",T6:T43,"")+COUNTIFS('SERVICE1-List'!C6:C40,"=ap",'SERVICE1-List'!T6:T40,"")</f>
        <v>0</v>
      </c>
      <c r="G89" s="373"/>
      <c r="H89" s="666"/>
      <c r="I89" s="803"/>
      <c r="J89" s="803"/>
      <c r="K89" s="803"/>
      <c r="L89" s="803"/>
      <c r="M89" s="803"/>
      <c r="N89" s="5"/>
      <c r="O89" s="16"/>
      <c r="P89" s="16"/>
      <c r="Q89" s="16"/>
      <c r="R89" s="16"/>
      <c r="S89" s="16"/>
      <c r="T89"/>
      <c r="U89"/>
      <c r="V89"/>
      <c r="W89"/>
    </row>
    <row r="90" spans="1:23">
      <c r="A90" s="659" t="s">
        <v>123</v>
      </c>
      <c r="B90" s="31" t="s">
        <v>145</v>
      </c>
      <c r="C90" s="73">
        <f>COUNTIFS(C6:C43,"=N",H6:H43,"=E",S6:S43,"")+COUNTIFS('SERVICE1-List'!C6:C40,"=n",'SERVICE1-List'!H6:H40,"=E",'SERVICE1-List'!S6:S40,"")-C94</f>
        <v>33</v>
      </c>
      <c r="D90" s="804">
        <f>SUM(C90:C104)</f>
        <v>41</v>
      </c>
      <c r="E90" s="434"/>
      <c r="F90" s="194">
        <f>COUNTIFS(C6:C43,"=N",H6:H43,"=E",T6:T43,"")+COUNTIFS('SERVICE1-List'!C6:C40,"=n",'SERVICE1-List'!H6:H40,"=E",'SERVICE1-List'!T6:T40,"")-F94</f>
        <v>29</v>
      </c>
      <c r="G90" s="369"/>
      <c r="H90" s="664">
        <f>SUM(F90:F104)</f>
        <v>35</v>
      </c>
      <c r="I90" s="803"/>
      <c r="J90" s="803"/>
      <c r="K90" s="803"/>
      <c r="L90" s="803"/>
      <c r="M90" s="803"/>
      <c r="N90" s="18"/>
      <c r="O90" s="16"/>
      <c r="P90" s="16"/>
      <c r="Q90" s="16"/>
      <c r="R90" s="16"/>
      <c r="S90" s="16"/>
      <c r="T90"/>
      <c r="U90"/>
      <c r="V90"/>
      <c r="W90"/>
    </row>
    <row r="91" spans="1:23">
      <c r="A91" s="660"/>
      <c r="B91" s="201" t="s">
        <v>210</v>
      </c>
      <c r="C91" s="83">
        <f>COUNTIFS(C6:C43,"=hp",H6:H43,"=E",S6:S43,"")+COUNTIFS('SERVICE1-List'!C6:C40,"=hp",'SERVICE1-List'!H6:H40,"=E",'SERVICE1-List'!S6:S40,"")</f>
        <v>0</v>
      </c>
      <c r="D91" s="805"/>
      <c r="E91" s="435"/>
      <c r="F91" s="195">
        <f>COUNTIFS(C6:C43,"=HP",H6:H43,"=E",T6:T43,"")+COUNTIFS('SERVICE1-List'!C6:C40,"=HP",'SERVICE1-List'!H6:H40,"=E",'SERVICE1-List'!T6:T40,"")</f>
        <v>0</v>
      </c>
      <c r="G91" s="370"/>
      <c r="H91" s="665"/>
      <c r="I91" s="125"/>
      <c r="J91" s="430"/>
      <c r="K91" s="430"/>
      <c r="L91" s="125"/>
      <c r="M91" s="125"/>
      <c r="N91" s="18"/>
      <c r="O91" s="16"/>
      <c r="P91" s="16"/>
      <c r="Q91" s="16"/>
      <c r="R91" s="16"/>
      <c r="S91" s="16"/>
      <c r="T91"/>
      <c r="U91"/>
      <c r="V91"/>
      <c r="W91"/>
    </row>
    <row r="92" spans="1:23">
      <c r="A92" s="660"/>
      <c r="B92" s="201" t="s">
        <v>275</v>
      </c>
      <c r="C92" s="83">
        <f>COUNTIFS(C6:C43,"=sr",H6:H43,"=E",S6:S43,"")+COUNTIFS('SERVICE1-List'!C6:C40,"=sr",'SERVICE1-List'!H6:H40,"=E",'SERVICE1-List'!S6:S40,"")</f>
        <v>0</v>
      </c>
      <c r="D92" s="805"/>
      <c r="E92" s="435"/>
      <c r="F92" s="195">
        <f>COUNTIFS(C6:C43,"=SR",H6:H43,"=E",T6:T43,"")+COUNTIFS('SERVICE1-List'!C6:C40,"=SR",'SERVICE1-List'!H6:H40,"=E",'SERVICE1-List'!T6:T40,"")</f>
        <v>0</v>
      </c>
      <c r="G92" s="370"/>
      <c r="H92" s="665"/>
      <c r="I92" s="219"/>
      <c r="J92" s="430"/>
      <c r="K92" s="430"/>
      <c r="L92" s="219"/>
      <c r="M92" s="219"/>
      <c r="N92" s="18"/>
      <c r="O92" s="16"/>
      <c r="P92" s="16"/>
      <c r="Q92" s="16"/>
      <c r="R92" s="16"/>
      <c r="S92" s="16"/>
      <c r="T92"/>
      <c r="U92"/>
      <c r="V92"/>
      <c r="W92"/>
    </row>
    <row r="93" spans="1:23">
      <c r="A93" s="660"/>
      <c r="B93" s="82" t="s">
        <v>256</v>
      </c>
      <c r="C93" s="83">
        <f>COUNTIFS(C6:C43,"=ssel",H6:H43,"=E",S6:S43,"")+COUNTIFS('SERVICE1-List'!C6:C40,"=ssel",'SERVICE1-List'!H6:H40,"=E",'SERVICE1-List'!S6:S40,"")</f>
        <v>0</v>
      </c>
      <c r="D93" s="805"/>
      <c r="E93" s="435"/>
      <c r="F93" s="195">
        <f>COUNTIFS(C6:C43,"=SSEL",H6:H43,"=E",T6:T43,"")+COUNTIFS('SERVICE1-List'!C6:C40,"=SSEL",'SERVICE1-List'!H6:H40,"=E",'SERVICE1-List'!T6:T40,"")</f>
        <v>0</v>
      </c>
      <c r="G93" s="370"/>
      <c r="H93" s="665"/>
      <c r="I93" s="35"/>
      <c r="J93" s="35"/>
      <c r="K93" s="35"/>
      <c r="L93" s="8"/>
      <c r="M93" s="27"/>
      <c r="N93" s="18"/>
      <c r="O93" s="16"/>
      <c r="P93" s="16"/>
      <c r="Q93" s="16"/>
      <c r="R93" s="16"/>
      <c r="S93" s="16"/>
      <c r="T93"/>
      <c r="U93"/>
      <c r="V93"/>
      <c r="W93"/>
    </row>
    <row r="94" spans="1:23">
      <c r="A94" s="660"/>
      <c r="B94" s="220" t="s">
        <v>146</v>
      </c>
      <c r="C94" s="221">
        <f>COUNTIFS(D6:D43,"=DIAB",H6:H43,"=E",S6:S43,"")+COUNTIFS('SERVICE1-List'!D6:D40,"=DIAB",'SERVICE1-List'!H6:H40,"=E",'SERVICE1-List'!S6:S40,"")</f>
        <v>1</v>
      </c>
      <c r="D94" s="805"/>
      <c r="E94" s="435"/>
      <c r="F94" s="449">
        <f>COUNTIFS(D6:D43,"=DIAB",H6:H43,"=E",T6:T43,"")+COUNTIFS('SERVICE1-List'!D6:D40,"=DIAB",'SERVICE1-List'!H6:H40,"=E",'SERVICE1-List'!T6:T40,"")</f>
        <v>1</v>
      </c>
      <c r="G94" s="370"/>
      <c r="H94" s="665"/>
      <c r="I94" s="35"/>
      <c r="J94" s="35"/>
      <c r="K94" s="35"/>
      <c r="L94" s="8"/>
      <c r="M94" s="27"/>
      <c r="N94" s="18"/>
      <c r="O94" s="16"/>
      <c r="P94" s="16"/>
      <c r="Q94" s="16"/>
      <c r="R94" s="16"/>
      <c r="S94" s="16"/>
      <c r="T94"/>
      <c r="U94"/>
      <c r="V94"/>
      <c r="W94"/>
    </row>
    <row r="95" spans="1:23">
      <c r="A95" s="660"/>
      <c r="B95" s="29" t="s">
        <v>157</v>
      </c>
      <c r="C95" s="76">
        <f>COUNTIFS(C6:C43,"=n",H6:H43,"m",S6:S43,"")+COUNTIFS('SERVICE1-List'!C6:C40,"=n",'SERVICE1-List'!H6:H40,"m",'SERVICE1-List'!S6:S40,"")-C99</f>
        <v>5</v>
      </c>
      <c r="D95" s="805"/>
      <c r="E95" s="435"/>
      <c r="F95" s="198">
        <f>COUNTIFS(C6:C43,"=n",H6:H43,"m",T6:T43,"")+COUNTIFS('SERVICE1-List'!C6:C40,"=n",'SERVICE1-List'!H6:H40,"m",'SERVICE1-List'!T6:T40,"")-F99</f>
        <v>3</v>
      </c>
      <c r="G95" s="372"/>
      <c r="H95" s="665"/>
      <c r="I95" s="17"/>
      <c r="J95" s="17"/>
      <c r="K95" s="17"/>
      <c r="L95" s="16"/>
      <c r="M95" s="16"/>
      <c r="N95" s="16"/>
      <c r="O95" s="16"/>
      <c r="P95" s="16"/>
      <c r="Q95" s="16"/>
      <c r="R95" s="16"/>
      <c r="S95" s="16"/>
      <c r="T95"/>
      <c r="U95"/>
      <c r="V95"/>
      <c r="W95"/>
    </row>
    <row r="96" spans="1:23">
      <c r="A96" s="660"/>
      <c r="B96" s="29" t="s">
        <v>260</v>
      </c>
      <c r="C96" s="76">
        <f>COUNTIFS(C6:C43,"=ap",S6:S43,"")+COUNTIFS('SERVICE1-List'!C6:C40,"=AP",'SERVICE1-List'!S6:S40,"")</f>
        <v>0</v>
      </c>
      <c r="D96" s="805"/>
      <c r="E96" s="435"/>
      <c r="F96" s="198">
        <f>COUNTIFS(C6:C43,"=ap",H6:H43,"M",T6:T43,"")+COUNTIFS('SERVICE1-List'!C6:C40,"=ap",'SERVICE1-List'!H6:H40,"M",'SERVICE1-List'!T6:T40,"")</f>
        <v>0</v>
      </c>
      <c r="G96" s="372"/>
      <c r="H96" s="665"/>
      <c r="I96" s="17"/>
      <c r="J96" s="17"/>
      <c r="K96" s="17"/>
      <c r="L96" s="16"/>
      <c r="M96" s="16"/>
      <c r="N96" s="16"/>
      <c r="O96" s="16"/>
      <c r="P96" s="16"/>
      <c r="Q96" s="16"/>
      <c r="R96" s="16"/>
      <c r="S96" s="16"/>
      <c r="T96"/>
      <c r="U96"/>
      <c r="V96"/>
      <c r="W96"/>
    </row>
    <row r="97" spans="1:23">
      <c r="A97" s="660"/>
      <c r="B97" s="29" t="s">
        <v>257</v>
      </c>
      <c r="C97" s="76">
        <f>COUNTIFS(C6:C43,"=hp",H6:H43,"m",S6:S43,"")+COUNTIFS('SERVICE1-List'!C6:C40,"=hp",'SERVICE1-List'!H6:H40,"m",'SERVICE1-List'!S6:S40,"")</f>
        <v>0</v>
      </c>
      <c r="D97" s="805"/>
      <c r="E97" s="435"/>
      <c r="F97" s="198">
        <f>COUNTIFS(C6:C43,"=hp",H6:H43,"m",T6:T43,"")+COUNTIFS('SERVICE1-List'!C6:C40,"=hp",'SERVICE1-List'!H6:H40,"m",'SERVICE1-List'!T6:T40,"")</f>
        <v>0</v>
      </c>
      <c r="G97" s="372"/>
      <c r="H97" s="665"/>
      <c r="I97" s="17"/>
      <c r="J97" s="17"/>
      <c r="K97" s="17"/>
      <c r="L97" s="16"/>
      <c r="M97" s="16"/>
      <c r="N97" s="16"/>
      <c r="O97" s="16"/>
      <c r="P97" s="16"/>
      <c r="Q97" s="16"/>
      <c r="R97" s="16"/>
      <c r="S97" s="16"/>
      <c r="T97"/>
      <c r="U97"/>
      <c r="V97"/>
      <c r="W97"/>
    </row>
    <row r="98" spans="1:23">
      <c r="A98" s="660"/>
      <c r="B98" s="29" t="s">
        <v>212</v>
      </c>
      <c r="C98" s="76">
        <f>COUNTIFS(C6:C43,"=ssel",H6:H43,"m",S6:S43,"")+COUNTIFS('SERVICE1-List'!C6:C40,"=ssel",'SERVICE1-List'!H6:H40,"m",'SERVICE1-List'!S6:S40,"")</f>
        <v>1</v>
      </c>
      <c r="D98" s="805"/>
      <c r="E98" s="435"/>
      <c r="F98" s="198">
        <f>COUNTIFS(C6:C43,"=ssel",H6:H43,"M",T6:T43,"")+COUNTIFS('SERVICE1-List'!C6:C40,"=ssel",'SERVICE1-List'!H6:H40,"M",'SERVICE1-List'!T6:T40,"")</f>
        <v>1</v>
      </c>
      <c r="G98" s="372"/>
      <c r="H98" s="665"/>
      <c r="I98" s="17"/>
      <c r="J98" s="17"/>
      <c r="K98" s="17"/>
      <c r="L98" s="16"/>
      <c r="M98" s="16"/>
      <c r="N98" s="16"/>
      <c r="O98" s="16"/>
      <c r="P98" s="16"/>
      <c r="Q98" s="16"/>
      <c r="R98" s="16"/>
      <c r="S98" s="16"/>
      <c r="T98"/>
      <c r="U98"/>
      <c r="V98"/>
      <c r="W98"/>
    </row>
    <row r="99" spans="1:23">
      <c r="A99" s="660"/>
      <c r="B99" s="211" t="s">
        <v>158</v>
      </c>
      <c r="C99" s="212">
        <f>COUNTIFS(D6:D43,"=DIAB",H6:H43,"m",S6:S43,"")+COUNTIFS('SERVICE1-List'!D6:D40,"=DIAB",'SERVICE1-List'!H6:H40,"m",'SERVICE1-List'!S6:S40,"")</f>
        <v>1</v>
      </c>
      <c r="D99" s="805"/>
      <c r="E99" s="435"/>
      <c r="F99" s="450">
        <f>COUNTIFS(D6:D43,"=diab",H6:H43,"M",T6:T43,"")+COUNTIFS('SERVICE1-List'!D6:D40,"=diab",'SERVICE1-List'!H6:H40,"M",'SERVICE1-List'!T6:T40,"")</f>
        <v>1</v>
      </c>
      <c r="G99" s="372"/>
      <c r="H99" s="665"/>
      <c r="I99" s="17"/>
      <c r="J99" s="17"/>
      <c r="K99" s="17"/>
      <c r="L99" s="16"/>
      <c r="M99" s="16"/>
      <c r="N99" s="16"/>
      <c r="O99" s="16"/>
      <c r="P99" s="16"/>
      <c r="Q99" s="16"/>
      <c r="R99" s="16"/>
      <c r="S99" s="16"/>
      <c r="T99"/>
      <c r="U99"/>
      <c r="V99"/>
      <c r="W99"/>
    </row>
    <row r="100" spans="1:23">
      <c r="A100" s="660"/>
      <c r="B100" s="29" t="s">
        <v>213</v>
      </c>
      <c r="C100" s="76">
        <f>COUNTIFS(C6:C43,"=n",H6:H43,"1-si-dur",S6:S43,"")+COUNTIFS('SERVICE1-List'!C6:C40,"=n",'SERVICE1-List'!H6:H40,"1-si-dur",'SERVICE1-List'!S6:S40,"")</f>
        <v>0</v>
      </c>
      <c r="D100" s="805"/>
      <c r="E100" s="435"/>
      <c r="F100" s="198">
        <f>COUNTIFS(C6:C43,"=n",H6:H43,"1-si-dur",T6:T43,"")+COUNTIFS('SERVICE1-List'!C6:C40,"=n",'SERVICE1-List'!H6:H40,"1-si-dur",'SERVICE1-List'!T6:T40,"")</f>
        <v>0</v>
      </c>
      <c r="G100" s="372"/>
      <c r="H100" s="665"/>
      <c r="I100" s="17"/>
      <c r="J100" s="17"/>
      <c r="K100" s="17"/>
      <c r="L100" s="16"/>
      <c r="M100" s="16"/>
      <c r="N100" s="16"/>
      <c r="O100" s="16"/>
      <c r="P100" s="16"/>
      <c r="Q100" s="16"/>
      <c r="R100" s="16"/>
      <c r="S100" s="16"/>
      <c r="T100"/>
      <c r="U100"/>
      <c r="V100"/>
      <c r="W100"/>
    </row>
    <row r="101" spans="1:23">
      <c r="A101" s="660"/>
      <c r="B101" s="29" t="s">
        <v>261</v>
      </c>
      <c r="C101" s="76">
        <f>COUNTIFS(C6:C43,"=hp",H6:H43,"1-si-dur",S6:S43,"")+COUNTIFS('SERVICE1-List'!C6:C40,"=hp",'SERVICE1-List'!H6:H40,"1-si-dur",'SERVICE1-List'!S6:S40,"")</f>
        <v>0</v>
      </c>
      <c r="D101" s="805"/>
      <c r="E101" s="435"/>
      <c r="F101" s="198">
        <f>COUNTIFS(C6:C43,"=hp",H6:H43,"1-si-dur",T6:T43,"")+COUNTIFS('SERVICE1-List'!C6:C40,"=hp",'SERVICE1-List'!H6:H40,"1-si-dur",'SERVICE1-List'!T6:T40,"")</f>
        <v>0</v>
      </c>
      <c r="G101" s="372"/>
      <c r="H101" s="665"/>
      <c r="I101" s="17"/>
      <c r="J101" s="17"/>
      <c r="K101" s="17"/>
      <c r="L101" s="16"/>
      <c r="M101" s="16"/>
      <c r="N101" s="16"/>
      <c r="O101" s="16"/>
      <c r="P101" s="16"/>
      <c r="Q101" s="16"/>
      <c r="R101" s="16"/>
      <c r="S101" s="16"/>
      <c r="T101"/>
      <c r="U101"/>
      <c r="V101"/>
      <c r="W101"/>
    </row>
    <row r="102" spans="1:23">
      <c r="A102" s="660"/>
      <c r="B102" s="29" t="s">
        <v>262</v>
      </c>
      <c r="C102" s="76">
        <f>COUNTIFS(C6:C43,"=ssel",H6:H43,"1-si-dur",S6:S43,"")+COUNTIFS('SERVICE1-List'!C6:C40,"=ssel",'SERVICE1-List'!H6:H40,"1-si-dur",'SERVICE1-List'!S6:S40,"")</f>
        <v>0</v>
      </c>
      <c r="D102" s="805"/>
      <c r="E102" s="435"/>
      <c r="F102" s="198">
        <f>COUNTIFS(C6:C43,"=ssel",H6:H43,"1-si-dur",T6:T43,"")+COUNTIFS('SERVICE1-List'!C6:C40,"=ssel",'SERVICE1-List'!H6:H40,"1-si-dur",'SERVICE1-List'!T6:T40,"")</f>
        <v>0</v>
      </c>
      <c r="G102" s="372"/>
      <c r="H102" s="665"/>
      <c r="I102" s="17"/>
      <c r="J102" s="17"/>
      <c r="K102" s="17"/>
      <c r="L102" s="16"/>
      <c r="M102" s="16"/>
      <c r="N102" s="16"/>
      <c r="O102" s="16"/>
      <c r="P102" s="16"/>
      <c r="Q102" s="16"/>
      <c r="R102" s="16"/>
      <c r="S102" s="16"/>
      <c r="T102"/>
      <c r="U102"/>
      <c r="V102"/>
      <c r="W102"/>
    </row>
    <row r="103" spans="1:23">
      <c r="A103" s="660"/>
      <c r="B103" s="213" t="s">
        <v>214</v>
      </c>
      <c r="C103" s="214">
        <f>COUNTIFS(C6:C43,"=diab",H6:H43,"1-si-dur",S6:S43,"")+COUNTIFS('SERVICE1-List'!C6:C40,"=diab",'SERVICE1-List'!H6:H40,"1-si-dur",'SERVICE1-List'!S6:S40,"")</f>
        <v>0</v>
      </c>
      <c r="D103" s="805"/>
      <c r="E103" s="435"/>
      <c r="F103" s="198">
        <f>COUNTIFS(C6:C43,"=diab",H6:H43,"1-si-dur",T6:T43,"")+COUNTIFS('SERVICE1-List'!C6:C40,"=diab",'SERVICE1-List'!H6:H40,"1-si-dur",'SERVICE1-List'!T6:T40,"")</f>
        <v>0</v>
      </c>
      <c r="G103" s="372"/>
      <c r="H103" s="665"/>
      <c r="I103" s="17"/>
      <c r="J103" s="17"/>
      <c r="K103" s="17"/>
      <c r="L103" s="16"/>
      <c r="M103" s="16"/>
      <c r="N103" s="16"/>
      <c r="O103" s="16"/>
      <c r="P103" s="16"/>
      <c r="Q103" s="16"/>
      <c r="R103" s="16"/>
      <c r="S103" s="16"/>
      <c r="T103"/>
      <c r="U103"/>
      <c r="V103"/>
      <c r="W103"/>
    </row>
    <row r="104" spans="1:23">
      <c r="A104" s="661"/>
      <c r="B104" s="401" t="s">
        <v>267</v>
      </c>
      <c r="C104" s="77">
        <f>COUNTIFS(C6:C43,"=ap",S6:S43,"")+COUNTIFS('SERVICE1-List'!C6:C40,"=ap",'SERVICE1-List'!S6:S40,"")</f>
        <v>0</v>
      </c>
      <c r="D104" s="806"/>
      <c r="E104" s="436"/>
      <c r="F104" s="199">
        <f>COUNTIFS(C6:C43,"=ap",T6:T43,"")+COUNTIFS('SERVICE1-List'!C6:C40,"=ap",'SERVICE1-List'!T6:T40,"")</f>
        <v>0</v>
      </c>
      <c r="G104" s="373"/>
      <c r="H104" s="666"/>
      <c r="I104" s="17"/>
      <c r="J104" s="17"/>
      <c r="K104" s="17"/>
      <c r="L104" s="16"/>
      <c r="M104" s="16"/>
      <c r="N104" s="16"/>
      <c r="O104" s="16"/>
      <c r="P104" s="16"/>
      <c r="Q104" s="16"/>
      <c r="R104" s="16"/>
      <c r="S104" s="16"/>
      <c r="T104"/>
      <c r="U104"/>
      <c r="V104"/>
      <c r="W104"/>
    </row>
    <row r="105" spans="1:23" ht="15">
      <c r="A105" s="16"/>
      <c r="B105" s="19"/>
      <c r="C105" s="23"/>
      <c r="D105" s="16"/>
      <c r="E105" s="16"/>
      <c r="F105" s="16"/>
      <c r="G105" s="16"/>
      <c r="H105" s="16"/>
      <c r="I105" s="17"/>
      <c r="J105" s="17"/>
      <c r="K105" s="17"/>
      <c r="L105" s="17"/>
      <c r="M105" s="17"/>
      <c r="N105" s="16"/>
      <c r="O105" s="16"/>
      <c r="P105" s="16"/>
      <c r="Q105" s="16"/>
      <c r="R105" s="16"/>
      <c r="S105" s="16"/>
      <c r="T105" s="16"/>
      <c r="U105" s="16"/>
      <c r="V105"/>
      <c r="W105"/>
    </row>
    <row r="106" spans="1:23">
      <c r="A106" s="16"/>
      <c r="B106" s="65" t="s">
        <v>93</v>
      </c>
      <c r="C106" s="65">
        <f>COUNTIFS(J6:M43,"=VIN")+COUNTIFS('SERVICE1-List'!I6:M40,"=VIN")+COUNTIFS(J6:M43,"=VIN midi")+COUNTIFS('SERVICE1-List'!I6:M40,"=VIN midi")</f>
        <v>12</v>
      </c>
      <c r="D106" s="67" t="s">
        <v>147</v>
      </c>
      <c r="E106" s="67"/>
      <c r="F106" s="66"/>
      <c r="G106" s="66"/>
      <c r="H106" s="25"/>
      <c r="I106" s="25"/>
      <c r="J106" s="25"/>
      <c r="K106" s="25"/>
      <c r="L106" s="17"/>
      <c r="M106" s="17"/>
      <c r="N106" s="16"/>
      <c r="O106" s="16"/>
      <c r="P106" s="16"/>
      <c r="Q106" s="16"/>
      <c r="R106" s="16"/>
      <c r="S106" s="16"/>
      <c r="T106" s="16"/>
      <c r="U106" s="16"/>
      <c r="V106" s="16"/>
      <c r="W106" s="16"/>
    </row>
    <row r="107" spans="1:23">
      <c r="A107" s="16"/>
      <c r="B107" s="68"/>
      <c r="C107" s="68">
        <f>COUNTIFS(J6:M43,"=VIN")+COUNTIFS('SERVICE1-List'!I6:M40,"=VIN")</f>
        <v>12</v>
      </c>
      <c r="D107" s="69" t="s">
        <v>148</v>
      </c>
      <c r="E107" s="69"/>
      <c r="F107" s="68"/>
      <c r="G107" s="375"/>
      <c r="H107" s="25"/>
      <c r="I107" s="25"/>
      <c r="J107" s="25"/>
      <c r="K107" s="25"/>
      <c r="L107" s="17"/>
      <c r="M107" s="17"/>
      <c r="N107" s="16"/>
      <c r="O107" s="16"/>
      <c r="P107" s="16"/>
      <c r="Q107" s="16"/>
      <c r="R107" s="16"/>
      <c r="S107" s="16"/>
      <c r="T107" s="16"/>
      <c r="U107" s="16"/>
      <c r="V107" s="16"/>
      <c r="W107" s="16"/>
    </row>
    <row r="108" spans="1:23">
      <c r="A108" s="16"/>
      <c r="B108" s="66" t="s">
        <v>6</v>
      </c>
      <c r="C108" s="66">
        <f>C107+C106</f>
        <v>24</v>
      </c>
      <c r="D108" s="70" t="s">
        <v>149</v>
      </c>
      <c r="E108" s="70"/>
      <c r="F108" s="71">
        <f>(C108*125)/1000</f>
        <v>3</v>
      </c>
      <c r="G108" s="71"/>
      <c r="H108" s="25"/>
      <c r="I108" s="25" t="s">
        <v>150</v>
      </c>
      <c r="J108" s="25"/>
      <c r="K108" s="25"/>
      <c r="L108" s="17"/>
      <c r="M108" s="17"/>
      <c r="N108" s="16"/>
      <c r="O108" s="16"/>
      <c r="P108" s="16"/>
      <c r="Q108" s="16"/>
      <c r="R108" s="16"/>
      <c r="S108" s="16"/>
      <c r="T108" s="16"/>
      <c r="U108" s="16"/>
      <c r="V108" s="16"/>
      <c r="W108" s="16"/>
    </row>
    <row r="109" spans="1:23">
      <c r="A109" s="16"/>
      <c r="B109" s="20"/>
      <c r="C109" s="21"/>
      <c r="D109" s="22"/>
      <c r="E109" s="22"/>
      <c r="F109" s="16"/>
      <c r="G109" s="16"/>
      <c r="H109" s="16"/>
      <c r="I109" s="17"/>
      <c r="J109" s="17"/>
      <c r="K109" s="17"/>
      <c r="L109" s="17"/>
      <c r="M109" s="17"/>
      <c r="N109" s="16"/>
      <c r="O109" s="16"/>
      <c r="P109" s="16"/>
      <c r="Q109" s="16"/>
      <c r="R109" s="16"/>
      <c r="S109" s="16"/>
      <c r="T109" s="16"/>
      <c r="U109" s="16"/>
      <c r="V109" s="16"/>
      <c r="W109" s="16"/>
    </row>
    <row r="110" spans="1:23">
      <c r="A110" s="16"/>
      <c r="B110" s="17"/>
      <c r="C110" s="17"/>
      <c r="D110" s="17"/>
      <c r="E110" s="17"/>
      <c r="F110" s="16"/>
      <c r="G110" s="16"/>
      <c r="H110" s="16"/>
      <c r="I110" s="17"/>
      <c r="J110" s="17"/>
      <c r="K110" s="17"/>
      <c r="L110" s="17"/>
      <c r="M110" s="17"/>
      <c r="N110" s="16"/>
      <c r="O110" s="16"/>
      <c r="P110" s="16"/>
      <c r="Q110" s="16"/>
      <c r="R110" s="16"/>
      <c r="S110" s="16"/>
      <c r="T110" s="16"/>
      <c r="U110" s="16"/>
      <c r="V110" s="16"/>
      <c r="W110" s="16"/>
    </row>
    <row r="111" spans="1:23">
      <c r="A111" s="16"/>
      <c r="B111" s="16"/>
      <c r="C111" s="16"/>
      <c r="D111" s="16"/>
      <c r="E111" s="16"/>
      <c r="F111" s="16"/>
      <c r="G111" s="16"/>
      <c r="H111" s="16"/>
      <c r="I111" s="17"/>
      <c r="J111" s="17"/>
      <c r="K111" s="17"/>
      <c r="L111" s="17"/>
      <c r="M111" s="17"/>
      <c r="N111" s="16"/>
      <c r="O111" s="16"/>
      <c r="P111" s="16"/>
      <c r="Q111" s="16"/>
      <c r="R111" s="16"/>
      <c r="S111" s="16"/>
      <c r="T111" s="16"/>
      <c r="U111" s="16"/>
      <c r="V111" s="16"/>
      <c r="W111" s="16"/>
    </row>
    <row r="112" spans="1:23">
      <c r="A112" s="16"/>
      <c r="B112" s="16"/>
      <c r="C112" s="16"/>
      <c r="D112" s="16"/>
      <c r="E112" s="16"/>
      <c r="F112" s="16"/>
      <c r="G112" s="16"/>
      <c r="H112" s="16"/>
      <c r="I112" s="17"/>
      <c r="J112" s="17"/>
      <c r="K112" s="17"/>
      <c r="L112" s="17"/>
      <c r="M112" s="17"/>
      <c r="N112" s="16"/>
      <c r="O112" s="16"/>
      <c r="P112" s="16"/>
      <c r="Q112" s="16"/>
      <c r="R112" s="16"/>
      <c r="S112" s="16"/>
      <c r="T112" s="16"/>
      <c r="U112" s="16"/>
      <c r="V112" s="16"/>
      <c r="W112" s="16"/>
    </row>
    <row r="113" spans="1:23">
      <c r="A113" s="16"/>
      <c r="B113" s="16"/>
      <c r="C113" s="16"/>
      <c r="D113" s="16"/>
      <c r="E113" s="16"/>
      <c r="F113" s="16"/>
      <c r="G113" s="16"/>
      <c r="H113" s="16"/>
      <c r="I113" s="17"/>
      <c r="J113" s="17"/>
      <c r="K113" s="17"/>
      <c r="L113" s="17"/>
      <c r="M113" s="17"/>
      <c r="N113" s="16"/>
      <c r="O113" s="16"/>
      <c r="P113" s="16"/>
      <c r="Q113" s="16"/>
      <c r="R113" s="16"/>
      <c r="S113" s="16"/>
      <c r="T113" s="16"/>
      <c r="U113" s="16"/>
      <c r="V113" s="16"/>
      <c r="W113" s="16"/>
    </row>
    <row r="114" spans="1:23">
      <c r="A114" s="16"/>
      <c r="B114" s="16"/>
      <c r="C114" s="16"/>
      <c r="D114" s="16"/>
      <c r="E114" s="16"/>
      <c r="F114" s="16"/>
      <c r="G114" s="16"/>
      <c r="H114" s="16"/>
      <c r="I114" s="17"/>
      <c r="J114" s="17"/>
      <c r="K114" s="17"/>
      <c r="L114" s="17"/>
      <c r="M114" s="17"/>
      <c r="N114" s="16"/>
      <c r="O114" s="16"/>
      <c r="P114" s="16"/>
      <c r="Q114" s="16"/>
      <c r="R114" s="16"/>
      <c r="S114" s="16"/>
      <c r="T114" s="16"/>
      <c r="U114" s="16"/>
      <c r="V114" s="16"/>
      <c r="W114" s="16"/>
    </row>
    <row r="115" spans="1:23">
      <c r="A115" s="16"/>
      <c r="B115" s="16"/>
      <c r="C115" s="16"/>
      <c r="D115" s="16"/>
      <c r="E115" s="16"/>
      <c r="F115" s="16"/>
      <c r="G115" s="16"/>
      <c r="H115" s="16"/>
      <c r="I115" s="17"/>
      <c r="J115" s="17"/>
      <c r="K115" s="17"/>
      <c r="L115" s="17"/>
      <c r="M115" s="17"/>
      <c r="N115" s="16"/>
      <c r="O115" s="16"/>
      <c r="P115" s="16"/>
      <c r="Q115" s="16"/>
      <c r="R115" s="16"/>
      <c r="S115" s="16"/>
      <c r="T115" s="16"/>
      <c r="U115" s="16"/>
      <c r="V115" s="16"/>
      <c r="W115" s="16"/>
    </row>
    <row r="116" spans="1:23">
      <c r="V116" s="16"/>
      <c r="W116" s="16"/>
    </row>
  </sheetData>
  <sortState ref="A6:Q43">
    <sortCondition ref="A6:A43"/>
  </sortState>
  <mergeCells count="46">
    <mergeCell ref="V3:W3"/>
    <mergeCell ref="W4:W5"/>
    <mergeCell ref="V57:W57"/>
    <mergeCell ref="V56:W56"/>
    <mergeCell ref="D90:D104"/>
    <mergeCell ref="H90:H104"/>
    <mergeCell ref="F58:H68"/>
    <mergeCell ref="D71:D89"/>
    <mergeCell ref="H71:H89"/>
    <mergeCell ref="V66:W66"/>
    <mergeCell ref="R59:R60"/>
    <mergeCell ref="V4:V5"/>
    <mergeCell ref="I4:I5"/>
    <mergeCell ref="E4:H4"/>
    <mergeCell ref="K4:K5"/>
    <mergeCell ref="A71:A88"/>
    <mergeCell ref="I71:M75"/>
    <mergeCell ref="I88:M90"/>
    <mergeCell ref="Q45:Q46"/>
    <mergeCell ref="I53:M53"/>
    <mergeCell ref="N51:P51"/>
    <mergeCell ref="N53:P53"/>
    <mergeCell ref="I76:L76"/>
    <mergeCell ref="A90:A104"/>
    <mergeCell ref="A58:A68"/>
    <mergeCell ref="P59:P60"/>
    <mergeCell ref="B56:C56"/>
    <mergeCell ref="Q59:Q60"/>
    <mergeCell ref="L44:L45"/>
    <mergeCell ref="M44:M45"/>
    <mergeCell ref="A1:U1"/>
    <mergeCell ref="A3:A5"/>
    <mergeCell ref="B3:B5"/>
    <mergeCell ref="C3:Q3"/>
    <mergeCell ref="C4:D5"/>
    <mergeCell ref="S4:S5"/>
    <mergeCell ref="T4:T5"/>
    <mergeCell ref="R3:R5"/>
    <mergeCell ref="U4:U5"/>
    <mergeCell ref="S3:T3"/>
    <mergeCell ref="L4:L5"/>
    <mergeCell ref="C2:I2"/>
    <mergeCell ref="J4:J5"/>
    <mergeCell ref="L2:M2"/>
    <mergeCell ref="A2:B2"/>
    <mergeCell ref="M4:M5"/>
  </mergeCells>
  <conditionalFormatting sqref="S31:U31 R9:T9 R6:R43 U29 S35:T35 U26:U27 U24 U19:U20 U36:U37 U43 U41 S33:U33">
    <cfRule type="cellIs" dxfId="8" priority="452" operator="equal">
      <formula>"CREME HP"</formula>
    </cfRule>
    <cfRule type="cellIs" dxfId="7" priority="453" stopIfTrue="1" operator="equal">
      <formula>"O"</formula>
    </cfRule>
  </conditionalFormatting>
  <conditionalFormatting sqref="R42 R29 R32 R34 E43:H43 E28:H28 R19:R20 R13:R15 R6:R8 R36:R40 C6:D43">
    <cfRule type="cellIs" dxfId="6" priority="446" operator="equal">
      <formula>"SSEL"</formula>
    </cfRule>
    <cfRule type="cellIs" dxfId="5" priority="447" operator="equal">
      <formula>"SSU"</formula>
    </cfRule>
  </conditionalFormatting>
  <conditionalFormatting sqref="J44 L44 J6 J10 J14 J19 J29 J31 J34 J39 L10 M6:M43">
    <cfRule type="containsText" dxfId="4" priority="344" operator="containsText" text="EG">
      <formula>NOT(ISERROR(SEARCH("EG",J6)))</formula>
    </cfRule>
  </conditionalFormatting>
  <conditionalFormatting sqref="E6:H43">
    <cfRule type="cellIs" dxfId="3" priority="337" operator="equal">
      <formula>"HC"</formula>
    </cfRule>
    <cfRule type="cellIs" dxfId="2" priority="339" operator="equal">
      <formula>"M"</formula>
    </cfRule>
    <cfRule type="cellIs" dxfId="1" priority="340" operator="equal">
      <formula>"E"</formula>
    </cfRule>
  </conditionalFormatting>
  <dataValidations count="3">
    <dataValidation type="list" allowBlank="1" showInputMessage="1" showErrorMessage="1" sqref="I14 I6 J16:J17 J20">
      <formula1>Pain_mie</formula1>
    </dataValidation>
    <dataValidation type="list" allowBlank="1" showInputMessage="1" showErrorMessage="1" sqref="G34">
      <formula1>Texture</formula1>
    </dataValidation>
    <dataValidation type="list" allowBlank="1" showInputMessage="1" showErrorMessage="1" sqref="W6:W43">
      <formula1>BDD!$T$28:$T$36</formula1>
    </dataValidation>
  </dataValidations>
  <pageMargins left="0" right="0" top="0" bottom="0" header="0.51181102362204722" footer="0.51181102362204722"/>
  <pageSetup paperSize="9" scale="90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0">
    <tabColor theme="5" tint="0.39997558519241921"/>
  </sheetPr>
  <dimension ref="A1:V88"/>
  <sheetViews>
    <sheetView zoomScaleNormal="100" workbookViewId="0">
      <selection activeCell="C24" sqref="C24:E24"/>
    </sheetView>
  </sheetViews>
  <sheetFormatPr baseColWidth="10" defaultRowHeight="12.75"/>
  <cols>
    <col min="1" max="1" width="3.7109375" customWidth="1"/>
    <col min="2" max="2" width="18.7109375" customWidth="1"/>
    <col min="3" max="3" width="4.7109375" customWidth="1"/>
    <col min="4" max="4" width="2.28515625" customWidth="1"/>
    <col min="5" max="5" width="0.7109375" customWidth="1"/>
    <col min="6" max="6" width="17.140625" customWidth="1"/>
    <col min="7" max="7" width="5" customWidth="1"/>
    <col min="8" max="8" width="2.28515625" customWidth="1"/>
    <col min="9" max="9" width="1.42578125" customWidth="1"/>
    <col min="10" max="10" width="11.42578125" customWidth="1"/>
    <col min="11" max="13" width="4.7109375" customWidth="1"/>
    <col min="14" max="14" width="16" customWidth="1"/>
    <col min="15" max="17" width="4.7109375" customWidth="1"/>
  </cols>
  <sheetData>
    <row r="1" spans="1:22" ht="23.1" customHeight="1" thickBot="1">
      <c r="A1" s="840" t="s">
        <v>431</v>
      </c>
      <c r="B1" s="840"/>
      <c r="C1" s="840"/>
      <c r="D1" s="840"/>
      <c r="E1" s="840"/>
      <c r="F1" s="840"/>
      <c r="G1" s="840"/>
      <c r="H1" s="840"/>
      <c r="I1" s="840"/>
      <c r="J1" s="840"/>
      <c r="K1" s="840"/>
      <c r="L1" s="840"/>
      <c r="M1" s="840"/>
      <c r="N1" s="840"/>
      <c r="O1" s="840"/>
      <c r="P1" s="840"/>
      <c r="Q1" s="840"/>
    </row>
    <row r="2" spans="1:22" ht="15" customHeight="1" thickTop="1">
      <c r="A2" s="4"/>
      <c r="B2" s="644" t="s">
        <v>84</v>
      </c>
      <c r="C2" s="644"/>
      <c r="D2" s="672">
        <f ca="1">TODAY()</f>
        <v>44064</v>
      </c>
      <c r="E2" s="672"/>
      <c r="F2" s="672"/>
      <c r="G2" s="672"/>
      <c r="H2" s="673">
        <f ca="1">NOW()</f>
        <v>44064.421705208333</v>
      </c>
      <c r="I2" s="673"/>
      <c r="J2" s="673"/>
      <c r="K2" s="4"/>
      <c r="L2" s="4"/>
      <c r="M2" s="4"/>
      <c r="N2" s="4"/>
      <c r="O2" s="4"/>
      <c r="P2" s="4"/>
      <c r="Q2" s="4"/>
    </row>
    <row r="3" spans="1:22" ht="15" customHeight="1">
      <c r="A3" s="4"/>
      <c r="B3" s="474"/>
      <c r="C3" s="474"/>
      <c r="D3" s="476"/>
      <c r="E3" s="476"/>
      <c r="F3" s="476"/>
      <c r="G3" s="476"/>
      <c r="H3" s="477"/>
      <c r="I3" s="477"/>
      <c r="J3" s="477"/>
      <c r="K3" s="4"/>
      <c r="L3" s="4"/>
      <c r="M3" s="4"/>
      <c r="N3" s="4"/>
      <c r="O3" s="4"/>
      <c r="P3" s="4"/>
      <c r="Q3" s="4"/>
    </row>
    <row r="4" spans="1:22" ht="15" customHeight="1">
      <c r="A4" s="674" t="s">
        <v>365</v>
      </c>
      <c r="B4" s="674"/>
      <c r="C4" s="674"/>
      <c r="D4" s="674"/>
      <c r="E4" s="674"/>
      <c r="F4" s="674"/>
      <c r="G4" s="674"/>
      <c r="H4" s="674"/>
      <c r="I4" s="674"/>
      <c r="J4" s="674"/>
      <c r="K4" s="674"/>
      <c r="L4" s="674"/>
      <c r="M4" s="674"/>
      <c r="N4" s="674"/>
      <c r="O4" s="674"/>
      <c r="P4" s="674"/>
      <c r="Q4" s="674"/>
    </row>
    <row r="5" spans="1:22" ht="17.100000000000001" customHeight="1">
      <c r="A5" s="675" t="s">
        <v>370</v>
      </c>
      <c r="B5" s="848" t="s">
        <v>99</v>
      </c>
      <c r="C5" s="848"/>
      <c r="D5" s="848"/>
      <c r="E5" s="848"/>
      <c r="F5" s="848"/>
      <c r="G5" s="848"/>
      <c r="H5" s="522"/>
      <c r="I5" s="523"/>
      <c r="J5" s="848" t="s">
        <v>100</v>
      </c>
      <c r="K5" s="848"/>
      <c r="L5" s="848"/>
      <c r="M5" s="848"/>
      <c r="N5" s="848"/>
      <c r="O5" s="848"/>
      <c r="P5" s="848"/>
      <c r="Q5" s="848"/>
    </row>
    <row r="6" spans="1:22" ht="17.100000000000001" customHeight="1">
      <c r="A6" s="675"/>
      <c r="B6" s="622" t="s">
        <v>336</v>
      </c>
      <c r="C6" s="512"/>
      <c r="D6" s="512"/>
      <c r="E6" s="512"/>
      <c r="F6" s="512"/>
      <c r="G6" s="512"/>
      <c r="H6" s="480"/>
      <c r="I6" s="512"/>
      <c r="J6" s="478" t="s">
        <v>336</v>
      </c>
      <c r="K6" s="479"/>
      <c r="L6" s="479"/>
      <c r="M6" s="479"/>
      <c r="N6" s="479"/>
      <c r="O6" s="479"/>
      <c r="P6" s="479"/>
      <c r="Q6" s="479"/>
      <c r="S6" s="17"/>
      <c r="T6" s="17"/>
      <c r="U6" s="17"/>
      <c r="V6" s="17"/>
    </row>
    <row r="7" spans="1:22" ht="17.100000000000001" customHeight="1">
      <c r="A7" s="675"/>
      <c r="B7" s="481" t="s">
        <v>369</v>
      </c>
      <c r="C7" s="482"/>
      <c r="D7" s="680">
        <v>44068</v>
      </c>
      <c r="E7" s="681"/>
      <c r="F7" s="682"/>
      <c r="G7" s="512"/>
      <c r="H7" s="480"/>
      <c r="I7" s="512"/>
      <c r="J7" s="478"/>
      <c r="K7" s="479"/>
      <c r="L7" s="479"/>
      <c r="M7" s="479"/>
      <c r="N7" s="479"/>
      <c r="O7" s="479"/>
      <c r="P7" s="479"/>
      <c r="Q7" s="479"/>
      <c r="S7" s="17"/>
      <c r="T7" s="17"/>
      <c r="U7" s="17"/>
      <c r="V7" s="24"/>
    </row>
    <row r="8" spans="1:22" ht="17.100000000000001" customHeight="1">
      <c r="A8" s="675"/>
      <c r="B8" s="547" t="s">
        <v>215</v>
      </c>
      <c r="C8" s="518">
        <v>11</v>
      </c>
      <c r="D8" s="485"/>
      <c r="E8" s="486"/>
      <c r="F8" s="607" t="s">
        <v>159</v>
      </c>
      <c r="G8" s="520">
        <v>11</v>
      </c>
      <c r="H8" s="480"/>
      <c r="I8" s="512"/>
      <c r="J8" s="525" t="s">
        <v>124</v>
      </c>
      <c r="K8" s="525"/>
      <c r="L8" s="488"/>
      <c r="M8" s="489"/>
      <c r="N8" s="490"/>
      <c r="O8" s="491"/>
      <c r="P8" s="492"/>
      <c r="Q8" s="492"/>
      <c r="S8" s="17"/>
      <c r="T8" s="17"/>
      <c r="U8" s="17"/>
      <c r="V8" s="24"/>
    </row>
    <row r="9" spans="1:22" ht="17.100000000000001" customHeight="1">
      <c r="A9" s="675"/>
      <c r="B9" s="547" t="s">
        <v>362</v>
      </c>
      <c r="C9" s="518">
        <v>23</v>
      </c>
      <c r="D9" s="493"/>
      <c r="E9" s="494"/>
      <c r="F9" s="608" t="s">
        <v>216</v>
      </c>
      <c r="G9" s="518">
        <v>0</v>
      </c>
      <c r="H9" s="480"/>
      <c r="I9" s="512"/>
      <c r="J9" s="496" t="s">
        <v>309</v>
      </c>
      <c r="K9" s="521">
        <v>4</v>
      </c>
      <c r="L9" s="497" t="s">
        <v>327</v>
      </c>
      <c r="M9" s="527"/>
      <c r="N9" s="495"/>
      <c r="O9" s="499"/>
      <c r="P9" s="499"/>
      <c r="Q9" s="499"/>
      <c r="S9" s="17"/>
      <c r="T9" s="17"/>
      <c r="U9" s="17"/>
      <c r="V9" s="24"/>
    </row>
    <row r="10" spans="1:22" ht="17.100000000000001" customHeight="1">
      <c r="A10" s="675"/>
      <c r="B10" s="547" t="s">
        <v>371</v>
      </c>
      <c r="C10" s="518">
        <v>18</v>
      </c>
      <c r="D10" s="493"/>
      <c r="E10" s="494"/>
      <c r="F10" s="609" t="s">
        <v>412</v>
      </c>
      <c r="G10" s="518">
        <v>4</v>
      </c>
      <c r="H10" s="480"/>
      <c r="I10" s="512"/>
      <c r="J10" s="501" t="s">
        <v>285</v>
      </c>
      <c r="K10" s="519">
        <v>0</v>
      </c>
      <c r="L10" s="529"/>
      <c r="M10" s="529"/>
      <c r="N10" s="502" t="s">
        <v>286</v>
      </c>
      <c r="O10" s="519">
        <v>4</v>
      </c>
      <c r="P10" s="497" t="s">
        <v>325</v>
      </c>
      <c r="Q10" s="497"/>
      <c r="S10" s="548"/>
      <c r="T10" s="24"/>
      <c r="U10" s="24"/>
      <c r="V10" s="24"/>
    </row>
    <row r="11" spans="1:22" ht="17.100000000000001" customHeight="1">
      <c r="A11" s="675"/>
      <c r="B11" s="547" t="s">
        <v>137</v>
      </c>
      <c r="C11" s="518">
        <v>1</v>
      </c>
      <c r="D11" s="549"/>
      <c r="E11" s="500"/>
      <c r="F11" s="610" t="s">
        <v>414</v>
      </c>
      <c r="G11" s="611">
        <f>'SERVICE1-List'!M43*G10</f>
        <v>72</v>
      </c>
      <c r="H11" s="480"/>
      <c r="I11" s="512"/>
      <c r="J11" s="501" t="s">
        <v>287</v>
      </c>
      <c r="K11" s="519">
        <v>0</v>
      </c>
      <c r="L11" s="531"/>
      <c r="M11" s="532"/>
      <c r="N11" s="502" t="s">
        <v>286</v>
      </c>
      <c r="O11" s="519">
        <v>4</v>
      </c>
      <c r="P11" s="497" t="s">
        <v>326</v>
      </c>
      <c r="Q11" s="497"/>
    </row>
    <row r="12" spans="1:22" ht="17.100000000000001" customHeight="1">
      <c r="A12" s="675"/>
      <c r="B12" s="606" t="s">
        <v>413</v>
      </c>
      <c r="C12" s="536"/>
      <c r="D12" s="537"/>
      <c r="E12" s="537"/>
      <c r="F12" s="536"/>
      <c r="G12" s="536"/>
      <c r="H12" s="538"/>
      <c r="I12" s="536"/>
      <c r="J12" s="539"/>
      <c r="K12" s="536"/>
      <c r="L12" s="536"/>
      <c r="M12" s="536"/>
      <c r="N12" s="536"/>
      <c r="O12" s="536"/>
      <c r="P12" s="536"/>
      <c r="Q12" s="536"/>
    </row>
    <row r="13" spans="1:22" ht="17.100000000000001" customHeight="1">
      <c r="A13" s="675"/>
      <c r="B13" s="850" t="s">
        <v>422</v>
      </c>
      <c r="C13" s="851"/>
      <c r="D13" s="851"/>
      <c r="E13" s="851"/>
      <c r="F13" s="851"/>
      <c r="G13" s="512"/>
      <c r="H13" s="480"/>
      <c r="I13" s="512"/>
      <c r="J13" s="478"/>
      <c r="K13" s="479"/>
      <c r="L13" s="479"/>
      <c r="M13" s="479"/>
      <c r="N13" s="479"/>
      <c r="O13" s="479"/>
      <c r="P13" s="479"/>
      <c r="Q13" s="479"/>
    </row>
    <row r="14" spans="1:22" ht="17.100000000000001" customHeight="1">
      <c r="A14" s="675"/>
      <c r="B14" s="507" t="s">
        <v>367</v>
      </c>
      <c r="C14" s="518">
        <v>2</v>
      </c>
      <c r="D14" s="512"/>
      <c r="E14" s="512"/>
      <c r="F14" s="617" t="s">
        <v>421</v>
      </c>
      <c r="G14" s="518">
        <v>2</v>
      </c>
      <c r="H14" s="480"/>
      <c r="I14" s="512"/>
      <c r="J14" s="507" t="s">
        <v>343</v>
      </c>
      <c r="K14" s="479"/>
      <c r="L14" s="479"/>
      <c r="M14" s="518">
        <v>2</v>
      </c>
      <c r="N14" s="479"/>
      <c r="O14" s="479"/>
      <c r="P14" s="479"/>
      <c r="Q14" s="479"/>
    </row>
    <row r="15" spans="1:22" ht="17.100000000000001" customHeight="1">
      <c r="A15" s="675"/>
      <c r="B15" s="603" t="s">
        <v>415</v>
      </c>
      <c r="C15" s="518">
        <v>5</v>
      </c>
      <c r="D15" s="512"/>
      <c r="E15" s="512"/>
      <c r="F15" s="512"/>
      <c r="G15" s="512"/>
      <c r="H15" s="480"/>
      <c r="I15" s="512"/>
      <c r="J15" s="507" t="s">
        <v>345</v>
      </c>
      <c r="K15" s="533"/>
      <c r="L15" s="533"/>
      <c r="M15" s="518">
        <v>10</v>
      </c>
      <c r="N15" s="479"/>
      <c r="O15" s="479"/>
      <c r="P15" s="479"/>
      <c r="Q15" s="479"/>
    </row>
    <row r="16" spans="1:22" ht="17.100000000000001" customHeight="1">
      <c r="A16" s="675"/>
      <c r="B16" s="478" t="s">
        <v>427</v>
      </c>
      <c r="C16" s="844"/>
      <c r="D16" s="845"/>
      <c r="E16" s="845"/>
      <c r="F16" s="846"/>
      <c r="G16" s="512"/>
      <c r="H16" s="480"/>
      <c r="I16" s="512"/>
      <c r="J16" s="478"/>
      <c r="K16" s="479"/>
      <c r="L16" s="479"/>
      <c r="M16" s="479"/>
      <c r="N16" s="479"/>
      <c r="O16" s="479"/>
      <c r="P16" s="479"/>
      <c r="Q16" s="479"/>
    </row>
    <row r="17" spans="1:17" ht="17.100000000000001" customHeight="1">
      <c r="A17" s="675"/>
      <c r="B17" s="547" t="s">
        <v>333</v>
      </c>
      <c r="C17" s="519" t="s">
        <v>221</v>
      </c>
      <c r="D17" s="509"/>
      <c r="E17" s="510"/>
      <c r="F17" s="547" t="s">
        <v>334</v>
      </c>
      <c r="G17" s="519" t="s">
        <v>335</v>
      </c>
      <c r="H17" s="511"/>
      <c r="I17" s="479"/>
      <c r="J17" s="483" t="s">
        <v>333</v>
      </c>
      <c r="K17" s="519" t="s">
        <v>221</v>
      </c>
      <c r="L17" s="479"/>
      <c r="M17" s="510"/>
      <c r="N17" s="483" t="s">
        <v>334</v>
      </c>
      <c r="O17" s="519" t="s">
        <v>335</v>
      </c>
      <c r="P17" s="479"/>
      <c r="Q17" s="479"/>
    </row>
    <row r="18" spans="1:17" ht="17.100000000000001" customHeight="1">
      <c r="A18" s="675"/>
      <c r="B18" s="535"/>
      <c r="C18" s="536"/>
      <c r="D18" s="537"/>
      <c r="E18" s="537"/>
      <c r="F18" s="536"/>
      <c r="G18" s="536"/>
      <c r="H18" s="538"/>
      <c r="I18" s="536"/>
      <c r="J18" s="539"/>
      <c r="K18" s="536"/>
      <c r="L18" s="536"/>
      <c r="M18" s="536"/>
      <c r="N18" s="536"/>
      <c r="O18" s="536"/>
      <c r="P18" s="536"/>
      <c r="Q18" s="536"/>
    </row>
    <row r="19" spans="1:17" ht="17.100000000000001" customHeight="1">
      <c r="A19" s="675"/>
      <c r="B19" s="513" t="s">
        <v>200</v>
      </c>
      <c r="C19" s="479"/>
      <c r="D19" s="479"/>
      <c r="E19" s="479"/>
      <c r="F19" s="479"/>
      <c r="G19" s="479"/>
      <c r="H19" s="480"/>
      <c r="I19" s="512"/>
      <c r="J19" s="513" t="s">
        <v>200</v>
      </c>
      <c r="K19" s="479"/>
      <c r="L19" s="479"/>
      <c r="M19" s="479"/>
      <c r="N19" s="479"/>
      <c r="O19" s="479"/>
      <c r="P19" s="479"/>
      <c r="Q19" s="479"/>
    </row>
    <row r="20" spans="1:17" ht="17.100000000000001" customHeight="1">
      <c r="A20" s="675"/>
      <c r="B20" s="560" t="s">
        <v>103</v>
      </c>
      <c r="C20" s="518">
        <v>8</v>
      </c>
      <c r="D20" s="515"/>
      <c r="E20" s="516"/>
      <c r="F20" s="514" t="s">
        <v>199</v>
      </c>
      <c r="G20" s="518">
        <v>20</v>
      </c>
      <c r="H20" s="480"/>
      <c r="I20" s="512"/>
      <c r="J20" s="514" t="s">
        <v>103</v>
      </c>
      <c r="K20" s="518">
        <v>10</v>
      </c>
      <c r="L20" s="515"/>
      <c r="M20" s="517"/>
      <c r="N20" s="514" t="s">
        <v>199</v>
      </c>
      <c r="O20" s="518">
        <v>20</v>
      </c>
      <c r="P20" s="479"/>
      <c r="Q20" s="479"/>
    </row>
    <row r="21" spans="1:17" ht="17.100000000000001" customHeight="1">
      <c r="A21" s="675"/>
      <c r="B21" s="560" t="s">
        <v>219</v>
      </c>
      <c r="C21" s="518">
        <v>0</v>
      </c>
      <c r="D21" s="534"/>
      <c r="E21" s="510"/>
      <c r="F21" s="514" t="s">
        <v>140</v>
      </c>
      <c r="G21" s="518">
        <v>0</v>
      </c>
      <c r="H21" s="480"/>
      <c r="I21" s="512"/>
      <c r="J21" s="514" t="s">
        <v>219</v>
      </c>
      <c r="K21" s="518">
        <v>0</v>
      </c>
      <c r="L21" s="479"/>
      <c r="M21" s="479"/>
      <c r="N21" s="514" t="s">
        <v>140</v>
      </c>
      <c r="O21" s="518">
        <v>0</v>
      </c>
      <c r="P21" s="479"/>
      <c r="Q21" s="479"/>
    </row>
    <row r="22" spans="1:17" ht="17.100000000000001" customHeight="1">
      <c r="A22" s="675"/>
      <c r="B22" s="561" t="s">
        <v>368</v>
      </c>
      <c r="C22" s="518">
        <v>0</v>
      </c>
      <c r="D22" s="479"/>
      <c r="E22" s="479"/>
      <c r="F22" s="479"/>
      <c r="G22" s="479"/>
      <c r="H22" s="480"/>
      <c r="I22" s="512"/>
      <c r="J22" s="479"/>
      <c r="K22" s="479"/>
      <c r="L22" s="479"/>
      <c r="M22" s="479"/>
      <c r="N22" s="479"/>
      <c r="O22" s="479"/>
      <c r="P22" s="479"/>
      <c r="Q22" s="479"/>
    </row>
    <row r="23" spans="1:17" ht="17.100000000000001" customHeight="1">
      <c r="A23" s="675"/>
      <c r="B23" s="479"/>
      <c r="C23" s="479"/>
      <c r="D23" s="479"/>
      <c r="E23" s="479"/>
      <c r="F23" s="479"/>
      <c r="G23" s="479"/>
      <c r="H23" s="480"/>
      <c r="I23" s="479"/>
      <c r="J23" s="479"/>
      <c r="K23" s="479"/>
      <c r="L23" s="479"/>
      <c r="M23" s="479"/>
      <c r="N23" s="479"/>
      <c r="O23" s="479"/>
      <c r="P23" s="479"/>
      <c r="Q23" s="479"/>
    </row>
    <row r="24" spans="1:17" s="1" customFormat="1" ht="17.100000000000001" customHeight="1">
      <c r="A24" s="675"/>
      <c r="B24" s="562" t="s">
        <v>376</v>
      </c>
      <c r="C24" s="841" t="s">
        <v>7</v>
      </c>
      <c r="D24" s="842"/>
      <c r="E24" s="843"/>
      <c r="F24" s="533"/>
      <c r="G24" s="533"/>
      <c r="H24" s="480"/>
      <c r="I24" s="512"/>
      <c r="J24" s="562" t="s">
        <v>376</v>
      </c>
      <c r="K24" s="841" t="s">
        <v>7</v>
      </c>
      <c r="L24" s="842"/>
      <c r="M24" s="843"/>
      <c r="N24" s="533"/>
      <c r="O24" s="533"/>
      <c r="P24" s="533"/>
      <c r="Q24" s="533"/>
    </row>
    <row r="25" spans="1:17" ht="17.100000000000001" customHeight="1">
      <c r="A25" s="4"/>
      <c r="B25" s="4"/>
      <c r="C25" s="4"/>
      <c r="D25" s="4"/>
      <c r="E25" s="4"/>
      <c r="F25" s="4"/>
      <c r="G25" s="4"/>
      <c r="H25" s="34"/>
      <c r="I25" s="34"/>
      <c r="J25" s="4"/>
      <c r="K25" s="4"/>
      <c r="L25" s="4"/>
      <c r="M25" s="4"/>
      <c r="N25" s="4"/>
      <c r="O25" s="4"/>
      <c r="P25" s="4"/>
      <c r="Q25" s="4"/>
    </row>
    <row r="26" spans="1:17" ht="23.1" customHeight="1">
      <c r="A26" s="4"/>
      <c r="B26" s="683" t="s">
        <v>423</v>
      </c>
      <c r="C26" s="683"/>
      <c r="D26" s="683"/>
      <c r="E26" s="683"/>
      <c r="F26" s="683"/>
      <c r="G26" s="683"/>
      <c r="H26" s="683"/>
      <c r="I26" s="683"/>
      <c r="J26" s="683"/>
      <c r="K26" s="683"/>
      <c r="L26" s="683"/>
      <c r="M26" s="683"/>
      <c r="N26" s="683"/>
      <c r="O26" s="683"/>
      <c r="P26" s="683"/>
      <c r="Q26" s="683"/>
    </row>
    <row r="27" spans="1:17" s="1" customFormat="1" ht="16.5" customHeight="1">
      <c r="A27" s="676" t="s">
        <v>366</v>
      </c>
      <c r="B27" s="810" t="s">
        <v>99</v>
      </c>
      <c r="C27" s="810"/>
      <c r="D27" s="810"/>
      <c r="E27" s="810"/>
      <c r="F27" s="810"/>
      <c r="G27" s="810">
        <f>'SERVICE1-List'!S2</f>
        <v>30</v>
      </c>
      <c r="H27" s="810"/>
      <c r="I27" s="7"/>
      <c r="J27" s="810" t="s">
        <v>100</v>
      </c>
      <c r="K27" s="810"/>
      <c r="L27" s="810"/>
      <c r="M27" s="810"/>
      <c r="N27" s="810"/>
      <c r="O27" s="810"/>
      <c r="P27" s="810">
        <f>'SERVICE1-List'!T2</f>
        <v>36</v>
      </c>
      <c r="Q27" s="810"/>
    </row>
    <row r="28" spans="1:17" s="1" customFormat="1" ht="15" customHeight="1">
      <c r="A28" s="676"/>
      <c r="B28" s="810"/>
      <c r="C28" s="810"/>
      <c r="D28" s="810"/>
      <c r="E28" s="810"/>
      <c r="F28" s="810"/>
      <c r="G28" s="810"/>
      <c r="H28" s="810"/>
      <c r="I28" s="34"/>
      <c r="J28" s="810"/>
      <c r="K28" s="810"/>
      <c r="L28" s="810"/>
      <c r="M28" s="810"/>
      <c r="N28" s="810"/>
      <c r="O28" s="810"/>
      <c r="P28" s="810"/>
      <c r="Q28" s="810"/>
    </row>
    <row r="29" spans="1:17" s="1" customFormat="1" ht="12.75" customHeight="1">
      <c r="A29" s="676"/>
      <c r="B29" s="37"/>
      <c r="C29" s="37"/>
      <c r="D29" s="37"/>
      <c r="E29" s="34"/>
      <c r="F29" s="34"/>
      <c r="G29" s="34"/>
      <c r="H29" s="34"/>
      <c r="I29" s="34"/>
      <c r="J29" s="37"/>
      <c r="K29" s="37"/>
      <c r="L29" s="37"/>
      <c r="M29" s="4"/>
      <c r="N29" s="7"/>
      <c r="O29" s="7"/>
      <c r="P29" s="7"/>
      <c r="Q29" s="7"/>
    </row>
    <row r="30" spans="1:17" s="6" customFormat="1" ht="17.100000000000001" customHeight="1">
      <c r="A30" s="676"/>
      <c r="B30" s="281" t="s">
        <v>288</v>
      </c>
      <c r="C30" s="288">
        <f>C31+G31+C32+C33+C34+G32</f>
        <v>30</v>
      </c>
      <c r="D30" s="53"/>
      <c r="E30" s="40"/>
      <c r="F30" s="40"/>
      <c r="G30" s="40"/>
      <c r="H30" s="280"/>
      <c r="I30" s="38"/>
      <c r="J30" s="36"/>
      <c r="K30" s="36"/>
      <c r="L30" s="36"/>
      <c r="M30" s="36"/>
      <c r="N30" s="36"/>
      <c r="O30" s="36"/>
      <c r="P30" s="36"/>
      <c r="Q30" s="36"/>
    </row>
    <row r="31" spans="1:17" s="6" customFormat="1" ht="17.100000000000001" customHeight="1">
      <c r="A31" s="676"/>
      <c r="B31" s="54" t="s">
        <v>289</v>
      </c>
      <c r="C31" s="311">
        <f>'SERVICE1-List'!C61+'SERVICE1-List'!C62+'SERVICE1-List'!C64</f>
        <v>5</v>
      </c>
      <c r="D31" s="54"/>
      <c r="E31" s="55"/>
      <c r="F31" s="54" t="s">
        <v>125</v>
      </c>
      <c r="G31" s="311">
        <f>'SERVICE1-List'!C66</f>
        <v>0</v>
      </c>
      <c r="H31" s="292"/>
      <c r="I31" s="40"/>
      <c r="J31" s="36"/>
      <c r="K31" s="36"/>
      <c r="L31" s="36"/>
      <c r="M31" s="36"/>
      <c r="N31" s="36"/>
      <c r="O31" s="36"/>
      <c r="P31" s="36"/>
      <c r="Q31" s="36"/>
    </row>
    <row r="32" spans="1:17" s="6" customFormat="1" ht="17.100000000000001" customHeight="1">
      <c r="A32" s="676"/>
      <c r="B32" s="55" t="s">
        <v>290</v>
      </c>
      <c r="C32" s="313">
        <f>'SERVICE1-List'!C67+'SERVICE1-List'!C69+'SERVICE1-List'!C68</f>
        <v>23</v>
      </c>
      <c r="D32" s="54"/>
      <c r="E32" s="56"/>
      <c r="F32" s="56" t="s">
        <v>205</v>
      </c>
      <c r="G32" s="312">
        <f>'SERVICE1-List'!C71</f>
        <v>1</v>
      </c>
      <c r="H32" s="292"/>
      <c r="I32" s="40"/>
      <c r="J32" s="36"/>
      <c r="K32" s="36"/>
      <c r="L32" s="36"/>
      <c r="M32" s="36"/>
      <c r="N32" s="36"/>
      <c r="O32" s="36"/>
      <c r="P32" s="36"/>
      <c r="Q32" s="36"/>
    </row>
    <row r="33" spans="1:17" s="6" customFormat="1" ht="17.100000000000001" customHeight="1">
      <c r="A33" s="676"/>
      <c r="B33" s="56" t="s">
        <v>204</v>
      </c>
      <c r="C33" s="312">
        <f>'SERVICE1-List'!C70</f>
        <v>0</v>
      </c>
      <c r="D33" s="54"/>
      <c r="E33" s="56"/>
      <c r="F33" s="271"/>
      <c r="G33" s="272"/>
      <c r="H33" s="293"/>
      <c r="I33" s="41"/>
      <c r="J33" s="36"/>
      <c r="K33" s="36"/>
      <c r="L33" s="36"/>
      <c r="M33" s="36"/>
      <c r="N33" s="36"/>
      <c r="O33" s="36"/>
      <c r="P33" s="36"/>
      <c r="Q33" s="36"/>
    </row>
    <row r="34" spans="1:17" s="6" customFormat="1" ht="17.100000000000001" customHeight="1">
      <c r="A34" s="676"/>
      <c r="B34" s="399" t="s">
        <v>338</v>
      </c>
      <c r="C34" s="312">
        <f>+'SERVICE1-List'!C73</f>
        <v>1</v>
      </c>
      <c r="D34" s="36"/>
      <c r="F34" s="271"/>
      <c r="G34" s="272"/>
      <c r="H34" s="293"/>
      <c r="I34" s="41"/>
      <c r="J34" s="270"/>
      <c r="K34" s="269"/>
      <c r="L34" s="269"/>
      <c r="M34" s="269"/>
      <c r="N34" s="39"/>
      <c r="O34" s="36"/>
      <c r="P34" s="268"/>
      <c r="Q34" s="39"/>
    </row>
    <row r="35" spans="1:17" s="6" customFormat="1" ht="17.100000000000001" customHeight="1">
      <c r="A35" s="676"/>
      <c r="B35" s="289" t="s">
        <v>122</v>
      </c>
      <c r="C35" s="291">
        <f>C36+C37+G36+G37+C38</f>
        <v>13</v>
      </c>
      <c r="D35" s="314"/>
      <c r="E35" s="300"/>
      <c r="F35" s="300"/>
      <c r="G35" s="300"/>
      <c r="H35" s="299"/>
      <c r="I35" s="300"/>
      <c r="J35" s="290" t="s">
        <v>122</v>
      </c>
      <c r="K35" s="290"/>
      <c r="L35" s="291">
        <f>L36+L37+O36+O37+L38</f>
        <v>18</v>
      </c>
      <c r="M35" s="304"/>
      <c r="N35" s="304"/>
      <c r="O35" s="304"/>
      <c r="P35" s="36"/>
      <c r="Q35" s="36"/>
    </row>
    <row r="36" spans="1:17" s="6" customFormat="1" ht="17.100000000000001" customHeight="1">
      <c r="A36" s="676"/>
      <c r="B36" s="315" t="s">
        <v>291</v>
      </c>
      <c r="C36" s="316">
        <f>'SERVICE1-List'!C74+'SERVICE1-List'!C75+'SERVICE1-List'!C78</f>
        <v>3</v>
      </c>
      <c r="D36" s="315"/>
      <c r="E36" s="317"/>
      <c r="F36" s="315" t="s">
        <v>272</v>
      </c>
      <c r="G36" s="316">
        <f>'SERVICE1-List'!C76</f>
        <v>0</v>
      </c>
      <c r="H36" s="299"/>
      <c r="I36" s="300"/>
      <c r="J36" s="318" t="s">
        <v>296</v>
      </c>
      <c r="K36" s="318"/>
      <c r="L36" s="316">
        <f>'SERVICE1-List'!F74+'SERVICE1-List'!F75</f>
        <v>7</v>
      </c>
      <c r="M36" s="319"/>
      <c r="N36" s="315" t="s">
        <v>273</v>
      </c>
      <c r="O36" s="316">
        <f>'SERVICE1-List'!F76</f>
        <v>0</v>
      </c>
      <c r="P36" s="36"/>
      <c r="Q36" s="36"/>
    </row>
    <row r="37" spans="1:17" s="6" customFormat="1" ht="17.100000000000001" customHeight="1">
      <c r="A37" s="676"/>
      <c r="B37" s="317" t="s">
        <v>292</v>
      </c>
      <c r="C37" s="320">
        <f>'SERVICE1-List'!C80+'SERVICE1-List'!C81+'SERVICE1-List'!C82</f>
        <v>9</v>
      </c>
      <c r="D37" s="315"/>
      <c r="E37" s="317"/>
      <c r="F37" s="317" t="s">
        <v>126</v>
      </c>
      <c r="G37" s="320">
        <f>'SERVICE1-List'!C84</f>
        <v>1</v>
      </c>
      <c r="H37" s="299"/>
      <c r="I37" s="300"/>
      <c r="J37" s="319" t="s">
        <v>297</v>
      </c>
      <c r="K37" s="321"/>
      <c r="L37" s="322">
        <f>'SERVICE1-List'!F80+'SERVICE1-List'!F81+'SERVICE1-List'!F82</f>
        <v>9</v>
      </c>
      <c r="M37" s="319"/>
      <c r="N37" s="317" t="s">
        <v>126</v>
      </c>
      <c r="O37" s="320">
        <f>'SERVICE1-List'!F84</f>
        <v>1</v>
      </c>
      <c r="P37" s="50"/>
      <c r="Q37" s="50"/>
    </row>
    <row r="38" spans="1:17" s="6" customFormat="1" ht="17.100000000000001" customHeight="1">
      <c r="A38" s="676"/>
      <c r="B38" s="400" t="s">
        <v>339</v>
      </c>
      <c r="C38" s="320">
        <f>'SERVICE1-List'!C92</f>
        <v>0</v>
      </c>
      <c r="D38" s="44"/>
      <c r="E38" s="43"/>
      <c r="F38" s="678" t="s">
        <v>340</v>
      </c>
      <c r="G38" s="678"/>
      <c r="H38" s="679"/>
      <c r="I38" s="43"/>
      <c r="J38" s="400" t="s">
        <v>339</v>
      </c>
      <c r="K38" s="39"/>
      <c r="L38" s="322">
        <f>'SERVICE1-List'!F93</f>
        <v>1</v>
      </c>
      <c r="M38" s="43"/>
      <c r="N38" s="678" t="s">
        <v>340</v>
      </c>
      <c r="O38" s="678"/>
      <c r="P38" s="678"/>
      <c r="Q38" s="50"/>
    </row>
    <row r="39" spans="1:17" s="6" customFormat="1" ht="17.100000000000001" customHeight="1">
      <c r="A39" s="676"/>
      <c r="B39" s="202" t="s">
        <v>129</v>
      </c>
      <c r="C39" s="203">
        <f>'SERVICE1-List'!C90</f>
        <v>16</v>
      </c>
      <c r="D39" s="36"/>
      <c r="E39" s="36"/>
      <c r="F39" s="678"/>
      <c r="G39" s="678"/>
      <c r="H39" s="679"/>
      <c r="I39" s="39"/>
      <c r="J39" s="849" t="s">
        <v>131</v>
      </c>
      <c r="K39" s="849"/>
      <c r="L39" s="203">
        <f>'SERVICE1-List'!F90</f>
        <v>18</v>
      </c>
      <c r="M39" s="36"/>
      <c r="N39" s="678"/>
      <c r="O39" s="678"/>
      <c r="P39" s="678"/>
      <c r="Q39" s="36"/>
    </row>
    <row r="40" spans="1:17" s="6" customFormat="1" ht="17.100000000000001" customHeight="1">
      <c r="A40" s="676"/>
      <c r="B40" s="39"/>
      <c r="C40" s="39"/>
      <c r="D40" s="39"/>
      <c r="E40" s="39"/>
      <c r="F40" s="39"/>
      <c r="G40" s="39"/>
      <c r="H40" s="64"/>
      <c r="I40" s="39"/>
      <c r="J40" s="39"/>
      <c r="K40" s="39"/>
      <c r="L40" s="39"/>
      <c r="M40" s="39"/>
      <c r="N40" s="39"/>
      <c r="O40" s="39"/>
      <c r="P40" s="36"/>
      <c r="Q40" s="36"/>
    </row>
    <row r="41" spans="1:17" s="6" customFormat="1" ht="17.100000000000001" customHeight="1">
      <c r="A41" s="676"/>
      <c r="B41" s="282" t="s">
        <v>309</v>
      </c>
      <c r="C41" s="283">
        <f>C42+C43+G42+G43+G44</f>
        <v>12</v>
      </c>
      <c r="D41" s="42"/>
      <c r="E41" s="43"/>
      <c r="F41" s="43"/>
      <c r="G41" s="43"/>
      <c r="H41" s="64"/>
      <c r="I41" s="36"/>
      <c r="J41" s="677" t="s">
        <v>309</v>
      </c>
      <c r="K41" s="677"/>
      <c r="L41" s="283">
        <f>L42+L43+O42+O43</f>
        <v>18</v>
      </c>
      <c r="M41" s="43"/>
      <c r="N41" s="43"/>
      <c r="O41" s="43"/>
      <c r="Q41" s="36"/>
    </row>
    <row r="42" spans="1:17" s="6" customFormat="1" ht="17.100000000000001" customHeight="1">
      <c r="A42" s="676"/>
      <c r="B42" s="44" t="s">
        <v>305</v>
      </c>
      <c r="C42" s="381">
        <f>'SERVICE1-List'!C86+'SERVICE1-List'!C87+'SERVICE1-List'!C88</f>
        <v>11</v>
      </c>
      <c r="D42" s="44"/>
      <c r="E42" s="43"/>
      <c r="F42" s="44" t="s">
        <v>125</v>
      </c>
      <c r="G42" s="381">
        <f>'SERVICE1-List'!C89</f>
        <v>0</v>
      </c>
      <c r="H42" s="64"/>
      <c r="I42" s="39"/>
      <c r="J42" s="126" t="s">
        <v>132</v>
      </c>
      <c r="K42" s="126"/>
      <c r="L42" s="381">
        <f>'SERVICE1-List'!F86+'SERVICE1-List'!F87+'SERVICE1-List'!F88</f>
        <v>15</v>
      </c>
      <c r="M42" s="43"/>
      <c r="N42" s="44" t="s">
        <v>125</v>
      </c>
      <c r="O42" s="381">
        <f>'SERVICE1-List'!F76</f>
        <v>0</v>
      </c>
      <c r="P42" s="58"/>
      <c r="Q42" s="36"/>
    </row>
    <row r="43" spans="1:17" s="6" customFormat="1" ht="17.100000000000001" customHeight="1">
      <c r="A43" s="676"/>
      <c r="B43" s="314" t="s">
        <v>127</v>
      </c>
      <c r="C43" s="382">
        <v>0</v>
      </c>
      <c r="D43" s="314"/>
      <c r="E43" s="300"/>
      <c r="F43" s="317" t="s">
        <v>281</v>
      </c>
      <c r="G43" s="383">
        <v>0</v>
      </c>
      <c r="H43" s="299"/>
      <c r="I43" s="300"/>
      <c r="J43" s="314" t="s">
        <v>127</v>
      </c>
      <c r="K43" s="314"/>
      <c r="L43" s="384">
        <f>L35-L42-O42-O43</f>
        <v>2</v>
      </c>
      <c r="M43" s="300"/>
      <c r="N43" s="300" t="s">
        <v>281</v>
      </c>
      <c r="O43" s="383">
        <v>1</v>
      </c>
      <c r="P43" s="36"/>
      <c r="Q43" s="36"/>
    </row>
    <row r="44" spans="1:17" s="6" customFormat="1" ht="17.100000000000001" customHeight="1">
      <c r="A44" s="676"/>
      <c r="B44" s="314" t="s">
        <v>153</v>
      </c>
      <c r="C44" s="382">
        <f>C41-C42-C43-G42-G43-G44</f>
        <v>0</v>
      </c>
      <c r="D44" s="314"/>
      <c r="E44" s="300"/>
      <c r="F44" s="317" t="s">
        <v>130</v>
      </c>
      <c r="G44" s="383">
        <v>1</v>
      </c>
      <c r="H44" s="299"/>
      <c r="I44" s="304"/>
      <c r="J44" s="301"/>
      <c r="K44" s="301"/>
      <c r="L44" s="301"/>
      <c r="M44" s="300"/>
      <c r="N44" s="300"/>
      <c r="O44" s="300"/>
      <c r="P44" s="43"/>
      <c r="Q44" s="36"/>
    </row>
    <row r="45" spans="1:17" s="6" customFormat="1" ht="17.100000000000001" customHeight="1">
      <c r="A45" s="676"/>
      <c r="B45" s="4"/>
      <c r="C45" s="4"/>
      <c r="D45" s="4"/>
      <c r="E45" s="4"/>
      <c r="F45" s="4"/>
      <c r="G45" s="4"/>
      <c r="H45" s="92"/>
      <c r="I45" s="4"/>
      <c r="J45" s="266"/>
      <c r="K45" s="266"/>
      <c r="L45" s="81"/>
      <c r="M45" s="39"/>
      <c r="N45" s="39"/>
      <c r="O45" s="39"/>
      <c r="P45" s="43"/>
      <c r="Q45" s="36"/>
    </row>
    <row r="46" spans="1:17" ht="17.100000000000001" customHeight="1">
      <c r="A46" s="676"/>
      <c r="B46" s="403" t="s">
        <v>123</v>
      </c>
      <c r="C46" s="404">
        <f>C47+G47+C48+C49+G48+C50</f>
        <v>30</v>
      </c>
      <c r="D46" s="405"/>
      <c r="E46" s="406"/>
      <c r="F46" s="407"/>
      <c r="G46" s="407"/>
      <c r="H46" s="408"/>
      <c r="I46" s="409"/>
      <c r="J46" s="403" t="s">
        <v>123</v>
      </c>
      <c r="K46" s="403"/>
      <c r="L46" s="404">
        <f>O47+L47+L48+L49+O48+L50</f>
        <v>36</v>
      </c>
      <c r="M46" s="410"/>
      <c r="N46" s="410"/>
      <c r="O46" s="410"/>
      <c r="P46" s="59"/>
      <c r="Q46" s="4"/>
    </row>
    <row r="47" spans="1:17" ht="17.100000000000001" customHeight="1">
      <c r="A47" s="676"/>
      <c r="B47" s="411" t="s">
        <v>293</v>
      </c>
      <c r="C47" s="412">
        <f>'SERVICE1-List'!C94+'SERVICE1-List'!C95+'SERVICE1-List'!C96+'SERVICE1-List'!C97</f>
        <v>5</v>
      </c>
      <c r="D47" s="411"/>
      <c r="E47" s="421"/>
      <c r="F47" s="411" t="s">
        <v>133</v>
      </c>
      <c r="G47" s="412">
        <f>'SERVICE1-List'!C98</f>
        <v>0</v>
      </c>
      <c r="H47" s="418"/>
      <c r="I47" s="414"/>
      <c r="J47" s="416" t="s">
        <v>293</v>
      </c>
      <c r="K47" s="416"/>
      <c r="L47" s="412">
        <f>'SERVICE1-List'!F94+'SERVICE1-List'!F95+'SERVICE1-List'!F97</f>
        <v>9</v>
      </c>
      <c r="M47" s="410"/>
      <c r="N47" s="411" t="s">
        <v>133</v>
      </c>
      <c r="O47" s="412">
        <f>'SERVICE1-List'!F98</f>
        <v>0</v>
      </c>
      <c r="Q47" s="4"/>
    </row>
    <row r="48" spans="1:17" ht="17.100000000000001" customHeight="1">
      <c r="A48" s="676"/>
      <c r="B48" s="410" t="s">
        <v>294</v>
      </c>
      <c r="C48" s="417">
        <f>'SERVICE1-List'!C99+'SERVICE1-List'!C100+'SERVICE1-List'!C101+'SERVICE1-List'!C102+'SERVICE1-List'!C108</f>
        <v>25</v>
      </c>
      <c r="D48" s="413"/>
      <c r="E48" s="410"/>
      <c r="F48" s="410" t="s">
        <v>202</v>
      </c>
      <c r="G48" s="417">
        <f>'SERVICE1-List'!C103</f>
        <v>0</v>
      </c>
      <c r="H48" s="418"/>
      <c r="I48" s="414"/>
      <c r="J48" s="410" t="s">
        <v>295</v>
      </c>
      <c r="K48" s="414"/>
      <c r="L48" s="417">
        <f>'SERVICE1-List'!F99+'SERVICE1-List'!F100+'SERVICE1-List'!F101+'SERVICE1-List'!F102+'SERVICE1-List'!F108</f>
        <v>27</v>
      </c>
      <c r="M48" s="410"/>
      <c r="N48" s="410" t="s">
        <v>202</v>
      </c>
      <c r="O48" s="417">
        <f>'SERVICE1-List'!F103</f>
        <v>0</v>
      </c>
      <c r="P48" s="34"/>
      <c r="Q48" s="4"/>
    </row>
    <row r="49" spans="1:17" ht="17.100000000000001" customHeight="1">
      <c r="A49" s="676"/>
      <c r="B49" s="410" t="s">
        <v>204</v>
      </c>
      <c r="C49" s="417">
        <f>'SERVICE1-List'!C104+'SERVICE1-List'!C105+'SERVICE1-List'!C106</f>
        <v>0</v>
      </c>
      <c r="D49" s="413"/>
      <c r="E49" s="410"/>
      <c r="F49" s="410"/>
      <c r="G49" s="422"/>
      <c r="H49" s="418"/>
      <c r="I49" s="414"/>
      <c r="J49" s="410" t="s">
        <v>203</v>
      </c>
      <c r="K49" s="420"/>
      <c r="L49" s="417">
        <f>'SERVICE1-List'!F104+'SERVICE1-List'!F105+'SERVICE1-List'!F106</f>
        <v>0</v>
      </c>
      <c r="M49" s="410"/>
      <c r="N49" s="410"/>
      <c r="O49" s="422"/>
      <c r="P49" s="45"/>
      <c r="Q49" s="93"/>
    </row>
    <row r="50" spans="1:17" ht="17.100000000000001" customHeight="1">
      <c r="A50" s="4"/>
      <c r="B50" s="423"/>
      <c r="C50" s="422"/>
      <c r="D50" s="413"/>
      <c r="E50" s="410"/>
      <c r="F50" s="410"/>
      <c r="G50" s="422"/>
      <c r="H50" s="418"/>
      <c r="I50" s="414"/>
      <c r="J50" s="423"/>
      <c r="K50" s="414"/>
      <c r="L50" s="422"/>
      <c r="M50" s="410"/>
      <c r="N50" s="410"/>
      <c r="O50" s="422"/>
      <c r="P50" s="45"/>
      <c r="Q50" s="93"/>
    </row>
    <row r="51" spans="1:17" ht="17.100000000000001" customHeight="1">
      <c r="A51" s="4"/>
      <c r="B51" s="4"/>
      <c r="C51" s="4"/>
      <c r="D51" s="4"/>
      <c r="E51" s="4"/>
      <c r="F51" s="4"/>
      <c r="G51" s="4"/>
      <c r="H51" s="92"/>
      <c r="I51" s="34"/>
      <c r="J51" s="613" t="s">
        <v>420</v>
      </c>
      <c r="K51" s="4"/>
      <c r="L51" s="4"/>
      <c r="M51" s="4"/>
      <c r="N51" s="4"/>
      <c r="O51" s="4"/>
      <c r="P51" s="4"/>
      <c r="Q51" s="4"/>
    </row>
    <row r="52" spans="1:17">
      <c r="A52" s="17"/>
      <c r="B52" s="24"/>
      <c r="C52" s="24"/>
      <c r="D52" s="24"/>
      <c r="E52" s="24"/>
      <c r="F52" s="24"/>
      <c r="G52" s="24"/>
      <c r="H52" s="24"/>
      <c r="I52" s="24"/>
      <c r="J52" s="24"/>
    </row>
    <row r="53" spans="1:17">
      <c r="A53" s="17"/>
      <c r="B53" s="24"/>
      <c r="C53" s="24"/>
      <c r="D53" s="24"/>
      <c r="E53" s="24"/>
      <c r="F53" s="24"/>
      <c r="G53" s="24"/>
      <c r="H53" s="24"/>
      <c r="I53" s="24"/>
      <c r="J53" s="24"/>
    </row>
    <row r="54" spans="1:17">
      <c r="A54" s="17"/>
      <c r="B54" s="24"/>
      <c r="C54" s="24"/>
      <c r="D54" s="24"/>
      <c r="E54" s="24"/>
      <c r="F54" s="24"/>
      <c r="G54" s="24"/>
      <c r="H54" s="24"/>
      <c r="I54" s="24"/>
      <c r="J54" s="24"/>
    </row>
    <row r="55" spans="1:17">
      <c r="A55" s="17"/>
      <c r="B55" s="24"/>
      <c r="C55" s="24"/>
      <c r="D55" s="24"/>
      <c r="E55" s="24"/>
      <c r="F55" s="24"/>
      <c r="G55" s="24"/>
      <c r="H55" s="24"/>
      <c r="I55" s="24"/>
      <c r="J55" s="24"/>
    </row>
    <row r="56" spans="1:17">
      <c r="A56" s="17"/>
      <c r="B56" s="24"/>
      <c r="C56" s="24"/>
      <c r="D56" s="24"/>
      <c r="E56" s="24"/>
      <c r="F56" s="24"/>
      <c r="G56" s="24"/>
      <c r="H56" s="24"/>
      <c r="I56" s="24"/>
      <c r="J56" s="24"/>
    </row>
    <row r="57" spans="1:17">
      <c r="A57" s="17"/>
      <c r="B57" s="24"/>
      <c r="C57" s="24"/>
      <c r="D57" s="24"/>
      <c r="E57" s="24"/>
      <c r="F57" s="24"/>
      <c r="G57" s="24"/>
      <c r="H57" s="24"/>
      <c r="I57" s="24"/>
      <c r="J57" s="24"/>
    </row>
    <row r="58" spans="1:17">
      <c r="A58" s="17"/>
      <c r="B58" s="24"/>
      <c r="C58" s="24"/>
      <c r="D58" s="24"/>
      <c r="E58" s="24"/>
      <c r="F58" s="24"/>
      <c r="G58" s="24"/>
      <c r="H58" s="24"/>
      <c r="I58" s="24"/>
      <c r="J58" s="24"/>
    </row>
    <row r="59" spans="1:17">
      <c r="A59" s="17"/>
      <c r="B59" s="24"/>
      <c r="C59" s="24"/>
      <c r="D59" s="24"/>
      <c r="E59" s="24"/>
      <c r="F59" s="24"/>
      <c r="G59" s="24"/>
      <c r="H59" s="24"/>
      <c r="I59" s="24"/>
      <c r="J59" s="24"/>
    </row>
    <row r="60" spans="1:17">
      <c r="A60" s="17"/>
    </row>
    <row r="61" spans="1:17">
      <c r="A61" s="17"/>
    </row>
    <row r="62" spans="1:17">
      <c r="A62" s="17"/>
    </row>
    <row r="63" spans="1:17">
      <c r="A63" s="17"/>
    </row>
    <row r="64" spans="1:17">
      <c r="A64" s="17"/>
    </row>
    <row r="65" spans="1:14">
      <c r="A65" s="17"/>
    </row>
    <row r="66" spans="1:14" ht="12.75" customHeight="1">
      <c r="A66" s="17"/>
    </row>
    <row r="67" spans="1:14">
      <c r="A67" s="17"/>
    </row>
    <row r="68" spans="1:14">
      <c r="A68" s="17"/>
    </row>
    <row r="69" spans="1:14">
      <c r="A69" s="17"/>
    </row>
    <row r="70" spans="1:14">
      <c r="A70" s="17"/>
    </row>
    <row r="71" spans="1:14">
      <c r="A71" s="17"/>
    </row>
    <row r="72" spans="1:14">
      <c r="A72" s="17"/>
    </row>
    <row r="73" spans="1:14">
      <c r="A73" s="17"/>
    </row>
    <row r="74" spans="1:14">
      <c r="A74" s="17"/>
    </row>
    <row r="75" spans="1:14">
      <c r="A75" s="17"/>
    </row>
    <row r="76" spans="1:14">
      <c r="A76" s="17"/>
    </row>
    <row r="77" spans="1:14">
      <c r="A77" s="17"/>
    </row>
    <row r="78" spans="1:14">
      <c r="A78" s="17"/>
    </row>
    <row r="79" spans="1:14">
      <c r="A79" s="17"/>
    </row>
    <row r="80" spans="1:14">
      <c r="A80" s="17"/>
      <c r="G80" s="332"/>
      <c r="H80" s="332"/>
      <c r="I80" s="332"/>
      <c r="J80" s="156"/>
      <c r="K80" s="157"/>
      <c r="L80" s="847"/>
      <c r="M80" s="847"/>
      <c r="N80" s="847"/>
    </row>
    <row r="81" spans="1:14">
      <c r="A81" s="17"/>
      <c r="G81" s="158"/>
      <c r="H81" s="159"/>
      <c r="I81" s="159"/>
      <c r="J81" s="156"/>
      <c r="K81" s="157"/>
      <c r="L81" s="158"/>
      <c r="M81" s="159"/>
      <c r="N81" s="159"/>
    </row>
    <row r="82" spans="1:14">
      <c r="A82" s="17"/>
      <c r="G82" s="158"/>
      <c r="H82" s="159"/>
      <c r="I82" s="159"/>
      <c r="J82" s="156"/>
      <c r="K82" s="157"/>
      <c r="L82" s="158"/>
      <c r="M82" s="159"/>
      <c r="N82" s="159"/>
    </row>
    <row r="83" spans="1:14">
      <c r="G83" s="158"/>
      <c r="H83" s="159"/>
      <c r="I83" s="159"/>
      <c r="J83" s="156"/>
      <c r="K83" s="157"/>
      <c r="L83" s="158"/>
      <c r="M83" s="159"/>
      <c r="N83" s="159"/>
    </row>
    <row r="84" spans="1:14">
      <c r="G84" s="158"/>
      <c r="H84" s="159"/>
      <c r="I84" s="159"/>
      <c r="J84" s="156"/>
      <c r="K84" s="157"/>
      <c r="L84" s="158"/>
      <c r="M84" s="159"/>
      <c r="N84" s="159"/>
    </row>
    <row r="85" spans="1:14">
      <c r="G85" s="158"/>
      <c r="H85" s="159"/>
      <c r="I85" s="159"/>
      <c r="J85" s="156"/>
      <c r="K85" s="157"/>
      <c r="L85" s="158"/>
      <c r="M85" s="159"/>
      <c r="N85" s="159"/>
    </row>
    <row r="86" spans="1:14">
      <c r="G86" s="158"/>
      <c r="H86" s="159"/>
      <c r="I86" s="159"/>
      <c r="J86" s="156"/>
      <c r="K86" s="157"/>
      <c r="L86" s="158"/>
      <c r="M86" s="159"/>
      <c r="N86" s="159"/>
    </row>
    <row r="87" spans="1:14">
      <c r="G87" s="158"/>
      <c r="H87" s="159"/>
      <c r="I87" s="159"/>
      <c r="J87" s="156"/>
      <c r="K87" s="157"/>
      <c r="L87" s="158"/>
      <c r="M87" s="159"/>
      <c r="N87" s="159"/>
    </row>
    <row r="88" spans="1:14">
      <c r="G88" s="157"/>
      <c r="H88" s="157"/>
      <c r="I88" s="157"/>
      <c r="J88" s="157"/>
      <c r="K88" s="157"/>
      <c r="L88" s="157"/>
      <c r="M88" s="157"/>
      <c r="N88" s="157"/>
    </row>
  </sheetData>
  <mergeCells count="24">
    <mergeCell ref="L80:N80"/>
    <mergeCell ref="F38:H39"/>
    <mergeCell ref="N38:P39"/>
    <mergeCell ref="B5:G5"/>
    <mergeCell ref="B26:Q26"/>
    <mergeCell ref="J5:Q5"/>
    <mergeCell ref="P27:Q28"/>
    <mergeCell ref="J27:O28"/>
    <mergeCell ref="D7:F7"/>
    <mergeCell ref="J41:K41"/>
    <mergeCell ref="J39:K39"/>
    <mergeCell ref="B27:F28"/>
    <mergeCell ref="G27:H28"/>
    <mergeCell ref="C24:E24"/>
    <mergeCell ref="B13:F13"/>
    <mergeCell ref="A4:Q4"/>
    <mergeCell ref="A27:A49"/>
    <mergeCell ref="A1:Q1"/>
    <mergeCell ref="A5:A24"/>
    <mergeCell ref="H2:J2"/>
    <mergeCell ref="B2:C2"/>
    <mergeCell ref="D2:G2"/>
    <mergeCell ref="K24:M24"/>
    <mergeCell ref="C16:F16"/>
  </mergeCells>
  <dataValidations count="1">
    <dataValidation type="list" allowBlank="1" showInputMessage="1" showErrorMessage="1" sqref="C24:E24 K24:M24">
      <formula1>BDD!$Q$28:$Q$40</formula1>
    </dataValidation>
  </dataValidations>
  <pageMargins left="0" right="0" top="0" bottom="0" header="0.51181102362204722" footer="0.51181102362204722"/>
  <pageSetup paperSize="9" scale="90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9">
    <tabColor theme="5" tint="0.39997558519241921"/>
  </sheetPr>
  <dimension ref="A1:Q61"/>
  <sheetViews>
    <sheetView zoomScaleNormal="100" workbookViewId="0">
      <selection sqref="A1:Q1"/>
    </sheetView>
  </sheetViews>
  <sheetFormatPr baseColWidth="10" defaultRowHeight="12.75"/>
  <cols>
    <col min="1" max="1" width="3.7109375" customWidth="1"/>
    <col min="2" max="2" width="18.7109375" customWidth="1"/>
    <col min="3" max="3" width="4.85546875" customWidth="1"/>
    <col min="4" max="4" width="2.42578125" customWidth="1"/>
    <col min="5" max="5" width="2.85546875" customWidth="1"/>
    <col min="6" max="6" width="18" customWidth="1"/>
    <col min="7" max="7" width="4" customWidth="1"/>
    <col min="8" max="8" width="2.42578125" customWidth="1"/>
    <col min="9" max="9" width="1.28515625" customWidth="1"/>
    <col min="10" max="10" width="11.42578125" customWidth="1"/>
    <col min="11" max="13" width="4.7109375" customWidth="1"/>
    <col min="14" max="14" width="16" customWidth="1"/>
    <col min="15" max="17" width="4.7109375" customWidth="1"/>
  </cols>
  <sheetData>
    <row r="1" spans="1:17" ht="23.1" customHeight="1">
      <c r="A1" s="863" t="s">
        <v>430</v>
      </c>
      <c r="B1" s="863"/>
      <c r="C1" s="863"/>
      <c r="D1" s="863"/>
      <c r="E1" s="863"/>
      <c r="F1" s="863"/>
      <c r="G1" s="863"/>
      <c r="H1" s="863"/>
      <c r="I1" s="863"/>
      <c r="J1" s="863"/>
      <c r="K1" s="863"/>
      <c r="L1" s="863"/>
      <c r="M1" s="863"/>
      <c r="N1" s="863"/>
      <c r="O1" s="863"/>
      <c r="P1" s="863"/>
      <c r="Q1" s="863"/>
    </row>
    <row r="2" spans="1:17" ht="15" customHeight="1" thickBot="1">
      <c r="A2" s="4"/>
      <c r="B2" s="864" t="str">
        <f>'SERVICE2-List'!A2</f>
        <v>Date mise à jour :</v>
      </c>
      <c r="C2" s="864"/>
      <c r="D2" s="865">
        <f ca="1">'SERVICE2-List'!C2</f>
        <v>44064</v>
      </c>
      <c r="E2" s="865"/>
      <c r="F2" s="865"/>
      <c r="G2" s="865"/>
      <c r="H2" s="866">
        <f ca="1">NOW()</f>
        <v>44064.421705208333</v>
      </c>
      <c r="I2" s="866"/>
      <c r="J2" s="866"/>
      <c r="K2" s="279"/>
      <c r="L2" s="279"/>
      <c r="M2" s="279"/>
      <c r="N2" s="279"/>
      <c r="O2" s="279"/>
      <c r="P2" s="279"/>
      <c r="Q2" s="279"/>
    </row>
    <row r="3" spans="1:17" ht="15" customHeight="1" thickTop="1">
      <c r="A3" s="4"/>
      <c r="B3" s="475"/>
      <c r="C3" s="475"/>
      <c r="D3" s="476"/>
      <c r="E3" s="476"/>
      <c r="F3" s="476"/>
      <c r="G3" s="476"/>
      <c r="H3" s="477"/>
      <c r="I3" s="477"/>
      <c r="J3" s="477"/>
      <c r="K3" s="4"/>
      <c r="L3" s="4"/>
      <c r="M3" s="4"/>
      <c r="N3" s="4"/>
      <c r="O3" s="4"/>
      <c r="P3" s="4"/>
      <c r="Q3" s="4"/>
    </row>
    <row r="4" spans="1:17" ht="15" customHeight="1">
      <c r="A4" s="674" t="s">
        <v>365</v>
      </c>
      <c r="B4" s="674"/>
      <c r="C4" s="674"/>
      <c r="D4" s="674"/>
      <c r="E4" s="674"/>
      <c r="F4" s="674"/>
      <c r="G4" s="674"/>
      <c r="H4" s="674"/>
      <c r="I4" s="674"/>
      <c r="J4" s="674"/>
      <c r="K4" s="674"/>
      <c r="L4" s="674"/>
      <c r="M4" s="674"/>
      <c r="N4" s="674"/>
      <c r="O4" s="674"/>
      <c r="P4" s="674"/>
      <c r="Q4" s="674"/>
    </row>
    <row r="5" spans="1:17" ht="18" customHeight="1">
      <c r="A5" s="675" t="s">
        <v>370</v>
      </c>
      <c r="B5" s="811" t="s">
        <v>99</v>
      </c>
      <c r="C5" s="812"/>
      <c r="D5" s="812"/>
      <c r="E5" s="812"/>
      <c r="F5" s="812"/>
      <c r="G5" s="812"/>
      <c r="H5" s="545"/>
      <c r="I5" s="546"/>
      <c r="J5" s="812" t="s">
        <v>100</v>
      </c>
      <c r="K5" s="812"/>
      <c r="L5" s="812"/>
      <c r="M5" s="812"/>
      <c r="N5" s="812"/>
      <c r="O5" s="812"/>
      <c r="P5" s="812"/>
      <c r="Q5" s="812"/>
    </row>
    <row r="6" spans="1:17" ht="18" customHeight="1">
      <c r="A6" s="675"/>
      <c r="B6" s="478" t="s">
        <v>336</v>
      </c>
      <c r="C6" s="479"/>
      <c r="D6" s="479"/>
      <c r="E6" s="479"/>
      <c r="F6" s="479"/>
      <c r="G6" s="479"/>
      <c r="H6" s="480"/>
      <c r="I6" s="479"/>
      <c r="J6" s="478" t="s">
        <v>336</v>
      </c>
      <c r="K6" s="479"/>
      <c r="L6" s="479"/>
      <c r="M6" s="479"/>
      <c r="N6" s="479"/>
      <c r="O6" s="479"/>
      <c r="P6" s="479"/>
      <c r="Q6" s="479"/>
    </row>
    <row r="7" spans="1:17" ht="18" customHeight="1">
      <c r="A7" s="675"/>
      <c r="B7" s="481" t="s">
        <v>369</v>
      </c>
      <c r="C7" s="482"/>
      <c r="D7" s="813">
        <f>'REGE1-SYNT'!D7:F7</f>
        <v>44068</v>
      </c>
      <c r="E7" s="813"/>
      <c r="F7" s="813"/>
      <c r="G7" s="479"/>
      <c r="H7" s="480"/>
      <c r="I7" s="479"/>
      <c r="J7" s="478"/>
      <c r="K7" s="479"/>
      <c r="L7" s="479"/>
      <c r="M7" s="479"/>
      <c r="N7" s="479"/>
      <c r="O7" s="479"/>
      <c r="P7" s="479"/>
      <c r="Q7" s="479"/>
    </row>
    <row r="8" spans="1:17" ht="18" customHeight="1">
      <c r="A8" s="675"/>
      <c r="B8" s="524" t="s">
        <v>307</v>
      </c>
      <c r="C8" s="529"/>
      <c r="D8" s="479"/>
      <c r="E8" s="479"/>
      <c r="F8" s="479"/>
      <c r="G8" s="479"/>
      <c r="H8" s="480"/>
      <c r="I8" s="479"/>
      <c r="J8" s="487" t="s">
        <v>124</v>
      </c>
      <c r="K8" s="487"/>
      <c r="L8" s="488"/>
      <c r="M8" s="489"/>
      <c r="N8" s="490"/>
      <c r="O8" s="491"/>
      <c r="P8" s="492"/>
      <c r="Q8" s="492"/>
    </row>
    <row r="9" spans="1:17" ht="18" customHeight="1">
      <c r="A9" s="675"/>
      <c r="B9" s="526" t="s">
        <v>308</v>
      </c>
      <c r="C9" s="518">
        <v>2</v>
      </c>
      <c r="D9" s="479"/>
      <c r="E9" s="479"/>
      <c r="F9" s="479"/>
      <c r="G9" s="479"/>
      <c r="H9" s="480"/>
      <c r="I9" s="479"/>
      <c r="J9" s="496" t="s">
        <v>309</v>
      </c>
      <c r="K9" s="521">
        <v>6</v>
      </c>
      <c r="L9" s="497" t="s">
        <v>327</v>
      </c>
      <c r="M9" s="498"/>
      <c r="N9" s="499"/>
      <c r="O9" s="499"/>
      <c r="P9" s="499"/>
      <c r="Q9" s="492"/>
    </row>
    <row r="10" spans="1:17" ht="18" customHeight="1">
      <c r="A10" s="675"/>
      <c r="B10" s="528" t="s">
        <v>310</v>
      </c>
      <c r="C10" s="518">
        <v>4</v>
      </c>
      <c r="D10" s="479"/>
      <c r="E10" s="479"/>
      <c r="F10" s="479"/>
      <c r="G10" s="479"/>
      <c r="H10" s="480"/>
      <c r="I10" s="479"/>
      <c r="J10" s="501" t="s">
        <v>285</v>
      </c>
      <c r="K10" s="814" t="s">
        <v>364</v>
      </c>
      <c r="L10" s="815"/>
      <c r="M10" s="815"/>
      <c r="N10" s="502" t="s">
        <v>286</v>
      </c>
      <c r="O10" s="519">
        <v>6</v>
      </c>
      <c r="P10" s="497" t="s">
        <v>325</v>
      </c>
      <c r="Q10" s="492"/>
    </row>
    <row r="11" spans="1:17" ht="18" customHeight="1">
      <c r="A11" s="675"/>
      <c r="B11" s="530" t="s">
        <v>311</v>
      </c>
      <c r="C11" s="518">
        <v>1</v>
      </c>
      <c r="D11" s="503"/>
      <c r="E11" s="504"/>
      <c r="F11" s="504"/>
      <c r="G11" s="504"/>
      <c r="H11" s="480"/>
      <c r="I11" s="479"/>
      <c r="J11" s="501" t="s">
        <v>287</v>
      </c>
      <c r="K11" s="519">
        <v>4</v>
      </c>
      <c r="L11" s="505"/>
      <c r="M11" s="506"/>
      <c r="N11" s="502" t="s">
        <v>286</v>
      </c>
      <c r="O11" s="519">
        <v>6</v>
      </c>
      <c r="P11" s="497" t="s">
        <v>326</v>
      </c>
      <c r="Q11" s="492"/>
    </row>
    <row r="12" spans="1:17" ht="18" customHeight="1">
      <c r="A12" s="675"/>
      <c r="B12" s="535"/>
      <c r="C12" s="536"/>
      <c r="D12" s="537"/>
      <c r="E12" s="537"/>
      <c r="F12" s="536"/>
      <c r="G12" s="536"/>
      <c r="H12" s="538"/>
      <c r="I12" s="536"/>
      <c r="J12" s="539"/>
      <c r="K12" s="536"/>
      <c r="L12" s="536"/>
      <c r="M12" s="536"/>
      <c r="N12" s="536"/>
      <c r="O12" s="536"/>
      <c r="P12" s="536"/>
      <c r="Q12" s="536"/>
    </row>
    <row r="13" spans="1:17" ht="18" customHeight="1">
      <c r="A13" s="675"/>
      <c r="B13" s="850" t="s">
        <v>422</v>
      </c>
      <c r="C13" s="851"/>
      <c r="D13" s="851"/>
      <c r="E13" s="851"/>
      <c r="F13" s="851"/>
      <c r="G13" s="484"/>
      <c r="H13" s="480"/>
      <c r="I13" s="479"/>
      <c r="J13" s="478"/>
      <c r="K13" s="479"/>
      <c r="L13" s="479"/>
      <c r="M13" s="479"/>
      <c r="N13" s="479"/>
      <c r="O13" s="479"/>
      <c r="P13" s="479"/>
      <c r="Q13" s="479"/>
    </row>
    <row r="14" spans="1:17" ht="18" customHeight="1">
      <c r="A14" s="675"/>
      <c r="B14" s="507" t="s">
        <v>343</v>
      </c>
      <c r="C14" s="518">
        <v>2</v>
      </c>
      <c r="D14" s="479"/>
      <c r="E14" s="479"/>
      <c r="F14" s="617" t="s">
        <v>421</v>
      </c>
      <c r="G14" s="518">
        <v>2</v>
      </c>
      <c r="H14" s="480"/>
      <c r="I14" s="479"/>
      <c r="J14" s="507" t="s">
        <v>343</v>
      </c>
      <c r="K14" s="518">
        <v>2</v>
      </c>
      <c r="L14" s="479"/>
      <c r="M14" s="479"/>
      <c r="N14" s="479"/>
      <c r="O14" s="479"/>
      <c r="P14" s="479"/>
      <c r="Q14" s="479"/>
    </row>
    <row r="15" spans="1:17" ht="18" customHeight="1">
      <c r="A15" s="675"/>
      <c r="B15" s="508" t="s">
        <v>346</v>
      </c>
      <c r="C15" s="518">
        <v>5</v>
      </c>
      <c r="D15" s="479"/>
      <c r="E15" s="479"/>
      <c r="F15" s="479"/>
      <c r="G15" s="479"/>
      <c r="H15" s="480"/>
      <c r="I15" s="479"/>
      <c r="J15" s="507" t="s">
        <v>345</v>
      </c>
      <c r="K15" s="518">
        <v>5</v>
      </c>
      <c r="L15" s="479"/>
      <c r="M15" s="479"/>
      <c r="N15" s="479"/>
      <c r="O15" s="479"/>
      <c r="P15" s="479"/>
      <c r="Q15" s="479"/>
    </row>
    <row r="16" spans="1:17" ht="18" customHeight="1">
      <c r="A16" s="675"/>
      <c r="B16" s="478"/>
      <c r="C16" s="479"/>
      <c r="D16" s="479"/>
      <c r="E16" s="479"/>
      <c r="F16" s="479"/>
      <c r="G16" s="479"/>
      <c r="H16" s="480"/>
      <c r="I16" s="479"/>
      <c r="J16" s="478"/>
      <c r="K16" s="479"/>
      <c r="L16" s="479"/>
      <c r="M16" s="479"/>
      <c r="N16" s="479"/>
      <c r="O16" s="479"/>
      <c r="P16" s="479"/>
      <c r="Q16" s="479"/>
    </row>
    <row r="17" spans="1:17" ht="18" customHeight="1">
      <c r="A17" s="675"/>
      <c r="B17" s="483" t="s">
        <v>333</v>
      </c>
      <c r="C17" s="519" t="s">
        <v>221</v>
      </c>
      <c r="D17" s="509"/>
      <c r="E17" s="510"/>
      <c r="F17" s="483" t="s">
        <v>334</v>
      </c>
      <c r="G17" s="519" t="s">
        <v>335</v>
      </c>
      <c r="H17" s="511"/>
      <c r="I17" s="479"/>
      <c r="J17" s="483" t="s">
        <v>333</v>
      </c>
      <c r="K17" s="519" t="s">
        <v>221</v>
      </c>
      <c r="L17" s="479"/>
      <c r="M17" s="510"/>
      <c r="N17" s="483" t="s">
        <v>334</v>
      </c>
      <c r="O17" s="519" t="s">
        <v>335</v>
      </c>
      <c r="P17" s="512"/>
      <c r="Q17" s="479"/>
    </row>
    <row r="18" spans="1:17" ht="18" customHeight="1">
      <c r="A18" s="675"/>
      <c r="B18" s="540"/>
      <c r="C18" s="541"/>
      <c r="D18" s="542"/>
      <c r="E18" s="542"/>
      <c r="F18" s="541"/>
      <c r="G18" s="541"/>
      <c r="H18" s="543"/>
      <c r="I18" s="541"/>
      <c r="J18" s="544"/>
      <c r="K18" s="541"/>
      <c r="L18" s="541"/>
      <c r="M18" s="541"/>
      <c r="N18" s="541"/>
      <c r="O18" s="541"/>
      <c r="P18" s="541"/>
      <c r="Q18" s="541"/>
    </row>
    <row r="19" spans="1:17" ht="18" customHeight="1">
      <c r="A19" s="675"/>
      <c r="B19" s="513" t="s">
        <v>200</v>
      </c>
      <c r="C19" s="479"/>
      <c r="D19" s="479"/>
      <c r="E19" s="479"/>
      <c r="F19" s="479"/>
      <c r="G19" s="479"/>
      <c r="H19" s="480"/>
      <c r="I19" s="479"/>
      <c r="J19" s="513" t="s">
        <v>200</v>
      </c>
      <c r="K19" s="479"/>
      <c r="L19" s="479"/>
      <c r="M19" s="479"/>
      <c r="N19" s="479"/>
      <c r="O19" s="479"/>
      <c r="P19" s="479"/>
      <c r="Q19" s="479"/>
    </row>
    <row r="20" spans="1:17" ht="18" customHeight="1">
      <c r="A20" s="675"/>
      <c r="B20" s="514" t="s">
        <v>103</v>
      </c>
      <c r="C20" s="518">
        <v>15</v>
      </c>
      <c r="D20" s="515"/>
      <c r="E20" s="516"/>
      <c r="F20" s="514" t="s">
        <v>199</v>
      </c>
      <c r="G20" s="518">
        <f>C32</f>
        <v>6</v>
      </c>
      <c r="H20" s="480"/>
      <c r="I20" s="479"/>
      <c r="J20" s="514" t="s">
        <v>103</v>
      </c>
      <c r="K20" s="518">
        <v>10</v>
      </c>
      <c r="L20" s="515"/>
      <c r="M20" s="517"/>
      <c r="N20" s="514" t="s">
        <v>199</v>
      </c>
      <c r="O20" s="518">
        <v>5</v>
      </c>
      <c r="P20" s="479"/>
      <c r="Q20" s="479"/>
    </row>
    <row r="21" spans="1:17" ht="18" customHeight="1">
      <c r="A21" s="675"/>
      <c r="B21" s="514" t="s">
        <v>219</v>
      </c>
      <c r="C21" s="518">
        <v>15</v>
      </c>
      <c r="D21" s="479"/>
      <c r="E21" s="479"/>
      <c r="F21" s="514" t="s">
        <v>140</v>
      </c>
      <c r="G21" s="518">
        <v>0</v>
      </c>
      <c r="H21" s="480"/>
      <c r="I21" s="479"/>
      <c r="J21" s="514" t="s">
        <v>219</v>
      </c>
      <c r="K21" s="518">
        <v>15</v>
      </c>
      <c r="L21" s="479"/>
      <c r="M21" s="479"/>
      <c r="N21" s="514" t="s">
        <v>140</v>
      </c>
      <c r="O21" s="518">
        <v>0</v>
      </c>
      <c r="P21" s="479"/>
      <c r="Q21" s="479"/>
    </row>
    <row r="22" spans="1:17" ht="18" customHeight="1">
      <c r="A22" s="675"/>
      <c r="B22" s="483" t="s">
        <v>368</v>
      </c>
      <c r="C22" s="518">
        <v>0</v>
      </c>
      <c r="D22" s="479"/>
      <c r="E22" s="479"/>
      <c r="F22" s="479"/>
      <c r="G22" s="479"/>
      <c r="H22" s="480"/>
      <c r="I22" s="479"/>
      <c r="J22" s="479"/>
      <c r="K22" s="479"/>
      <c r="L22" s="479"/>
      <c r="M22" s="479"/>
      <c r="N22" s="479"/>
      <c r="O22" s="479"/>
      <c r="P22" s="479"/>
      <c r="Q22" s="479"/>
    </row>
    <row r="23" spans="1:17" ht="18" customHeight="1">
      <c r="A23" s="675"/>
      <c r="B23" s="479"/>
      <c r="C23" s="479"/>
      <c r="D23" s="479"/>
      <c r="E23" s="479"/>
      <c r="F23" s="479"/>
      <c r="G23" s="479"/>
      <c r="H23" s="480"/>
      <c r="I23" s="479"/>
      <c r="J23" s="479"/>
      <c r="K23" s="479"/>
      <c r="L23" s="479"/>
      <c r="M23" s="479"/>
      <c r="N23" s="479"/>
      <c r="O23" s="479"/>
      <c r="P23" s="479"/>
      <c r="Q23" s="479"/>
    </row>
    <row r="24" spans="1:17" ht="18" customHeight="1">
      <c r="A24" s="675"/>
      <c r="B24" s="562"/>
      <c r="C24" s="479"/>
      <c r="D24" s="479"/>
      <c r="E24" s="479"/>
      <c r="F24" s="479"/>
      <c r="G24" s="479"/>
      <c r="H24" s="480"/>
      <c r="I24" s="512"/>
      <c r="J24" s="479"/>
      <c r="K24" s="479"/>
      <c r="L24" s="479"/>
      <c r="M24" s="479"/>
      <c r="N24" s="479"/>
      <c r="O24" s="479"/>
      <c r="P24" s="479"/>
      <c r="Q24" s="479"/>
    </row>
    <row r="25" spans="1:17" ht="17.100000000000001" customHeight="1">
      <c r="A25" s="4"/>
      <c r="B25" s="4"/>
      <c r="C25" s="4"/>
      <c r="D25" s="4"/>
      <c r="E25" s="4"/>
      <c r="F25" s="4"/>
      <c r="G25" s="4"/>
      <c r="H25" s="34"/>
      <c r="I25" s="34"/>
      <c r="J25" s="4"/>
      <c r="K25" s="4"/>
      <c r="L25" s="4"/>
      <c r="M25" s="4"/>
      <c r="N25" s="4"/>
      <c r="O25" s="4"/>
      <c r="P25" s="4"/>
      <c r="Q25" s="4"/>
    </row>
    <row r="26" spans="1:17" ht="23.1" customHeight="1">
      <c r="A26" s="4"/>
      <c r="B26" s="683" t="s">
        <v>423</v>
      </c>
      <c r="C26" s="683"/>
      <c r="D26" s="683"/>
      <c r="E26" s="683"/>
      <c r="F26" s="683"/>
      <c r="G26" s="683"/>
      <c r="H26" s="683"/>
      <c r="I26" s="683"/>
      <c r="J26" s="683"/>
      <c r="K26" s="683"/>
      <c r="L26" s="683"/>
      <c r="M26" s="683"/>
      <c r="N26" s="683"/>
      <c r="O26" s="683"/>
      <c r="P26" s="683"/>
      <c r="Q26" s="683"/>
    </row>
    <row r="27" spans="1:17" s="1" customFormat="1" ht="19.5" customHeight="1">
      <c r="A27" s="676" t="s">
        <v>366</v>
      </c>
      <c r="B27" s="810" t="s">
        <v>99</v>
      </c>
      <c r="C27" s="810"/>
      <c r="D27" s="810"/>
      <c r="E27" s="810"/>
      <c r="F27" s="810"/>
      <c r="G27" s="810">
        <f>'SERVICE2-List'!S2</f>
        <v>41</v>
      </c>
      <c r="H27" s="810"/>
      <c r="I27" s="7"/>
      <c r="J27" s="810" t="s">
        <v>100</v>
      </c>
      <c r="K27" s="810"/>
      <c r="L27" s="810"/>
      <c r="M27" s="810"/>
      <c r="N27" s="810"/>
      <c r="O27" s="810"/>
      <c r="P27" s="810">
        <f>'SERVICE2-List'!T2</f>
        <v>35</v>
      </c>
      <c r="Q27" s="810"/>
    </row>
    <row r="28" spans="1:17" s="1" customFormat="1" ht="17.25" customHeight="1">
      <c r="A28" s="676"/>
      <c r="B28" s="810"/>
      <c r="C28" s="810"/>
      <c r="D28" s="810"/>
      <c r="E28" s="810"/>
      <c r="F28" s="810"/>
      <c r="G28" s="810"/>
      <c r="H28" s="810"/>
      <c r="I28" s="34"/>
      <c r="J28" s="810"/>
      <c r="K28" s="810"/>
      <c r="L28" s="810"/>
      <c r="M28" s="810"/>
      <c r="N28" s="810"/>
      <c r="O28" s="810"/>
      <c r="P28" s="810"/>
      <c r="Q28" s="810"/>
    </row>
    <row r="29" spans="1:17" s="1" customFormat="1" ht="19.5" customHeight="1">
      <c r="A29" s="676"/>
      <c r="B29" s="37"/>
      <c r="C29" s="37"/>
      <c r="D29" s="37"/>
      <c r="E29" s="34"/>
      <c r="F29" s="34"/>
      <c r="G29" s="34"/>
      <c r="H29" s="34"/>
      <c r="I29" s="34"/>
      <c r="J29" s="37"/>
      <c r="K29" s="37"/>
      <c r="L29" s="37"/>
      <c r="M29" s="4"/>
      <c r="N29" s="7"/>
      <c r="O29" s="7"/>
      <c r="P29" s="7"/>
      <c r="Q29" s="7"/>
    </row>
    <row r="30" spans="1:17" s="6" customFormat="1" ht="18" customHeight="1">
      <c r="A30" s="676"/>
      <c r="B30" s="287" t="s">
        <v>121</v>
      </c>
      <c r="C30" s="276">
        <f>C31+G31+C32+G32+C33+G33+C34</f>
        <v>41</v>
      </c>
      <c r="D30" s="53"/>
      <c r="E30" s="40"/>
      <c r="F30" s="40"/>
      <c r="G30" s="40"/>
      <c r="H30" s="38"/>
      <c r="I30" s="33"/>
      <c r="J30" s="36"/>
      <c r="K30" s="36"/>
      <c r="L30" s="36"/>
      <c r="M30" s="36"/>
      <c r="N30" s="36"/>
      <c r="O30" s="36"/>
      <c r="P30" s="36"/>
      <c r="Q30" s="36"/>
    </row>
    <row r="31" spans="1:17" s="6" customFormat="1" ht="18" customHeight="1">
      <c r="A31" s="676"/>
      <c r="B31" s="54" t="s">
        <v>298</v>
      </c>
      <c r="C31" s="311">
        <f>'SERVICE2-List'!C58+'SERVICE2-List'!C59+'SERVICE2-List'!C61</f>
        <v>34</v>
      </c>
      <c r="D31" s="54"/>
      <c r="E31" s="55"/>
      <c r="F31" s="54" t="s">
        <v>125</v>
      </c>
      <c r="G31" s="311">
        <f>'SERVICE2-List'!C62</f>
        <v>0</v>
      </c>
      <c r="H31" s="40"/>
      <c r="I31" s="47"/>
      <c r="J31" s="36"/>
      <c r="K31" s="36"/>
      <c r="L31" s="36"/>
      <c r="M31" s="36"/>
      <c r="N31" s="36"/>
      <c r="O31" s="36"/>
      <c r="P31" s="36"/>
      <c r="Q31" s="36"/>
    </row>
    <row r="32" spans="1:17" s="6" customFormat="1" ht="18" customHeight="1">
      <c r="A32" s="676"/>
      <c r="B32" s="55" t="s">
        <v>299</v>
      </c>
      <c r="C32" s="313">
        <f>'SERVICE2-List'!C64+'SERVICE2-List'!C65+'SERVICE2-List'!C66</f>
        <v>6</v>
      </c>
      <c r="D32" s="54"/>
      <c r="E32" s="56"/>
      <c r="F32" s="56" t="s">
        <v>205</v>
      </c>
      <c r="G32" s="312">
        <f>'SERVICE2-List'!C68</f>
        <v>1</v>
      </c>
      <c r="H32" s="40"/>
      <c r="I32" s="47"/>
      <c r="J32" s="36"/>
      <c r="K32" s="36"/>
      <c r="L32" s="36"/>
      <c r="M32" s="36"/>
      <c r="N32" s="36"/>
      <c r="O32" s="36"/>
      <c r="P32" s="36"/>
      <c r="Q32" s="36"/>
    </row>
    <row r="33" spans="1:17" s="6" customFormat="1" ht="18" customHeight="1">
      <c r="A33" s="676"/>
      <c r="B33" s="56" t="s">
        <v>204</v>
      </c>
      <c r="C33" s="312">
        <f>'SERVICE2-List'!C67</f>
        <v>0</v>
      </c>
      <c r="D33" s="54"/>
      <c r="E33" s="56"/>
      <c r="F33" s="56"/>
      <c r="G33" s="357"/>
      <c r="H33" s="41"/>
      <c r="I33" s="48"/>
      <c r="J33" s="36"/>
      <c r="K33" s="36"/>
      <c r="L33" s="36"/>
      <c r="M33" s="36"/>
      <c r="N33" s="36"/>
      <c r="O33" s="36"/>
      <c r="P33" s="36"/>
      <c r="Q33" s="36"/>
    </row>
    <row r="34" spans="1:17" s="6" customFormat="1" ht="18" customHeight="1">
      <c r="A34" s="676"/>
      <c r="B34" s="399" t="s">
        <v>338</v>
      </c>
      <c r="C34" s="312">
        <f>+'SERVICE2-List'!C69+'SERVICE2-List'!C70</f>
        <v>0</v>
      </c>
      <c r="D34" s="54"/>
      <c r="E34" s="56"/>
      <c r="F34" s="271"/>
      <c r="G34" s="272"/>
      <c r="H34" s="41"/>
      <c r="I34" s="48"/>
      <c r="J34" s="36"/>
      <c r="K34" s="36"/>
      <c r="L34" s="36"/>
      <c r="M34" s="36"/>
      <c r="N34" s="36"/>
      <c r="O34" s="36"/>
      <c r="P34" s="57"/>
      <c r="Q34" s="36"/>
    </row>
    <row r="35" spans="1:17" s="6" customFormat="1" ht="18" customHeight="1">
      <c r="A35" s="676"/>
      <c r="B35" s="289" t="s">
        <v>122</v>
      </c>
      <c r="C35" s="291">
        <f>C36+C37+G36+G37+C38</f>
        <v>37</v>
      </c>
      <c r="D35" s="284"/>
      <c r="E35" s="285"/>
      <c r="F35" s="285"/>
      <c r="G35" s="285"/>
      <c r="H35" s="300"/>
      <c r="I35" s="303"/>
      <c r="J35" s="289" t="s">
        <v>122</v>
      </c>
      <c r="K35" s="289"/>
      <c r="L35" s="291">
        <f>K36+O36+O37+K37+K38</f>
        <v>33</v>
      </c>
      <c r="M35" s="304"/>
      <c r="N35" s="304"/>
      <c r="O35" s="304"/>
      <c r="P35" s="36"/>
      <c r="Q35" s="36"/>
    </row>
    <row r="36" spans="1:17" s="6" customFormat="1" ht="18" customHeight="1">
      <c r="A36" s="676"/>
      <c r="B36" s="302" t="s">
        <v>300</v>
      </c>
      <c r="C36" s="325">
        <f>'SERVICE2-List'!C71+'SERVICE2-List'!C72+'SERVICE2-List'!C73</f>
        <v>31</v>
      </c>
      <c r="D36" s="302"/>
      <c r="E36" s="300"/>
      <c r="F36" s="323" t="s">
        <v>316</v>
      </c>
      <c r="G36" s="325">
        <f>'SERVICE2-List'!C75</f>
        <v>0</v>
      </c>
      <c r="H36" s="300"/>
      <c r="I36" s="303"/>
      <c r="J36" s="318" t="s">
        <v>301</v>
      </c>
      <c r="K36" s="316">
        <f>'SERVICE2-List'!F71+'SERVICE2-List'!F72+'SERVICE2-List'!F73</f>
        <v>27</v>
      </c>
      <c r="L36" s="36"/>
      <c r="M36" s="319"/>
      <c r="N36" s="315" t="s">
        <v>272</v>
      </c>
      <c r="O36" s="316">
        <f>'SERVICE2-List'!F75</f>
        <v>0</v>
      </c>
      <c r="P36" s="36"/>
      <c r="Q36" s="36"/>
    </row>
    <row r="37" spans="1:17" s="6" customFormat="1" ht="18" customHeight="1">
      <c r="A37" s="676"/>
      <c r="B37" s="300" t="s">
        <v>292</v>
      </c>
      <c r="C37" s="326">
        <f>'SERVICE2-List'!C77+'SERVICE2-List'!C78+'SERVICE2-List'!C79</f>
        <v>5</v>
      </c>
      <c r="D37" s="302"/>
      <c r="E37" s="300"/>
      <c r="F37" s="300" t="s">
        <v>126</v>
      </c>
      <c r="G37" s="326">
        <f>'SERVICE2-List'!C81</f>
        <v>1</v>
      </c>
      <c r="H37" s="285"/>
      <c r="I37" s="324"/>
      <c r="J37" s="319" t="s">
        <v>297</v>
      </c>
      <c r="K37" s="322">
        <f>'SERVICE2-List'!F77+'SERVICE2-List'!F78+'SERVICE2-List'!F79</f>
        <v>5</v>
      </c>
      <c r="L37" s="36"/>
      <c r="M37" s="319"/>
      <c r="N37" s="317" t="s">
        <v>126</v>
      </c>
      <c r="O37" s="322">
        <f>'SERVICE2-List'!F81</f>
        <v>1</v>
      </c>
      <c r="P37" s="50"/>
      <c r="Q37" s="36"/>
    </row>
    <row r="38" spans="1:17" s="6" customFormat="1" ht="18" customHeight="1">
      <c r="A38" s="676"/>
      <c r="B38" s="400" t="s">
        <v>339</v>
      </c>
      <c r="C38" s="326">
        <f>'SERVICE2-List'!C89</f>
        <v>0</v>
      </c>
      <c r="D38" s="44"/>
      <c r="E38" s="678" t="s">
        <v>340</v>
      </c>
      <c r="F38" s="678"/>
      <c r="G38" s="678"/>
      <c r="H38" s="43"/>
      <c r="I38" s="49"/>
      <c r="J38" s="400" t="s">
        <v>339</v>
      </c>
      <c r="K38" s="322">
        <f>'SERVICE2-List'!F89</f>
        <v>0</v>
      </c>
      <c r="L38" s="36"/>
      <c r="M38" s="50"/>
      <c r="N38" s="678" t="s">
        <v>340</v>
      </c>
      <c r="O38" s="678"/>
      <c r="P38" s="678"/>
      <c r="Q38" s="36"/>
    </row>
    <row r="39" spans="1:17" s="6" customFormat="1" ht="18" customHeight="1">
      <c r="A39" s="676"/>
      <c r="B39" s="202" t="s">
        <v>129</v>
      </c>
      <c r="C39" s="203">
        <f>'SERVICE2-List'!C87+'SERVICE2-List'!C88+D39</f>
        <v>4</v>
      </c>
      <c r="D39" s="249"/>
      <c r="E39" s="678"/>
      <c r="F39" s="678"/>
      <c r="G39" s="678"/>
      <c r="H39" s="64"/>
      <c r="I39" s="36"/>
      <c r="J39" s="402" t="s">
        <v>131</v>
      </c>
      <c r="K39" s="203">
        <f>'SERVICE2-List'!F87+'SERVICE2-List'!F88</f>
        <v>2</v>
      </c>
      <c r="L39" s="36"/>
      <c r="M39" s="147"/>
      <c r="N39" s="678"/>
      <c r="O39" s="678"/>
      <c r="P39" s="678"/>
      <c r="Q39" s="36"/>
    </row>
    <row r="40" spans="1:17" s="6" customFormat="1" ht="18" customHeight="1">
      <c r="A40" s="676"/>
      <c r="B40" s="36"/>
      <c r="C40" s="36"/>
      <c r="D40" s="36"/>
      <c r="E40" s="36"/>
      <c r="F40" s="36"/>
      <c r="G40" s="36"/>
      <c r="H40" s="64"/>
      <c r="I40" s="39"/>
      <c r="J40" s="36"/>
      <c r="K40" s="36"/>
      <c r="L40" s="36"/>
      <c r="M40" s="36"/>
      <c r="N40" s="36"/>
      <c r="O40" s="36"/>
      <c r="P40" s="36"/>
      <c r="Q40" s="36"/>
    </row>
    <row r="41" spans="1:17" s="6" customFormat="1" ht="18" customHeight="1">
      <c r="A41" s="676"/>
      <c r="B41" s="282" t="s">
        <v>309</v>
      </c>
      <c r="C41" s="283">
        <f>C42+C43+C44+G42+G43+G44</f>
        <v>37</v>
      </c>
      <c r="D41" s="284"/>
      <c r="E41" s="285"/>
      <c r="F41" s="285"/>
      <c r="G41" s="285"/>
      <c r="H41" s="286"/>
      <c r="I41" s="285"/>
      <c r="J41" s="282" t="s">
        <v>309</v>
      </c>
      <c r="K41" s="282"/>
      <c r="L41" s="283">
        <f>K42+K43+O42+O43</f>
        <v>33</v>
      </c>
      <c r="M41" s="43"/>
      <c r="N41" s="43"/>
      <c r="O41" s="43"/>
      <c r="P41" s="36"/>
      <c r="Q41" s="36"/>
    </row>
    <row r="42" spans="1:17" s="6" customFormat="1" ht="18" customHeight="1">
      <c r="A42" s="676"/>
      <c r="B42" s="44" t="s">
        <v>296</v>
      </c>
      <c r="C42" s="381">
        <f>'SERVICE2-List'!C83+'SERVICE2-List'!C84+'SERVICE2-List'!C85</f>
        <v>35</v>
      </c>
      <c r="D42" s="44"/>
      <c r="E42" s="43"/>
      <c r="F42" s="44" t="s">
        <v>125</v>
      </c>
      <c r="G42" s="381">
        <f>'SERVICE2-List'!C75</f>
        <v>0</v>
      </c>
      <c r="H42" s="64"/>
      <c r="I42" s="36"/>
      <c r="J42" s="126" t="s">
        <v>132</v>
      </c>
      <c r="K42" s="381">
        <f>'SERVICE2-List'!F83+'SERVICE2-List'!F84+'SERVICE2-List'!F85</f>
        <v>31</v>
      </c>
      <c r="L42" s="36"/>
      <c r="M42" s="43"/>
      <c r="N42" s="126" t="s">
        <v>125</v>
      </c>
      <c r="O42" s="381">
        <f>'SERVICE2-List'!F75</f>
        <v>0</v>
      </c>
      <c r="P42" s="58"/>
      <c r="Q42" s="36"/>
    </row>
    <row r="43" spans="1:17" s="6" customFormat="1" ht="18" customHeight="1">
      <c r="A43" s="676"/>
      <c r="B43" s="314" t="s">
        <v>127</v>
      </c>
      <c r="C43" s="382">
        <v>0</v>
      </c>
      <c r="D43" s="314"/>
      <c r="E43" s="300"/>
      <c r="F43" s="300" t="s">
        <v>128</v>
      </c>
      <c r="G43" s="383">
        <v>0</v>
      </c>
      <c r="H43" s="299"/>
      <c r="I43" s="300"/>
      <c r="J43" s="314" t="s">
        <v>127</v>
      </c>
      <c r="K43" s="384">
        <f>L35-K42-O42-O43</f>
        <v>1</v>
      </c>
      <c r="M43" s="300"/>
      <c r="N43" s="300" t="s">
        <v>128</v>
      </c>
      <c r="O43" s="383">
        <v>1</v>
      </c>
      <c r="P43" s="4"/>
      <c r="Q43" s="36"/>
    </row>
    <row r="44" spans="1:17" s="6" customFormat="1" ht="18" customHeight="1">
      <c r="A44" s="676"/>
      <c r="B44" s="385" t="s">
        <v>153</v>
      </c>
      <c r="C44" s="382">
        <f>C35-C43-C42-G42-G43-G44</f>
        <v>1</v>
      </c>
      <c r="D44" s="314"/>
      <c r="E44" s="300"/>
      <c r="F44" s="300" t="s">
        <v>130</v>
      </c>
      <c r="G44" s="383">
        <v>1</v>
      </c>
      <c r="H44" s="299"/>
      <c r="I44" s="305"/>
      <c r="J44" s="386"/>
      <c r="K44" s="386"/>
      <c r="L44" s="314"/>
      <c r="M44" s="300"/>
      <c r="N44" s="306" t="s">
        <v>237</v>
      </c>
      <c r="O44" s="309">
        <f>'SERVICE2-List'!C94</f>
        <v>1</v>
      </c>
      <c r="P44" s="4"/>
      <c r="Q44" s="36"/>
    </row>
    <row r="45" spans="1:17" s="6" customFormat="1" ht="18" customHeight="1">
      <c r="A45" s="676"/>
      <c r="B45" s="123"/>
      <c r="C45" s="4"/>
      <c r="D45" s="4"/>
      <c r="E45" s="4"/>
      <c r="F45" s="4"/>
      <c r="G45" s="4"/>
      <c r="H45" s="92"/>
      <c r="I45" s="4"/>
      <c r="J45" s="160"/>
      <c r="K45" s="4"/>
      <c r="L45" s="4"/>
      <c r="M45" s="4"/>
      <c r="N45" s="307"/>
      <c r="O45" s="308" t="s">
        <v>236</v>
      </c>
      <c r="P45" s="4"/>
      <c r="Q45" s="36"/>
    </row>
    <row r="46" spans="1:17" ht="18" customHeight="1">
      <c r="A46" s="676"/>
      <c r="B46" s="403" t="s">
        <v>123</v>
      </c>
      <c r="C46" s="404">
        <f>C47+G47+C48+C49+G48+G49+C50</f>
        <v>41</v>
      </c>
      <c r="D46" s="405"/>
      <c r="E46" s="406"/>
      <c r="F46" s="407"/>
      <c r="G46" s="407"/>
      <c r="H46" s="408"/>
      <c r="I46" s="409"/>
      <c r="J46" s="403" t="s">
        <v>123</v>
      </c>
      <c r="K46" s="403"/>
      <c r="L46" s="404">
        <f>K47+K48+K49+O47+O48+O49+L50</f>
        <v>35</v>
      </c>
      <c r="M46" s="410"/>
      <c r="N46" s="410"/>
      <c r="O46" s="410"/>
      <c r="Q46" s="4"/>
    </row>
    <row r="47" spans="1:17" ht="18" customHeight="1">
      <c r="A47" s="676"/>
      <c r="B47" s="411" t="s">
        <v>302</v>
      </c>
      <c r="C47" s="412">
        <f>'SERVICE2-List'!C90+'SERVICE2-List'!C91+'SERVICE2-List'!C92+'SERVICE2-List'!C93</f>
        <v>33</v>
      </c>
      <c r="D47" s="413"/>
      <c r="E47" s="410"/>
      <c r="F47" s="411" t="s">
        <v>133</v>
      </c>
      <c r="G47" s="412">
        <f>'SERVICE2-List'!C94</f>
        <v>1</v>
      </c>
      <c r="H47" s="414"/>
      <c r="I47" s="415"/>
      <c r="J47" s="416" t="s">
        <v>304</v>
      </c>
      <c r="K47" s="412">
        <f>'SERVICE2-List'!F90+'SERVICE2-List'!F91+'SERVICE2-List'!F93</f>
        <v>29</v>
      </c>
      <c r="L47" s="4"/>
      <c r="M47" s="410"/>
      <c r="N47" s="416" t="s">
        <v>133</v>
      </c>
      <c r="O47" s="412">
        <f>'SERVICE2-List'!F94</f>
        <v>1</v>
      </c>
      <c r="P47" s="4"/>
      <c r="Q47" s="4"/>
    </row>
    <row r="48" spans="1:17" ht="18" customHeight="1">
      <c r="A48" s="676"/>
      <c r="B48" s="410" t="s">
        <v>303</v>
      </c>
      <c r="C48" s="417">
        <f>'SERVICE2-List'!C95+'SERVICE2-List'!C98+'SERVICE2-List'!C104</f>
        <v>6</v>
      </c>
      <c r="D48" s="413"/>
      <c r="E48" s="410"/>
      <c r="F48" s="410" t="s">
        <v>202</v>
      </c>
      <c r="G48" s="417">
        <f>'SERVICE2-List'!C99</f>
        <v>1</v>
      </c>
      <c r="H48" s="414"/>
      <c r="I48" s="415"/>
      <c r="J48" s="410" t="s">
        <v>303</v>
      </c>
      <c r="K48" s="417">
        <f>'SERVICE2-List'!F95+'SERVICE2-List'!F96+'SERVICE2-List'!F97+'SERVICE2-List'!F98+'SERVICE2-List'!F104</f>
        <v>4</v>
      </c>
      <c r="L48" s="4"/>
      <c r="M48" s="410"/>
      <c r="N48" s="410" t="s">
        <v>202</v>
      </c>
      <c r="O48" s="417">
        <f>'SERVICE2-List'!F99</f>
        <v>1</v>
      </c>
      <c r="P48" s="4"/>
      <c r="Q48" s="4"/>
    </row>
    <row r="49" spans="1:17" ht="18" customHeight="1">
      <c r="A49" s="676"/>
      <c r="B49" s="410" t="s">
        <v>201</v>
      </c>
      <c r="C49" s="417">
        <f>'SERVICE2-List'!C100</f>
        <v>0</v>
      </c>
      <c r="D49" s="414"/>
      <c r="E49" s="414"/>
      <c r="F49" s="410" t="s">
        <v>276</v>
      </c>
      <c r="G49" s="417">
        <f>'SERVICE2-List'!C103</f>
        <v>0</v>
      </c>
      <c r="H49" s="418"/>
      <c r="I49" s="419"/>
      <c r="J49" s="410" t="s">
        <v>201</v>
      </c>
      <c r="K49" s="417">
        <f>'SERVICE2-List'!F100+'SERVICE2-List'!F101+'SERVICE2-List'!F102</f>
        <v>0</v>
      </c>
      <c r="L49" s="4"/>
      <c r="M49" s="414"/>
      <c r="N49" s="410" t="s">
        <v>277</v>
      </c>
      <c r="O49" s="417">
        <f>'SERVICE2-List'!F103</f>
        <v>0</v>
      </c>
      <c r="P49" s="4"/>
      <c r="Q49" s="4"/>
    </row>
    <row r="50" spans="1:17" ht="18" customHeight="1">
      <c r="A50" s="4"/>
      <c r="B50" s="423"/>
      <c r="C50" s="422"/>
      <c r="D50" s="255"/>
      <c r="E50" s="255"/>
      <c r="F50" s="273"/>
      <c r="G50" s="310"/>
      <c r="H50" s="275"/>
      <c r="I50" s="255"/>
      <c r="J50" s="423"/>
      <c r="K50" s="274"/>
      <c r="L50" s="422"/>
      <c r="M50" s="274"/>
      <c r="N50" s="273"/>
      <c r="O50" s="310"/>
      <c r="P50" s="4"/>
      <c r="Q50" s="4"/>
    </row>
    <row r="51" spans="1:17" ht="18" customHeight="1">
      <c r="A51" s="4"/>
      <c r="B51" s="613" t="s">
        <v>419</v>
      </c>
      <c r="C51" s="612"/>
      <c r="D51" s="614"/>
      <c r="E51" s="614"/>
      <c r="F51" s="613"/>
      <c r="G51" s="612"/>
      <c r="H51" s="615"/>
      <c r="I51" s="614"/>
      <c r="J51" s="613"/>
      <c r="K51" s="616"/>
      <c r="L51" s="612"/>
      <c r="M51" s="616"/>
      <c r="N51" s="613"/>
      <c r="O51" s="612"/>
      <c r="P51" s="614"/>
      <c r="Q51" s="4"/>
    </row>
    <row r="52" spans="1:17" ht="17.100000000000001" customHeight="1">
      <c r="B52" s="128"/>
      <c r="C52" s="128"/>
      <c r="D52" s="128"/>
      <c r="E52" s="24"/>
      <c r="F52" s="128"/>
      <c r="G52" s="24"/>
      <c r="H52" s="128"/>
      <c r="I52" s="128"/>
      <c r="J52" s="129"/>
      <c r="K52" s="128"/>
      <c r="L52" s="128"/>
      <c r="M52" s="24"/>
      <c r="N52" s="129"/>
      <c r="O52" s="24"/>
      <c r="P52" s="24"/>
    </row>
    <row r="61" spans="1:17" ht="12.75" customHeight="1"/>
  </sheetData>
  <mergeCells count="19">
    <mergeCell ref="A1:Q1"/>
    <mergeCell ref="B2:C2"/>
    <mergeCell ref="D2:G2"/>
    <mergeCell ref="H2:J2"/>
    <mergeCell ref="B13:F13"/>
    <mergeCell ref="E38:G39"/>
    <mergeCell ref="N38:P39"/>
    <mergeCell ref="B26:Q26"/>
    <mergeCell ref="A4:Q4"/>
    <mergeCell ref="J5:Q5"/>
    <mergeCell ref="P27:Q28"/>
    <mergeCell ref="J27:O28"/>
    <mergeCell ref="D7:F7"/>
    <mergeCell ref="A5:A24"/>
    <mergeCell ref="A27:A49"/>
    <mergeCell ref="B5:G5"/>
    <mergeCell ref="G27:H28"/>
    <mergeCell ref="B27:F28"/>
    <mergeCell ref="K10:M10"/>
  </mergeCells>
  <pageMargins left="0" right="0" top="0" bottom="0" header="0.51181102362204722" footer="0.51181102362204722"/>
  <pageSetup paperSize="9" scale="90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>
    <tabColor theme="4" tint="-0.249977111117893"/>
  </sheetPr>
  <dimension ref="A1:U50"/>
  <sheetViews>
    <sheetView zoomScale="90" zoomScaleNormal="90" workbookViewId="0">
      <selection activeCell="G10" sqref="G10:H10"/>
    </sheetView>
  </sheetViews>
  <sheetFormatPr baseColWidth="10" defaultRowHeight="12.75"/>
  <cols>
    <col min="1" max="1" width="26" style="95" customWidth="1"/>
    <col min="2" max="2" width="9.28515625" style="95" customWidth="1"/>
    <col min="3" max="12" width="5.42578125" style="95" customWidth="1"/>
    <col min="13" max="14" width="5.7109375" style="95" customWidth="1"/>
    <col min="15" max="15" width="7" style="95" customWidth="1"/>
    <col min="16" max="16" width="25.7109375" style="95" customWidth="1"/>
    <col min="17" max="17" width="14.7109375" style="95" customWidth="1"/>
    <col min="18" max="18" width="6.7109375" style="95" customWidth="1"/>
    <col min="19" max="19" width="25.7109375" style="95" customWidth="1"/>
    <col min="20" max="20" width="14.7109375" style="95" customWidth="1"/>
    <col min="21" max="16384" width="11.42578125" style="95"/>
  </cols>
  <sheetData>
    <row r="1" spans="1:20" ht="24" customHeight="1">
      <c r="A1" s="134"/>
      <c r="B1" s="781" t="s">
        <v>162</v>
      </c>
      <c r="C1" s="781"/>
      <c r="D1" s="781"/>
      <c r="E1" s="781"/>
      <c r="F1" s="781"/>
      <c r="G1" s="781"/>
      <c r="H1" s="781"/>
      <c r="I1" s="781"/>
      <c r="J1" s="781"/>
      <c r="K1" s="781"/>
      <c r="L1" s="781"/>
      <c r="M1" s="781"/>
      <c r="N1" s="247"/>
      <c r="O1" s="585"/>
      <c r="P1" s="585"/>
      <c r="Q1" s="581">
        <f>'REGE1-SYNT'!D7</f>
        <v>44068</v>
      </c>
      <c r="R1" s="585"/>
      <c r="S1" s="585"/>
      <c r="T1" s="585"/>
    </row>
    <row r="2" spans="1:20" ht="10.5" customHeight="1">
      <c r="A2" s="135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6"/>
      <c r="N2" s="136"/>
      <c r="O2" s="585"/>
      <c r="P2" s="585"/>
      <c r="Q2" s="585"/>
      <c r="R2" s="585"/>
      <c r="S2" s="585"/>
      <c r="T2" s="585"/>
    </row>
    <row r="3" spans="1:20" s="97" customFormat="1" ht="13.5" customHeight="1">
      <c r="A3" s="144" t="s">
        <v>163</v>
      </c>
      <c r="B3" s="782" t="s">
        <v>255</v>
      </c>
      <c r="C3" s="782"/>
      <c r="D3" s="782"/>
      <c r="E3" s="175"/>
      <c r="F3" s="137"/>
      <c r="G3" s="137"/>
      <c r="H3" s="144" t="s">
        <v>164</v>
      </c>
      <c r="I3" s="783">
        <f ca="1">IF('REGE1-SYNT'!$D$7="",TODAY()+1,'REGE1-SYNT'!$D$7)</f>
        <v>44068</v>
      </c>
      <c r="J3" s="783"/>
      <c r="K3" s="783"/>
      <c r="L3" s="783"/>
      <c r="M3" s="783"/>
      <c r="N3" s="783"/>
      <c r="O3" s="137"/>
      <c r="P3" s="137"/>
      <c r="Q3" s="137"/>
      <c r="R3" s="137"/>
      <c r="S3" s="137"/>
      <c r="T3" s="137"/>
    </row>
    <row r="4" spans="1:20" s="97" customFormat="1" ht="15.75" customHeight="1">
      <c r="A4" s="137" t="s">
        <v>220</v>
      </c>
      <c r="B4" s="256">
        <f>'REGE1-SYNT'!G27</f>
        <v>30</v>
      </c>
      <c r="C4" s="146" t="s">
        <v>94</v>
      </c>
      <c r="D4" s="137"/>
      <c r="E4" s="857">
        <f>'REGE1-SYNT'!P27</f>
        <v>36</v>
      </c>
      <c r="F4" s="857"/>
      <c r="G4" s="145" t="s">
        <v>95</v>
      </c>
      <c r="H4" s="163" t="s">
        <v>283</v>
      </c>
      <c r="I4" s="163"/>
      <c r="J4" s="163"/>
      <c r="K4" s="163"/>
      <c r="L4" s="163"/>
      <c r="M4" s="175"/>
      <c r="N4" s="163"/>
      <c r="O4" s="137"/>
      <c r="P4" s="137"/>
      <c r="Q4" s="137"/>
      <c r="R4" s="137"/>
      <c r="S4" s="137"/>
      <c r="T4" s="137"/>
    </row>
    <row r="5" spans="1:20" s="98" customFormat="1" ht="12" customHeight="1" thickBot="1">
      <c r="A5" s="138"/>
      <c r="B5" s="138"/>
      <c r="C5" s="138"/>
      <c r="D5" s="138"/>
      <c r="E5" s="138"/>
      <c r="F5" s="138"/>
      <c r="G5" s="138"/>
      <c r="H5" s="138"/>
      <c r="I5" s="138"/>
      <c r="J5" s="138"/>
      <c r="K5" s="138"/>
      <c r="L5" s="138"/>
      <c r="M5" s="138"/>
      <c r="N5" s="138"/>
      <c r="O5" s="583"/>
      <c r="P5" s="583"/>
      <c r="Q5" s="583"/>
      <c r="R5" s="583"/>
      <c r="S5" s="583"/>
      <c r="T5" s="583"/>
    </row>
    <row r="6" spans="1:20" s="97" customFormat="1" ht="13.5" customHeight="1" thickBot="1">
      <c r="A6" s="137" t="s">
        <v>282</v>
      </c>
      <c r="B6" s="137"/>
      <c r="C6" s="784" t="s">
        <v>94</v>
      </c>
      <c r="D6" s="785"/>
      <c r="E6" s="785"/>
      <c r="F6" s="785"/>
      <c r="G6" s="785"/>
      <c r="H6" s="786"/>
      <c r="I6" s="787" t="s">
        <v>165</v>
      </c>
      <c r="J6" s="788"/>
      <c r="K6" s="788"/>
      <c r="L6" s="788"/>
      <c r="M6" s="788"/>
      <c r="N6" s="789"/>
      <c r="O6" s="137"/>
      <c r="P6" s="852" t="s">
        <v>399</v>
      </c>
      <c r="Q6" s="853"/>
      <c r="R6" s="853"/>
      <c r="S6" s="600" t="str">
        <f>'REGE1-SYNT'!C24</f>
        <v>-</v>
      </c>
      <c r="T6" s="602"/>
    </row>
    <row r="7" spans="1:20" s="97" customFormat="1" ht="13.5" customHeight="1" thickBot="1">
      <c r="A7" s="137" t="s">
        <v>417</v>
      </c>
      <c r="B7" s="137"/>
      <c r="C7" s="694" t="s">
        <v>5</v>
      </c>
      <c r="D7" s="695"/>
      <c r="E7" s="773" t="s">
        <v>166</v>
      </c>
      <c r="F7" s="695"/>
      <c r="G7" s="773" t="s">
        <v>167</v>
      </c>
      <c r="H7" s="792"/>
      <c r="I7" s="793" t="s">
        <v>5</v>
      </c>
      <c r="J7" s="794"/>
      <c r="K7" s="773" t="s">
        <v>166</v>
      </c>
      <c r="L7" s="695"/>
      <c r="M7" s="795" t="s">
        <v>167</v>
      </c>
      <c r="N7" s="796"/>
      <c r="O7" s="137"/>
      <c r="P7" s="137"/>
      <c r="Q7" s="137"/>
      <c r="R7" s="137"/>
      <c r="S7" s="137"/>
      <c r="T7" s="137"/>
    </row>
    <row r="8" spans="1:20" s="97" customFormat="1" ht="20.100000000000001" customHeight="1">
      <c r="A8" s="99" t="s">
        <v>168</v>
      </c>
      <c r="B8" s="261" t="s">
        <v>169</v>
      </c>
      <c r="C8" s="706">
        <f ca="1">IF(WEEKDAY(I3,2)&lt;6,'REGE1-SYNT'!C8,'REGE1-SYNT'!G8)</f>
        <v>11</v>
      </c>
      <c r="D8" s="707"/>
      <c r="E8" s="728">
        <f>'REGE1-SYNT'!G9</f>
        <v>0</v>
      </c>
      <c r="F8" s="707"/>
      <c r="G8" s="790"/>
      <c r="H8" s="791"/>
      <c r="I8" s="774"/>
      <c r="J8" s="709"/>
      <c r="K8" s="708"/>
      <c r="L8" s="709"/>
      <c r="M8" s="790"/>
      <c r="N8" s="791"/>
      <c r="O8" s="137"/>
      <c r="P8" s="586" t="s">
        <v>395</v>
      </c>
      <c r="Q8" s="586"/>
      <c r="R8" s="584"/>
      <c r="S8" s="586" t="s">
        <v>395</v>
      </c>
      <c r="T8" s="586"/>
    </row>
    <row r="9" spans="1:20" s="97" customFormat="1" ht="20.100000000000001" customHeight="1">
      <c r="A9" s="257" t="s">
        <v>192</v>
      </c>
      <c r="B9" s="258" t="s">
        <v>193</v>
      </c>
      <c r="C9" s="698">
        <f ca="1">IF(OR(WEEKDAY(I3,2)=1,WEEKDAY(I3,2)=3,WEEKDAY(I3,2)=5),'REGE1-SYNT'!C11,0)</f>
        <v>0</v>
      </c>
      <c r="D9" s="699"/>
      <c r="E9" s="743" t="s">
        <v>7</v>
      </c>
      <c r="F9" s="699"/>
      <c r="G9" s="702"/>
      <c r="H9" s="723"/>
      <c r="I9" s="742"/>
      <c r="J9" s="703"/>
      <c r="K9" s="702"/>
      <c r="L9" s="703"/>
      <c r="M9" s="724"/>
      <c r="N9" s="725"/>
      <c r="O9" s="137"/>
      <c r="P9" s="582" t="str">
        <f t="array" ref="P9">IFERROR(INDEX('SERVICE1-List'!$B$1:$B$40,SMALL(IF(('SERVICE1-List'!$V$6:$V$40='REGE1-SYNT'!C$24)*('SERVICE1-List'!$S$6:$S$40="Oui"),ROW('SERVICE1-List'!$E$6:$E$40)),ROW('SERVICE1-List'!B1))),"")</f>
        <v/>
      </c>
      <c r="Q9" s="582" t="str">
        <f t="array" ref="Q9">IFERROR(INDEX('SERVICE1-List'!$W$1:$W$40,SMALL(IF(('SERVICE1-List'!$V$6:$V$40='REGE1-SYNT'!C$24)*('SERVICE1-List'!$S$6:$S$40="Oui"),ROW('SERVICE1-List'!$E$6:$E$40)),ROW('SERVICE1-List'!B1))),"")</f>
        <v/>
      </c>
      <c r="R9" s="137"/>
      <c r="S9" s="582" t="str">
        <f t="array" ref="S9">IFERROR(INDEX('SERVICE2-List'!$B$1:$B$43,SMALL(IF(('SERVICE2-List'!$V$6:$V$43='REGE1-SYNT'!C$24)*('SERVICE2-List'!$S$6:$S$43="Oui"),ROW('SERVICE2-List'!$E$6:$E$43)),ROW('SERVICE2-List'!B1))),"")</f>
        <v/>
      </c>
      <c r="T9" s="582" t="str">
        <f t="array" ref="T9">IFERROR(INDEX('SERVICE2-List'!$W$1:$W$43,SMALL(IF(('SERVICE2-List'!$V$6:$V$43='REGE1-SYNT'!C$24)*('SERVICE2-List'!$S$6:$S$43="Oui"),ROW('SERVICE2-List'!$E$6:$E$43)),ROW('SERVICE2-List'!B1))),"")</f>
        <v/>
      </c>
    </row>
    <row r="10" spans="1:20" s="97" customFormat="1" ht="20.100000000000001" customHeight="1">
      <c r="A10" s="100" t="s">
        <v>229</v>
      </c>
      <c r="B10" s="101" t="s">
        <v>169</v>
      </c>
      <c r="C10" s="698">
        <f ca="1">IF(ISNUMBER(MATCH(I$3,BDD!C27:C500,0)),'REGE1-SYNT'!C10,0)</f>
        <v>0</v>
      </c>
      <c r="D10" s="699"/>
      <c r="E10" s="702"/>
      <c r="F10" s="703"/>
      <c r="G10" s="702"/>
      <c r="H10" s="723"/>
      <c r="I10" s="742"/>
      <c r="J10" s="703"/>
      <c r="K10" s="702"/>
      <c r="L10" s="703"/>
      <c r="M10" s="779"/>
      <c r="N10" s="780"/>
      <c r="O10" s="137"/>
      <c r="P10" s="582" t="str">
        <f t="array" ref="P10">IFERROR(INDEX('SERVICE1-List'!$B$1:$B$40,SMALL(IF(('SERVICE1-List'!$V$6:$V$40='REGE1-SYNT'!C$24)*('SERVICE1-List'!$S$6:$S$40="Oui"),ROW('SERVICE1-List'!$E$6:$E$40)),ROW('SERVICE1-List'!B2))),"")</f>
        <v/>
      </c>
      <c r="Q10" s="582" t="str">
        <f t="array" ref="Q10">IFERROR(INDEX('SERVICE1-List'!$W$1:$W$40,SMALL(IF(('SERVICE1-List'!$V$6:$V$40='REGE1-SYNT'!C$24)*('SERVICE1-List'!$S$6:$S$40="Oui"),ROW('SERVICE1-List'!$E$6:$E$40)),ROW('SERVICE1-List'!B2))),"")</f>
        <v/>
      </c>
      <c r="R10" s="137"/>
      <c r="S10" s="582" t="str">
        <f t="array" ref="S10">IFERROR(INDEX('SERVICE2-List'!$B$1:$B$43,SMALL(IF(('SERVICE2-List'!$V$6:$V$43='REGE1-SYNT'!C$24)*('SERVICE2-List'!$S$6:$S$43="Oui"),ROW('SERVICE2-List'!$E$6:$E$43)),ROW('SERVICE2-List'!B2))),"")</f>
        <v/>
      </c>
      <c r="T10" s="582" t="str">
        <f t="array" ref="T10">IFERROR(INDEX('SERVICE2-List'!$W$1:$W$43,SMALL(IF(('SERVICE2-List'!$V$6:$V$43='REGE1-SYNT'!C$24)*('SERVICE2-List'!$S$6:$S$43="Oui"),ROW('SERVICE2-List'!$E$6:$E$43)),ROW('SERVICE2-List'!B2))),"")</f>
        <v/>
      </c>
    </row>
    <row r="11" spans="1:20" s="97" customFormat="1" ht="20.100000000000001" customHeight="1" thickBot="1">
      <c r="A11" s="102" t="s">
        <v>170</v>
      </c>
      <c r="B11" s="103" t="s">
        <v>171</v>
      </c>
      <c r="C11" s="689">
        <f>'REGE1-SYNT'!G11</f>
        <v>72</v>
      </c>
      <c r="D11" s="690"/>
      <c r="E11" s="691"/>
      <c r="F11" s="692"/>
      <c r="G11" s="691"/>
      <c r="H11" s="693"/>
      <c r="I11" s="739"/>
      <c r="J11" s="692"/>
      <c r="K11" s="691"/>
      <c r="L11" s="692"/>
      <c r="M11" s="777"/>
      <c r="N11" s="778"/>
      <c r="O11" s="137"/>
      <c r="P11" s="582" t="str">
        <f t="array" ref="P11">IFERROR(INDEX('SERVICE1-List'!$B$1:$B$40,SMALL(IF(('SERVICE1-List'!$V$6:$V$40='REGE1-SYNT'!C$24)*('SERVICE1-List'!$S$6:$S$40="Oui"),ROW('SERVICE1-List'!$E$6:$E$40)),ROW('SERVICE1-List'!B3))),"")</f>
        <v/>
      </c>
      <c r="Q11" s="582" t="str">
        <f t="array" ref="Q11">IFERROR(INDEX('SERVICE1-List'!$W$1:$W$40,SMALL(IF(('SERVICE1-List'!$V$6:$V$40='REGE1-SYNT'!C$24)*('SERVICE1-List'!$S$6:$S$40="Oui"),ROW('SERVICE1-List'!$E$6:$E$40)),ROW('SERVICE1-List'!B3))),"")</f>
        <v/>
      </c>
      <c r="R11" s="137"/>
      <c r="S11" s="582" t="str">
        <f t="array" ref="S11">IFERROR(INDEX('SERVICE2-List'!$B$1:$B$43,SMALL(IF(('SERVICE2-List'!$V$6:$V$43='REGE1-SYNT'!C$24)*('SERVICE2-List'!$S$6:$S$43="Oui"),ROW('SERVICE2-List'!$E$6:$E$43)),ROW('SERVICE2-List'!B3))),"")</f>
        <v/>
      </c>
      <c r="T11" s="582" t="str">
        <f t="array" ref="T11">IFERROR(INDEX('SERVICE2-List'!$W$1:$W$43,SMALL(IF(('SERVICE2-List'!$V$6:$V$43='REGE1-SYNT'!C$24)*('SERVICE2-List'!$S$6:$S$43="Oui"),ROW('SERVICE2-List'!$E$6:$E$43)),ROW('SERVICE2-List'!B3))),"")</f>
        <v/>
      </c>
    </row>
    <row r="12" spans="1:20" s="97" customFormat="1" ht="20.45" customHeight="1">
      <c r="A12" s="104" t="s">
        <v>172</v>
      </c>
      <c r="B12" s="105" t="s">
        <v>173</v>
      </c>
      <c r="C12" s="706"/>
      <c r="D12" s="707"/>
      <c r="E12" s="708"/>
      <c r="F12" s="709"/>
      <c r="G12" s="708"/>
      <c r="H12" s="710"/>
      <c r="I12" s="706">
        <f ca="1">IF(OR(WEEKDAY(I3,2)&lt;4,WEEKDAY(I3,2)=5,WEEKDAY(I3,2)=6),'REGE1-SYNT'!K9,0)+IF((WEEKDAY(I3,2)=7),'REGE1-SYNT'!O10)+IF((WEEKDAY(I3,2)=4),'REGE1-SYNT'!O11)</f>
        <v>4</v>
      </c>
      <c r="J12" s="707"/>
      <c r="K12" s="708"/>
      <c r="L12" s="709"/>
      <c r="M12" s="687"/>
      <c r="N12" s="688"/>
      <c r="O12" s="137"/>
      <c r="P12" s="582" t="str">
        <f t="array" ref="P12">IFERROR(INDEX('SERVICE1-List'!$B$1:$B$40,SMALL(IF(('SERVICE1-List'!$V$6:$V$40='REGE1-SYNT'!C$24)*('SERVICE1-List'!$S$6:$S$40="Oui"),ROW('SERVICE1-List'!$E$6:$E$40)),ROW('SERVICE1-List'!B4))),"")</f>
        <v/>
      </c>
      <c r="Q12" s="582" t="str">
        <f t="array" ref="Q12">IFERROR(INDEX('SERVICE1-List'!$W$1:$W$40,SMALL(IF(('SERVICE1-List'!$V$6:$V$40='REGE1-SYNT'!C$24)*('SERVICE1-List'!$S$6:$S$40="Oui"),ROW('SERVICE1-List'!$E$6:$E$40)),ROW('SERVICE1-List'!B4))),"")</f>
        <v/>
      </c>
      <c r="R12" s="137"/>
      <c r="S12" s="582" t="str">
        <f t="array" ref="S12">IFERROR(INDEX('SERVICE2-List'!$B$1:$B$43,SMALL(IF(('SERVICE2-List'!$V$6:$V$43='REGE1-SYNT'!C$24)*('SERVICE2-List'!$S$6:$S$43="Oui"),ROW('SERVICE2-List'!$E$6:$E$43)),ROW('SERVICE2-List'!B4))),"")</f>
        <v/>
      </c>
      <c r="T12" s="582" t="str">
        <f t="array" ref="T12">IFERROR(INDEX('SERVICE2-List'!$W$1:$W$43,SMALL(IF(('SERVICE2-List'!$V$6:$V$43='REGE1-SYNT'!C$24)*('SERVICE2-List'!$S$6:$S$43="Oui"),ROW('SERVICE2-List'!$E$6:$E$43)),ROW('SERVICE2-List'!B4))),"")</f>
        <v/>
      </c>
    </row>
    <row r="13" spans="1:20" s="97" customFormat="1" ht="20.45" customHeight="1">
      <c r="A13" s="106" t="s">
        <v>230</v>
      </c>
      <c r="B13" s="107" t="s">
        <v>173</v>
      </c>
      <c r="C13" s="698"/>
      <c r="D13" s="699"/>
      <c r="E13" s="775"/>
      <c r="F13" s="776"/>
      <c r="G13" s="702"/>
      <c r="H13" s="723"/>
      <c r="I13" s="698" t="s">
        <v>7</v>
      </c>
      <c r="J13" s="699"/>
      <c r="K13" s="775"/>
      <c r="L13" s="776"/>
      <c r="M13" s="724"/>
      <c r="N13" s="725"/>
      <c r="O13" s="137"/>
      <c r="P13" s="582" t="str">
        <f t="array" ref="P13">IFERROR(INDEX('SERVICE1-List'!$B$1:$B$40,SMALL(IF(('SERVICE1-List'!$V$6:$V$40='REGE1-SYNT'!C$24)*('SERVICE1-List'!$S$6:$S$40="Oui"),ROW('SERVICE1-List'!$E$6:$E$40)),ROW('SERVICE1-List'!B5))),"")</f>
        <v/>
      </c>
      <c r="Q13" s="582" t="str">
        <f t="array" ref="Q13">IFERROR(INDEX('SERVICE1-List'!$W$1:$W$40,SMALL(IF(('SERVICE1-List'!$V$6:$V$40='REGE1-SYNT'!C$24)*('SERVICE1-List'!$S$6:$S$40="Oui"),ROW('SERVICE1-List'!$E$6:$E$40)),ROW('SERVICE1-List'!B5))),"")</f>
        <v/>
      </c>
      <c r="R13" s="137"/>
      <c r="S13" s="582" t="str">
        <f t="array" ref="S13">IFERROR(INDEX('SERVICE2-List'!$B$1:$B$43,SMALL(IF(('SERVICE2-List'!$V$6:$V$43='REGE1-SYNT'!C$24)*('SERVICE2-List'!$S$6:$S$43="Oui"),ROW('SERVICE2-List'!$E$6:$E$43)),ROW('SERVICE2-List'!B5))),"")</f>
        <v/>
      </c>
      <c r="T13" s="582" t="str">
        <f t="array" ref="T13">IFERROR(INDEX('SERVICE2-List'!$W$1:$W$43,SMALL(IF(('SERVICE2-List'!$V$6:$V$43='REGE1-SYNT'!C$24)*('SERVICE2-List'!$S$6:$S$43="Oui"),ROW('SERVICE2-List'!$E$6:$E$43)),ROW('SERVICE2-List'!B5))),"")</f>
        <v/>
      </c>
    </row>
    <row r="14" spans="1:20" s="97" customFormat="1" ht="20.45" customHeight="1">
      <c r="A14" s="108" t="s">
        <v>231</v>
      </c>
      <c r="B14" s="109" t="s">
        <v>173</v>
      </c>
      <c r="C14" s="742"/>
      <c r="D14" s="703"/>
      <c r="E14" s="702"/>
      <c r="F14" s="703"/>
      <c r="G14" s="702"/>
      <c r="H14" s="723"/>
      <c r="I14" s="698">
        <f ca="1">IF(OR(WEEKDAY(I3,2)=7),'REGE1-SYNT'!K10,0)</f>
        <v>0</v>
      </c>
      <c r="J14" s="854"/>
      <c r="K14" s="854"/>
      <c r="L14" s="699"/>
      <c r="M14" s="724"/>
      <c r="N14" s="725"/>
      <c r="O14" s="137"/>
      <c r="P14" s="582" t="str">
        <f t="array" ref="P14">IFERROR(INDEX('SERVICE1-List'!$B$1:$B$40,SMALL(IF(('SERVICE1-List'!$V$6:$V$40='REGE1-SYNT'!C$24)*('SERVICE1-List'!$S$6:$S$40="Oui"),ROW('SERVICE1-List'!$E$6:$E$40)),ROW('SERVICE1-List'!B6))),"")</f>
        <v/>
      </c>
      <c r="Q14" s="582" t="str">
        <f t="array" ref="Q14">IFERROR(INDEX('SERVICE1-List'!$W$1:$W$40,SMALL(IF(('SERVICE1-List'!$V$6:$V$40='REGE1-SYNT'!C$24)*('SERVICE1-List'!$S$6:$S$40="Oui"),ROW('SERVICE1-List'!$E$6:$E$40)),ROW('SERVICE1-List'!B6))),"")</f>
        <v/>
      </c>
      <c r="R14" s="137"/>
      <c r="S14" s="582" t="str">
        <f t="array" ref="S14">IFERROR(INDEX('SERVICE2-List'!$B$1:$B$43,SMALL(IF(('SERVICE2-List'!$V$6:$V$43='REGE1-SYNT'!C$24)*('SERVICE2-List'!$S$6:$S$43="Oui"),ROW('SERVICE2-List'!$E$6:$E$43)),ROW('SERVICE2-List'!B6))),"")</f>
        <v/>
      </c>
      <c r="T14" s="582" t="str">
        <f t="array" ref="T14">IFERROR(INDEX('SERVICE2-List'!$W$1:$W$43,SMALL(IF(('SERVICE2-List'!$V$6:$V$43='REGE1-SYNT'!C$24)*('SERVICE2-List'!$S$6:$S$43="Oui"),ROW('SERVICE2-List'!$E$6:$E$43)),ROW('SERVICE2-List'!B6))),"")</f>
        <v/>
      </c>
    </row>
    <row r="15" spans="1:20" s="97" customFormat="1" ht="20.45" customHeight="1" thickBot="1">
      <c r="A15" s="110" t="s">
        <v>232</v>
      </c>
      <c r="B15" s="111" t="s">
        <v>173</v>
      </c>
      <c r="C15" s="739"/>
      <c r="D15" s="692"/>
      <c r="E15" s="691"/>
      <c r="F15" s="692"/>
      <c r="G15" s="691"/>
      <c r="H15" s="693"/>
      <c r="I15" s="689">
        <f ca="1">IF(OR(WEEKDAY(I3,2)=4),'REGE1-SYNT'!K11,0)</f>
        <v>0</v>
      </c>
      <c r="J15" s="690"/>
      <c r="K15" s="691"/>
      <c r="L15" s="692"/>
      <c r="M15" s="696"/>
      <c r="N15" s="697"/>
      <c r="O15" s="137"/>
      <c r="P15" s="582" t="str">
        <f t="array" ref="P15">IFERROR(INDEX('SERVICE1-List'!$B$1:$B$40,SMALL(IF(('SERVICE1-List'!$V$6:$V$40='REGE1-SYNT'!C$24)*('SERVICE1-List'!$S$6:$S$40="Oui"),ROW('SERVICE1-List'!$E$6:$E$40)),ROW('SERVICE1-List'!B7))),"")</f>
        <v/>
      </c>
      <c r="Q15" s="582" t="str">
        <f t="array" ref="Q15">IFERROR(INDEX('SERVICE1-List'!$W$1:$W$40,SMALL(IF(('SERVICE1-List'!$V$6:$V$40='REGE1-SYNT'!C$24)*('SERVICE1-List'!$S$6:$S$40="Oui"),ROW('SERVICE1-List'!$E$6:$E$40)),ROW('SERVICE1-List'!B7))),"")</f>
        <v/>
      </c>
      <c r="R15" s="137"/>
      <c r="S15" s="582" t="str">
        <f t="array" ref="S15">IFERROR(INDEX('SERVICE2-List'!$B$1:$B$43,SMALL(IF(('SERVICE2-List'!$V$6:$V$43='REGE1-SYNT'!C$24)*('SERVICE2-List'!$S$6:$S$43="Oui"),ROW('SERVICE2-List'!$E$6:$E$43)),ROW('SERVICE2-List'!B7))),"")</f>
        <v/>
      </c>
      <c r="T15" s="582" t="str">
        <f t="array" ref="T15">IFERROR(INDEX('SERVICE2-List'!$W$1:$W$43,SMALL(IF(('SERVICE2-List'!$V$6:$V$43='REGE1-SYNT'!C$24)*('SERVICE2-List'!$S$6:$S$43="Oui"),ROW('SERVICE2-List'!$E$6:$E$43)),ROW('SERVICE2-List'!B7))),"")</f>
        <v/>
      </c>
    </row>
    <row r="16" spans="1:20" s="97" customFormat="1" ht="20.45" customHeight="1">
      <c r="A16" s="115" t="s">
        <v>174</v>
      </c>
      <c r="B16" s="105" t="s">
        <v>175</v>
      </c>
      <c r="C16" s="706">
        <f>'REGE1-SYNT'!C31</f>
        <v>5</v>
      </c>
      <c r="D16" s="707"/>
      <c r="E16" s="728">
        <f>'REGE1-SYNT'!G31</f>
        <v>0</v>
      </c>
      <c r="F16" s="707"/>
      <c r="G16" s="728" t="s">
        <v>7</v>
      </c>
      <c r="H16" s="745"/>
      <c r="I16" s="774"/>
      <c r="J16" s="709"/>
      <c r="K16" s="708"/>
      <c r="L16" s="709"/>
      <c r="M16" s="687"/>
      <c r="N16" s="688"/>
      <c r="O16" s="137"/>
      <c r="P16" s="582" t="str">
        <f t="array" ref="P16">IFERROR(INDEX('SERVICE1-List'!$B$1:$B$40,SMALL(IF(('SERVICE1-List'!$V$6:$V$40='REGE1-SYNT'!C$24)*('SERVICE1-List'!$S$6:$S$40="Oui"),ROW('SERVICE1-List'!$E$6:$E$40)),ROW('SERVICE1-List'!B8))),"")</f>
        <v/>
      </c>
      <c r="Q16" s="582" t="str">
        <f t="array" ref="Q16">IFERROR(INDEX('SERVICE1-List'!$W$1:$W$40,SMALL(IF(('SERVICE1-List'!$V$6:$V$40='REGE1-SYNT'!C$24)*('SERVICE1-List'!$S$6:$S$40="Oui"),ROW('SERVICE1-List'!$E$6:$E$40)),ROW('SERVICE1-List'!B8))),"")</f>
        <v/>
      </c>
      <c r="R16" s="137"/>
      <c r="S16" s="582" t="str">
        <f t="array" ref="S16">IFERROR(INDEX('SERVICE2-List'!$B$1:$B$43,SMALL(IF(('SERVICE2-List'!$V$6:$V$43='REGE1-SYNT'!C$24)*('SERVICE2-List'!$S$6:$S$43="Oui"),ROW('SERVICE2-List'!$E$6:$E$43)),ROW('SERVICE2-List'!B8))),"")</f>
        <v/>
      </c>
      <c r="T16" s="582" t="str">
        <f t="array" ref="T16">IFERROR(INDEX('SERVICE2-List'!$W$1:$W$43,SMALL(IF(('SERVICE2-List'!$V$6:$V$43='REGE1-SYNT'!C$24)*('SERVICE2-List'!$S$6:$S$43="Oui"),ROW('SERVICE2-List'!$E$6:$E$43)),ROW('SERVICE2-List'!B8))),"")</f>
        <v/>
      </c>
    </row>
    <row r="17" spans="1:20" s="97" customFormat="1" ht="20.45" customHeight="1">
      <c r="A17" s="108" t="s">
        <v>176</v>
      </c>
      <c r="B17" s="109" t="s">
        <v>175</v>
      </c>
      <c r="C17" s="698">
        <f>'REGE1-SYNT'!C32+'REGE1-SYNT'!C33</f>
        <v>23</v>
      </c>
      <c r="D17" s="699"/>
      <c r="E17" s="743">
        <f>'REGE1-SYNT'!G32</f>
        <v>1</v>
      </c>
      <c r="F17" s="699"/>
      <c r="G17" s="743" t="s">
        <v>7</v>
      </c>
      <c r="H17" s="744"/>
      <c r="I17" s="742"/>
      <c r="J17" s="703"/>
      <c r="K17" s="702"/>
      <c r="L17" s="703"/>
      <c r="M17" s="724"/>
      <c r="N17" s="725"/>
      <c r="O17" s="137"/>
      <c r="P17" s="582" t="str">
        <f t="array" ref="P17">IFERROR(INDEX('SERVICE1-List'!$B$1:$B$40,SMALL(IF(('SERVICE1-List'!$V$6:$V$40='REGE1-SYNT'!C$24)*('SERVICE1-List'!$S$6:$S$40="Oui"),ROW('SERVICE1-List'!$E$6:$E$40)),ROW('SERVICE1-List'!B9))),"")</f>
        <v/>
      </c>
      <c r="Q17" s="582" t="str">
        <f t="array" ref="Q17">IFERROR(INDEX('SERVICE1-List'!$W$1:$W$40,SMALL(IF(('SERVICE1-List'!$V$6:$V$40='REGE1-SYNT'!C$24)*('SERVICE1-List'!$S$6:$S$40="Oui"),ROW('SERVICE1-List'!$E$6:$E$40)),ROW('SERVICE1-List'!B9))),"")</f>
        <v/>
      </c>
      <c r="R17" s="137"/>
      <c r="S17" s="582" t="str">
        <f t="array" ref="S17">IFERROR(INDEX('SERVICE2-List'!$B$1:$B$43,SMALL(IF(('SERVICE2-List'!$V$6:$V$43='REGE1-SYNT'!C$24)*('SERVICE2-List'!$S$6:$S$43="Oui"),ROW('SERVICE2-List'!$E$6:$E$43)),ROW('SERVICE2-List'!B9))),"")</f>
        <v/>
      </c>
      <c r="T17" s="582" t="str">
        <f t="array" ref="T17">IFERROR(INDEX('SERVICE2-List'!$W$1:$W$43,SMALL(IF(('SERVICE2-List'!$V$6:$V$43='REGE1-SYNT'!C$24)*('SERVICE2-List'!$S$6:$S$43="Oui"),ROW('SERVICE2-List'!$E$6:$E$43)),ROW('SERVICE2-List'!B9))),"")</f>
        <v/>
      </c>
    </row>
    <row r="18" spans="1:20" s="97" customFormat="1" ht="20.45" customHeight="1" thickBot="1">
      <c r="A18" s="110" t="s">
        <v>239</v>
      </c>
      <c r="B18" s="114" t="s">
        <v>175</v>
      </c>
      <c r="C18" s="689"/>
      <c r="D18" s="690"/>
      <c r="E18" s="773"/>
      <c r="F18" s="695"/>
      <c r="G18" s="737" t="s">
        <v>7</v>
      </c>
      <c r="H18" s="738"/>
      <c r="I18" s="739"/>
      <c r="J18" s="692"/>
      <c r="K18" s="691"/>
      <c r="L18" s="692"/>
      <c r="M18" s="696"/>
      <c r="N18" s="697"/>
      <c r="O18" s="137"/>
      <c r="P18" s="582" t="str">
        <f t="array" ref="P18">IFERROR(INDEX('SERVICE1-List'!$B$1:$B$40,SMALL(IF(('SERVICE1-List'!$V$6:$V$40='REGE1-SYNT'!C$24)*('SERVICE1-List'!$S$6:$S$40="Oui"),ROW('SERVICE1-List'!$E$6:$E$40)),ROW('SERVICE1-List'!B10))),"")</f>
        <v/>
      </c>
      <c r="Q18" s="582" t="str">
        <f t="array" ref="Q18">IFERROR(INDEX('SERVICE1-List'!$W$1:$W$40,SMALL(IF(('SERVICE1-List'!$V$6:$V$40='REGE1-SYNT'!C$24)*('SERVICE1-List'!$S$6:$S$40="Oui"),ROW('SERVICE1-List'!$E$6:$E$40)),ROW('SERVICE1-List'!B10))),"")</f>
        <v/>
      </c>
      <c r="R18" s="137"/>
      <c r="S18" s="582" t="str">
        <f t="array" ref="S18">IFERROR(INDEX('SERVICE2-List'!$B$1:$B$43,SMALL(IF(('SERVICE2-List'!$V$6:$V$43='REGE1-SYNT'!C$24)*('SERVICE2-List'!$S$6:$S$43="Oui"),ROW('SERVICE2-List'!$E$6:$E$43)),ROW('SERVICE2-List'!B10))),"")</f>
        <v/>
      </c>
      <c r="T18" s="582" t="str">
        <f t="array" ref="T18">IFERROR(INDEX('SERVICE2-List'!$W$1:$W$43,SMALL(IF(('SERVICE2-List'!$V$6:$V$43='REGE1-SYNT'!C$24)*('SERVICE2-List'!$S$6:$S$43="Oui"),ROW('SERVICE2-List'!$E$6:$E$43)),ROW('SERVICE2-List'!B10))),"")</f>
        <v/>
      </c>
    </row>
    <row r="19" spans="1:20" s="97" customFormat="1" ht="20.45" hidden="1" customHeight="1">
      <c r="A19" s="353" t="s">
        <v>233</v>
      </c>
      <c r="B19" s="354" t="s">
        <v>241</v>
      </c>
      <c r="C19" s="355"/>
      <c r="D19" s="356"/>
      <c r="E19" s="764"/>
      <c r="F19" s="765"/>
      <c r="G19" s="764"/>
      <c r="H19" s="766"/>
      <c r="I19" s="767"/>
      <c r="J19" s="768"/>
      <c r="K19" s="769"/>
      <c r="L19" s="768"/>
      <c r="M19" s="770"/>
      <c r="N19" s="771"/>
      <c r="O19" s="137"/>
      <c r="P19" s="582" t="str">
        <f t="array" ref="P19">IFERROR(INDEX('SERVICE1-List'!$B$1:$B$40,SMALL(IF(('SERVICE1-List'!$V$6:$V$40='REGE1-SYNT'!C34:E34)*('SERVICE1-List'!$S$6:$S$40="Oui"),ROW('SERVICE1-List'!$E$6:$E$40)),ROW('SERVICE1-List'!B11))),"")</f>
        <v>xxx</v>
      </c>
      <c r="Q19" s="137"/>
      <c r="R19" s="137"/>
      <c r="S19" s="137"/>
      <c r="T19" s="582" t="str">
        <f t="array" ref="T19">IFERROR(INDEX('SERVICE2-List'!$W$1:$W$43,SMALL(IF(('SERVICE2-List'!$V$6:$V$43='REGE1-SYNT'!C$24)*('SERVICE2-List'!$S$6:$S$43="Oui"),ROW('SERVICE2-List'!$E$6:$E$43)),ROW('SERVICE2-List'!B11))),"")</f>
        <v/>
      </c>
    </row>
    <row r="20" spans="1:20" s="97" customFormat="1" ht="20.45" hidden="1" customHeight="1" thickBot="1">
      <c r="A20" s="110" t="s">
        <v>177</v>
      </c>
      <c r="B20" s="114" t="s">
        <v>175</v>
      </c>
      <c r="C20" s="694"/>
      <c r="D20" s="695"/>
      <c r="E20" s="691"/>
      <c r="F20" s="692"/>
      <c r="G20" s="691"/>
      <c r="H20" s="693"/>
      <c r="I20" s="739"/>
      <c r="J20" s="692"/>
      <c r="K20" s="717"/>
      <c r="L20" s="772"/>
      <c r="M20" s="740"/>
      <c r="N20" s="741"/>
      <c r="O20" s="137"/>
      <c r="P20" s="582" t="str">
        <f t="array" ref="P20">IFERROR(INDEX('SERVICE1-List'!$B$1:$B$40,SMALL(IF(('SERVICE1-List'!$V$6:$V$40='REGE1-SYNT'!C35:E35)*('SERVICE1-List'!$S$6:$S$40="Oui"),ROW('SERVICE1-List'!$E$6:$E$40)),ROW('SERVICE1-List'!B12))),"")</f>
        <v>xxx</v>
      </c>
      <c r="Q20" s="137"/>
      <c r="R20" s="137"/>
      <c r="S20" s="137"/>
      <c r="T20" s="582" t="str">
        <f t="array" ref="T20">IFERROR(INDEX('SERVICE2-List'!$W$1:$W$43,SMALL(IF(('SERVICE2-List'!$V$6:$V$43='REGE1-SYNT'!C$24)*('SERVICE2-List'!$S$6:$S$43="Oui"),ROW('SERVICE2-List'!$E$6:$E$43)),ROW('SERVICE2-List'!B12))),"")</f>
        <v/>
      </c>
    </row>
    <row r="21" spans="1:20" s="97" customFormat="1" ht="14.1" customHeight="1">
      <c r="A21" s="760" t="s">
        <v>178</v>
      </c>
      <c r="B21" s="762" t="s">
        <v>175</v>
      </c>
      <c r="C21" s="169" t="s">
        <v>198</v>
      </c>
      <c r="D21" s="366">
        <f>'REGE1-SYNT'!C36-SUMIF('REGE1-SYNT'!C24,"poisson",'SERVICE1-List'!W67)</f>
        <v>3</v>
      </c>
      <c r="E21" s="171" t="s">
        <v>198</v>
      </c>
      <c r="F21" s="367">
        <f>'REGE1-SYNT'!G36-SUMIF('REGE1-SYNT'!C24,"poisson",'SERVICE1-List'!W68)</f>
        <v>0</v>
      </c>
      <c r="G21" s="165" t="s">
        <v>198</v>
      </c>
      <c r="H21" s="181"/>
      <c r="I21" s="184" t="s">
        <v>198</v>
      </c>
      <c r="J21" s="365">
        <f>'REGE1-SYNT'!L36-SUMIF('REGE1-SYNT'!K24,"poisson",'SERVICE1-List'!W67)</f>
        <v>7</v>
      </c>
      <c r="K21" s="176" t="s">
        <v>198</v>
      </c>
      <c r="L21" s="363">
        <f>'REGE1-SYNT'!O36-SUMIF('REGE1-SYNT'!K24,"poisson",'SERVICE1-List'!W68)</f>
        <v>0</v>
      </c>
      <c r="M21" s="176" t="s">
        <v>198</v>
      </c>
      <c r="N21" s="166"/>
      <c r="O21" s="137"/>
      <c r="P21" s="137"/>
      <c r="Q21" s="137"/>
      <c r="R21" s="137"/>
      <c r="S21" s="137"/>
      <c r="T21" s="137"/>
    </row>
    <row r="22" spans="1:20" s="97" customFormat="1" ht="14.1" customHeight="1">
      <c r="A22" s="761"/>
      <c r="B22" s="763"/>
      <c r="C22" s="142" t="s">
        <v>197</v>
      </c>
      <c r="D22" s="368">
        <f>'REGE1-SYNT'!C37+'REGE1-SYNT'!C14-SUMIF('REGE1-SYNT'!C24,"poisson",'SERVICE1-List'!W69)</f>
        <v>11</v>
      </c>
      <c r="E22" s="173" t="s">
        <v>197</v>
      </c>
      <c r="F22" s="364">
        <f>'REGE1-SYNT'!G37-SUMIF('REGE1-SYNT'!C24,"poisson",'SERVICE1-List'!W70)</f>
        <v>1</v>
      </c>
      <c r="G22" s="165" t="s">
        <v>197</v>
      </c>
      <c r="H22" s="181"/>
      <c r="I22" s="169" t="s">
        <v>197</v>
      </c>
      <c r="J22" s="366">
        <f>'REGE1-SYNT'!L37+'REGE1-SYNT'!M14-SUMIF('REGE1-SYNT'!K24,"poisson",'SERVICE1-List'!W69)</f>
        <v>11</v>
      </c>
      <c r="K22" s="173" t="s">
        <v>197</v>
      </c>
      <c r="L22" s="364">
        <f>'REGE1-SYNT'!O37-SUMIF('REGE1-SYNT'!K24,"poisson",'SERVICE1-List'!W70)</f>
        <v>1</v>
      </c>
      <c r="M22" s="173" t="s">
        <v>197</v>
      </c>
      <c r="N22" s="168"/>
      <c r="O22" s="137"/>
      <c r="P22" s="137"/>
      <c r="Q22" s="137"/>
      <c r="R22" s="137"/>
      <c r="S22" s="137"/>
      <c r="T22" s="137"/>
    </row>
    <row r="23" spans="1:20" s="97" customFormat="1" ht="14.1" customHeight="1">
      <c r="A23" s="753" t="s">
        <v>179</v>
      </c>
      <c r="B23" s="755" t="s">
        <v>180</v>
      </c>
      <c r="C23" s="141" t="s">
        <v>198</v>
      </c>
      <c r="D23" s="177">
        <f>SUMIF('REGE1-SYNT'!C24,"poisson",'SERVICE1-List'!W60)</f>
        <v>0</v>
      </c>
      <c r="E23" s="171" t="s">
        <v>198</v>
      </c>
      <c r="F23" s="248">
        <f>SUMIF('REGE1-SYNT'!C24,"poisson",'SERVICE1-List'!W60)</f>
        <v>0</v>
      </c>
      <c r="G23" s="172" t="s">
        <v>198</v>
      </c>
      <c r="H23" s="183"/>
      <c r="I23" s="141" t="s">
        <v>198</v>
      </c>
      <c r="J23" s="177">
        <f>SUMIF('REGE1-SYNT'!K24,"poisson",'SERVICE1-List'!W60)</f>
        <v>0</v>
      </c>
      <c r="K23" s="172" t="s">
        <v>198</v>
      </c>
      <c r="L23" s="388">
        <f>SUMIF('REGE1-SYNT'!K24,"poisson",'SERVICE1-List'!W60)</f>
        <v>0</v>
      </c>
      <c r="M23" s="172" t="s">
        <v>198</v>
      </c>
      <c r="N23" s="167"/>
      <c r="O23" s="137"/>
      <c r="P23" s="137"/>
      <c r="Q23" s="137"/>
      <c r="R23" s="137"/>
      <c r="S23" s="137"/>
      <c r="T23" s="137"/>
    </row>
    <row r="24" spans="1:20" s="97" customFormat="1" ht="14.1" customHeight="1">
      <c r="A24" s="754"/>
      <c r="B24" s="756"/>
      <c r="C24" s="142" t="s">
        <v>197</v>
      </c>
      <c r="D24" s="178">
        <f>SUMIF('REGE1-SYNT'!C24,"poisson",'SERVICE1-List'!W62)</f>
        <v>0</v>
      </c>
      <c r="E24" s="171" t="s">
        <v>197</v>
      </c>
      <c r="F24" s="179">
        <f>SUMIF('REGE1-SYNT'!C24,"poisson",'SERVICE1-List'!W63)</f>
        <v>0</v>
      </c>
      <c r="G24" s="171" t="s">
        <v>197</v>
      </c>
      <c r="H24" s="182"/>
      <c r="I24" s="142" t="s">
        <v>197</v>
      </c>
      <c r="J24" s="178">
        <f>SUMIF('REGE1-SYNT'!K24,"poisson",'SERVICE1-List'!W62)</f>
        <v>0</v>
      </c>
      <c r="K24" s="173" t="s">
        <v>197</v>
      </c>
      <c r="L24" s="364">
        <f>SUMIF('REGE1-SYNT'!K24,"poisson",'SERVICE1-List'!W63)</f>
        <v>0</v>
      </c>
      <c r="M24" s="173" t="s">
        <v>197</v>
      </c>
      <c r="N24" s="168"/>
      <c r="O24" s="137"/>
      <c r="P24" s="137"/>
      <c r="Q24" s="137"/>
      <c r="R24" s="137"/>
      <c r="S24" s="137"/>
      <c r="T24" s="137"/>
    </row>
    <row r="25" spans="1:20" s="97" customFormat="1" ht="14.1" customHeight="1">
      <c r="A25" s="753" t="s">
        <v>234</v>
      </c>
      <c r="B25" s="755" t="s">
        <v>169</v>
      </c>
      <c r="C25" s="141" t="s">
        <v>198</v>
      </c>
      <c r="D25" s="177">
        <f>SUMIF('REGE1-SYNT'!C24,"poisson",'SERVICE1-List'!W58)</f>
        <v>0</v>
      </c>
      <c r="E25" s="172" t="s">
        <v>198</v>
      </c>
      <c r="F25" s="248"/>
      <c r="G25" s="172" t="s">
        <v>198</v>
      </c>
      <c r="H25" s="183"/>
      <c r="I25" s="141" t="s">
        <v>198</v>
      </c>
      <c r="J25" s="177">
        <f>SUMIF('REGE1-SYNT'!K24,"poisson",'SERVICE1-List'!W58)</f>
        <v>0</v>
      </c>
      <c r="K25" s="172" t="s">
        <v>198</v>
      </c>
      <c r="L25" s="139"/>
      <c r="M25" s="172" t="s">
        <v>198</v>
      </c>
      <c r="N25" s="167"/>
      <c r="O25" s="137"/>
      <c r="P25" s="137"/>
      <c r="Q25" s="137"/>
      <c r="R25" s="137"/>
      <c r="S25" s="137"/>
      <c r="T25" s="137"/>
    </row>
    <row r="26" spans="1:20" s="97" customFormat="1" ht="14.1" customHeight="1">
      <c r="A26" s="754"/>
      <c r="B26" s="756"/>
      <c r="C26" s="142" t="s">
        <v>197</v>
      </c>
      <c r="D26" s="178">
        <f>SUMIF('REGE1-SYNT'!C24,"poisson",'SERVICE1-List'!W59)</f>
        <v>0</v>
      </c>
      <c r="E26" s="173" t="s">
        <v>197</v>
      </c>
      <c r="F26" s="143"/>
      <c r="G26" s="171" t="s">
        <v>197</v>
      </c>
      <c r="H26" s="182"/>
      <c r="I26" s="142" t="s">
        <v>197</v>
      </c>
      <c r="J26" s="178">
        <f>SUMIF('REGE1-SYNT'!K24,"poisson",'SERVICE1-List'!W59)</f>
        <v>0</v>
      </c>
      <c r="K26" s="173" t="s">
        <v>197</v>
      </c>
      <c r="L26" s="140"/>
      <c r="M26" s="173" t="s">
        <v>197</v>
      </c>
      <c r="N26" s="168"/>
      <c r="O26" s="137"/>
      <c r="P26" s="137"/>
      <c r="Q26" s="137"/>
      <c r="R26" s="137"/>
      <c r="S26" s="137"/>
      <c r="T26" s="137"/>
    </row>
    <row r="27" spans="1:20" s="97" customFormat="1" ht="14.1" customHeight="1">
      <c r="A27" s="753" t="s">
        <v>181</v>
      </c>
      <c r="B27" s="755" t="s">
        <v>175</v>
      </c>
      <c r="C27" s="141" t="s">
        <v>198</v>
      </c>
      <c r="D27" s="177"/>
      <c r="E27" s="172" t="s">
        <v>198</v>
      </c>
      <c r="F27" s="248"/>
      <c r="G27" s="172" t="s">
        <v>198</v>
      </c>
      <c r="H27" s="183"/>
      <c r="I27" s="141" t="s">
        <v>198</v>
      </c>
      <c r="J27" s="189"/>
      <c r="K27" s="172" t="s">
        <v>198</v>
      </c>
      <c r="L27" s="139"/>
      <c r="M27" s="172" t="s">
        <v>198</v>
      </c>
      <c r="N27" s="167"/>
      <c r="O27" s="137"/>
      <c r="P27" s="137"/>
      <c r="Q27" s="137"/>
      <c r="R27" s="137"/>
      <c r="S27" s="137"/>
      <c r="T27" s="137"/>
    </row>
    <row r="28" spans="1:20" s="97" customFormat="1" ht="14.1" customHeight="1" thickBot="1">
      <c r="A28" s="754"/>
      <c r="B28" s="756"/>
      <c r="C28" s="142" t="s">
        <v>197</v>
      </c>
      <c r="D28" s="178"/>
      <c r="E28" s="173" t="s">
        <v>197</v>
      </c>
      <c r="F28" s="143"/>
      <c r="G28" s="173" t="s">
        <v>197</v>
      </c>
      <c r="H28" s="182"/>
      <c r="I28" s="142" t="s">
        <v>197</v>
      </c>
      <c r="J28" s="190"/>
      <c r="K28" s="173" t="s">
        <v>197</v>
      </c>
      <c r="L28" s="140"/>
      <c r="M28" s="173" t="s">
        <v>197</v>
      </c>
      <c r="N28" s="168"/>
      <c r="O28" s="137"/>
      <c r="P28" s="137"/>
      <c r="Q28" s="137"/>
      <c r="R28" s="137"/>
      <c r="S28" s="137"/>
      <c r="T28" s="137"/>
    </row>
    <row r="29" spans="1:20" s="97" customFormat="1" ht="21" customHeight="1" thickBot="1">
      <c r="A29" s="110" t="s">
        <v>182</v>
      </c>
      <c r="B29" s="122" t="s">
        <v>175</v>
      </c>
      <c r="C29" s="746"/>
      <c r="D29" s="747"/>
      <c r="E29" s="757"/>
      <c r="F29" s="720"/>
      <c r="G29" s="758"/>
      <c r="H29" s="759"/>
      <c r="I29" s="185"/>
      <c r="J29" s="191"/>
      <c r="K29" s="180"/>
      <c r="L29" s="186"/>
      <c r="M29" s="758"/>
      <c r="N29" s="759"/>
      <c r="O29" s="137"/>
      <c r="P29" s="852" t="s">
        <v>400</v>
      </c>
      <c r="Q29" s="853"/>
      <c r="R29" s="853"/>
      <c r="S29" s="600" t="str">
        <f>'REGE1-SYNT'!K24</f>
        <v>-</v>
      </c>
      <c r="T29" s="602"/>
    </row>
    <row r="30" spans="1:20" s="97" customFormat="1" ht="20.100000000000001" customHeight="1" thickBot="1">
      <c r="A30" s="116" t="s">
        <v>183</v>
      </c>
      <c r="B30" s="111" t="s">
        <v>175</v>
      </c>
      <c r="C30" s="746">
        <f>'REGE1-SYNT'!C39</f>
        <v>16</v>
      </c>
      <c r="D30" s="747"/>
      <c r="E30" s="733"/>
      <c r="F30" s="748"/>
      <c r="G30" s="749"/>
      <c r="H30" s="747"/>
      <c r="I30" s="750">
        <f>'REGE1-SYNT'!L39</f>
        <v>18</v>
      </c>
      <c r="J30" s="732"/>
      <c r="K30" s="733"/>
      <c r="L30" s="748"/>
      <c r="M30" s="751"/>
      <c r="N30" s="752"/>
      <c r="O30" s="137"/>
      <c r="P30" s="137"/>
      <c r="Q30" s="137"/>
      <c r="R30" s="137"/>
      <c r="S30" s="137"/>
      <c r="T30" s="137"/>
    </row>
    <row r="31" spans="1:20" s="97" customFormat="1" ht="20.100000000000001" customHeight="1">
      <c r="A31" s="112" t="s">
        <v>184</v>
      </c>
      <c r="B31" s="107" t="s">
        <v>175</v>
      </c>
      <c r="C31" s="706">
        <f>'REGE1-SYNT'!C42</f>
        <v>11</v>
      </c>
      <c r="D31" s="707"/>
      <c r="E31" s="728">
        <f>'REGE1-SYNT'!G42</f>
        <v>0</v>
      </c>
      <c r="F31" s="707"/>
      <c r="G31" s="728"/>
      <c r="H31" s="745"/>
      <c r="I31" s="706">
        <f>'REGE1-SYNT'!L42</f>
        <v>15</v>
      </c>
      <c r="J31" s="707"/>
      <c r="K31" s="728">
        <f>'REGE1-SYNT'!O42</f>
        <v>0</v>
      </c>
      <c r="L31" s="707"/>
      <c r="M31" s="728"/>
      <c r="N31" s="745"/>
      <c r="O31" s="137"/>
      <c r="P31" s="586" t="s">
        <v>395</v>
      </c>
      <c r="Q31" s="586"/>
      <c r="R31" s="584"/>
      <c r="S31" s="586" t="s">
        <v>395</v>
      </c>
      <c r="T31" s="586"/>
    </row>
    <row r="32" spans="1:20" s="97" customFormat="1" ht="20.100000000000001" customHeight="1">
      <c r="A32" s="112" t="s">
        <v>319</v>
      </c>
      <c r="B32" s="109" t="s">
        <v>175</v>
      </c>
      <c r="C32" s="742"/>
      <c r="D32" s="703"/>
      <c r="E32" s="702"/>
      <c r="F32" s="703"/>
      <c r="G32" s="702"/>
      <c r="H32" s="723"/>
      <c r="I32" s="259"/>
      <c r="J32" s="260"/>
      <c r="K32" s="702"/>
      <c r="L32" s="703"/>
      <c r="M32" s="702"/>
      <c r="N32" s="723"/>
      <c r="O32" s="137"/>
      <c r="P32" s="582" t="str">
        <f t="array" ref="P32">IFERROR(INDEX('SERVICE1-List'!$B$1:$B$40,SMALL(IF(('SERVICE1-List'!$V$6:$V$40='REGE1-SYNT'!K$24)*('SERVICE1-List'!$S$6:$S$40="Oui"),ROW('SERVICE1-List'!$E$6:$E$40)),ROW('SERVICE1-List'!B1))),"")</f>
        <v/>
      </c>
      <c r="Q32" s="582" t="str">
        <f t="array" ref="Q32">IFERROR(INDEX('SERVICE1-List'!$W$1:$W$40,SMALL(IF(('SERVICE1-List'!$V$6:$V$40='REGE1-SYNT'!K$24)*('SERVICE1-List'!$S$6:$S$40="Oui"),ROW('SERVICE1-List'!$E$6:$E$40)),ROW('SERVICE1-List'!B1))),"")</f>
        <v/>
      </c>
      <c r="R32" s="137"/>
      <c r="S32" s="582" t="str">
        <f t="array" ref="S32">IFERROR(INDEX('SERVICE2-List'!$B$1:$B$43,SMALL(IF(('SERVICE2-List'!$V$6:$V$43='REGE1-SYNT'!K$24)*('SERVICE2-List'!$S$6:$S$43="Oui"),ROW('SERVICE2-List'!$E$6:$E$43)),ROW('SERVICE2-List'!B1))),"")</f>
        <v/>
      </c>
      <c r="T32" s="582" t="str">
        <f t="array" ref="T32">IFERROR(INDEX('SERVICE2-List'!$W$1:$W$43,SMALL(IF(('SERVICE2-List'!$V$6:$V$43='REGE1-SYNT'!K$24)*('SERVICE2-List'!$S$6:$S$43="Oui"),ROW('SERVICE2-List'!$E$6:$E$43)),ROW('SERVICE2-List'!B1))),"")</f>
        <v/>
      </c>
    </row>
    <row r="33" spans="1:21" s="97" customFormat="1" ht="20.100000000000001" customHeight="1">
      <c r="A33" s="108" t="s">
        <v>185</v>
      </c>
      <c r="B33" s="109" t="s">
        <v>175</v>
      </c>
      <c r="C33" s="698">
        <f>'REGE1-SYNT'!G14+'REGE1-SYNT'!C43</f>
        <v>2</v>
      </c>
      <c r="D33" s="699"/>
      <c r="E33" s="743"/>
      <c r="F33" s="699"/>
      <c r="G33" s="743"/>
      <c r="H33" s="744"/>
      <c r="I33" s="698">
        <f>'REGE1-SYNT'!L43+'REGE1-SYNT'!M15</f>
        <v>12</v>
      </c>
      <c r="J33" s="699"/>
      <c r="K33" s="743">
        <f>'REGE1-SYNT'!O43</f>
        <v>1</v>
      </c>
      <c r="L33" s="699"/>
      <c r="M33" s="702"/>
      <c r="N33" s="723"/>
      <c r="O33" s="137"/>
      <c r="P33" s="582" t="str">
        <f t="array" ref="P33">IFERROR(INDEX('SERVICE1-List'!$B$1:$B$40,SMALL(IF(('SERVICE1-List'!$V$6:$V$40='REGE1-SYNT'!K$24)*('SERVICE1-List'!$S$6:$S$40="Oui"),ROW('SERVICE1-List'!$E$6:$E$40)),ROW('SERVICE1-List'!B2))),"")</f>
        <v/>
      </c>
      <c r="Q33" s="582" t="str">
        <f t="array" ref="Q33">IFERROR(INDEX('SERVICE1-List'!$W$1:$W$40,SMALL(IF(('SERVICE1-List'!$V$6:$V$40='REGE1-SYNT'!K$24)*('SERVICE1-List'!$S$6:$S$40="Oui"),ROW('SERVICE1-List'!$E$6:$E$40)),ROW('SERVICE1-List'!B2))),"")</f>
        <v/>
      </c>
      <c r="R33" s="137"/>
      <c r="S33" s="582" t="str">
        <f t="array" ref="S33">IFERROR(INDEX('SERVICE2-List'!$B$1:$B$43,SMALL(IF(('SERVICE2-List'!$V$6:$V$43='REGE1-SYNT'!K$24)*('SERVICE2-List'!$S$6:$S$43="Oui"),ROW('SERVICE2-List'!$E$6:$E$43)),ROW('SERVICE2-List'!B2))),"")</f>
        <v/>
      </c>
      <c r="T33" s="582" t="str">
        <f t="array" ref="T33">IFERROR(INDEX('SERVICE2-List'!$W$1:$W$43,SMALL(IF(('SERVICE2-List'!$V$6:$V$43='REGE1-SYNT'!K$24)*('SERVICE2-List'!$S$6:$S$43="Oui"),ROW('SERVICE2-List'!$E$6:$E$43)),ROW('SERVICE2-List'!B2))),"")</f>
        <v/>
      </c>
    </row>
    <row r="34" spans="1:21" s="97" customFormat="1" ht="20.100000000000001" customHeight="1" thickBot="1">
      <c r="A34" s="110" t="s">
        <v>240</v>
      </c>
      <c r="B34" s="114" t="s">
        <v>175</v>
      </c>
      <c r="C34" s="689">
        <f>'REGE1-SYNT'!C44+'REGE1-SYNT'!C15</f>
        <v>5</v>
      </c>
      <c r="D34" s="690"/>
      <c r="E34" s="737">
        <f>'REGE1-SYNT'!G44</f>
        <v>1</v>
      </c>
      <c r="F34" s="690"/>
      <c r="G34" s="737" t="s">
        <v>7</v>
      </c>
      <c r="H34" s="738"/>
      <c r="I34" s="739"/>
      <c r="J34" s="692"/>
      <c r="K34" s="691"/>
      <c r="L34" s="692"/>
      <c r="M34" s="740"/>
      <c r="N34" s="741"/>
      <c r="O34" s="137"/>
      <c r="P34" s="582" t="str">
        <f t="array" ref="P34">IFERROR(INDEX('SERVICE1-List'!$B$1:$B$40,SMALL(IF(('SERVICE1-List'!$V$6:$V$40='REGE1-SYNT'!K$24)*('SERVICE1-List'!$S$6:$S$40="Oui"),ROW('SERVICE1-List'!$E$6:$E$40)),ROW('SERVICE1-List'!B3))),"")</f>
        <v/>
      </c>
      <c r="Q34" s="582" t="str">
        <f t="array" ref="Q34">IFERROR(INDEX('SERVICE1-List'!$W$1:$W$40,SMALL(IF(('SERVICE1-List'!$V$6:$V$40='REGE1-SYNT'!K$24)*('SERVICE1-List'!$S$6:$S$40="Oui"),ROW('SERVICE1-List'!$E$6:$E$40)),ROW('SERVICE1-List'!B3))),"")</f>
        <v/>
      </c>
      <c r="R34" s="137"/>
      <c r="S34" s="582" t="str">
        <f t="array" ref="S34">IFERROR(INDEX('SERVICE2-List'!$B$1:$B$43,SMALL(IF(('SERVICE2-List'!$V$6:$V$43='REGE1-SYNT'!K$24)*('SERVICE2-List'!$S$6:$S$43="Oui"),ROW('SERVICE2-List'!$E$6:$E$43)),ROW('SERVICE2-List'!B3))),"")</f>
        <v/>
      </c>
      <c r="T34" s="582" t="str">
        <f t="array" ref="T34">IFERROR(INDEX('SERVICE2-List'!$W$1:$W$43,SMALL(IF(('SERVICE2-List'!$V$6:$V$43='REGE1-SYNT'!K$24)*('SERVICE2-List'!$S$6:$S$43="Oui"),ROW('SERVICE2-List'!$E$6:$E$43)),ROW('SERVICE2-List'!B3))),"")</f>
        <v/>
      </c>
    </row>
    <row r="35" spans="1:21" s="97" customFormat="1" ht="20.100000000000001" customHeight="1" thickBot="1">
      <c r="A35" s="116" t="s">
        <v>186</v>
      </c>
      <c r="B35" s="111" t="s">
        <v>187</v>
      </c>
      <c r="C35" s="729" t="str">
        <f>'REGE1-SYNT'!C17</f>
        <v>1L</v>
      </c>
      <c r="D35" s="730"/>
      <c r="E35" s="731" t="str">
        <f>'REGE1-SYNT'!G17</f>
        <v>0L</v>
      </c>
      <c r="F35" s="732"/>
      <c r="G35" s="733"/>
      <c r="H35" s="734"/>
      <c r="I35" s="735" t="str">
        <f>'REGE1-SYNT'!K17</f>
        <v>1L</v>
      </c>
      <c r="J35" s="736"/>
      <c r="K35" s="731" t="str">
        <f>'REGE1-SYNT'!O17</f>
        <v>0L</v>
      </c>
      <c r="L35" s="732"/>
      <c r="M35" s="733"/>
      <c r="N35" s="734"/>
      <c r="O35" s="137"/>
      <c r="P35" s="582" t="str">
        <f t="array" ref="P35">IFERROR(INDEX('SERVICE1-List'!$B$1:$B$40,SMALL(IF(('SERVICE1-List'!$V$6:$V$40='REGE1-SYNT'!K$24)*('SERVICE1-List'!$S$6:$S$40="Oui"),ROW('SERVICE1-List'!$E$6:$E$40)),ROW('SERVICE1-List'!B4))),"")</f>
        <v/>
      </c>
      <c r="Q35" s="582" t="str">
        <f t="array" ref="Q35">IFERROR(INDEX('SERVICE1-List'!$W$1:$W$40,SMALL(IF(('SERVICE1-List'!$V$6:$V$40='REGE1-SYNT'!K$24)*('SERVICE1-List'!$S$6:$S$40="Oui"),ROW('SERVICE1-List'!$E$6:$E$40)),ROW('SERVICE1-List'!B4))),"")</f>
        <v/>
      </c>
      <c r="R35" s="137"/>
      <c r="S35" s="582" t="str">
        <f t="array" ref="S35">IFERROR(INDEX('SERVICE2-List'!$B$1:$B$43,SMALL(IF(('SERVICE2-List'!$V$6:$V$43='REGE1-SYNT'!K$24)*('SERVICE2-List'!$S$6:$S$43="Oui"),ROW('SERVICE2-List'!$E$6:$E$43)),ROW('SERVICE2-List'!B4))),"")</f>
        <v/>
      </c>
      <c r="T35" s="582" t="str">
        <f t="array" ref="T35">IFERROR(INDEX('SERVICE2-List'!$W$1:$W$43,SMALL(IF(('SERVICE2-List'!$V$6:$V$43='REGE1-SYNT'!K$24)*('SERVICE2-List'!$S$6:$S$43="Oui"),ROW('SERVICE2-List'!$E$6:$E$43)),ROW('SERVICE2-List'!B4))),"")</f>
        <v/>
      </c>
    </row>
    <row r="36" spans="1:21" s="97" customFormat="1" ht="20.100000000000001" customHeight="1">
      <c r="A36" s="115" t="s">
        <v>217</v>
      </c>
      <c r="B36" s="105" t="s">
        <v>169</v>
      </c>
      <c r="C36" s="726">
        <f>'REGE1-SYNT'!C21</f>
        <v>0</v>
      </c>
      <c r="D36" s="727"/>
      <c r="E36" s="728" t="s">
        <v>7</v>
      </c>
      <c r="F36" s="707"/>
      <c r="G36" s="708"/>
      <c r="H36" s="710"/>
      <c r="I36" s="726">
        <f>'REGE1-SYNT'!K21</f>
        <v>0</v>
      </c>
      <c r="J36" s="727"/>
      <c r="K36" s="728" t="s">
        <v>7</v>
      </c>
      <c r="L36" s="707"/>
      <c r="M36" s="687"/>
      <c r="N36" s="688"/>
      <c r="O36" s="137"/>
      <c r="P36" s="582" t="str">
        <f t="array" ref="P36">IFERROR(INDEX('SERVICE1-List'!$B$1:$B$40,SMALL(IF(('SERVICE1-List'!$V$6:$V$40='REGE1-SYNT'!K$24)*('SERVICE1-List'!$S$6:$S$40="Oui"),ROW('SERVICE1-List'!$E$6:$E$40)),ROW('SERVICE1-List'!B5))),"")</f>
        <v/>
      </c>
      <c r="Q36" s="582" t="str">
        <f t="array" ref="Q36">IFERROR(INDEX('SERVICE1-List'!$W$1:$W$40,SMALL(IF(('SERVICE1-List'!$V$6:$V$40='REGE1-SYNT'!K$24)*('SERVICE1-List'!$S$6:$S$40="Oui"),ROW('SERVICE1-List'!$E$6:$E$40)),ROW('SERVICE1-List'!B5))),"")</f>
        <v/>
      </c>
      <c r="R36" s="137"/>
      <c r="S36" s="582" t="str">
        <f t="array" ref="S36">IFERROR(INDEX('SERVICE2-List'!$B$1:$B$43,SMALL(IF(('SERVICE2-List'!$V$6:$V$43='REGE1-SYNT'!K$24)*('SERVICE2-List'!$S$6:$S$43="Oui"),ROW('SERVICE2-List'!$E$6:$E$43)),ROW('SERVICE2-List'!B5))),"")</f>
        <v/>
      </c>
      <c r="T36" s="582" t="str">
        <f t="array" ref="T36">IFERROR(INDEX('SERVICE2-List'!$W$1:$W$43,SMALL(IF(('SERVICE2-List'!$V$6:$V$43='REGE1-SYNT'!K$24)*('SERVICE2-List'!$S$6:$S$43="Oui"),ROW('SERVICE2-List'!$E$6:$E$43)),ROW('SERVICE2-List'!B5))),"")</f>
        <v/>
      </c>
    </row>
    <row r="37" spans="1:21" s="97" customFormat="1" ht="20.100000000000001" customHeight="1">
      <c r="A37" s="148" t="s">
        <v>218</v>
      </c>
      <c r="B37" s="109" t="s">
        <v>169</v>
      </c>
      <c r="C37" s="721">
        <f>'REGE1-SYNT'!G20</f>
        <v>20</v>
      </c>
      <c r="D37" s="722"/>
      <c r="E37" s="702"/>
      <c r="F37" s="703"/>
      <c r="G37" s="702"/>
      <c r="H37" s="723"/>
      <c r="I37" s="721">
        <f>'REGE1-SYNT'!O20</f>
        <v>20</v>
      </c>
      <c r="J37" s="722"/>
      <c r="K37" s="702"/>
      <c r="L37" s="703"/>
      <c r="M37" s="724"/>
      <c r="N37" s="725"/>
      <c r="O37" s="137"/>
      <c r="P37" s="582" t="str">
        <f t="array" ref="P37">IFERROR(INDEX('SERVICE1-List'!$B$1:$B$40,SMALL(IF(('SERVICE1-List'!$V$6:$V$40='REGE1-SYNT'!K$24)*('SERVICE1-List'!$S$6:$S$40="Oui"),ROW('SERVICE1-List'!$E$6:$E$40)),ROW('SERVICE1-List'!B6))),"")</f>
        <v/>
      </c>
      <c r="Q37" s="582" t="str">
        <f t="array" ref="Q37">IFERROR(INDEX('SERVICE1-List'!$W$1:$W$40,SMALL(IF(('SERVICE1-List'!$V$6:$V$40='REGE1-SYNT'!K$24)*('SERVICE1-List'!$S$6:$S$40="Oui"),ROW('SERVICE1-List'!$E$6:$E$40)),ROW('SERVICE1-List'!B6))),"")</f>
        <v/>
      </c>
      <c r="R37" s="137"/>
      <c r="S37" s="582" t="str">
        <f t="array" ref="S37">IFERROR(INDEX('SERVICE2-List'!$B$1:$B$43,SMALL(IF(('SERVICE2-List'!$V$6:$V$43='REGE1-SYNT'!K$24)*('SERVICE2-List'!$S$6:$S$43="Oui"),ROW('SERVICE2-List'!$E$6:$E$43)),ROW('SERVICE2-List'!B6))),"")</f>
        <v/>
      </c>
      <c r="T37" s="582" t="str">
        <f t="array" ref="T37">IFERROR(INDEX('SERVICE2-List'!$W$1:$W$43,SMALL(IF(('SERVICE2-List'!$V$6:$V$43='REGE1-SYNT'!K$24)*('SERVICE2-List'!$S$6:$S$43="Oui"),ROW('SERVICE2-List'!$E$6:$E$43)),ROW('SERVICE2-List'!B6))),"")</f>
        <v/>
      </c>
    </row>
    <row r="38" spans="1:21" s="97" customFormat="1" ht="20.100000000000001" customHeight="1" thickBot="1">
      <c r="A38" s="116" t="s">
        <v>188</v>
      </c>
      <c r="B38" s="111" t="s">
        <v>169</v>
      </c>
      <c r="C38" s="715">
        <f>'REGE1-SYNT'!C20</f>
        <v>8</v>
      </c>
      <c r="D38" s="716"/>
      <c r="E38" s="691"/>
      <c r="F38" s="692"/>
      <c r="G38" s="717"/>
      <c r="H38" s="718"/>
      <c r="I38" s="719">
        <f>'REGE1-SYNT'!K20</f>
        <v>10</v>
      </c>
      <c r="J38" s="720"/>
      <c r="K38" s="691"/>
      <c r="L38" s="692"/>
      <c r="M38" s="696"/>
      <c r="N38" s="697"/>
      <c r="O38" s="137"/>
      <c r="P38" s="582" t="str">
        <f t="array" ref="P38">IFERROR(INDEX('SERVICE1-List'!$B$1:$B$40,SMALL(IF(('SERVICE1-List'!$V$6:$V$40='REGE1-SYNT'!K$24)*('SERVICE1-List'!$S$6:$S$40="Oui"),ROW('SERVICE1-List'!$E$6:$E$40)),ROW('SERVICE1-List'!B7))),"")</f>
        <v/>
      </c>
      <c r="Q38" s="582" t="str">
        <f t="array" ref="Q38">IFERROR(INDEX('SERVICE1-List'!$W$1:$W$40,SMALL(IF(('SERVICE1-List'!$V$6:$V$40='REGE1-SYNT'!K$24)*('SERVICE1-List'!$S$6:$S$40="Oui"),ROW('SERVICE1-List'!$E$6:$E$40)),ROW('SERVICE1-List'!B7))),"")</f>
        <v/>
      </c>
      <c r="R38" s="137"/>
      <c r="S38" s="582" t="str">
        <f t="array" ref="S38">IFERROR(INDEX('SERVICE2-List'!$B$1:$B$43,SMALL(IF(('SERVICE2-List'!$V$6:$V$43='REGE1-SYNT'!K$24)*('SERVICE2-List'!$S$6:$S$43="Oui"),ROW('SERVICE2-List'!$E$6:$E$43)),ROW('SERVICE2-List'!B7))),"")</f>
        <v/>
      </c>
      <c r="T38" s="582" t="str">
        <f t="array" ref="T38">IFERROR(INDEX('SERVICE2-List'!$W$1:$W$43,SMALL(IF(('SERVICE2-List'!$V$6:$V$43='REGE1-SYNT'!K$24)*('SERVICE2-List'!$S$6:$S$43="Oui"),ROW('SERVICE2-List'!$E$6:$E$43)),ROW('SERVICE2-List'!B7))),"")</f>
        <v/>
      </c>
      <c r="U38" s="187"/>
    </row>
    <row r="39" spans="1:21" s="97" customFormat="1" ht="20.100000000000001" customHeight="1">
      <c r="A39" s="115" t="s">
        <v>189</v>
      </c>
      <c r="B39" s="105" t="s">
        <v>169</v>
      </c>
      <c r="C39" s="706">
        <f>'REGE1-SYNT'!C47</f>
        <v>5</v>
      </c>
      <c r="D39" s="707"/>
      <c r="E39" s="713"/>
      <c r="F39" s="714"/>
      <c r="G39" s="174" t="s">
        <v>104</v>
      </c>
      <c r="H39" s="246">
        <f>'REGE1-SYNT'!G47</f>
        <v>0</v>
      </c>
      <c r="I39" s="706">
        <f>'REGE1-SYNT'!L47</f>
        <v>9</v>
      </c>
      <c r="J39" s="707"/>
      <c r="K39" s="708"/>
      <c r="L39" s="709"/>
      <c r="M39" s="174" t="s">
        <v>104</v>
      </c>
      <c r="N39" s="244">
        <f>'REGE1-SYNT'!O47</f>
        <v>0</v>
      </c>
      <c r="O39" s="137"/>
      <c r="P39" s="582" t="str">
        <f t="array" ref="P39">IFERROR(INDEX('SERVICE1-List'!$B$1:$B$40,SMALL(IF(('SERVICE1-List'!$V$6:$V$40='REGE1-SYNT'!K$24)*('SERVICE1-List'!$S$6:$S$40="Oui"),ROW('SERVICE1-List'!$E$6:$E$40)),ROW('SERVICE1-List'!B8))),"")</f>
        <v/>
      </c>
      <c r="Q39" s="582" t="str">
        <f t="array" ref="Q39">IFERROR(INDEX('SERVICE1-List'!$W$1:$W$40,SMALL(IF(('SERVICE1-List'!$V$6:$V$40='REGE1-SYNT'!K$24)*('SERVICE1-List'!$S$6:$S$40="Oui"),ROW('SERVICE1-List'!$E$6:$E$40)),ROW('SERVICE1-List'!B8))),"")</f>
        <v/>
      </c>
      <c r="R39" s="137"/>
      <c r="S39" s="582" t="str">
        <f t="array" ref="S39">IFERROR(INDEX('SERVICE2-List'!$B$1:$B$43,SMALL(IF(('SERVICE2-List'!$V$6:$V$43='REGE1-SYNT'!K$24)*('SERVICE2-List'!$S$6:$S$43="Oui"),ROW('SERVICE2-List'!$E$6:$E$43)),ROW('SERVICE2-List'!B8))),"")</f>
        <v/>
      </c>
      <c r="T39" s="582" t="str">
        <f t="array" ref="T39">IFERROR(INDEX('SERVICE2-List'!$W$1:$W$43,SMALL(IF(('SERVICE2-List'!$V$6:$V$43='REGE1-SYNT'!K$24)*('SERVICE2-List'!$S$6:$S$43="Oui"),ROW('SERVICE2-List'!$E$6:$E$43)),ROW('SERVICE2-List'!B8))),"")</f>
        <v/>
      </c>
    </row>
    <row r="40" spans="1:21" s="97" customFormat="1" ht="20.100000000000001" customHeight="1">
      <c r="A40" s="108" t="s">
        <v>190</v>
      </c>
      <c r="B40" s="107" t="s">
        <v>169</v>
      </c>
      <c r="C40" s="698">
        <f>'REGE1-SYNT'!C48+'REGE1-SYNT'!C49</f>
        <v>25</v>
      </c>
      <c r="D40" s="699"/>
      <c r="E40" s="700"/>
      <c r="F40" s="701"/>
      <c r="G40" s="161" t="s">
        <v>104</v>
      </c>
      <c r="H40" s="245">
        <f>'REGE1-SYNT'!G48</f>
        <v>0</v>
      </c>
      <c r="I40" s="698">
        <f>'REGE1-SYNT'!L48+'REGE1-SYNT'!L49</f>
        <v>27</v>
      </c>
      <c r="J40" s="699"/>
      <c r="K40" s="702"/>
      <c r="L40" s="703"/>
      <c r="M40" s="161" t="s">
        <v>104</v>
      </c>
      <c r="N40" s="245">
        <f>'REGE1-SYNT'!O48</f>
        <v>0</v>
      </c>
      <c r="O40" s="137"/>
      <c r="P40" s="582" t="str">
        <f t="array" ref="P40">IFERROR(INDEX('SERVICE1-List'!$B$1:$B$40,SMALL(IF(('SERVICE1-List'!$V$6:$V$40='REGE1-SYNT'!K$24)*('SERVICE1-List'!$S$6:$S$40="Oui"),ROW('SERVICE1-List'!$E$6:$E$40)),ROW('SERVICE1-List'!B9))),"")</f>
        <v/>
      </c>
      <c r="Q40" s="582" t="str">
        <f t="array" ref="Q40">IFERROR(INDEX('SERVICE1-List'!$W$1:$W$40,SMALL(IF(('SERVICE1-List'!$V$6:$V$40='REGE1-SYNT'!K$24)*('SERVICE1-List'!$S$6:$S$40="Oui"),ROW('SERVICE1-List'!$E$6:$E$40)),ROW('SERVICE1-List'!B9))),"")</f>
        <v/>
      </c>
      <c r="R40" s="137"/>
      <c r="S40" s="582" t="str">
        <f t="array" ref="S40">IFERROR(INDEX('SERVICE2-List'!$B$1:$B$43,SMALL(IF(('SERVICE2-List'!$V$6:$V$43='REGE1-SYNT'!K$24)*('SERVICE2-List'!$S$6:$S$43="Oui"),ROW('SERVICE2-List'!$E$6:$E$43)),ROW('SERVICE2-List'!B9))),"")</f>
        <v/>
      </c>
      <c r="T40" s="582" t="str">
        <f t="array" ref="T40">IFERROR(INDEX('SERVICE2-List'!$W$1:$W$43,SMALL(IF(('SERVICE2-List'!$V$6:$V$43='REGE1-SYNT'!K$24)*('SERVICE2-List'!$S$6:$S$43="Oui"),ROW('SERVICE2-List'!$E$6:$E$43)),ROW('SERVICE2-List'!B9))),"")</f>
        <v/>
      </c>
    </row>
    <row r="41" spans="1:21" s="97" customFormat="1" ht="20.100000000000001" customHeight="1" thickBot="1">
      <c r="A41" s="113" t="s">
        <v>191</v>
      </c>
      <c r="B41" s="109" t="s">
        <v>169</v>
      </c>
      <c r="C41" s="698">
        <f>'REGE1-SYNT'!C22</f>
        <v>0</v>
      </c>
      <c r="D41" s="699"/>
      <c r="E41" s="700"/>
      <c r="F41" s="701"/>
      <c r="G41" s="164"/>
      <c r="H41" s="162"/>
      <c r="I41" s="698" t="s">
        <v>7</v>
      </c>
      <c r="J41" s="699"/>
      <c r="K41" s="702"/>
      <c r="L41" s="703"/>
      <c r="M41" s="704"/>
      <c r="N41" s="705"/>
      <c r="O41" s="137"/>
      <c r="P41" s="582" t="str">
        <f t="array" ref="P41">IFERROR(INDEX('SERVICE1-List'!$B$1:$B$40,SMALL(IF(('SERVICE1-List'!$V$6:$V$40='REGE1-SYNT'!K$24)*('SERVICE1-List'!$S$6:$S$40="Oui"),ROW('SERVICE1-List'!$E$6:$E$40)),ROW('SERVICE1-List'!B10))),"")</f>
        <v/>
      </c>
      <c r="Q41" s="582" t="str">
        <f t="array" ref="Q41">IFERROR(INDEX('SERVICE1-List'!$W$1:$W$40,SMALL(IF(('SERVICE1-List'!$V$6:$V$40='REGE1-SYNT'!K$24)*('SERVICE1-List'!$S$6:$S$40="Oui"),ROW('SERVICE1-List'!$E$6:$E$40)),ROW('SERVICE1-List'!B10))),"")</f>
        <v/>
      </c>
      <c r="R41" s="137"/>
      <c r="S41" s="582" t="str">
        <f t="array" ref="S41">IFERROR(INDEX('SERVICE2-List'!$B$1:$B$43,SMALL(IF(('SERVICE2-List'!$V$6:$V$43='REGE1-SYNT'!K$24)*('SERVICE2-List'!$S$6:$S$43="Oui"),ROW('SERVICE2-List'!$E$6:$E$43)),ROW('SERVICE2-List'!B10))),"")</f>
        <v/>
      </c>
      <c r="T41" s="582" t="str">
        <f t="array" ref="T41">IFERROR(INDEX('SERVICE2-List'!$W$1:$W$43,SMALL(IF(('SERVICE2-List'!$V$6:$V$43='REGE1-SYNT'!K$24)*('SERVICE2-List'!$S$6:$S$43="Oui"),ROW('SERVICE2-List'!$E$6:$E$43)),ROW('SERVICE2-List'!B10))),"")</f>
        <v/>
      </c>
    </row>
    <row r="42" spans="1:21" s="97" customFormat="1" ht="20.100000000000001" customHeight="1">
      <c r="A42" s="117" t="s">
        <v>194</v>
      </c>
      <c r="B42" s="105" t="s">
        <v>169</v>
      </c>
      <c r="C42" s="706">
        <f ca="1">IF(ISNUMBER(MATCH(I$3,BDD!C27:C500,0)),'REGE2-SYNT'!C9*'REGE1-SYNT'!C35,0)</f>
        <v>0</v>
      </c>
      <c r="D42" s="707"/>
      <c r="E42" s="708"/>
      <c r="F42" s="709"/>
      <c r="G42" s="708"/>
      <c r="H42" s="710"/>
      <c r="I42" s="711"/>
      <c r="J42" s="712"/>
      <c r="K42" s="708"/>
      <c r="L42" s="709"/>
      <c r="M42" s="687"/>
      <c r="N42" s="688"/>
      <c r="O42" s="137"/>
      <c r="P42" s="137"/>
      <c r="Q42" s="137"/>
      <c r="R42" s="137"/>
      <c r="S42" s="137"/>
      <c r="T42" s="137"/>
    </row>
    <row r="43" spans="1:21" s="97" customFormat="1" ht="20.100000000000001" customHeight="1" thickBot="1">
      <c r="A43" s="118" t="s">
        <v>195</v>
      </c>
      <c r="B43" s="111" t="s">
        <v>196</v>
      </c>
      <c r="C43" s="689">
        <f ca="1">IF(ISNUMBER(MATCH(I$3,BDD!C27:C500,0)),'REGE2-SYNT'!C11,0)</f>
        <v>0</v>
      </c>
      <c r="D43" s="690"/>
      <c r="E43" s="691"/>
      <c r="F43" s="692"/>
      <c r="G43" s="691"/>
      <c r="H43" s="693"/>
      <c r="I43" s="694"/>
      <c r="J43" s="695"/>
      <c r="K43" s="691"/>
      <c r="L43" s="692"/>
      <c r="M43" s="696"/>
      <c r="N43" s="697"/>
      <c r="O43" s="137"/>
      <c r="P43" s="137"/>
      <c r="Q43" s="137"/>
      <c r="R43" s="137"/>
      <c r="S43" s="137"/>
      <c r="T43" s="137"/>
    </row>
    <row r="44" spans="1:21" s="97" customFormat="1" ht="63.75" customHeight="1" thickBot="1">
      <c r="A44" s="149" t="s">
        <v>318</v>
      </c>
      <c r="B44" s="684"/>
      <c r="C44" s="685"/>
      <c r="D44" s="685"/>
      <c r="E44" s="685"/>
      <c r="F44" s="685"/>
      <c r="G44" s="685"/>
      <c r="H44" s="686"/>
      <c r="I44" s="684"/>
      <c r="J44" s="685"/>
      <c r="K44" s="685"/>
      <c r="L44" s="685"/>
      <c r="M44" s="685"/>
      <c r="N44" s="686"/>
      <c r="O44" s="137"/>
      <c r="P44" s="137"/>
      <c r="Q44" s="137"/>
      <c r="R44" s="137"/>
      <c r="S44" s="137"/>
      <c r="T44" s="137"/>
    </row>
    <row r="45" spans="1:21" s="97" customFormat="1" ht="12">
      <c r="A45" s="119" t="s">
        <v>418</v>
      </c>
      <c r="B45" s="120"/>
      <c r="C45" s="120"/>
      <c r="D45" s="120"/>
      <c r="E45" s="121" t="s">
        <v>242</v>
      </c>
    </row>
    <row r="46" spans="1:21" s="97" customFormat="1" ht="12">
      <c r="A46" s="605" t="s">
        <v>410</v>
      </c>
      <c r="B46" s="855">
        <f ca="1">TODAY()</f>
        <v>44064</v>
      </c>
      <c r="C46" s="855"/>
      <c r="D46" s="855"/>
      <c r="E46" s="604" t="s">
        <v>411</v>
      </c>
      <c r="F46" s="856">
        <f ca="1">NOW()</f>
        <v>44064.421705208333</v>
      </c>
      <c r="G46" s="856"/>
      <c r="H46" s="856"/>
    </row>
    <row r="47" spans="1:21" s="97" customFormat="1" ht="12"/>
    <row r="48" spans="1:21" s="97" customFormat="1" ht="12"/>
    <row r="49" spans="1:14">
      <c r="A49" s="96"/>
      <c r="B49" s="96"/>
      <c r="C49" s="96"/>
      <c r="D49" s="96"/>
      <c r="E49" s="96"/>
      <c r="F49" s="96"/>
      <c r="G49" s="96"/>
      <c r="H49" s="96"/>
      <c r="I49" s="96"/>
      <c r="J49" s="96"/>
      <c r="K49" s="96"/>
      <c r="L49" s="96"/>
      <c r="M49" s="96"/>
      <c r="N49" s="96"/>
    </row>
    <row r="50" spans="1:14">
      <c r="A50" s="96"/>
      <c r="B50" s="96"/>
      <c r="C50" s="96"/>
      <c r="D50" s="96"/>
      <c r="E50" s="96"/>
      <c r="F50" s="96"/>
      <c r="G50" s="96"/>
      <c r="H50" s="96"/>
      <c r="I50" s="96"/>
      <c r="J50" s="96"/>
      <c r="K50" s="96"/>
      <c r="L50" s="96"/>
      <c r="M50" s="96"/>
      <c r="N50" s="96"/>
    </row>
  </sheetData>
  <mergeCells count="184">
    <mergeCell ref="B46:D46"/>
    <mergeCell ref="F46:H46"/>
    <mergeCell ref="C7:D7"/>
    <mergeCell ref="E7:F7"/>
    <mergeCell ref="G7:H7"/>
    <mergeCell ref="I7:J7"/>
    <mergeCell ref="K7:L7"/>
    <mergeCell ref="M7:N7"/>
    <mergeCell ref="B1:M1"/>
    <mergeCell ref="B3:D3"/>
    <mergeCell ref="I3:N3"/>
    <mergeCell ref="E4:F4"/>
    <mergeCell ref="C6:H6"/>
    <mergeCell ref="I6:N6"/>
    <mergeCell ref="C10:D10"/>
    <mergeCell ref="E10:F10"/>
    <mergeCell ref="G10:H10"/>
    <mergeCell ref="I10:J10"/>
    <mergeCell ref="K10:L10"/>
    <mergeCell ref="M10:N10"/>
    <mergeCell ref="C8:D8"/>
    <mergeCell ref="E8:F8"/>
    <mergeCell ref="G8:H8"/>
    <mergeCell ref="I8:J8"/>
    <mergeCell ref="K8:L8"/>
    <mergeCell ref="M8:N8"/>
    <mergeCell ref="M9:N9"/>
    <mergeCell ref="K9:L9"/>
    <mergeCell ref="I9:J9"/>
    <mergeCell ref="G9:H9"/>
    <mergeCell ref="E9:F9"/>
    <mergeCell ref="C9:D9"/>
    <mergeCell ref="C12:D12"/>
    <mergeCell ref="E12:F12"/>
    <mergeCell ref="G12:H12"/>
    <mergeCell ref="I12:J12"/>
    <mergeCell ref="K12:L12"/>
    <mergeCell ref="M12:N12"/>
    <mergeCell ref="C11:D11"/>
    <mergeCell ref="E11:F11"/>
    <mergeCell ref="G11:H11"/>
    <mergeCell ref="I11:J11"/>
    <mergeCell ref="K11:L11"/>
    <mergeCell ref="M11:N11"/>
    <mergeCell ref="C14:D14"/>
    <mergeCell ref="E14:F14"/>
    <mergeCell ref="G14:H14"/>
    <mergeCell ref="M14:N14"/>
    <mergeCell ref="C13:D13"/>
    <mergeCell ref="E13:F13"/>
    <mergeCell ref="G13:H13"/>
    <mergeCell ref="I13:J13"/>
    <mergeCell ref="K13:L13"/>
    <mergeCell ref="M13:N13"/>
    <mergeCell ref="I14:L14"/>
    <mergeCell ref="C16:D16"/>
    <mergeCell ref="E16:F16"/>
    <mergeCell ref="G16:H16"/>
    <mergeCell ref="I16:J16"/>
    <mergeCell ref="K16:L16"/>
    <mergeCell ref="M16:N16"/>
    <mergeCell ref="C15:D15"/>
    <mergeCell ref="E15:F15"/>
    <mergeCell ref="G15:H15"/>
    <mergeCell ref="I15:J15"/>
    <mergeCell ref="K15:L15"/>
    <mergeCell ref="M15:N15"/>
    <mergeCell ref="C18:D18"/>
    <mergeCell ref="E18:F18"/>
    <mergeCell ref="G18:H18"/>
    <mergeCell ref="I18:J18"/>
    <mergeCell ref="K18:L18"/>
    <mergeCell ref="M18:N18"/>
    <mergeCell ref="C17:D17"/>
    <mergeCell ref="E17:F17"/>
    <mergeCell ref="G17:H17"/>
    <mergeCell ref="I17:J17"/>
    <mergeCell ref="K17:L17"/>
    <mergeCell ref="M17:N17"/>
    <mergeCell ref="M20:N20"/>
    <mergeCell ref="A21:A22"/>
    <mergeCell ref="B21:B22"/>
    <mergeCell ref="A23:A24"/>
    <mergeCell ref="B23:B24"/>
    <mergeCell ref="A25:A26"/>
    <mergeCell ref="B25:B26"/>
    <mergeCell ref="E19:F19"/>
    <mergeCell ref="G19:H19"/>
    <mergeCell ref="I19:J19"/>
    <mergeCell ref="K19:L19"/>
    <mergeCell ref="M19:N19"/>
    <mergeCell ref="C20:D20"/>
    <mergeCell ref="E20:F20"/>
    <mergeCell ref="G20:H20"/>
    <mergeCell ref="I20:J20"/>
    <mergeCell ref="K20:L20"/>
    <mergeCell ref="C30:D30"/>
    <mergeCell ref="E30:F30"/>
    <mergeCell ref="G30:H30"/>
    <mergeCell ref="I30:J30"/>
    <mergeCell ref="K30:L30"/>
    <mergeCell ref="M30:N30"/>
    <mergeCell ref="A27:A28"/>
    <mergeCell ref="B27:B28"/>
    <mergeCell ref="C29:D29"/>
    <mergeCell ref="E29:F29"/>
    <mergeCell ref="G29:H29"/>
    <mergeCell ref="M29:N29"/>
    <mergeCell ref="C33:D33"/>
    <mergeCell ref="E33:F33"/>
    <mergeCell ref="G33:H33"/>
    <mergeCell ref="I33:J33"/>
    <mergeCell ref="K33:L33"/>
    <mergeCell ref="M33:N33"/>
    <mergeCell ref="C31:D31"/>
    <mergeCell ref="E31:F31"/>
    <mergeCell ref="G31:H31"/>
    <mergeCell ref="I31:J31"/>
    <mergeCell ref="K31:L31"/>
    <mergeCell ref="M31:N31"/>
    <mergeCell ref="C32:D32"/>
    <mergeCell ref="E32:F32"/>
    <mergeCell ref="G32:H32"/>
    <mergeCell ref="K32:L32"/>
    <mergeCell ref="M32:N32"/>
    <mergeCell ref="C35:D35"/>
    <mergeCell ref="E35:F35"/>
    <mergeCell ref="G35:H35"/>
    <mergeCell ref="I35:J35"/>
    <mergeCell ref="K35:L35"/>
    <mergeCell ref="M35:N35"/>
    <mergeCell ref="C34:D34"/>
    <mergeCell ref="E34:F34"/>
    <mergeCell ref="G34:H34"/>
    <mergeCell ref="I34:J34"/>
    <mergeCell ref="K34:L34"/>
    <mergeCell ref="M34:N34"/>
    <mergeCell ref="M38:N38"/>
    <mergeCell ref="C37:D37"/>
    <mergeCell ref="E37:F37"/>
    <mergeCell ref="G37:H37"/>
    <mergeCell ref="I37:J37"/>
    <mergeCell ref="K37:L37"/>
    <mergeCell ref="M37:N37"/>
    <mergeCell ref="C36:D36"/>
    <mergeCell ref="E36:F36"/>
    <mergeCell ref="G36:H36"/>
    <mergeCell ref="I36:J36"/>
    <mergeCell ref="K36:L36"/>
    <mergeCell ref="M36:N36"/>
    <mergeCell ref="K39:L39"/>
    <mergeCell ref="C40:D40"/>
    <mergeCell ref="E40:F40"/>
    <mergeCell ref="I40:J40"/>
    <mergeCell ref="K40:L40"/>
    <mergeCell ref="C38:D38"/>
    <mergeCell ref="E38:F38"/>
    <mergeCell ref="G38:H38"/>
    <mergeCell ref="I38:J38"/>
    <mergeCell ref="K38:L38"/>
    <mergeCell ref="P6:R6"/>
    <mergeCell ref="P29:R29"/>
    <mergeCell ref="B44:H44"/>
    <mergeCell ref="I44:N44"/>
    <mergeCell ref="C43:D43"/>
    <mergeCell ref="E43:F43"/>
    <mergeCell ref="G43:H43"/>
    <mergeCell ref="I43:J43"/>
    <mergeCell ref="K43:L43"/>
    <mergeCell ref="M43:N43"/>
    <mergeCell ref="C42:D42"/>
    <mergeCell ref="E42:F42"/>
    <mergeCell ref="G42:H42"/>
    <mergeCell ref="I42:J42"/>
    <mergeCell ref="K42:L42"/>
    <mergeCell ref="M42:N42"/>
    <mergeCell ref="C41:D41"/>
    <mergeCell ref="E41:F41"/>
    <mergeCell ref="I41:J41"/>
    <mergeCell ref="K41:L41"/>
    <mergeCell ref="M41:N41"/>
    <mergeCell ref="C39:D39"/>
    <mergeCell ref="E39:F39"/>
    <mergeCell ref="I39:J39"/>
  </mergeCells>
  <conditionalFormatting sqref="M33:N33 E35:F35 K35:L35 M30:N30">
    <cfRule type="cellIs" dxfId="9" priority="8" operator="equal">
      <formula>0</formula>
    </cfRule>
  </conditionalFormatting>
  <pageMargins left="0.23622047244094491" right="0.19685039370078741" top="0.19685039370078741" bottom="0" header="0.11811023622047245" footer="0.11811023622047245"/>
  <pageSetup paperSize="9" orientation="portrait" verticalDpi="300" r:id="rId1"/>
  <headerFooter alignWithMargins="0">
    <oddFooter>&amp;R&amp;8RES-REST E05, version 10, Février 2019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>
    <tabColor theme="4" tint="-0.249977111117893"/>
  </sheetPr>
  <dimension ref="A1:U50"/>
  <sheetViews>
    <sheetView zoomScaleNormal="100" workbookViewId="0">
      <selection activeCell="G10" sqref="G10:H10"/>
    </sheetView>
  </sheetViews>
  <sheetFormatPr baseColWidth="10" defaultRowHeight="12.75"/>
  <cols>
    <col min="1" max="1" width="26" style="95" customWidth="1"/>
    <col min="2" max="2" width="9.28515625" style="95" customWidth="1"/>
    <col min="3" max="12" width="5.42578125" style="95" customWidth="1"/>
    <col min="13" max="14" width="5.7109375" style="95" customWidth="1"/>
    <col min="15" max="15" width="5.28515625" style="95" customWidth="1"/>
    <col min="16" max="16" width="25.7109375" style="95" customWidth="1"/>
    <col min="17" max="17" width="14.7109375" style="95" customWidth="1"/>
    <col min="18" max="18" width="5.7109375" style="95" customWidth="1"/>
    <col min="19" max="19" width="25.7109375" style="95" customWidth="1"/>
    <col min="20" max="20" width="14.7109375" style="95" customWidth="1"/>
    <col min="21" max="16384" width="11.42578125" style="95"/>
  </cols>
  <sheetData>
    <row r="1" spans="1:20" ht="24" customHeight="1">
      <c r="A1" s="134"/>
      <c r="B1" s="781" t="s">
        <v>162</v>
      </c>
      <c r="C1" s="781"/>
      <c r="D1" s="781"/>
      <c r="E1" s="781"/>
      <c r="F1" s="781"/>
      <c r="G1" s="781"/>
      <c r="H1" s="781"/>
      <c r="I1" s="781"/>
      <c r="J1" s="781"/>
      <c r="K1" s="781"/>
      <c r="L1" s="781"/>
      <c r="M1" s="781"/>
      <c r="N1" s="225"/>
      <c r="O1" s="585"/>
      <c r="P1" s="585"/>
      <c r="Q1" s="581">
        <f>'REGE1-SYNT'!D7</f>
        <v>44068</v>
      </c>
      <c r="R1" s="585"/>
      <c r="S1" s="585"/>
      <c r="T1" s="585"/>
    </row>
    <row r="2" spans="1:20" ht="10.5" customHeight="1">
      <c r="A2" s="135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6"/>
      <c r="N2" s="136"/>
      <c r="O2" s="585"/>
      <c r="P2" s="585"/>
      <c r="Q2" s="585"/>
      <c r="R2" s="585"/>
      <c r="S2" s="585"/>
      <c r="T2" s="585"/>
    </row>
    <row r="3" spans="1:20" s="97" customFormat="1" ht="13.5" customHeight="1">
      <c r="A3" s="144" t="s">
        <v>163</v>
      </c>
      <c r="B3" s="782" t="s">
        <v>254</v>
      </c>
      <c r="C3" s="782"/>
      <c r="D3" s="782"/>
      <c r="E3" s="175"/>
      <c r="F3" s="137"/>
      <c r="G3" s="137"/>
      <c r="H3" s="144" t="s">
        <v>164</v>
      </c>
      <c r="I3" s="783">
        <f ca="1">IF($Q$1="",TODAY()+1,$Q$1)</f>
        <v>44068</v>
      </c>
      <c r="J3" s="783"/>
      <c r="K3" s="783"/>
      <c r="L3" s="783"/>
      <c r="M3" s="783"/>
      <c r="N3" s="783"/>
      <c r="O3" s="137"/>
      <c r="P3" s="137"/>
      <c r="Q3" s="137"/>
      <c r="R3" s="137"/>
      <c r="S3" s="137"/>
      <c r="T3" s="137"/>
    </row>
    <row r="4" spans="1:20" s="97" customFormat="1" ht="15.75" customHeight="1">
      <c r="A4" s="137" t="s">
        <v>220</v>
      </c>
      <c r="B4" s="256">
        <f>'REGE2-SYNT'!G27</f>
        <v>41</v>
      </c>
      <c r="C4" s="146" t="s">
        <v>94</v>
      </c>
      <c r="D4" s="137"/>
      <c r="E4" s="857">
        <f>'REGE2-SYNT'!P27</f>
        <v>35</v>
      </c>
      <c r="F4" s="857"/>
      <c r="G4" s="145" t="s">
        <v>95</v>
      </c>
      <c r="H4" s="163" t="s">
        <v>283</v>
      </c>
      <c r="I4" s="163"/>
      <c r="J4" s="163"/>
      <c r="K4" s="163"/>
      <c r="L4" s="163"/>
      <c r="M4" s="175"/>
      <c r="N4" s="163"/>
      <c r="O4" s="137"/>
      <c r="P4" s="137"/>
      <c r="Q4" s="137"/>
      <c r="R4" s="137"/>
      <c r="S4" s="137"/>
      <c r="T4" s="137"/>
    </row>
    <row r="5" spans="1:20" s="98" customFormat="1" ht="12" customHeight="1" thickBot="1">
      <c r="A5" s="138"/>
      <c r="B5" s="138"/>
      <c r="C5" s="138"/>
      <c r="D5" s="138"/>
      <c r="E5" s="138"/>
      <c r="F5" s="138"/>
      <c r="G5" s="138"/>
      <c r="H5" s="138"/>
      <c r="I5" s="138"/>
      <c r="J5" s="138"/>
      <c r="K5" s="138"/>
      <c r="L5" s="138"/>
      <c r="M5" s="138"/>
      <c r="N5" s="138"/>
      <c r="O5" s="583"/>
      <c r="P5" s="583"/>
      <c r="Q5" s="583"/>
      <c r="R5" s="583"/>
      <c r="S5" s="583"/>
      <c r="T5" s="583"/>
    </row>
    <row r="6" spans="1:20" s="97" customFormat="1" ht="13.5" customHeight="1" thickBot="1">
      <c r="A6" s="137" t="s">
        <v>282</v>
      </c>
      <c r="B6" s="137"/>
      <c r="C6" s="784" t="s">
        <v>94</v>
      </c>
      <c r="D6" s="785"/>
      <c r="E6" s="785"/>
      <c r="F6" s="785"/>
      <c r="G6" s="785"/>
      <c r="H6" s="786"/>
      <c r="I6" s="787" t="s">
        <v>165</v>
      </c>
      <c r="J6" s="788"/>
      <c r="K6" s="788"/>
      <c r="L6" s="788"/>
      <c r="M6" s="788"/>
      <c r="N6" s="789"/>
      <c r="O6" s="137"/>
      <c r="P6" s="852" t="s">
        <v>399</v>
      </c>
      <c r="Q6" s="853"/>
      <c r="R6" s="853"/>
      <c r="S6" s="600" t="str">
        <f>'REGE1-SYNT'!C24</f>
        <v>-</v>
      </c>
      <c r="T6" s="602"/>
    </row>
    <row r="7" spans="1:20" s="97" customFormat="1" ht="13.5" customHeight="1" thickBot="1">
      <c r="A7" s="137" t="s">
        <v>417</v>
      </c>
      <c r="B7" s="137"/>
      <c r="C7" s="694" t="s">
        <v>5</v>
      </c>
      <c r="D7" s="695"/>
      <c r="E7" s="773" t="s">
        <v>166</v>
      </c>
      <c r="F7" s="695"/>
      <c r="G7" s="773" t="s">
        <v>167</v>
      </c>
      <c r="H7" s="792"/>
      <c r="I7" s="793" t="s">
        <v>5</v>
      </c>
      <c r="J7" s="794"/>
      <c r="K7" s="773" t="s">
        <v>166</v>
      </c>
      <c r="L7" s="695"/>
      <c r="M7" s="795" t="s">
        <v>167</v>
      </c>
      <c r="N7" s="796"/>
      <c r="O7" s="137"/>
      <c r="P7" s="137"/>
      <c r="Q7" s="137"/>
      <c r="R7" s="137"/>
      <c r="S7" s="137"/>
      <c r="T7" s="137"/>
    </row>
    <row r="8" spans="1:20" s="97" customFormat="1" ht="20.100000000000001" customHeight="1">
      <c r="A8" s="99" t="s">
        <v>168</v>
      </c>
      <c r="B8" s="261" t="s">
        <v>169</v>
      </c>
      <c r="C8" s="706" t="s">
        <v>7</v>
      </c>
      <c r="D8" s="707"/>
      <c r="E8" s="728" t="s">
        <v>7</v>
      </c>
      <c r="F8" s="707"/>
      <c r="G8" s="708"/>
      <c r="H8" s="710"/>
      <c r="I8" s="774"/>
      <c r="J8" s="709"/>
      <c r="K8" s="708"/>
      <c r="L8" s="709"/>
      <c r="M8" s="790"/>
      <c r="N8" s="791"/>
      <c r="O8" s="137"/>
      <c r="P8" s="586" t="s">
        <v>395</v>
      </c>
      <c r="Q8" s="586" t="s">
        <v>378</v>
      </c>
      <c r="R8" s="584"/>
      <c r="S8" s="586" t="s">
        <v>395</v>
      </c>
      <c r="T8" s="586" t="s">
        <v>378</v>
      </c>
    </row>
    <row r="9" spans="1:20" s="97" customFormat="1" ht="20.100000000000001" customHeight="1">
      <c r="A9" s="257" t="s">
        <v>192</v>
      </c>
      <c r="B9" s="258" t="s">
        <v>193</v>
      </c>
      <c r="C9" s="698" t="s">
        <v>7</v>
      </c>
      <c r="D9" s="699"/>
      <c r="E9" s="743" t="s">
        <v>7</v>
      </c>
      <c r="F9" s="699"/>
      <c r="G9" s="702"/>
      <c r="H9" s="723"/>
      <c r="I9" s="742"/>
      <c r="J9" s="703"/>
      <c r="K9" s="702"/>
      <c r="L9" s="703"/>
      <c r="M9" s="724"/>
      <c r="N9" s="725"/>
      <c r="O9" s="137"/>
      <c r="P9" s="582" t="str">
        <f t="array" ref="P9">IFERROR(INDEX('SERVICE1-List'!$B$1:$B$40,SMALL(IF(('SERVICE1-List'!$V$6:$V$40='REGE1-SYNT'!C$24)*('SERVICE1-List'!$S$6:$S$40=""),ROW('SERVICE1-List'!$E$6:$E$40)),ROW('SERVICE1-List'!B1))),"")</f>
        <v/>
      </c>
      <c r="Q9" s="582" t="str">
        <f t="array" ref="Q9">IFERROR(INDEX('SERVICE1-List'!$W$1:$W$40,SMALL(IF(('SERVICE1-List'!$V$6:$V$40='REGE1-SYNT'!C$24)*('SERVICE1-List'!$S$6:$S$40=""),ROW('SERVICE1-List'!$E$6:$E$40)),ROW('SERVICE1-List'!B1))),"")</f>
        <v/>
      </c>
      <c r="R9" s="137"/>
      <c r="S9" s="582" t="str">
        <f t="array" ref="S9">IFERROR(INDEX('SERVICE2-List'!$B$1:$B$43,SMALL(IF(('SERVICE2-List'!$V$6:$V$43='REGE1-SYNT'!C$24)*('SERVICE2-List'!$S$6:$S$43=""),ROW('SERVICE2-List'!$E$6:$E$43)),ROW('SERVICE2-List'!B1))),"")</f>
        <v/>
      </c>
      <c r="T9" s="582" t="str">
        <f t="array" ref="T9">IFERROR(INDEX('SERVICE2-List'!$W$1:$W$43,SMALL(IF(('SERVICE2-List'!$V$6:$V$43='REGE1-SYNT'!C$24)*('SERVICE2-List'!$S$6:$S$43=""),ROW('SERVICE2-List'!$E$6:$E$43)),ROW('SERVICE2-List'!B1))),"")</f>
        <v/>
      </c>
    </row>
    <row r="10" spans="1:20" s="97" customFormat="1" ht="20.100000000000001" customHeight="1">
      <c r="A10" s="100" t="s">
        <v>229</v>
      </c>
      <c r="B10" s="101" t="s">
        <v>169</v>
      </c>
      <c r="C10" s="698">
        <f ca="1">IF(ISNUMBER(MATCH(I$3,BDD!C27:C500,0)),'REGE1-SYNT'!C9,0)</f>
        <v>0</v>
      </c>
      <c r="D10" s="699"/>
      <c r="E10" s="702"/>
      <c r="F10" s="703"/>
      <c r="G10" s="702"/>
      <c r="H10" s="723"/>
      <c r="I10" s="742"/>
      <c r="J10" s="703"/>
      <c r="K10" s="702"/>
      <c r="L10" s="703"/>
      <c r="M10" s="779"/>
      <c r="N10" s="780"/>
      <c r="O10" s="137"/>
      <c r="P10" s="582" t="str">
        <f t="array" ref="P10">IFERROR(INDEX('SERVICE1-List'!$B$1:$B$40,SMALL(IF(('SERVICE1-List'!$V$6:$V$40='REGE1-SYNT'!C$24)*('SERVICE1-List'!$S$6:$S$40=""),ROW('SERVICE1-List'!$E$6:$E$40)),ROW('SERVICE1-List'!B2))),"")</f>
        <v/>
      </c>
      <c r="Q10" s="582" t="str">
        <f t="array" ref="Q10">IFERROR(INDEX('SERVICE1-List'!$W$1:$W$40,SMALL(IF(('SERVICE1-List'!$V$6:$V$40='REGE1-SYNT'!C$24)*('SERVICE1-List'!$S$6:$S$40=""),ROW('SERVICE1-List'!$E$6:$E$40)),ROW('SERVICE1-List'!B2))),"")</f>
        <v/>
      </c>
      <c r="R10" s="137"/>
      <c r="S10" s="582" t="str">
        <f t="array" ref="S10">IFERROR(INDEX('SERVICE2-List'!$B$1:$B$43,SMALL(IF(('SERVICE2-List'!$V$6:$V$43='REGE1-SYNT'!C$24)*('SERVICE2-List'!$S$6:$S$43=""),ROW('SERVICE2-List'!$E$6:$E$43)),ROW('SERVICE2-List'!B2))),"")</f>
        <v/>
      </c>
      <c r="T10" s="582" t="str">
        <f t="array" ref="T10">IFERROR(INDEX('SERVICE2-List'!$W$1:$W$43,SMALL(IF(('SERVICE2-List'!$V$6:$V$43='REGE1-SYNT'!C$24)*('SERVICE2-List'!$S$6:$S$43=""),ROW('SERVICE2-List'!$E$6:$E$43)),ROW('SERVICE2-List'!B2))),"")</f>
        <v/>
      </c>
    </row>
    <row r="11" spans="1:20" s="97" customFormat="1" ht="20.100000000000001" customHeight="1" thickBot="1">
      <c r="A11" s="102" t="s">
        <v>170</v>
      </c>
      <c r="B11" s="103" t="s">
        <v>171</v>
      </c>
      <c r="C11" s="689" t="s">
        <v>7</v>
      </c>
      <c r="D11" s="690"/>
      <c r="E11" s="691"/>
      <c r="F11" s="692"/>
      <c r="G11" s="691"/>
      <c r="H11" s="693"/>
      <c r="I11" s="739"/>
      <c r="J11" s="692"/>
      <c r="K11" s="691"/>
      <c r="L11" s="692"/>
      <c r="M11" s="777"/>
      <c r="N11" s="778"/>
      <c r="O11" s="137"/>
      <c r="P11" s="582" t="str">
        <f t="array" ref="P11">IFERROR(INDEX('SERVICE1-List'!$B$1:$B$40,SMALL(IF(('SERVICE1-List'!$V$6:$V$40='REGE1-SYNT'!C$24)*('SERVICE1-List'!$S$6:$S$40=""),ROW('SERVICE1-List'!$E$6:$E$40)),ROW('SERVICE1-List'!B3))),"")</f>
        <v/>
      </c>
      <c r="Q11" s="582" t="str">
        <f t="array" ref="Q11">IFERROR(INDEX('SERVICE1-List'!$W$1:$W$40,SMALL(IF(('SERVICE1-List'!$V$6:$V$40='REGE1-SYNT'!C$24)*('SERVICE1-List'!$S$6:$S$40=""),ROW('SERVICE1-List'!$E$6:$E$40)),ROW('SERVICE1-List'!B3))),"")</f>
        <v/>
      </c>
      <c r="R11" s="137"/>
      <c r="S11" s="582" t="str">
        <f t="array" ref="S11">IFERROR(INDEX('SERVICE2-List'!$B$1:$B$43,SMALL(IF(('SERVICE2-List'!$V$6:$V$43='REGE1-SYNT'!C$24)*('SERVICE2-List'!$S$6:$S$43=""),ROW('SERVICE2-List'!$E$6:$E$43)),ROW('SERVICE2-List'!B3))),"")</f>
        <v/>
      </c>
      <c r="T11" s="582" t="str">
        <f t="array" ref="T11">IFERROR(INDEX('SERVICE2-List'!$W$1:$W$43,SMALL(IF(('SERVICE2-List'!$V$6:$V$43='REGE1-SYNT'!C$24)*('SERVICE2-List'!$S$6:$S$43=""),ROW('SERVICE2-List'!$E$6:$E$43)),ROW('SERVICE2-List'!B3))),"")</f>
        <v/>
      </c>
    </row>
    <row r="12" spans="1:20" s="97" customFormat="1" ht="20.45" customHeight="1">
      <c r="A12" s="104" t="s">
        <v>172</v>
      </c>
      <c r="B12" s="105" t="s">
        <v>173</v>
      </c>
      <c r="C12" s="706"/>
      <c r="D12" s="707"/>
      <c r="E12" s="708"/>
      <c r="F12" s="709"/>
      <c r="G12" s="708"/>
      <c r="H12" s="710"/>
      <c r="I12" s="706">
        <f ca="1">IF(OR(WEEKDAY(I3,2)&lt;4,WEEKDAY(I3,2)=5,WEEKDAY(I3,2)=6),'REGE2-SYNT'!K9,0)+IF((WEEKDAY(I3,2)=7),'REGE2-SYNT'!O10)+IF((WEEKDAY(I3,2)=4),'REGE2-SYNT'!O11)</f>
        <v>6</v>
      </c>
      <c r="J12" s="707"/>
      <c r="K12" s="708"/>
      <c r="L12" s="709"/>
      <c r="M12" s="687"/>
      <c r="N12" s="688"/>
      <c r="O12" s="137"/>
      <c r="P12" s="582" t="str">
        <f t="array" ref="P12">IFERROR(INDEX('SERVICE1-List'!$B$1:$B$40,SMALL(IF(('SERVICE1-List'!$V$6:$V$40='REGE1-SYNT'!C$24)*('SERVICE1-List'!$S$6:$S$40=""),ROW('SERVICE1-List'!$E$6:$E$40)),ROW('SERVICE1-List'!B4))),"")</f>
        <v/>
      </c>
      <c r="Q12" s="582" t="str">
        <f t="array" ref="Q12">IFERROR(INDEX('SERVICE1-List'!$W$1:$W$40,SMALL(IF(('SERVICE1-List'!$V$6:$V$40='REGE1-SYNT'!C$24)*('SERVICE1-List'!$S$6:$S$40=""),ROW('SERVICE1-List'!$E$6:$E$40)),ROW('SERVICE1-List'!B4))),"")</f>
        <v/>
      </c>
      <c r="R12" s="137"/>
      <c r="S12" s="582" t="str">
        <f t="array" ref="S12">IFERROR(INDEX('SERVICE2-List'!$B$1:$B$43,SMALL(IF(('SERVICE2-List'!$V$6:$V$43='REGE1-SYNT'!C$24)*('SERVICE2-List'!$S$6:$S$43=""),ROW('SERVICE2-List'!$E$6:$E$43)),ROW('SERVICE2-List'!B4))),"")</f>
        <v/>
      </c>
      <c r="T12" s="582" t="str">
        <f t="array" ref="T12">IFERROR(INDEX('SERVICE2-List'!$W$1:$W$43,SMALL(IF(('SERVICE2-List'!$V$6:$V$43='REGE1-SYNT'!C$24)*('SERVICE2-List'!$S$6:$S$43=""),ROW('SERVICE2-List'!$E$6:$E$43)),ROW('SERVICE2-List'!B4))),"")</f>
        <v/>
      </c>
    </row>
    <row r="13" spans="1:20" s="97" customFormat="1" ht="20.45" customHeight="1">
      <c r="A13" s="106" t="s">
        <v>230</v>
      </c>
      <c r="B13" s="107" t="s">
        <v>173</v>
      </c>
      <c r="C13" s="698"/>
      <c r="D13" s="699"/>
      <c r="E13" s="775"/>
      <c r="F13" s="776"/>
      <c r="G13" s="702"/>
      <c r="H13" s="723"/>
      <c r="I13" s="698" t="s">
        <v>7</v>
      </c>
      <c r="J13" s="699"/>
      <c r="K13" s="743" t="s">
        <v>7</v>
      </c>
      <c r="L13" s="699"/>
      <c r="M13" s="724"/>
      <c r="N13" s="725"/>
      <c r="O13" s="137"/>
      <c r="P13" s="582" t="str">
        <f t="array" ref="P13">IFERROR(INDEX('SERVICE1-List'!$B$1:$B$40,SMALL(IF(('SERVICE1-List'!$V$6:$V$40='REGE1-SYNT'!C$24)*('SERVICE1-List'!$S$6:$S$40=""),ROW('SERVICE1-List'!$E$6:$E$40)),ROW('SERVICE1-List'!B5))),"")</f>
        <v/>
      </c>
      <c r="Q13" s="582" t="str">
        <f t="array" ref="Q13">IFERROR(INDEX('SERVICE1-List'!$W$1:$W$40,SMALL(IF(('SERVICE1-List'!$V$6:$V$40='REGE1-SYNT'!C$24)*('SERVICE1-List'!$S$6:$S$40=""),ROW('SERVICE1-List'!$E$6:$E$40)),ROW('SERVICE1-List'!B5))),"")</f>
        <v/>
      </c>
      <c r="R13" s="137"/>
      <c r="S13" s="582" t="str">
        <f t="array" ref="S13">IFERROR(INDEX('SERVICE2-List'!$B$1:$B$43,SMALL(IF(('SERVICE2-List'!$V$6:$V$43='REGE1-SYNT'!C$24)*('SERVICE2-List'!$S$6:$S$43=""),ROW('SERVICE2-List'!$E$6:$E$43)),ROW('SERVICE2-List'!B5))),"")</f>
        <v/>
      </c>
      <c r="T13" s="582" t="str">
        <f t="array" ref="T13">IFERROR(INDEX('SERVICE2-List'!$W$1:$W$43,SMALL(IF(('SERVICE2-List'!$V$6:$V$43='REGE1-SYNT'!C$24)*('SERVICE2-List'!$S$6:$S$43=""),ROW('SERVICE2-List'!$E$6:$E$43)),ROW('SERVICE2-List'!B5))),"")</f>
        <v/>
      </c>
    </row>
    <row r="14" spans="1:20" s="97" customFormat="1" ht="20.45" customHeight="1">
      <c r="A14" s="108" t="s">
        <v>231</v>
      </c>
      <c r="B14" s="109" t="s">
        <v>173</v>
      </c>
      <c r="C14" s="742"/>
      <c r="D14" s="703"/>
      <c r="E14" s="702"/>
      <c r="F14" s="703"/>
      <c r="G14" s="702"/>
      <c r="H14" s="723"/>
      <c r="I14" s="698">
        <f ca="1">IF(OR(WEEKDAY(I3,2)=7),'REGE2-SYNT'!K10,0)</f>
        <v>0</v>
      </c>
      <c r="J14" s="854"/>
      <c r="K14" s="854"/>
      <c r="L14" s="699"/>
      <c r="M14" s="724"/>
      <c r="N14" s="725"/>
      <c r="O14" s="137"/>
      <c r="P14" s="582" t="str">
        <f t="array" ref="P14">IFERROR(INDEX('SERVICE1-List'!$B$1:$B$40,SMALL(IF(('SERVICE1-List'!$V$6:$V$40='REGE1-SYNT'!C$24)*('SERVICE1-List'!$S$6:$S$40=""),ROW('SERVICE1-List'!$E$6:$E$40)),ROW('SERVICE1-List'!B6))),"")</f>
        <v/>
      </c>
      <c r="Q14" s="582" t="str">
        <f t="array" ref="Q14">IFERROR(INDEX('SERVICE1-List'!$W$1:$W$40,SMALL(IF(('SERVICE1-List'!$V$6:$V$40='REGE1-SYNT'!C$24)*('SERVICE1-List'!$S$6:$S$40=""),ROW('SERVICE1-List'!$E$6:$E$40)),ROW('SERVICE1-List'!B6))),"")</f>
        <v/>
      </c>
      <c r="R14" s="137"/>
      <c r="S14" s="582" t="str">
        <f t="array" ref="S14">IFERROR(INDEX('SERVICE2-List'!$B$1:$B$43,SMALL(IF(('SERVICE2-List'!$V$6:$V$43='REGE1-SYNT'!C$24)*('SERVICE2-List'!$S$6:$S$43=""),ROW('SERVICE2-List'!$E$6:$E$43)),ROW('SERVICE2-List'!B6))),"")</f>
        <v/>
      </c>
      <c r="T14" s="582" t="str">
        <f t="array" ref="T14">IFERROR(INDEX('SERVICE2-List'!$W$1:$W$43,SMALL(IF(('SERVICE2-List'!$V$6:$V$43='REGE1-SYNT'!C$24)*('SERVICE2-List'!$S$6:$S$43=""),ROW('SERVICE2-List'!$E$6:$E$43)),ROW('SERVICE2-List'!B6))),"")</f>
        <v/>
      </c>
    </row>
    <row r="15" spans="1:20" s="97" customFormat="1" ht="20.45" customHeight="1" thickBot="1">
      <c r="A15" s="110" t="s">
        <v>232</v>
      </c>
      <c r="B15" s="111" t="s">
        <v>173</v>
      </c>
      <c r="C15" s="739"/>
      <c r="D15" s="692"/>
      <c r="E15" s="691"/>
      <c r="F15" s="692"/>
      <c r="G15" s="691"/>
      <c r="H15" s="693"/>
      <c r="I15" s="689">
        <f ca="1">IF(OR(WEEKDAY(I3,2)=4),'REGE2-SYNT'!K11,0)</f>
        <v>0</v>
      </c>
      <c r="J15" s="690"/>
      <c r="K15" s="691"/>
      <c r="L15" s="692"/>
      <c r="M15" s="696"/>
      <c r="N15" s="697"/>
      <c r="O15" s="137"/>
      <c r="P15" s="582" t="str">
        <f t="array" ref="P15">IFERROR(INDEX('SERVICE1-List'!$B$1:$B$40,SMALL(IF(('SERVICE1-List'!$V$6:$V$40='REGE1-SYNT'!C$24)*('SERVICE1-List'!$S$6:$S$40=""),ROW('SERVICE1-List'!$E$6:$E$40)),ROW('SERVICE1-List'!B7))),"")</f>
        <v/>
      </c>
      <c r="Q15" s="582" t="str">
        <f t="array" ref="Q15">IFERROR(INDEX('SERVICE1-List'!$W$1:$W$40,SMALL(IF(('SERVICE1-List'!$V$6:$V$40='REGE1-SYNT'!C$24)*('SERVICE1-List'!$S$6:$S$40=""),ROW('SERVICE1-List'!$E$6:$E$40)),ROW('SERVICE1-List'!B7))),"")</f>
        <v/>
      </c>
      <c r="R15" s="137"/>
      <c r="S15" s="582" t="str">
        <f t="array" ref="S15">IFERROR(INDEX('SERVICE2-List'!$B$1:$B$43,SMALL(IF(('SERVICE2-List'!$V$6:$V$43='REGE1-SYNT'!C$24)*('SERVICE2-List'!$S$6:$S$43=""),ROW('SERVICE2-List'!$E$6:$E$43)),ROW('SERVICE2-List'!B7))),"")</f>
        <v/>
      </c>
      <c r="T15" s="582" t="str">
        <f t="array" ref="T15">IFERROR(INDEX('SERVICE2-List'!$W$1:$W$43,SMALL(IF(('SERVICE2-List'!$V$6:$V$43='REGE1-SYNT'!C$24)*('SERVICE2-List'!$S$6:$S$43=""),ROW('SERVICE2-List'!$E$6:$E$43)),ROW('SERVICE2-List'!B7))),"")</f>
        <v/>
      </c>
    </row>
    <row r="16" spans="1:20" s="97" customFormat="1" ht="20.45" customHeight="1">
      <c r="A16" s="115" t="s">
        <v>174</v>
      </c>
      <c r="B16" s="105" t="s">
        <v>175</v>
      </c>
      <c r="C16" s="706">
        <f>'REGE2-SYNT'!C31</f>
        <v>34</v>
      </c>
      <c r="D16" s="707"/>
      <c r="E16" s="728">
        <f>'REGE2-SYNT'!G31</f>
        <v>0</v>
      </c>
      <c r="F16" s="707"/>
      <c r="G16" s="728" t="s">
        <v>7</v>
      </c>
      <c r="H16" s="745"/>
      <c r="I16" s="774"/>
      <c r="J16" s="709"/>
      <c r="K16" s="708"/>
      <c r="L16" s="709"/>
      <c r="M16" s="687"/>
      <c r="N16" s="688"/>
      <c r="O16" s="137"/>
      <c r="P16" s="582" t="str">
        <f t="array" ref="P16">IFERROR(INDEX('SERVICE1-List'!$B$1:$B$40,SMALL(IF(('SERVICE1-List'!$V$6:$V$40='REGE1-SYNT'!C$24)*('SERVICE1-List'!$S$6:$S$40=""),ROW('SERVICE1-List'!$E$6:$E$40)),ROW('SERVICE1-List'!B8))),"")</f>
        <v/>
      </c>
      <c r="Q16" s="582" t="str">
        <f t="array" ref="Q16">IFERROR(INDEX('SERVICE1-List'!$W$1:$W$40,SMALL(IF(('SERVICE1-List'!$V$6:$V$40='REGE1-SYNT'!C$24)*('SERVICE1-List'!$S$6:$S$40=""),ROW('SERVICE1-List'!$E$6:$E$40)),ROW('SERVICE1-List'!B8))),"")</f>
        <v/>
      </c>
      <c r="R16" s="137"/>
      <c r="S16" s="582" t="str">
        <f t="array" ref="S16">IFERROR(INDEX('SERVICE2-List'!$B$1:$B$43,SMALL(IF(('SERVICE2-List'!$V$6:$V$43='REGE1-SYNT'!C$24)*('SERVICE2-List'!$S$6:$S$43=""),ROW('SERVICE2-List'!$E$6:$E$43)),ROW('SERVICE2-List'!B8))),"")</f>
        <v/>
      </c>
      <c r="T16" s="582" t="str">
        <f t="array" ref="T16">IFERROR(INDEX('SERVICE2-List'!$W$1:$W$43,SMALL(IF(('SERVICE2-List'!$V$6:$V$43='REGE1-SYNT'!C$24)*('SERVICE2-List'!$S$6:$S$43=""),ROW('SERVICE2-List'!$E$6:$E$43)),ROW('SERVICE2-List'!B8))),"")</f>
        <v/>
      </c>
    </row>
    <row r="17" spans="1:20" s="97" customFormat="1" ht="20.45" customHeight="1">
      <c r="A17" s="108" t="s">
        <v>176</v>
      </c>
      <c r="B17" s="109" t="s">
        <v>175</v>
      </c>
      <c r="C17" s="698">
        <f>'REGE2-SYNT'!C32+'REGE2-SYNT'!C33</f>
        <v>6</v>
      </c>
      <c r="D17" s="699"/>
      <c r="E17" s="743">
        <f>'REGE2-SYNT'!G32</f>
        <v>1</v>
      </c>
      <c r="F17" s="699"/>
      <c r="G17" s="743" t="s">
        <v>7</v>
      </c>
      <c r="H17" s="744"/>
      <c r="I17" s="742"/>
      <c r="J17" s="703"/>
      <c r="K17" s="702"/>
      <c r="L17" s="703"/>
      <c r="M17" s="724"/>
      <c r="N17" s="725"/>
      <c r="O17" s="137"/>
      <c r="P17" s="582" t="str">
        <f t="array" ref="P17">IFERROR(INDEX('SERVICE1-List'!$B$1:$B$40,SMALL(IF(('SERVICE1-List'!$V$6:$V$40='REGE1-SYNT'!C$24)*('SERVICE1-List'!$S$6:$S$40=""),ROW('SERVICE1-List'!$E$6:$E$40)),ROW('SERVICE1-List'!B9))),"")</f>
        <v/>
      </c>
      <c r="Q17" s="582" t="str">
        <f t="array" ref="Q17">IFERROR(INDEX('SERVICE1-List'!$W$1:$W$40,SMALL(IF(('SERVICE1-List'!$V$6:$V$40='REGE1-SYNT'!C$24)*('SERVICE1-List'!$S$6:$S$40=""),ROW('SERVICE1-List'!$E$6:$E$40)),ROW('SERVICE1-List'!B9))),"")</f>
        <v/>
      </c>
      <c r="R17" s="137"/>
      <c r="S17" s="582" t="str">
        <f t="array" ref="S17">IFERROR(INDEX('SERVICE2-List'!$B$1:$B$43,SMALL(IF(('SERVICE2-List'!$V$6:$V$43='REGE1-SYNT'!C$24)*('SERVICE2-List'!$S$6:$S$43=""),ROW('SERVICE2-List'!$E$6:$E$43)),ROW('SERVICE2-List'!B9))),"")</f>
        <v/>
      </c>
      <c r="T17" s="582" t="str">
        <f t="array" ref="T17">IFERROR(INDEX('SERVICE2-List'!$W$1:$W$43,SMALL(IF(('SERVICE2-List'!$V$6:$V$43='REGE1-SYNT'!C$24)*('SERVICE2-List'!$S$6:$S$43=""),ROW('SERVICE2-List'!$E$6:$E$43)),ROW('SERVICE2-List'!B9))),"")</f>
        <v/>
      </c>
    </row>
    <row r="18" spans="1:20" s="97" customFormat="1" ht="20.45" customHeight="1" thickBot="1">
      <c r="A18" s="110" t="s">
        <v>239</v>
      </c>
      <c r="B18" s="114" t="s">
        <v>175</v>
      </c>
      <c r="C18" s="689"/>
      <c r="D18" s="690"/>
      <c r="E18" s="773"/>
      <c r="F18" s="695"/>
      <c r="G18" s="737" t="s">
        <v>7</v>
      </c>
      <c r="H18" s="738"/>
      <c r="I18" s="739"/>
      <c r="J18" s="692"/>
      <c r="K18" s="691"/>
      <c r="L18" s="692"/>
      <c r="M18" s="696"/>
      <c r="N18" s="697"/>
      <c r="O18" s="137"/>
      <c r="P18" s="582" t="str">
        <f t="array" ref="P18">IFERROR(INDEX('SERVICE1-List'!$B$1:$B$40,SMALL(IF(('SERVICE1-List'!$V$6:$V$40='REGE1-SYNT'!C$24)*('SERVICE1-List'!$S$6:$S$40=""),ROW('SERVICE1-List'!$E$6:$E$40)),ROW('SERVICE1-List'!B10))),"")</f>
        <v/>
      </c>
      <c r="Q18" s="582" t="str">
        <f t="array" ref="Q18">IFERROR(INDEX('SERVICE1-List'!$W$1:$W$40,SMALL(IF(('SERVICE1-List'!$V$6:$V$40='REGE1-SYNT'!C$24)*('SERVICE1-List'!$S$6:$S$40=""),ROW('SERVICE1-List'!$E$6:$E$40)),ROW('SERVICE1-List'!B10))),"")</f>
        <v/>
      </c>
      <c r="R18" s="137"/>
      <c r="S18" s="582" t="str">
        <f t="array" ref="S18">IFERROR(INDEX('SERVICE2-List'!$B$1:$B$43,SMALL(IF(('SERVICE2-List'!$V$6:$V$43='REGE1-SYNT'!C$24)*('SERVICE2-List'!$S$6:$S$43=""),ROW('SERVICE2-List'!$E$6:$E$43)),ROW('SERVICE2-List'!B10))),"")</f>
        <v/>
      </c>
      <c r="T18" s="582" t="str">
        <f t="array" ref="T18">IFERROR(INDEX('SERVICE2-List'!$W$1:$W$43,SMALL(IF(('SERVICE2-List'!$V$6:$V$43='REGE1-SYNT'!C$24)*('SERVICE2-List'!$S$6:$S$43=""),ROW('SERVICE2-List'!$E$6:$E$43)),ROW('SERVICE2-List'!B10))),"")</f>
        <v/>
      </c>
    </row>
    <row r="19" spans="1:20" s="97" customFormat="1" ht="20.45" hidden="1" customHeight="1">
      <c r="A19" s="353" t="s">
        <v>233</v>
      </c>
      <c r="B19" s="354" t="s">
        <v>241</v>
      </c>
      <c r="C19" s="355"/>
      <c r="D19" s="356"/>
      <c r="E19" s="764"/>
      <c r="F19" s="765"/>
      <c r="G19" s="764"/>
      <c r="H19" s="766"/>
      <c r="I19" s="767"/>
      <c r="J19" s="768"/>
      <c r="K19" s="769"/>
      <c r="L19" s="768"/>
      <c r="M19" s="770"/>
      <c r="N19" s="771"/>
      <c r="O19" s="137"/>
      <c r="P19" s="582" t="str">
        <f t="array" ref="P19">IFERROR(INDEX('SERVICE1-List'!$B$1:$B$40,SMALL(IF(('SERVICE1-List'!$V$6:$V$40='REGE1-SYNT'!C$24)*('SERVICE1-List'!$S$6:$S$40=""),ROW('SERVICE1-List'!$E$6:$E$40)),ROW('SERVICE1-List'!B11))),"")</f>
        <v/>
      </c>
      <c r="Q19" s="582" t="str">
        <f t="array" ref="Q19">IFERROR(INDEX('SERVICE1-List'!$W$1:$W$40,SMALL(IF(('SERVICE1-List'!$V$6:$V$40='REGE1-SYNT'!C$24)*('SERVICE1-List'!$S$6:$S$40=""),ROW('SERVICE1-List'!$E$6:$E$40)),ROW('SERVICE1-List'!B11))),"")</f>
        <v/>
      </c>
      <c r="R19" s="137"/>
      <c r="S19" s="137" t="str">
        <f t="array" ref="S19">IFERROR(INDEX('SERVICE2-List'!$B$1:$B$43,SMALL(IF(('SERVICE2-List'!$V$6:$V$43="poisson")*('SERVICE2-List'!$S$6:$S$43=""),ROW('SERVICE2-List'!$E$6:$E$43)),ROW('SERVICE2-List'!B11))),"")</f>
        <v/>
      </c>
      <c r="T19" s="137"/>
    </row>
    <row r="20" spans="1:20" s="97" customFormat="1" ht="20.45" hidden="1" customHeight="1" thickBot="1">
      <c r="A20" s="110" t="s">
        <v>177</v>
      </c>
      <c r="B20" s="114" t="s">
        <v>175</v>
      </c>
      <c r="C20" s="694"/>
      <c r="D20" s="695"/>
      <c r="E20" s="691"/>
      <c r="F20" s="692"/>
      <c r="G20" s="691"/>
      <c r="H20" s="693"/>
      <c r="I20" s="739"/>
      <c r="J20" s="692"/>
      <c r="K20" s="717"/>
      <c r="L20" s="772"/>
      <c r="M20" s="740"/>
      <c r="N20" s="741"/>
      <c r="O20" s="137"/>
      <c r="P20" s="582" t="str">
        <f t="array" ref="P20">IFERROR(INDEX('SERVICE1-List'!$B$1:$B$40,SMALL(IF(('SERVICE1-List'!$V$6:$V$40='REGE1-SYNT'!C$24)*('SERVICE1-List'!$S$6:$S$40=""),ROW('SERVICE1-List'!$E$6:$E$40)),ROW('SERVICE1-List'!B12))),"")</f>
        <v/>
      </c>
      <c r="Q20" s="582" t="str">
        <f t="array" ref="Q20">IFERROR(INDEX('SERVICE1-List'!$W$1:$W$40,SMALL(IF(('SERVICE1-List'!$V$6:$V$40='REGE1-SYNT'!C$24)*('SERVICE1-List'!$S$6:$S$40=""),ROW('SERVICE1-List'!$E$6:$E$40)),ROW('SERVICE1-List'!B12))),"")</f>
        <v/>
      </c>
      <c r="R20" s="137"/>
      <c r="S20" s="137"/>
      <c r="T20" s="137"/>
    </row>
    <row r="21" spans="1:20" s="97" customFormat="1" ht="14.1" customHeight="1">
      <c r="A21" s="760" t="s">
        <v>178</v>
      </c>
      <c r="B21" s="762" t="s">
        <v>175</v>
      </c>
      <c r="C21" s="169" t="s">
        <v>198</v>
      </c>
      <c r="D21" s="366">
        <f>'REGE2-SYNT'!C36-SUMIF('REGE1-SYNT'!C24,"poisson",'SERVICE2-List'!W67)</f>
        <v>31</v>
      </c>
      <c r="E21" s="171" t="s">
        <v>198</v>
      </c>
      <c r="F21" s="170">
        <f>'REGE2-SYNT'!G36-SUMIF('REGE1-SYNT'!C24,"poisson",'SERVICE2-List'!W68)</f>
        <v>0</v>
      </c>
      <c r="G21" s="165" t="s">
        <v>198</v>
      </c>
      <c r="H21" s="181"/>
      <c r="I21" s="184" t="s">
        <v>198</v>
      </c>
      <c r="J21" s="365">
        <f>'REGE2-SYNT'!K36-SUMIF('REGE1-SYNT'!K24,"poisson",'SERVICE2-List'!W67)</f>
        <v>27</v>
      </c>
      <c r="K21" s="176" t="s">
        <v>198</v>
      </c>
      <c r="L21" s="363">
        <f>'REGE2-SYNT'!O36-SUMIF('REGE1-SYNT'!K24,"poisson",'SERVICE2-List'!W68)</f>
        <v>0</v>
      </c>
      <c r="M21" s="176" t="s">
        <v>198</v>
      </c>
      <c r="N21" s="166"/>
      <c r="O21" s="137"/>
      <c r="P21" s="137"/>
      <c r="Q21" s="137"/>
      <c r="R21" s="137"/>
      <c r="S21" s="137"/>
      <c r="T21" s="137"/>
    </row>
    <row r="22" spans="1:20" s="97" customFormat="1" ht="14.1" customHeight="1">
      <c r="A22" s="761"/>
      <c r="B22" s="763"/>
      <c r="C22" s="142" t="s">
        <v>197</v>
      </c>
      <c r="D22" s="368">
        <f>'REGE2-SYNT'!C37+'REGE2-SYNT'!C14-SUMIF('REGE1-SYNT'!C24,"poisson",'SERVICE2-List'!W69)</f>
        <v>7</v>
      </c>
      <c r="E22" s="173" t="s">
        <v>197</v>
      </c>
      <c r="F22" s="143">
        <f>'REGE2-SYNT'!G37-SUMIF('REGE1-SYNT'!C24,"poisson",'SERVICE2-List'!W70)</f>
        <v>1</v>
      </c>
      <c r="G22" s="165" t="s">
        <v>197</v>
      </c>
      <c r="H22" s="181"/>
      <c r="I22" s="169" t="s">
        <v>197</v>
      </c>
      <c r="J22" s="366">
        <f>'REGE2-SYNT'!K37+'REGE2-SYNT'!K14-SUMIF('REGE1-SYNT'!K24,"poisson",'SERVICE2-List'!W69)</f>
        <v>7</v>
      </c>
      <c r="K22" s="173" t="s">
        <v>197</v>
      </c>
      <c r="L22" s="364">
        <f>'REGE2-SYNT'!O37-SUMIF('REGE1-SYNT'!K24,"poisson",'SERVICE2-List'!W70)</f>
        <v>1</v>
      </c>
      <c r="M22" s="173" t="s">
        <v>197</v>
      </c>
      <c r="N22" s="168"/>
      <c r="O22" s="137"/>
      <c r="P22" s="137"/>
      <c r="Q22" s="137"/>
      <c r="R22" s="137"/>
      <c r="S22" s="137"/>
      <c r="T22" s="137"/>
    </row>
    <row r="23" spans="1:20" s="97" customFormat="1" ht="14.1" customHeight="1">
      <c r="A23" s="753" t="s">
        <v>179</v>
      </c>
      <c r="B23" s="755" t="s">
        <v>180</v>
      </c>
      <c r="C23" s="141" t="s">
        <v>198</v>
      </c>
      <c r="D23" s="177">
        <f>SUMIF('REGE1-SYNT'!C24,"poisson",'SERVICE2-List'!W60)</f>
        <v>0</v>
      </c>
      <c r="E23" s="171" t="s">
        <v>198</v>
      </c>
      <c r="F23" s="224">
        <f>SUMIF('REGE1-SYNT'!C24,"poisson",'SERVICE2-List'!W61)</f>
        <v>0</v>
      </c>
      <c r="G23" s="172" t="s">
        <v>198</v>
      </c>
      <c r="H23" s="183"/>
      <c r="I23" s="141" t="s">
        <v>198</v>
      </c>
      <c r="J23" s="387">
        <f>SUMIF('REGE1-SYNT'!K24,"poisson",'SERVICE2-List'!W60)</f>
        <v>0</v>
      </c>
      <c r="K23" s="172" t="s">
        <v>198</v>
      </c>
      <c r="L23" s="388">
        <f>SUMIF('REGE1-SYNT'!K24,"poisson",'SERVICE2-List'!W61)</f>
        <v>0</v>
      </c>
      <c r="M23" s="172" t="s">
        <v>198</v>
      </c>
      <c r="N23" s="167"/>
      <c r="O23" s="137"/>
      <c r="P23" s="137"/>
      <c r="Q23" s="137"/>
      <c r="R23" s="137"/>
      <c r="S23" s="137"/>
      <c r="T23" s="137"/>
    </row>
    <row r="24" spans="1:20" s="97" customFormat="1" ht="14.1" customHeight="1">
      <c r="A24" s="754"/>
      <c r="B24" s="756"/>
      <c r="C24" s="142" t="s">
        <v>197</v>
      </c>
      <c r="D24" s="178">
        <f>SUMIF('REGE1-SYNT'!C24,"poisson",'SERVICE2-List'!W62)</f>
        <v>0</v>
      </c>
      <c r="E24" s="171" t="s">
        <v>197</v>
      </c>
      <c r="F24" s="179">
        <f>SUMIF('REGE1-SYNT'!C24,"poisson",'SERVICE2-List'!W63)</f>
        <v>0</v>
      </c>
      <c r="G24" s="171" t="s">
        <v>197</v>
      </c>
      <c r="H24" s="182"/>
      <c r="I24" s="142" t="s">
        <v>197</v>
      </c>
      <c r="J24" s="368">
        <f>SUMIF('REGE1-SYNT'!K24,"poisson",'SERVICE2-List'!W62)</f>
        <v>0</v>
      </c>
      <c r="K24" s="173" t="s">
        <v>197</v>
      </c>
      <c r="L24" s="364">
        <f>SUMIF('REGE1-SYNT'!K24,"poisson",'SERVICE2-List'!W63)</f>
        <v>0</v>
      </c>
      <c r="M24" s="173" t="s">
        <v>197</v>
      </c>
      <c r="N24" s="168"/>
      <c r="O24" s="137"/>
      <c r="P24" s="137"/>
      <c r="Q24" s="137"/>
      <c r="R24" s="137"/>
      <c r="S24" s="137"/>
      <c r="T24" s="137"/>
    </row>
    <row r="25" spans="1:20" s="97" customFormat="1" ht="14.1" customHeight="1">
      <c r="A25" s="753" t="s">
        <v>234</v>
      </c>
      <c r="B25" s="755" t="s">
        <v>169</v>
      </c>
      <c r="C25" s="141" t="s">
        <v>198</v>
      </c>
      <c r="D25" s="177">
        <f>SUMIF('REGE1-SYNT'!C24,"poisson",'SERVICE2-List'!W58)</f>
        <v>0</v>
      </c>
      <c r="E25" s="172" t="s">
        <v>198</v>
      </c>
      <c r="F25" s="224"/>
      <c r="G25" s="172" t="s">
        <v>198</v>
      </c>
      <c r="H25" s="183"/>
      <c r="I25" s="141" t="s">
        <v>198</v>
      </c>
      <c r="J25" s="387">
        <f>SUMIF('REGE1-SYNT'!K24,"poisson",'SERVICE2-List'!W58)</f>
        <v>0</v>
      </c>
      <c r="K25" s="172" t="s">
        <v>198</v>
      </c>
      <c r="L25" s="388"/>
      <c r="M25" s="172" t="s">
        <v>198</v>
      </c>
      <c r="N25" s="167"/>
      <c r="O25" s="137"/>
      <c r="P25" s="137"/>
      <c r="Q25" s="137"/>
      <c r="R25" s="137"/>
      <c r="S25" s="137"/>
      <c r="T25" s="137"/>
    </row>
    <row r="26" spans="1:20" s="97" customFormat="1" ht="14.1" customHeight="1">
      <c r="A26" s="754"/>
      <c r="B26" s="756"/>
      <c r="C26" s="142" t="s">
        <v>197</v>
      </c>
      <c r="D26" s="178">
        <f>SUMIF('REGE1-SYNT'!C24,"poisson",'SERVICE2-List'!W59)</f>
        <v>0</v>
      </c>
      <c r="E26" s="173" t="s">
        <v>197</v>
      </c>
      <c r="F26" s="143"/>
      <c r="G26" s="171" t="s">
        <v>197</v>
      </c>
      <c r="H26" s="182"/>
      <c r="I26" s="142" t="s">
        <v>197</v>
      </c>
      <c r="J26" s="368">
        <f>SUMIF('REGE1-SYNT'!K24,"poisson",'SERVICE2-List'!W59)</f>
        <v>0</v>
      </c>
      <c r="K26" s="173" t="s">
        <v>197</v>
      </c>
      <c r="L26" s="364"/>
      <c r="M26" s="173" t="s">
        <v>197</v>
      </c>
      <c r="N26" s="168"/>
      <c r="O26" s="137"/>
      <c r="P26" s="137"/>
      <c r="Q26" s="137"/>
      <c r="R26" s="137"/>
      <c r="S26" s="137"/>
      <c r="T26" s="137"/>
    </row>
    <row r="27" spans="1:20" s="97" customFormat="1" ht="14.1" customHeight="1">
      <c r="A27" s="753" t="s">
        <v>181</v>
      </c>
      <c r="B27" s="755" t="s">
        <v>175</v>
      </c>
      <c r="C27" s="141" t="s">
        <v>198</v>
      </c>
      <c r="D27" s="177"/>
      <c r="E27" s="172" t="s">
        <v>198</v>
      </c>
      <c r="F27" s="224"/>
      <c r="G27" s="172" t="s">
        <v>198</v>
      </c>
      <c r="H27" s="183"/>
      <c r="I27" s="141" t="s">
        <v>198</v>
      </c>
      <c r="J27" s="387"/>
      <c r="K27" s="172" t="s">
        <v>198</v>
      </c>
      <c r="L27" s="388"/>
      <c r="M27" s="172" t="s">
        <v>198</v>
      </c>
      <c r="N27" s="167"/>
      <c r="O27" s="137"/>
      <c r="P27" s="137"/>
      <c r="Q27" s="137"/>
      <c r="R27" s="137"/>
      <c r="S27" s="137"/>
      <c r="T27" s="137"/>
    </row>
    <row r="28" spans="1:20" s="97" customFormat="1" ht="14.1" customHeight="1" thickBot="1">
      <c r="A28" s="754"/>
      <c r="B28" s="756"/>
      <c r="C28" s="142" t="s">
        <v>197</v>
      </c>
      <c r="D28" s="178"/>
      <c r="E28" s="173" t="s">
        <v>197</v>
      </c>
      <c r="F28" s="143"/>
      <c r="G28" s="173" t="s">
        <v>197</v>
      </c>
      <c r="H28" s="182"/>
      <c r="I28" s="142" t="s">
        <v>197</v>
      </c>
      <c r="J28" s="190"/>
      <c r="K28" s="173" t="s">
        <v>197</v>
      </c>
      <c r="L28" s="364"/>
      <c r="M28" s="173" t="s">
        <v>197</v>
      </c>
      <c r="N28" s="168"/>
      <c r="O28" s="137"/>
      <c r="P28" s="137"/>
      <c r="Q28" s="137"/>
      <c r="R28" s="137"/>
      <c r="S28" s="137"/>
      <c r="T28" s="137"/>
    </row>
    <row r="29" spans="1:20" s="97" customFormat="1" ht="21" customHeight="1" thickBot="1">
      <c r="A29" s="110" t="s">
        <v>182</v>
      </c>
      <c r="B29" s="122" t="s">
        <v>175</v>
      </c>
      <c r="C29" s="746"/>
      <c r="D29" s="747"/>
      <c r="E29" s="757"/>
      <c r="F29" s="720"/>
      <c r="G29" s="758"/>
      <c r="H29" s="759"/>
      <c r="I29" s="185"/>
      <c r="J29" s="191"/>
      <c r="K29" s="180"/>
      <c r="L29" s="186"/>
      <c r="M29" s="758"/>
      <c r="N29" s="759"/>
      <c r="O29" s="137"/>
      <c r="P29" s="852" t="s">
        <v>400</v>
      </c>
      <c r="Q29" s="853"/>
      <c r="R29" s="853"/>
      <c r="S29" s="600" t="str">
        <f>'REGE1-SYNT'!K24</f>
        <v>-</v>
      </c>
      <c r="T29" s="602"/>
    </row>
    <row r="30" spans="1:20" s="97" customFormat="1" ht="20.100000000000001" customHeight="1" thickBot="1">
      <c r="A30" s="116" t="s">
        <v>183</v>
      </c>
      <c r="B30" s="111" t="s">
        <v>175</v>
      </c>
      <c r="C30" s="746">
        <f>'REGE2-SYNT'!C39</f>
        <v>4</v>
      </c>
      <c r="D30" s="747"/>
      <c r="E30" s="733"/>
      <c r="F30" s="867"/>
      <c r="G30" s="731"/>
      <c r="H30" s="752"/>
      <c r="I30" s="750">
        <f>'REGE2-SYNT'!K39</f>
        <v>2</v>
      </c>
      <c r="J30" s="732"/>
      <c r="K30" s="733"/>
      <c r="L30" s="748"/>
      <c r="M30" s="751"/>
      <c r="N30" s="752"/>
      <c r="O30" s="137"/>
      <c r="P30" s="137"/>
      <c r="Q30" s="137"/>
      <c r="R30" s="137"/>
      <c r="S30" s="137"/>
      <c r="T30" s="137"/>
    </row>
    <row r="31" spans="1:20" s="97" customFormat="1" ht="20.100000000000001" customHeight="1">
      <c r="A31" s="112" t="s">
        <v>184</v>
      </c>
      <c r="B31" s="107" t="s">
        <v>175</v>
      </c>
      <c r="C31" s="706">
        <f>'REGE2-SYNT'!C42</f>
        <v>35</v>
      </c>
      <c r="D31" s="707"/>
      <c r="E31" s="728">
        <f>'REGE2-SYNT'!G42</f>
        <v>0</v>
      </c>
      <c r="F31" s="707"/>
      <c r="G31" s="728"/>
      <c r="H31" s="745"/>
      <c r="I31" s="706">
        <f>'REGE2-SYNT'!K42</f>
        <v>31</v>
      </c>
      <c r="J31" s="707"/>
      <c r="K31" s="728">
        <f>'REGE2-SYNT'!O42</f>
        <v>0</v>
      </c>
      <c r="L31" s="707"/>
      <c r="M31" s="728"/>
      <c r="N31" s="745"/>
      <c r="O31" s="137"/>
      <c r="P31" s="586" t="s">
        <v>395</v>
      </c>
      <c r="Q31" s="586" t="s">
        <v>378</v>
      </c>
      <c r="R31" s="584"/>
      <c r="S31" s="586" t="s">
        <v>395</v>
      </c>
      <c r="T31" s="586" t="s">
        <v>378</v>
      </c>
    </row>
    <row r="32" spans="1:20" s="97" customFormat="1" ht="20.100000000000001" customHeight="1">
      <c r="A32" s="112" t="s">
        <v>319</v>
      </c>
      <c r="B32" s="109" t="s">
        <v>175</v>
      </c>
      <c r="C32" s="742"/>
      <c r="D32" s="703"/>
      <c r="E32" s="702"/>
      <c r="F32" s="703"/>
      <c r="G32" s="702"/>
      <c r="H32" s="723"/>
      <c r="I32" s="698"/>
      <c r="J32" s="699"/>
      <c r="K32" s="702"/>
      <c r="L32" s="703"/>
      <c r="M32" s="702"/>
      <c r="N32" s="723"/>
      <c r="O32" s="137"/>
      <c r="P32" s="582" t="str">
        <f t="array" ref="P32">IFERROR(INDEX('SERVICE1-List'!$B$1:$B$40,SMALL(IF(('SERVICE1-List'!$V$6:$V$40='REGE1-SYNT'!K$24)*('SERVICE1-List'!$S$6:$S$40=""),ROW('SERVICE1-List'!$E$6:$E$40)),ROW('SERVICE1-List'!B1))),"")</f>
        <v/>
      </c>
      <c r="Q32" s="582" t="str">
        <f t="array" ref="Q32">IFERROR(INDEX('SERVICE1-List'!$W$1:$W$40,SMALL(IF(('SERVICE1-List'!$V$6:$V$40='REGE1-SYNT'!K$24)*('SERVICE1-List'!$S$6:$S$40=""),ROW('SERVICE1-List'!$E$6:$E$40)),ROW('SERVICE1-List'!B1))),"")</f>
        <v/>
      </c>
      <c r="R32" s="137"/>
      <c r="S32" s="582" t="str">
        <f t="array" ref="S32">IFERROR(INDEX('SERVICE2-List'!$B$1:$B$43,SMALL(IF(('SERVICE2-List'!$V$6:$V$43='REGE1-SYNT'!K$24)*('SERVICE2-List'!$S$6:$S$43=""),ROW('SERVICE2-List'!$E$6:$E$43)),ROW('SERVICE2-List'!B1))),"")</f>
        <v/>
      </c>
      <c r="T32" s="582" t="str">
        <f t="array" ref="T32">IFERROR(INDEX('SERVICE2-List'!$W$1:$W$43,SMALL(IF(('SERVICE2-List'!$V$6:$V$43='REGE1-SYNT'!K$24)*('SERVICE2-List'!$S$6:$S$43=""),ROW('SERVICE2-List'!$E$6:$E$43)),ROW('SERVICE2-List'!B1))),"")</f>
        <v/>
      </c>
    </row>
    <row r="33" spans="1:21" s="97" customFormat="1" ht="20.100000000000001" customHeight="1">
      <c r="A33" s="108" t="s">
        <v>185</v>
      </c>
      <c r="B33" s="109" t="s">
        <v>175</v>
      </c>
      <c r="C33" s="698">
        <f>'REGE2-SYNT'!C43+'REGE2-SYNT'!G14</f>
        <v>2</v>
      </c>
      <c r="D33" s="699"/>
      <c r="E33" s="743">
        <f>'REGE2-SYNT'!G43</f>
        <v>0</v>
      </c>
      <c r="F33" s="699"/>
      <c r="G33" s="743"/>
      <c r="H33" s="744"/>
      <c r="I33" s="698">
        <f>'REGE2-SYNT'!K43+'REGE1-SYNT'!M15</f>
        <v>11</v>
      </c>
      <c r="J33" s="699"/>
      <c r="K33" s="743">
        <f>'REGE2-SYNT'!O43</f>
        <v>1</v>
      </c>
      <c r="L33" s="699"/>
      <c r="M33" s="702"/>
      <c r="N33" s="723"/>
      <c r="O33" s="137"/>
      <c r="P33" s="582" t="str">
        <f t="array" ref="P33">IFERROR(INDEX('SERVICE1-List'!$B$1:$B$40,SMALL(IF(('SERVICE1-List'!$V$6:$V$40='REGE1-SYNT'!K$24)*('SERVICE1-List'!$S$6:$S$40=""),ROW('SERVICE1-List'!$E$6:$E$40)),ROW('SERVICE1-List'!B2))),"")</f>
        <v/>
      </c>
      <c r="Q33" s="582" t="str">
        <f t="array" ref="Q33">IFERROR(INDEX('SERVICE1-List'!$W$1:$W$40,SMALL(IF(('SERVICE1-List'!$V$6:$V$40='REGE1-SYNT'!K$24)*('SERVICE1-List'!$S$6:$S$40=""),ROW('SERVICE1-List'!$E$6:$E$40)),ROW('SERVICE1-List'!B2))),"")</f>
        <v/>
      </c>
      <c r="R33" s="137"/>
      <c r="S33" s="582" t="str">
        <f t="array" ref="S33">IFERROR(INDEX('SERVICE2-List'!$B$1:$B$43,SMALL(IF(('SERVICE2-List'!$V$6:$V$43='REGE1-SYNT'!K$24)*('SERVICE2-List'!$S$6:$S$43=""),ROW('SERVICE2-List'!$E$6:$E$43)),ROW('SERVICE2-List'!B2))),"")</f>
        <v/>
      </c>
      <c r="T33" s="582" t="str">
        <f t="array" ref="T33">IFERROR(INDEX('SERVICE2-List'!$W$1:$W$43,SMALL(IF(('SERVICE2-List'!$V$6:$V$43='REGE1-SYNT'!K$24)*('SERVICE2-List'!$S$6:$S$43=""),ROW('SERVICE2-List'!$E$6:$E$43)),ROW('SERVICE2-List'!B2))),"")</f>
        <v/>
      </c>
    </row>
    <row r="34" spans="1:21" s="97" customFormat="1" ht="20.100000000000001" customHeight="1" thickBot="1">
      <c r="A34" s="110" t="s">
        <v>240</v>
      </c>
      <c r="B34" s="114" t="s">
        <v>175</v>
      </c>
      <c r="C34" s="689">
        <f>'REGE2-SYNT'!C44+'REGE2-SYNT'!C15</f>
        <v>6</v>
      </c>
      <c r="D34" s="690"/>
      <c r="E34" s="737">
        <f>'REGE2-SYNT'!G44</f>
        <v>1</v>
      </c>
      <c r="F34" s="690"/>
      <c r="G34" s="737"/>
      <c r="H34" s="738"/>
      <c r="I34" s="739"/>
      <c r="J34" s="692"/>
      <c r="K34" s="691"/>
      <c r="L34" s="692"/>
      <c r="M34" s="740"/>
      <c r="N34" s="741"/>
      <c r="O34" s="137"/>
      <c r="P34" s="582" t="str">
        <f t="array" ref="P34">IFERROR(INDEX('SERVICE1-List'!$B$1:$B$40,SMALL(IF(('SERVICE1-List'!$V$6:$V$40='REGE1-SYNT'!K$24)*('SERVICE1-List'!$S$6:$S$40=""),ROW('SERVICE1-List'!$E$6:$E$40)),ROW('SERVICE1-List'!B3))),"")</f>
        <v/>
      </c>
      <c r="Q34" s="582" t="str">
        <f t="array" ref="Q34">IFERROR(INDEX('SERVICE1-List'!$W$1:$W$40,SMALL(IF(('SERVICE1-List'!$V$6:$V$40='REGE1-SYNT'!K$24)*('SERVICE1-List'!$S$6:$S$40=""),ROW('SERVICE1-List'!$E$6:$E$40)),ROW('SERVICE1-List'!B3))),"")</f>
        <v/>
      </c>
      <c r="R34" s="137"/>
      <c r="S34" s="582" t="str">
        <f t="array" ref="S34">IFERROR(INDEX('SERVICE2-List'!$B$1:$B$43,SMALL(IF(('SERVICE2-List'!$V$6:$V$43='REGE1-SYNT'!K$24)*('SERVICE2-List'!$S$6:$S$43=""),ROW('SERVICE2-List'!$E$6:$E$43)),ROW('SERVICE2-List'!B3))),"")</f>
        <v/>
      </c>
      <c r="T34" s="582" t="str">
        <f t="array" ref="T34">IFERROR(INDEX('SERVICE2-List'!$W$1:$W$43,SMALL(IF(('SERVICE2-List'!$V$6:$V$43='REGE1-SYNT'!K$24)*('SERVICE2-List'!$S$6:$S$43=""),ROW('SERVICE2-List'!$E$6:$E$43)),ROW('SERVICE2-List'!B3))),"")</f>
        <v/>
      </c>
    </row>
    <row r="35" spans="1:21" s="97" customFormat="1" ht="20.100000000000001" customHeight="1" thickBot="1">
      <c r="A35" s="116" t="s">
        <v>186</v>
      </c>
      <c r="B35" s="111" t="s">
        <v>187</v>
      </c>
      <c r="C35" s="729" t="str">
        <f>'REGE2-SYNT'!C17</f>
        <v>1L</v>
      </c>
      <c r="D35" s="730"/>
      <c r="E35" s="731" t="str">
        <f>'REGE2-SYNT'!G17</f>
        <v>0L</v>
      </c>
      <c r="F35" s="732"/>
      <c r="G35" s="733"/>
      <c r="H35" s="734"/>
      <c r="I35" s="735" t="str">
        <f>'REGE2-SYNT'!K17</f>
        <v>1L</v>
      </c>
      <c r="J35" s="736"/>
      <c r="K35" s="731" t="str">
        <f>'REGE2-SYNT'!O17</f>
        <v>0L</v>
      </c>
      <c r="L35" s="732"/>
      <c r="M35" s="733"/>
      <c r="N35" s="734"/>
      <c r="O35" s="137"/>
      <c r="P35" s="582" t="str">
        <f t="array" ref="P35">IFERROR(INDEX('SERVICE1-List'!$B$1:$B$40,SMALL(IF(('SERVICE1-List'!$V$6:$V$40='REGE1-SYNT'!K$24)*('SERVICE1-List'!$S$6:$S$40=""),ROW('SERVICE1-List'!$E$6:$E$40)),ROW('SERVICE1-List'!B4))),"")</f>
        <v/>
      </c>
      <c r="Q35" s="582" t="str">
        <f t="array" ref="Q35">IFERROR(INDEX('SERVICE1-List'!$W$1:$W$40,SMALL(IF(('SERVICE1-List'!$V$6:$V$40='REGE1-SYNT'!K$24)*('SERVICE1-List'!$S$6:$S$40=""),ROW('SERVICE1-List'!$E$6:$E$40)),ROW('SERVICE1-List'!B4))),"")</f>
        <v/>
      </c>
      <c r="R35" s="137"/>
      <c r="S35" s="582" t="str">
        <f t="array" ref="S35">IFERROR(INDEX('SERVICE2-List'!$B$1:$B$43,SMALL(IF(('SERVICE2-List'!$V$6:$V$43='REGE1-SYNT'!K$24)*('SERVICE2-List'!$S$6:$S$43=""),ROW('SERVICE2-List'!$E$6:$E$43)),ROW('SERVICE2-List'!B4))),"")</f>
        <v/>
      </c>
      <c r="T35" s="582" t="str">
        <f t="array" ref="T35">IFERROR(INDEX('SERVICE2-List'!$W$1:$W$43,SMALL(IF(('SERVICE2-List'!$V$6:$V$43='REGE1-SYNT'!K$24)*('SERVICE2-List'!$S$6:$S$43=""),ROW('SERVICE2-List'!$E$6:$E$43)),ROW('SERVICE2-List'!B4))),"")</f>
        <v/>
      </c>
    </row>
    <row r="36" spans="1:21" s="97" customFormat="1" ht="20.100000000000001" customHeight="1">
      <c r="A36" s="115" t="s">
        <v>217</v>
      </c>
      <c r="B36" s="105" t="s">
        <v>169</v>
      </c>
      <c r="C36" s="726">
        <f>'REGE2-SYNT'!C21</f>
        <v>15</v>
      </c>
      <c r="D36" s="727"/>
      <c r="E36" s="728"/>
      <c r="F36" s="707"/>
      <c r="G36" s="708"/>
      <c r="H36" s="710"/>
      <c r="I36" s="726">
        <f>'REGE2-SYNT'!K21</f>
        <v>15</v>
      </c>
      <c r="J36" s="727"/>
      <c r="K36" s="728"/>
      <c r="L36" s="707"/>
      <c r="M36" s="687"/>
      <c r="N36" s="688"/>
      <c r="O36" s="137"/>
      <c r="P36" s="582" t="str">
        <f t="array" ref="P36">IFERROR(INDEX('SERVICE1-List'!$B$1:$B$40,SMALL(IF(('SERVICE1-List'!$V$6:$V$40='REGE1-SYNT'!K$24)*('SERVICE1-List'!$S$6:$S$40=""),ROW('SERVICE1-List'!$E$6:$E$40)),ROW('SERVICE1-List'!B5))),"")</f>
        <v/>
      </c>
      <c r="Q36" s="582" t="str">
        <f t="array" ref="Q36">IFERROR(INDEX('SERVICE1-List'!$W$1:$W$40,SMALL(IF(('SERVICE1-List'!$V$6:$V$40='REGE1-SYNT'!K$24)*('SERVICE1-List'!$S$6:$S$40=""),ROW('SERVICE1-List'!$E$6:$E$40)),ROW('SERVICE1-List'!B5))),"")</f>
        <v/>
      </c>
      <c r="R36" s="137"/>
      <c r="S36" s="582" t="str">
        <f t="array" ref="S36">IFERROR(INDEX('SERVICE2-List'!$B$1:$B$43,SMALL(IF(('SERVICE2-List'!$V$6:$V$43='REGE1-SYNT'!K$24)*('SERVICE2-List'!$S$6:$S$43=""),ROW('SERVICE2-List'!$E$6:$E$43)),ROW('SERVICE2-List'!B5))),"")</f>
        <v/>
      </c>
      <c r="T36" s="582" t="str">
        <f t="array" ref="T36">IFERROR(INDEX('SERVICE2-List'!$W$1:$W$43,SMALL(IF(('SERVICE2-List'!$V$6:$V$43='REGE1-SYNT'!K$24)*('SERVICE2-List'!$S$6:$S$43=""),ROW('SERVICE2-List'!$E$6:$E$43)),ROW('SERVICE2-List'!B5))),"")</f>
        <v/>
      </c>
    </row>
    <row r="37" spans="1:21" s="97" customFormat="1" ht="20.100000000000001" customHeight="1">
      <c r="A37" s="148" t="s">
        <v>218</v>
      </c>
      <c r="B37" s="109" t="s">
        <v>169</v>
      </c>
      <c r="C37" s="721">
        <f>'REGE2-SYNT'!G20</f>
        <v>6</v>
      </c>
      <c r="D37" s="722"/>
      <c r="E37" s="702"/>
      <c r="F37" s="703"/>
      <c r="G37" s="702"/>
      <c r="H37" s="723"/>
      <c r="I37" s="721">
        <f>'REGE2-SYNT'!O20</f>
        <v>5</v>
      </c>
      <c r="J37" s="722"/>
      <c r="K37" s="702"/>
      <c r="L37" s="703"/>
      <c r="M37" s="724"/>
      <c r="N37" s="725"/>
      <c r="O37" s="137"/>
      <c r="P37" s="582" t="str">
        <f t="array" ref="P37">IFERROR(INDEX('SERVICE1-List'!$B$1:$B$40,SMALL(IF(('SERVICE1-List'!$V$6:$V$40='REGE1-SYNT'!K$24)*('SERVICE1-List'!$S$6:$S$40=""),ROW('SERVICE1-List'!$E$6:$E$40)),ROW('SERVICE1-List'!B6))),"")</f>
        <v/>
      </c>
      <c r="Q37" s="582" t="str">
        <f t="array" ref="Q37">IFERROR(INDEX('SERVICE1-List'!$W$1:$W$40,SMALL(IF(('SERVICE1-List'!$V$6:$V$40='REGE1-SYNT'!K$24)*('SERVICE1-List'!$S$6:$S$40=""),ROW('SERVICE1-List'!$E$6:$E$40)),ROW('SERVICE1-List'!B6))),"")</f>
        <v/>
      </c>
      <c r="R37" s="137"/>
      <c r="S37" s="582" t="str">
        <f t="array" ref="S37">IFERROR(INDEX('SERVICE2-List'!$B$1:$B$43,SMALL(IF(('SERVICE2-List'!$V$6:$V$43='REGE1-SYNT'!K$24)*('SERVICE2-List'!$S$6:$S$43=""),ROW('SERVICE2-List'!$E$6:$E$43)),ROW('SERVICE2-List'!B6))),"")</f>
        <v/>
      </c>
      <c r="T37" s="582" t="str">
        <f t="array" ref="T37">IFERROR(INDEX('SERVICE2-List'!$W$1:$W$43,SMALL(IF(('SERVICE2-List'!$V$6:$V$43='REGE1-SYNT'!K$24)*('SERVICE2-List'!$S$6:$S$43=""),ROW('SERVICE2-List'!$E$6:$E$43)),ROW('SERVICE2-List'!B6))),"")</f>
        <v/>
      </c>
    </row>
    <row r="38" spans="1:21" s="97" customFormat="1" ht="20.100000000000001" customHeight="1" thickBot="1">
      <c r="A38" s="116" t="s">
        <v>188</v>
      </c>
      <c r="B38" s="111" t="s">
        <v>169</v>
      </c>
      <c r="C38" s="715">
        <f>'REGE2-SYNT'!C20</f>
        <v>15</v>
      </c>
      <c r="D38" s="716"/>
      <c r="E38" s="691"/>
      <c r="F38" s="692"/>
      <c r="G38" s="717"/>
      <c r="H38" s="718"/>
      <c r="I38" s="719">
        <f>'REGE2-SYNT'!K20</f>
        <v>10</v>
      </c>
      <c r="J38" s="720"/>
      <c r="K38" s="691"/>
      <c r="L38" s="692"/>
      <c r="M38" s="696"/>
      <c r="N38" s="697"/>
      <c r="O38" s="137"/>
      <c r="P38" s="582" t="str">
        <f t="array" ref="P38">IFERROR(INDEX('SERVICE1-List'!$B$1:$B$40,SMALL(IF(('SERVICE1-List'!$V$6:$V$40='REGE1-SYNT'!K$24)*('SERVICE1-List'!$S$6:$S$40=""),ROW('SERVICE1-List'!$E$6:$E$40)),ROW('SERVICE1-List'!B7))),"")</f>
        <v/>
      </c>
      <c r="Q38" s="582" t="str">
        <f t="array" ref="Q38">IFERROR(INDEX('SERVICE1-List'!$W$1:$W$40,SMALL(IF(('SERVICE1-List'!$V$6:$V$40='REGE1-SYNT'!K$24)*('SERVICE1-List'!$S$6:$S$40=""),ROW('SERVICE1-List'!$E$6:$E$40)),ROW('SERVICE1-List'!B7))),"")</f>
        <v/>
      </c>
      <c r="R38" s="137"/>
      <c r="S38" s="582" t="str">
        <f t="array" ref="S38">IFERROR(INDEX('SERVICE2-List'!$B$1:$B$43,SMALL(IF(('SERVICE2-List'!$V$6:$V$43='REGE1-SYNT'!K$24)*('SERVICE2-List'!$S$6:$S$43=""),ROW('SERVICE2-List'!$E$6:$E$43)),ROW('SERVICE2-List'!B7))),"")</f>
        <v/>
      </c>
      <c r="T38" s="582" t="str">
        <f t="array" ref="T38">IFERROR(INDEX('SERVICE2-List'!$W$1:$W$43,SMALL(IF(('SERVICE2-List'!$V$6:$V$43='REGE1-SYNT'!K$24)*('SERVICE2-List'!$S$6:$S$43=""),ROW('SERVICE2-List'!$E$6:$E$43)),ROW('SERVICE2-List'!B7))),"")</f>
        <v/>
      </c>
      <c r="U38" s="187"/>
    </row>
    <row r="39" spans="1:21" s="97" customFormat="1" ht="20.100000000000001" customHeight="1">
      <c r="A39" s="115" t="s">
        <v>189</v>
      </c>
      <c r="B39" s="105" t="s">
        <v>169</v>
      </c>
      <c r="C39" s="706">
        <f>'REGE2-SYNT'!C47</f>
        <v>33</v>
      </c>
      <c r="D39" s="707"/>
      <c r="E39" s="713"/>
      <c r="F39" s="714"/>
      <c r="G39" s="174" t="s">
        <v>104</v>
      </c>
      <c r="H39" s="226">
        <f>'REGE2-SYNT'!G47</f>
        <v>1</v>
      </c>
      <c r="I39" s="706">
        <f>'REGE2-SYNT'!K47</f>
        <v>29</v>
      </c>
      <c r="J39" s="707"/>
      <c r="K39" s="708"/>
      <c r="L39" s="709"/>
      <c r="M39" s="174" t="s">
        <v>104</v>
      </c>
      <c r="N39" s="228">
        <f>'REGE2-SYNT'!O47</f>
        <v>1</v>
      </c>
      <c r="O39" s="137"/>
      <c r="P39" s="582" t="str">
        <f t="array" ref="P39">IFERROR(INDEX('SERVICE1-List'!$B$1:$B$40,SMALL(IF(('SERVICE1-List'!$V$6:$V$40='REGE1-SYNT'!K$24)*('SERVICE1-List'!$S$6:$S$40=""),ROW('SERVICE1-List'!$E$6:$E$40)),ROW('SERVICE1-List'!B8))),"")</f>
        <v/>
      </c>
      <c r="Q39" s="582" t="str">
        <f t="array" ref="Q39">IFERROR(INDEX('SERVICE1-List'!$W$1:$W$40,SMALL(IF(('SERVICE1-List'!$V$6:$V$40='REGE1-SYNT'!K$24)*('SERVICE1-List'!$S$6:$S$40=""),ROW('SERVICE1-List'!$E$6:$E$40)),ROW('SERVICE1-List'!B8))),"")</f>
        <v/>
      </c>
      <c r="R39" s="137"/>
      <c r="S39" s="582" t="str">
        <f t="array" ref="S39">IFERROR(INDEX('SERVICE2-List'!$B$1:$B$43,SMALL(IF(('SERVICE2-List'!$V$6:$V$43='REGE1-SYNT'!K$24)*('SERVICE2-List'!$S$6:$S$43=""),ROW('SERVICE2-List'!$E$6:$E$43)),ROW('SERVICE2-List'!B8))),"")</f>
        <v/>
      </c>
      <c r="T39" s="582" t="str">
        <f t="array" ref="T39">IFERROR(INDEX('SERVICE2-List'!$W$1:$W$43,SMALL(IF(('SERVICE2-List'!$V$6:$V$43='REGE1-SYNT'!K$24)*('SERVICE2-List'!$S$6:$S$43=""),ROW('SERVICE2-List'!$E$6:$E$43)),ROW('SERVICE2-List'!B8))),"")</f>
        <v/>
      </c>
    </row>
    <row r="40" spans="1:21" s="97" customFormat="1" ht="20.100000000000001" customHeight="1">
      <c r="A40" s="108" t="s">
        <v>190</v>
      </c>
      <c r="B40" s="107" t="s">
        <v>169</v>
      </c>
      <c r="C40" s="698">
        <f>'REGE2-SYNT'!C48+'REGE2-SYNT'!C49</f>
        <v>6</v>
      </c>
      <c r="D40" s="699"/>
      <c r="E40" s="700"/>
      <c r="F40" s="701"/>
      <c r="G40" s="161" t="s">
        <v>104</v>
      </c>
      <c r="H40" s="227">
        <f>'REGE2-SYNT'!G48+'REGE2-SYNT'!G49</f>
        <v>1</v>
      </c>
      <c r="I40" s="698">
        <f>'REGE2-SYNT'!K48+'REGE2-SYNT'!K49</f>
        <v>4</v>
      </c>
      <c r="J40" s="699"/>
      <c r="K40" s="702"/>
      <c r="L40" s="703"/>
      <c r="M40" s="161" t="s">
        <v>104</v>
      </c>
      <c r="N40" s="227">
        <f>'REGE2-SYNT'!O48+'REGE2-SYNT'!O49</f>
        <v>1</v>
      </c>
      <c r="O40" s="137"/>
      <c r="P40" s="582" t="str">
        <f t="array" ref="P40">IFERROR(INDEX('SERVICE1-List'!$B$1:$B$40,SMALL(IF(('SERVICE1-List'!$V$6:$V$40='REGE1-SYNT'!K$24)*('SERVICE1-List'!$S$6:$S$40=""),ROW('SERVICE1-List'!$E$6:$E$40)),ROW('SERVICE1-List'!B9))),"")</f>
        <v/>
      </c>
      <c r="Q40" s="582" t="str">
        <f t="array" ref="Q40">IFERROR(INDEX('SERVICE1-List'!$W$1:$W$40,SMALL(IF(('SERVICE1-List'!$V$6:$V$40='REGE1-SYNT'!K$24)*('SERVICE1-List'!$S$6:$S$40=""),ROW('SERVICE1-List'!$E$6:$E$40)),ROW('SERVICE1-List'!B9))),"")</f>
        <v/>
      </c>
      <c r="R40" s="137"/>
      <c r="S40" s="582" t="str">
        <f t="array" ref="S40">IFERROR(INDEX('SERVICE2-List'!$B$1:$B$43,SMALL(IF(('SERVICE2-List'!$V$6:$V$43='REGE1-SYNT'!K$24)*('SERVICE2-List'!$S$6:$S$43=""),ROW('SERVICE2-List'!$E$6:$E$43)),ROW('SERVICE2-List'!B9))),"")</f>
        <v/>
      </c>
      <c r="T40" s="582" t="str">
        <f t="array" ref="T40">IFERROR(INDEX('SERVICE2-List'!$W$1:$W$43,SMALL(IF(('SERVICE2-List'!$V$6:$V$43='REGE1-SYNT'!K$24)*('SERVICE2-List'!$S$6:$S$43=""),ROW('SERVICE2-List'!$E$6:$E$43)),ROW('SERVICE2-List'!B9))),"")</f>
        <v/>
      </c>
    </row>
    <row r="41" spans="1:21" s="97" customFormat="1" ht="20.100000000000001" customHeight="1" thickBot="1">
      <c r="A41" s="113" t="s">
        <v>191</v>
      </c>
      <c r="B41" s="109" t="s">
        <v>169</v>
      </c>
      <c r="C41" s="698">
        <f>'REGE2-SYNT'!C22</f>
        <v>0</v>
      </c>
      <c r="D41" s="699"/>
      <c r="E41" s="700"/>
      <c r="F41" s="701"/>
      <c r="G41" s="164"/>
      <c r="H41" s="162"/>
      <c r="I41" s="868"/>
      <c r="J41" s="776"/>
      <c r="K41" s="702"/>
      <c r="L41" s="703"/>
      <c r="M41" s="704"/>
      <c r="N41" s="705"/>
      <c r="O41" s="137"/>
      <c r="P41" s="582" t="str">
        <f t="array" ref="P41">IFERROR(INDEX('SERVICE1-List'!$B$1:$B$40,SMALL(IF(('SERVICE1-List'!$V$6:$V$40='REGE1-SYNT'!K$24)*('SERVICE1-List'!$S$6:$S$40=""),ROW('SERVICE1-List'!$E$6:$E$40)),ROW('SERVICE1-List'!B10))),"")</f>
        <v/>
      </c>
      <c r="Q41" s="582" t="str">
        <f t="array" ref="Q41">IFERROR(INDEX('SERVICE1-List'!$W$1:$W$40,SMALL(IF(('SERVICE1-List'!$V$6:$V$40='REGE1-SYNT'!K$24)*('SERVICE1-List'!$S$6:$S$40=""),ROW('SERVICE1-List'!$E$6:$E$40)),ROW('SERVICE1-List'!B10))),"")</f>
        <v/>
      </c>
      <c r="R41" s="137"/>
      <c r="S41" s="582" t="str">
        <f t="array" ref="S41">IFERROR(INDEX('SERVICE2-List'!$B$1:$B$43,SMALL(IF(('SERVICE2-List'!$V$6:$V$43='REGE1-SYNT'!K$24)*('SERVICE2-List'!$S$6:$S$43=""),ROW('SERVICE2-List'!$E$6:$E$43)),ROW('SERVICE2-List'!B10))),"")</f>
        <v/>
      </c>
      <c r="T41" s="582" t="str">
        <f t="array" ref="T41">IFERROR(INDEX('SERVICE2-List'!$W$1:$W$43,SMALL(IF(('SERVICE2-List'!$V$6:$V$43='REGE1-SYNT'!K$24)*('SERVICE2-List'!$S$6:$S$43=""),ROW('SERVICE2-List'!$E$6:$E$43)),ROW('SERVICE2-List'!B10))),"")</f>
        <v/>
      </c>
    </row>
    <row r="42" spans="1:21" s="97" customFormat="1" ht="20.100000000000001" customHeight="1">
      <c r="A42" s="117" t="s">
        <v>194</v>
      </c>
      <c r="B42" s="105" t="s">
        <v>169</v>
      </c>
      <c r="C42" s="706">
        <f ca="1">IF(ISNUMBER(MATCH(I$3,BDD!C27:C500,0)),'REGE2-SYNT'!C9*'REGE2-SYNT'!C35,0)</f>
        <v>0</v>
      </c>
      <c r="D42" s="707"/>
      <c r="E42" s="708"/>
      <c r="F42" s="709"/>
      <c r="G42" s="708"/>
      <c r="H42" s="710"/>
      <c r="I42" s="711"/>
      <c r="J42" s="712"/>
      <c r="K42" s="708"/>
      <c r="L42" s="709"/>
      <c r="M42" s="687"/>
      <c r="N42" s="688"/>
      <c r="O42" s="137"/>
      <c r="P42" s="137"/>
      <c r="Q42" s="137"/>
      <c r="R42" s="137"/>
      <c r="S42" s="137"/>
      <c r="T42" s="137"/>
    </row>
    <row r="43" spans="1:21" s="97" customFormat="1" ht="20.100000000000001" customHeight="1" thickBot="1">
      <c r="A43" s="118" t="s">
        <v>195</v>
      </c>
      <c r="B43" s="111" t="s">
        <v>196</v>
      </c>
      <c r="C43" s="689">
        <f ca="1">IF(ISNUMBER(MATCH(I$3,BDD!C27:C500,0)),'REGE2-SYNT'!C10,0)</f>
        <v>0</v>
      </c>
      <c r="D43" s="690"/>
      <c r="E43" s="691"/>
      <c r="F43" s="692"/>
      <c r="G43" s="691"/>
      <c r="H43" s="693"/>
      <c r="I43" s="694"/>
      <c r="J43" s="695"/>
      <c r="K43" s="691"/>
      <c r="L43" s="692"/>
      <c r="M43" s="696"/>
      <c r="N43" s="697"/>
      <c r="O43" s="137"/>
      <c r="P43" s="137"/>
      <c r="Q43" s="137"/>
      <c r="R43" s="137"/>
      <c r="S43" s="137"/>
      <c r="T43" s="137"/>
    </row>
    <row r="44" spans="1:21" s="97" customFormat="1" ht="63.75" customHeight="1" thickBot="1">
      <c r="A44" s="149" t="s">
        <v>318</v>
      </c>
      <c r="B44" s="684"/>
      <c r="C44" s="685"/>
      <c r="D44" s="685"/>
      <c r="E44" s="685"/>
      <c r="F44" s="685"/>
      <c r="G44" s="685"/>
      <c r="H44" s="686"/>
      <c r="I44" s="684"/>
      <c r="J44" s="685"/>
      <c r="K44" s="685"/>
      <c r="L44" s="685"/>
      <c r="M44" s="685"/>
      <c r="N44" s="686"/>
      <c r="O44" s="137"/>
      <c r="P44" s="137"/>
      <c r="Q44" s="137"/>
      <c r="R44" s="137"/>
      <c r="S44" s="137"/>
      <c r="T44" s="137"/>
    </row>
    <row r="45" spans="1:21" s="97" customFormat="1" ht="12">
      <c r="A45" s="119" t="s">
        <v>418</v>
      </c>
      <c r="B45" s="120"/>
      <c r="C45" s="120"/>
      <c r="D45" s="120"/>
      <c r="E45" s="121" t="s">
        <v>242</v>
      </c>
    </row>
    <row r="46" spans="1:21" s="97" customFormat="1" ht="12">
      <c r="A46" s="605" t="s">
        <v>410</v>
      </c>
      <c r="B46" s="855">
        <f ca="1">TODAY()</f>
        <v>44064</v>
      </c>
      <c r="C46" s="855"/>
      <c r="D46" s="855"/>
      <c r="E46" s="604" t="s">
        <v>411</v>
      </c>
      <c r="F46" s="856">
        <f ca="1">NOW()</f>
        <v>44064.421705208333</v>
      </c>
      <c r="G46" s="856"/>
      <c r="H46" s="856"/>
    </row>
    <row r="47" spans="1:21" s="97" customFormat="1" ht="12"/>
    <row r="48" spans="1:21" s="97" customFormat="1" ht="12"/>
    <row r="49" spans="1:14">
      <c r="A49" s="96"/>
      <c r="B49" s="96"/>
      <c r="C49" s="96"/>
      <c r="D49" s="96"/>
      <c r="E49" s="96"/>
      <c r="F49" s="96"/>
      <c r="G49" s="96"/>
      <c r="H49" s="96"/>
      <c r="I49" s="96"/>
      <c r="J49" s="96"/>
      <c r="K49" s="96"/>
      <c r="L49" s="96"/>
      <c r="M49" s="96"/>
      <c r="N49" s="96"/>
    </row>
    <row r="50" spans="1:14">
      <c r="A50" s="96"/>
      <c r="B50" s="96"/>
      <c r="C50" s="96"/>
      <c r="D50" s="96"/>
      <c r="E50" s="96"/>
      <c r="F50" s="96"/>
      <c r="G50" s="96"/>
      <c r="H50" s="96"/>
      <c r="I50" s="96"/>
      <c r="J50" s="96"/>
      <c r="K50" s="96"/>
      <c r="L50" s="96"/>
      <c r="M50" s="96"/>
      <c r="N50" s="96"/>
    </row>
  </sheetData>
  <sheetProtection sheet="1" objects="1" scenarios="1"/>
  <mergeCells count="185">
    <mergeCell ref="B46:D46"/>
    <mergeCell ref="F46:H46"/>
    <mergeCell ref="C41:D41"/>
    <mergeCell ref="E41:F41"/>
    <mergeCell ref="I41:J41"/>
    <mergeCell ref="K41:L41"/>
    <mergeCell ref="M41:N41"/>
    <mergeCell ref="B44:H44"/>
    <mergeCell ref="I44:N44"/>
    <mergeCell ref="C43:D43"/>
    <mergeCell ref="E43:F43"/>
    <mergeCell ref="G43:H43"/>
    <mergeCell ref="I43:J43"/>
    <mergeCell ref="K43:L43"/>
    <mergeCell ref="M43:N43"/>
    <mergeCell ref="C42:D42"/>
    <mergeCell ref="E42:F42"/>
    <mergeCell ref="G42:H42"/>
    <mergeCell ref="I42:J42"/>
    <mergeCell ref="K42:L42"/>
    <mergeCell ref="M42:N42"/>
    <mergeCell ref="C39:D39"/>
    <mergeCell ref="E39:F39"/>
    <mergeCell ref="I39:J39"/>
    <mergeCell ref="K39:L39"/>
    <mergeCell ref="C40:D40"/>
    <mergeCell ref="E40:F40"/>
    <mergeCell ref="I40:J40"/>
    <mergeCell ref="K40:L40"/>
    <mergeCell ref="C38:D38"/>
    <mergeCell ref="E38:F38"/>
    <mergeCell ref="G38:H38"/>
    <mergeCell ref="I38:J38"/>
    <mergeCell ref="K38:L38"/>
    <mergeCell ref="M38:N38"/>
    <mergeCell ref="C37:D37"/>
    <mergeCell ref="E37:F37"/>
    <mergeCell ref="G37:H37"/>
    <mergeCell ref="I37:J37"/>
    <mergeCell ref="K37:L37"/>
    <mergeCell ref="M37:N37"/>
    <mergeCell ref="C36:D36"/>
    <mergeCell ref="E36:F36"/>
    <mergeCell ref="G36:H36"/>
    <mergeCell ref="I36:J36"/>
    <mergeCell ref="K36:L36"/>
    <mergeCell ref="M36:N36"/>
    <mergeCell ref="C35:D35"/>
    <mergeCell ref="E35:F35"/>
    <mergeCell ref="G35:H35"/>
    <mergeCell ref="I35:J35"/>
    <mergeCell ref="K35:L35"/>
    <mergeCell ref="M35:N35"/>
    <mergeCell ref="C34:D34"/>
    <mergeCell ref="E34:F34"/>
    <mergeCell ref="G34:H34"/>
    <mergeCell ref="I34:J34"/>
    <mergeCell ref="K34:L34"/>
    <mergeCell ref="M34:N34"/>
    <mergeCell ref="C33:D33"/>
    <mergeCell ref="E33:F33"/>
    <mergeCell ref="G33:H33"/>
    <mergeCell ref="I33:J33"/>
    <mergeCell ref="K33:L33"/>
    <mergeCell ref="M33:N33"/>
    <mergeCell ref="C31:D31"/>
    <mergeCell ref="E31:F31"/>
    <mergeCell ref="G31:H31"/>
    <mergeCell ref="I31:J31"/>
    <mergeCell ref="K31:L31"/>
    <mergeCell ref="M31:N31"/>
    <mergeCell ref="C32:D32"/>
    <mergeCell ref="E32:F32"/>
    <mergeCell ref="G32:H32"/>
    <mergeCell ref="K32:L32"/>
    <mergeCell ref="M32:N32"/>
    <mergeCell ref="I32:J32"/>
    <mergeCell ref="C30:D30"/>
    <mergeCell ref="E30:F30"/>
    <mergeCell ref="G30:H30"/>
    <mergeCell ref="I30:J30"/>
    <mergeCell ref="K30:L30"/>
    <mergeCell ref="M30:N30"/>
    <mergeCell ref="A27:A28"/>
    <mergeCell ref="B27:B28"/>
    <mergeCell ref="C29:D29"/>
    <mergeCell ref="E29:F29"/>
    <mergeCell ref="G29:H29"/>
    <mergeCell ref="M29:N29"/>
    <mergeCell ref="M20:N20"/>
    <mergeCell ref="A21:A22"/>
    <mergeCell ref="B21:B22"/>
    <mergeCell ref="A23:A24"/>
    <mergeCell ref="B23:B24"/>
    <mergeCell ref="A25:A26"/>
    <mergeCell ref="B25:B26"/>
    <mergeCell ref="E19:F19"/>
    <mergeCell ref="G19:H19"/>
    <mergeCell ref="I19:J19"/>
    <mergeCell ref="K19:L19"/>
    <mergeCell ref="M19:N19"/>
    <mergeCell ref="C20:D20"/>
    <mergeCell ref="E20:F20"/>
    <mergeCell ref="G20:H20"/>
    <mergeCell ref="I20:J20"/>
    <mergeCell ref="K20:L20"/>
    <mergeCell ref="C18:D18"/>
    <mergeCell ref="E18:F18"/>
    <mergeCell ref="G18:H18"/>
    <mergeCell ref="I18:J18"/>
    <mergeCell ref="K18:L18"/>
    <mergeCell ref="M18:N18"/>
    <mergeCell ref="C17:D17"/>
    <mergeCell ref="E17:F17"/>
    <mergeCell ref="G17:H17"/>
    <mergeCell ref="I17:J17"/>
    <mergeCell ref="K17:L17"/>
    <mergeCell ref="M17:N17"/>
    <mergeCell ref="C16:D16"/>
    <mergeCell ref="E16:F16"/>
    <mergeCell ref="G16:H16"/>
    <mergeCell ref="I16:J16"/>
    <mergeCell ref="K16:L16"/>
    <mergeCell ref="M16:N16"/>
    <mergeCell ref="C15:D15"/>
    <mergeCell ref="E15:F15"/>
    <mergeCell ref="G15:H15"/>
    <mergeCell ref="I15:J15"/>
    <mergeCell ref="K15:L15"/>
    <mergeCell ref="M15:N15"/>
    <mergeCell ref="C14:D14"/>
    <mergeCell ref="E14:F14"/>
    <mergeCell ref="G14:H14"/>
    <mergeCell ref="M14:N14"/>
    <mergeCell ref="C13:D13"/>
    <mergeCell ref="E13:F13"/>
    <mergeCell ref="G13:H13"/>
    <mergeCell ref="I13:J13"/>
    <mergeCell ref="K13:L13"/>
    <mergeCell ref="M13:N13"/>
    <mergeCell ref="I14:L14"/>
    <mergeCell ref="K8:L8"/>
    <mergeCell ref="M8:N8"/>
    <mergeCell ref="M9:N9"/>
    <mergeCell ref="K9:L9"/>
    <mergeCell ref="I9:J9"/>
    <mergeCell ref="G9:H9"/>
    <mergeCell ref="E9:F9"/>
    <mergeCell ref="C9:D9"/>
    <mergeCell ref="C12:D12"/>
    <mergeCell ref="E12:F12"/>
    <mergeCell ref="G12:H12"/>
    <mergeCell ref="I12:J12"/>
    <mergeCell ref="K12:L12"/>
    <mergeCell ref="M12:N12"/>
    <mergeCell ref="C11:D11"/>
    <mergeCell ref="E11:F11"/>
    <mergeCell ref="G11:H11"/>
    <mergeCell ref="I11:J11"/>
    <mergeCell ref="K11:L11"/>
    <mergeCell ref="M11:N11"/>
    <mergeCell ref="P6:R6"/>
    <mergeCell ref="P29:R29"/>
    <mergeCell ref="C7:D7"/>
    <mergeCell ref="E7:F7"/>
    <mergeCell ref="G7:H7"/>
    <mergeCell ref="I7:J7"/>
    <mergeCell ref="K7:L7"/>
    <mergeCell ref="M7:N7"/>
    <mergeCell ref="B1:M1"/>
    <mergeCell ref="B3:D3"/>
    <mergeCell ref="I3:N3"/>
    <mergeCell ref="E4:F4"/>
    <mergeCell ref="C6:H6"/>
    <mergeCell ref="I6:N6"/>
    <mergeCell ref="C10:D10"/>
    <mergeCell ref="E10:F10"/>
    <mergeCell ref="G10:H10"/>
    <mergeCell ref="I10:J10"/>
    <mergeCell ref="K10:L10"/>
    <mergeCell ref="M10:N10"/>
    <mergeCell ref="C8:D8"/>
    <mergeCell ref="E8:F8"/>
    <mergeCell ref="G8:H8"/>
    <mergeCell ref="I8:J8"/>
  </mergeCells>
  <conditionalFormatting sqref="K32:N32 M33:N33 G30:H30 M30:N30 E35:F35 K35:L35">
    <cfRule type="cellIs" dxfId="0" priority="6" operator="equal">
      <formula>0</formula>
    </cfRule>
  </conditionalFormatting>
  <pageMargins left="0.23622047244094491" right="0.19685039370078741" top="0.19685039370078741" bottom="0" header="0.11811023622047245" footer="0.11811023622047245"/>
  <pageSetup paperSize="9" orientation="portrait" r:id="rId1"/>
  <headerFooter alignWithMargins="0">
    <oddFooter>&amp;R&amp;8RES-REST E05, version 10, Février 2019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B2:AB500"/>
  <sheetViews>
    <sheetView tabSelected="1" workbookViewId="0">
      <selection activeCell="N4" sqref="N4:N7"/>
    </sheetView>
  </sheetViews>
  <sheetFormatPr baseColWidth="10" defaultRowHeight="12.75"/>
  <cols>
    <col min="1" max="1" width="2.140625" customWidth="1"/>
    <col min="2" max="2" width="7.140625" customWidth="1"/>
    <col min="3" max="3" width="19.140625" customWidth="1"/>
    <col min="4" max="4" width="2.140625" customWidth="1"/>
    <col min="5" max="5" width="6.7109375" customWidth="1"/>
    <col min="6" max="6" width="12.140625" customWidth="1"/>
    <col min="7" max="7" width="3.140625" customWidth="1"/>
    <col min="8" max="8" width="6.7109375" customWidth="1"/>
    <col min="9" max="9" width="10.5703125" customWidth="1"/>
    <col min="10" max="10" width="3.140625" customWidth="1"/>
    <col min="11" max="11" width="6.7109375" customWidth="1"/>
    <col min="12" max="12" width="11" customWidth="1"/>
    <col min="13" max="13" width="3.140625" customWidth="1"/>
    <col min="14" max="14" width="6.7109375" customWidth="1"/>
    <col min="15" max="15" width="12.7109375" customWidth="1"/>
    <col min="16" max="16" width="3.5703125" customWidth="1"/>
    <col min="17" max="17" width="6.7109375" customWidth="1"/>
    <col min="18" max="18" width="9" customWidth="1"/>
    <col min="19" max="19" width="3.5703125" customWidth="1"/>
    <col min="20" max="20" width="10.140625" customWidth="1"/>
    <col min="21" max="21" width="10.7109375" customWidth="1"/>
    <col min="22" max="22" width="3.140625" customWidth="1"/>
    <col min="23" max="23" width="6.7109375" customWidth="1"/>
    <col min="24" max="24" width="12.7109375" customWidth="1"/>
    <col min="25" max="25" width="2.5703125" customWidth="1"/>
    <col min="26" max="26" width="1.7109375" customWidth="1"/>
    <col min="27" max="27" width="7.5703125" customWidth="1"/>
    <col min="29" max="29" width="2.42578125" customWidth="1"/>
    <col min="30" max="30" width="2.28515625" customWidth="1"/>
  </cols>
  <sheetData>
    <row r="2" spans="2:28" ht="21" customHeight="1">
      <c r="E2" s="869" t="s">
        <v>81</v>
      </c>
      <c r="F2" s="869"/>
      <c r="G2" s="869"/>
      <c r="H2" s="869"/>
      <c r="I2" s="869"/>
      <c r="J2" s="869"/>
      <c r="K2" s="869"/>
      <c r="L2" s="869"/>
      <c r="M2" s="869"/>
      <c r="N2" s="869"/>
      <c r="O2" s="869"/>
    </row>
    <row r="3" spans="2:28" ht="26.25" customHeight="1">
      <c r="B3" s="559" t="s">
        <v>222</v>
      </c>
      <c r="C3" s="155" t="s">
        <v>86</v>
      </c>
      <c r="E3" s="559" t="s">
        <v>222</v>
      </c>
      <c r="F3" s="155" t="s">
        <v>121</v>
      </c>
      <c r="H3" s="559" t="s">
        <v>222</v>
      </c>
      <c r="I3" s="155" t="s">
        <v>347</v>
      </c>
      <c r="K3" s="559" t="s">
        <v>222</v>
      </c>
      <c r="L3" s="155" t="s">
        <v>309</v>
      </c>
      <c r="N3" s="559" t="s">
        <v>222</v>
      </c>
      <c r="O3" s="155" t="s">
        <v>123</v>
      </c>
      <c r="Q3" s="559" t="s">
        <v>222</v>
      </c>
      <c r="R3" s="155" t="s">
        <v>348</v>
      </c>
      <c r="T3" s="559" t="s">
        <v>222</v>
      </c>
      <c r="U3" s="558" t="s">
        <v>373</v>
      </c>
      <c r="W3" s="559" t="s">
        <v>222</v>
      </c>
      <c r="X3" s="155" t="s">
        <v>227</v>
      </c>
      <c r="AA3" s="559" t="s">
        <v>222</v>
      </c>
      <c r="AB3" s="155" t="s">
        <v>375</v>
      </c>
    </row>
    <row r="4" spans="2:28">
      <c r="B4" s="552" t="s">
        <v>1</v>
      </c>
      <c r="C4" s="552" t="s">
        <v>5</v>
      </c>
      <c r="E4" s="553" t="s">
        <v>97</v>
      </c>
      <c r="F4" s="553" t="s">
        <v>224</v>
      </c>
      <c r="G4" s="1"/>
      <c r="H4" s="553" t="s">
        <v>97</v>
      </c>
      <c r="I4" s="553" t="s">
        <v>224</v>
      </c>
      <c r="J4" s="1"/>
      <c r="K4" s="554" t="s">
        <v>7</v>
      </c>
      <c r="L4" s="554" t="s">
        <v>372</v>
      </c>
      <c r="M4" s="1"/>
      <c r="N4" s="553" t="s">
        <v>97</v>
      </c>
      <c r="O4" s="553" t="s">
        <v>224</v>
      </c>
      <c r="P4" s="1"/>
      <c r="Q4" s="554" t="s">
        <v>7</v>
      </c>
      <c r="R4" s="554" t="s">
        <v>7</v>
      </c>
      <c r="S4" s="1"/>
      <c r="T4" s="554" t="s">
        <v>7</v>
      </c>
      <c r="U4" s="554" t="s">
        <v>7</v>
      </c>
      <c r="V4" s="1"/>
      <c r="W4" s="554" t="s">
        <v>7</v>
      </c>
      <c r="X4" s="554" t="s">
        <v>7</v>
      </c>
      <c r="Y4" s="1"/>
      <c r="AA4" s="151" t="s">
        <v>7</v>
      </c>
      <c r="AB4" s="151" t="s">
        <v>374</v>
      </c>
    </row>
    <row r="5" spans="2:28">
      <c r="B5" s="153" t="s">
        <v>80</v>
      </c>
      <c r="C5" s="153" t="s">
        <v>139</v>
      </c>
      <c r="E5" s="555" t="s">
        <v>85</v>
      </c>
      <c r="F5" s="555" t="s">
        <v>3</v>
      </c>
      <c r="G5" s="1"/>
      <c r="H5" s="555" t="s">
        <v>85</v>
      </c>
      <c r="I5" s="555" t="s">
        <v>3</v>
      </c>
      <c r="J5" s="1"/>
      <c r="K5" s="554" t="s">
        <v>306</v>
      </c>
      <c r="L5" s="554" t="s">
        <v>321</v>
      </c>
      <c r="M5" s="1"/>
      <c r="N5" s="555" t="s">
        <v>85</v>
      </c>
      <c r="O5" s="555" t="s">
        <v>3</v>
      </c>
      <c r="P5" s="1"/>
      <c r="Q5" s="554">
        <v>1</v>
      </c>
      <c r="R5" s="554">
        <v>1</v>
      </c>
      <c r="S5" s="1"/>
      <c r="T5" s="554">
        <v>1</v>
      </c>
      <c r="U5" s="554">
        <v>1</v>
      </c>
      <c r="V5" s="1"/>
      <c r="W5" s="554" t="s">
        <v>87</v>
      </c>
      <c r="X5" s="554" t="s">
        <v>82</v>
      </c>
      <c r="Y5" s="1"/>
      <c r="AA5" s="151" t="s">
        <v>321</v>
      </c>
      <c r="AB5" s="151" t="s">
        <v>321</v>
      </c>
    </row>
    <row r="6" spans="2:28">
      <c r="B6" s="550" t="s">
        <v>104</v>
      </c>
      <c r="C6" s="550" t="s">
        <v>4</v>
      </c>
      <c r="E6" s="556" t="s">
        <v>79</v>
      </c>
      <c r="F6" s="556" t="s">
        <v>2</v>
      </c>
      <c r="G6" s="1"/>
      <c r="H6" s="556" t="s">
        <v>79</v>
      </c>
      <c r="I6" s="556" t="s">
        <v>2</v>
      </c>
      <c r="J6" s="1"/>
      <c r="K6" s="554"/>
      <c r="L6" s="554"/>
      <c r="M6" s="1"/>
      <c r="N6" s="556" t="s">
        <v>79</v>
      </c>
      <c r="O6" s="556" t="s">
        <v>2</v>
      </c>
      <c r="P6" s="1"/>
      <c r="Q6" s="554">
        <v>2</v>
      </c>
      <c r="R6" s="554">
        <v>2</v>
      </c>
      <c r="S6" s="1"/>
      <c r="T6" s="554">
        <v>2</v>
      </c>
      <c r="U6" s="554">
        <v>2</v>
      </c>
      <c r="V6" s="1"/>
      <c r="W6" s="554" t="s">
        <v>88</v>
      </c>
      <c r="X6" s="554" t="s">
        <v>228</v>
      </c>
      <c r="Y6" s="1"/>
      <c r="AA6" s="151"/>
      <c r="AB6" s="151"/>
    </row>
    <row r="7" spans="2:28">
      <c r="B7" s="551" t="s">
        <v>89</v>
      </c>
      <c r="C7" s="551" t="s">
        <v>223</v>
      </c>
      <c r="E7" s="557" t="s">
        <v>138</v>
      </c>
      <c r="F7" s="554" t="s">
        <v>226</v>
      </c>
      <c r="G7" s="1"/>
      <c r="H7" s="554"/>
      <c r="I7" s="554"/>
      <c r="J7" s="1"/>
      <c r="K7" s="554"/>
      <c r="L7" s="554"/>
      <c r="M7" s="1"/>
      <c r="N7" s="557" t="s">
        <v>138</v>
      </c>
      <c r="O7" s="554" t="s">
        <v>226</v>
      </c>
      <c r="P7" s="1"/>
      <c r="Q7" s="554"/>
      <c r="R7" s="554"/>
      <c r="S7" s="1"/>
      <c r="T7" s="554"/>
      <c r="U7" s="554"/>
      <c r="V7" s="1"/>
      <c r="W7" s="554"/>
      <c r="X7" s="554"/>
      <c r="Y7" s="1"/>
      <c r="AA7" s="151"/>
      <c r="AB7" s="151"/>
    </row>
    <row r="8" spans="2:28">
      <c r="B8" s="551" t="s">
        <v>90</v>
      </c>
      <c r="C8" s="551" t="s">
        <v>140</v>
      </c>
      <c r="E8" s="152"/>
      <c r="F8" s="152"/>
      <c r="H8" s="152"/>
      <c r="I8" s="152"/>
      <c r="K8" s="152"/>
      <c r="L8" s="152"/>
      <c r="N8" s="152"/>
      <c r="O8" s="152"/>
      <c r="Q8" s="554"/>
      <c r="R8" s="554"/>
      <c r="S8" s="1"/>
      <c r="T8" s="554"/>
      <c r="U8" s="554"/>
      <c r="V8" s="1"/>
      <c r="W8" s="554"/>
      <c r="X8" s="554"/>
      <c r="Y8" s="1"/>
      <c r="AA8" s="152"/>
      <c r="AB8" s="152"/>
    </row>
    <row r="9" spans="2:28">
      <c r="B9" s="154" t="s">
        <v>92</v>
      </c>
      <c r="C9" s="154" t="s">
        <v>91</v>
      </c>
      <c r="E9" s="152"/>
      <c r="F9" s="152"/>
      <c r="H9" s="152"/>
      <c r="I9" s="152"/>
      <c r="K9" s="152"/>
      <c r="L9" s="152"/>
      <c r="N9" s="152"/>
      <c r="O9" s="152"/>
      <c r="Q9" s="152"/>
      <c r="R9" s="152"/>
      <c r="T9" s="152"/>
      <c r="U9" s="152"/>
      <c r="W9" s="152"/>
      <c r="X9" s="152"/>
      <c r="AA9" s="152"/>
      <c r="AB9" s="152"/>
    </row>
    <row r="10" spans="2:28">
      <c r="B10" s="152"/>
      <c r="C10" s="152"/>
      <c r="E10" s="152"/>
      <c r="F10" s="152"/>
      <c r="H10" s="152"/>
      <c r="I10" s="152"/>
      <c r="K10" s="152"/>
      <c r="L10" s="152"/>
      <c r="N10" s="152"/>
      <c r="O10" s="152"/>
      <c r="Q10" s="152"/>
      <c r="R10" s="152"/>
      <c r="T10" s="152"/>
      <c r="U10" s="152"/>
      <c r="W10" s="152"/>
      <c r="X10" s="152"/>
      <c r="AA10" s="152"/>
      <c r="AB10" s="152"/>
    </row>
    <row r="11" spans="2:28">
      <c r="B11" s="151"/>
      <c r="C11" s="152"/>
      <c r="E11" s="152"/>
      <c r="F11" s="152"/>
      <c r="H11" s="152"/>
      <c r="I11" s="152"/>
      <c r="K11" s="152"/>
      <c r="L11" s="152"/>
      <c r="N11" s="152"/>
      <c r="O11" s="152"/>
      <c r="Q11" s="152"/>
      <c r="R11" s="152"/>
      <c r="T11" s="152"/>
      <c r="U11" s="152"/>
      <c r="W11" s="152"/>
      <c r="X11" s="152"/>
      <c r="AA11" s="152"/>
      <c r="AB11" s="152"/>
    </row>
    <row r="12" spans="2:28">
      <c r="B12" s="152"/>
      <c r="C12" s="152"/>
      <c r="E12" s="152"/>
      <c r="F12" s="152"/>
      <c r="H12" s="152"/>
      <c r="I12" s="152"/>
      <c r="K12" s="152"/>
      <c r="L12" s="152"/>
      <c r="N12" s="152"/>
      <c r="O12" s="152"/>
      <c r="Q12" s="152"/>
      <c r="R12" s="152"/>
      <c r="T12" s="152"/>
      <c r="U12" s="152"/>
      <c r="W12" s="152"/>
      <c r="X12" s="152"/>
      <c r="AA12" s="152"/>
      <c r="AB12" s="152"/>
    </row>
    <row r="13" spans="2:28">
      <c r="B13" s="152"/>
      <c r="C13" s="152"/>
      <c r="E13" s="152"/>
      <c r="F13" s="152"/>
      <c r="H13" s="152"/>
      <c r="I13" s="152"/>
      <c r="K13" s="152"/>
      <c r="L13" s="152"/>
      <c r="N13" s="152"/>
      <c r="O13" s="152"/>
      <c r="Q13" s="152"/>
      <c r="R13" s="152"/>
      <c r="T13" s="152"/>
      <c r="U13" s="152"/>
      <c r="W13" s="152"/>
      <c r="X13" s="152"/>
      <c r="AA13" s="152"/>
      <c r="AB13" s="152"/>
    </row>
    <row r="14" spans="2:28">
      <c r="B14" s="152"/>
      <c r="C14" s="152"/>
      <c r="E14" s="152"/>
      <c r="F14" s="152"/>
      <c r="H14" s="152"/>
      <c r="I14" s="152"/>
      <c r="K14" s="152"/>
      <c r="L14" s="152"/>
      <c r="N14" s="152"/>
      <c r="O14" s="152"/>
      <c r="Q14" s="152"/>
      <c r="R14" s="152"/>
      <c r="T14" s="152"/>
      <c r="U14" s="152"/>
      <c r="W14" s="152"/>
      <c r="X14" s="152"/>
      <c r="AA14" s="152"/>
      <c r="AB14" s="152"/>
    </row>
    <row r="15" spans="2:28">
      <c r="B15" s="152"/>
      <c r="C15" s="152"/>
      <c r="E15" s="152"/>
      <c r="F15" s="152"/>
      <c r="H15" s="152"/>
      <c r="I15" s="152"/>
      <c r="K15" s="152"/>
      <c r="L15" s="152"/>
      <c r="N15" s="152"/>
      <c r="O15" s="152"/>
      <c r="Q15" s="152"/>
      <c r="R15" s="152"/>
      <c r="T15" s="152"/>
      <c r="U15" s="152"/>
      <c r="W15" s="152"/>
      <c r="X15" s="152"/>
      <c r="AA15" s="152"/>
      <c r="AB15" s="152"/>
    </row>
    <row r="16" spans="2:28">
      <c r="B16" s="152"/>
      <c r="C16" s="152"/>
      <c r="E16" s="152"/>
      <c r="F16" s="152"/>
      <c r="H16" s="152"/>
      <c r="I16" s="152"/>
      <c r="K16" s="152"/>
      <c r="L16" s="152"/>
      <c r="N16" s="152"/>
      <c r="O16" s="152"/>
      <c r="Q16" s="152"/>
      <c r="R16" s="152"/>
      <c r="T16" s="152"/>
      <c r="U16" s="152"/>
      <c r="W16" s="152"/>
      <c r="X16" s="152"/>
      <c r="AA16" s="152"/>
      <c r="AB16" s="152"/>
    </row>
    <row r="17" spans="2:28">
      <c r="B17" s="152"/>
      <c r="C17" s="152"/>
      <c r="E17" s="152"/>
      <c r="F17" s="152"/>
      <c r="H17" s="152"/>
      <c r="I17" s="152"/>
      <c r="K17" s="152"/>
      <c r="L17" s="152"/>
      <c r="N17" s="152"/>
      <c r="O17" s="152"/>
      <c r="Q17" s="152"/>
      <c r="R17" s="152"/>
      <c r="T17" s="152"/>
      <c r="U17" s="152"/>
      <c r="W17" s="152"/>
      <c r="X17" s="152"/>
      <c r="AA17" s="152"/>
      <c r="AB17" s="152"/>
    </row>
    <row r="18" spans="2:28">
      <c r="B18" s="152"/>
      <c r="C18" s="152"/>
      <c r="E18" s="152"/>
      <c r="F18" s="152"/>
      <c r="H18" s="152"/>
      <c r="I18" s="152"/>
      <c r="K18" s="152"/>
      <c r="L18" s="152"/>
      <c r="N18" s="152"/>
      <c r="O18" s="152"/>
      <c r="Q18" s="152"/>
      <c r="R18" s="152"/>
      <c r="T18" s="152"/>
      <c r="U18" s="152"/>
      <c r="W18" s="152"/>
      <c r="X18" s="152"/>
      <c r="AA18" s="152"/>
      <c r="AB18" s="152"/>
    </row>
    <row r="19" spans="2:28">
      <c r="B19" s="152"/>
      <c r="C19" s="152"/>
      <c r="E19" s="152"/>
      <c r="F19" s="152"/>
      <c r="H19" s="152"/>
      <c r="I19" s="152"/>
      <c r="K19" s="152"/>
      <c r="L19" s="152"/>
      <c r="N19" s="152"/>
      <c r="O19" s="152"/>
      <c r="Q19" s="152"/>
      <c r="R19" s="152"/>
      <c r="T19" s="152"/>
      <c r="U19" s="152"/>
      <c r="W19" s="152"/>
      <c r="X19" s="152"/>
      <c r="AA19" s="152"/>
      <c r="AB19" s="152"/>
    </row>
    <row r="20" spans="2:28">
      <c r="B20" s="152"/>
      <c r="C20" s="152"/>
      <c r="E20" s="152"/>
      <c r="F20" s="152"/>
      <c r="H20" s="152"/>
      <c r="I20" s="152"/>
      <c r="K20" s="152"/>
      <c r="L20" s="152"/>
      <c r="N20" s="152"/>
      <c r="O20" s="152"/>
      <c r="Q20" s="152"/>
      <c r="R20" s="152"/>
      <c r="T20" s="152"/>
      <c r="U20" s="152"/>
      <c r="W20" s="152"/>
      <c r="X20" s="152"/>
      <c r="AA20" s="152"/>
      <c r="AB20" s="152"/>
    </row>
    <row r="21" spans="2:28">
      <c r="B21" s="152"/>
      <c r="C21" s="152"/>
      <c r="E21" s="152"/>
      <c r="F21" s="152"/>
      <c r="H21" s="152"/>
      <c r="I21" s="152"/>
      <c r="K21" s="152"/>
      <c r="L21" s="152"/>
      <c r="N21" s="152"/>
      <c r="O21" s="152"/>
      <c r="Q21" s="152"/>
      <c r="R21" s="152"/>
      <c r="T21" s="152"/>
      <c r="U21" s="152"/>
      <c r="W21" s="152"/>
      <c r="X21" s="152"/>
      <c r="AA21" s="152"/>
      <c r="AB21" s="152"/>
    </row>
    <row r="22" spans="2:28">
      <c r="B22" s="152"/>
      <c r="C22" s="152"/>
      <c r="E22" s="152"/>
      <c r="F22" s="152"/>
      <c r="H22" s="152"/>
      <c r="I22" s="152"/>
      <c r="K22" s="152"/>
      <c r="L22" s="152"/>
      <c r="N22" s="152"/>
      <c r="O22" s="152"/>
      <c r="Q22" s="152"/>
      <c r="R22" s="152"/>
      <c r="T22" s="152"/>
      <c r="U22" s="152"/>
      <c r="W22" s="152"/>
      <c r="X22" s="152"/>
      <c r="AA22" s="152"/>
      <c r="AB22" s="152"/>
    </row>
    <row r="23" spans="2:28">
      <c r="B23" s="152"/>
      <c r="C23" s="152"/>
      <c r="E23" s="152"/>
      <c r="F23" s="152"/>
      <c r="H23" s="152"/>
      <c r="I23" s="152"/>
      <c r="K23" s="152"/>
      <c r="L23" s="152"/>
      <c r="N23" s="152"/>
      <c r="O23" s="152"/>
      <c r="Q23" s="152"/>
      <c r="R23" s="152"/>
      <c r="T23" s="152"/>
      <c r="U23" s="152"/>
      <c r="W23" s="152"/>
      <c r="X23" s="152"/>
      <c r="AA23" s="152"/>
      <c r="AB23" s="152"/>
    </row>
    <row r="24" spans="2:28">
      <c r="B24" s="150"/>
      <c r="C24" s="150"/>
      <c r="E24" s="152"/>
      <c r="F24" s="152"/>
      <c r="H24" s="152"/>
      <c r="I24" s="152"/>
      <c r="K24" s="152"/>
      <c r="L24" s="152"/>
      <c r="N24" s="152"/>
      <c r="O24" s="152"/>
      <c r="Q24" s="152"/>
      <c r="R24" s="152"/>
      <c r="T24" s="152"/>
      <c r="U24" s="152"/>
      <c r="W24" s="152"/>
      <c r="X24" s="152"/>
      <c r="AA24" s="152"/>
      <c r="AB24" s="152"/>
    </row>
    <row r="26" spans="2:28">
      <c r="C26" t="s">
        <v>284</v>
      </c>
    </row>
    <row r="27" spans="2:28">
      <c r="C27" s="264">
        <v>43821</v>
      </c>
      <c r="Q27" s="559" t="s">
        <v>222</v>
      </c>
      <c r="R27" s="155" t="s">
        <v>396</v>
      </c>
      <c r="T27" s="559" t="s">
        <v>222</v>
      </c>
      <c r="U27" s="155" t="s">
        <v>396</v>
      </c>
    </row>
    <row r="28" spans="2:28">
      <c r="C28" s="262">
        <v>43824</v>
      </c>
      <c r="Q28" s="554" t="s">
        <v>7</v>
      </c>
      <c r="R28" s="589" t="s">
        <v>397</v>
      </c>
      <c r="T28" s="554" t="s">
        <v>7</v>
      </c>
      <c r="U28" s="589" t="s">
        <v>408</v>
      </c>
    </row>
    <row r="29" spans="2:28">
      <c r="C29" s="264">
        <v>43828</v>
      </c>
      <c r="Q29" s="554" t="s">
        <v>377</v>
      </c>
      <c r="R29" s="589" t="s">
        <v>398</v>
      </c>
      <c r="T29" s="589" t="s">
        <v>416</v>
      </c>
      <c r="U29" s="589" t="s">
        <v>407</v>
      </c>
    </row>
    <row r="30" spans="2:28">
      <c r="C30" s="262">
        <v>43831</v>
      </c>
      <c r="Q30" s="554" t="s">
        <v>401</v>
      </c>
      <c r="R30" s="589" t="s">
        <v>402</v>
      </c>
      <c r="T30" s="589" t="s">
        <v>380</v>
      </c>
      <c r="U30" s="589" t="s">
        <v>380</v>
      </c>
    </row>
    <row r="31" spans="2:28">
      <c r="C31" s="263">
        <v>43835</v>
      </c>
      <c r="Q31" s="554" t="s">
        <v>403</v>
      </c>
      <c r="R31" s="554" t="s">
        <v>404</v>
      </c>
      <c r="T31" s="589" t="s">
        <v>381</v>
      </c>
      <c r="U31" s="589" t="s">
        <v>381</v>
      </c>
    </row>
    <row r="32" spans="2:28">
      <c r="C32" s="263">
        <v>43842</v>
      </c>
      <c r="Q32" s="554"/>
      <c r="R32" s="554"/>
      <c r="T32" s="589" t="s">
        <v>394</v>
      </c>
      <c r="U32" s="589" t="s">
        <v>394</v>
      </c>
    </row>
    <row r="33" spans="3:21">
      <c r="C33" s="263">
        <v>43849</v>
      </c>
      <c r="Q33" s="152"/>
      <c r="R33" s="152"/>
      <c r="T33" s="593" t="s">
        <v>382</v>
      </c>
      <c r="U33" s="593" t="s">
        <v>382</v>
      </c>
    </row>
    <row r="34" spans="3:21">
      <c r="C34" s="263">
        <v>43856</v>
      </c>
      <c r="Q34" s="152"/>
      <c r="R34" s="152"/>
      <c r="T34" s="593" t="s">
        <v>383</v>
      </c>
      <c r="U34" s="593" t="s">
        <v>383</v>
      </c>
    </row>
    <row r="35" spans="3:21">
      <c r="C35" s="263">
        <v>43863</v>
      </c>
      <c r="Q35" s="152"/>
      <c r="R35" s="152"/>
      <c r="T35" s="594" t="s">
        <v>385</v>
      </c>
      <c r="U35" s="594" t="s">
        <v>409</v>
      </c>
    </row>
    <row r="36" spans="3:21">
      <c r="C36" s="263">
        <v>43870</v>
      </c>
      <c r="Q36" s="152"/>
      <c r="R36" s="152"/>
      <c r="T36" s="150"/>
      <c r="U36" s="150"/>
    </row>
    <row r="37" spans="3:21">
      <c r="C37" s="263">
        <v>43877</v>
      </c>
    </row>
    <row r="38" spans="3:21">
      <c r="C38" s="263">
        <v>43884</v>
      </c>
    </row>
    <row r="39" spans="3:21">
      <c r="C39" s="263">
        <v>43891</v>
      </c>
    </row>
    <row r="40" spans="3:21">
      <c r="C40" s="263">
        <v>43898</v>
      </c>
    </row>
    <row r="41" spans="3:21">
      <c r="C41" s="263">
        <v>43905</v>
      </c>
    </row>
    <row r="42" spans="3:21">
      <c r="C42" s="263">
        <v>43912</v>
      </c>
    </row>
    <row r="43" spans="3:21">
      <c r="C43" s="263">
        <v>43919</v>
      </c>
    </row>
    <row r="44" spans="3:21">
      <c r="C44" s="263">
        <v>43926</v>
      </c>
    </row>
    <row r="45" spans="3:21">
      <c r="C45" s="263">
        <v>43933</v>
      </c>
    </row>
    <row r="46" spans="3:21">
      <c r="C46" s="262">
        <v>43934</v>
      </c>
    </row>
    <row r="47" spans="3:21">
      <c r="C47" s="263">
        <v>43940</v>
      </c>
    </row>
    <row r="48" spans="3:21">
      <c r="C48" s="263">
        <v>43947</v>
      </c>
    </row>
    <row r="49" spans="3:3">
      <c r="C49" s="262">
        <v>43952</v>
      </c>
    </row>
    <row r="50" spans="3:3">
      <c r="C50" s="263">
        <v>43954</v>
      </c>
    </row>
    <row r="51" spans="3:3">
      <c r="C51" s="262">
        <v>43959</v>
      </c>
    </row>
    <row r="52" spans="3:3">
      <c r="C52" s="263">
        <v>43961</v>
      </c>
    </row>
    <row r="53" spans="3:3">
      <c r="C53" s="263">
        <v>43968</v>
      </c>
    </row>
    <row r="54" spans="3:3">
      <c r="C54" s="262">
        <v>43972</v>
      </c>
    </row>
    <row r="55" spans="3:3">
      <c r="C55" s="263">
        <v>43975</v>
      </c>
    </row>
    <row r="56" spans="3:3">
      <c r="C56" s="263">
        <v>43982</v>
      </c>
    </row>
    <row r="57" spans="3:3">
      <c r="C57" s="262">
        <v>43983</v>
      </c>
    </row>
    <row r="58" spans="3:3">
      <c r="C58" s="263">
        <v>43989</v>
      </c>
    </row>
    <row r="59" spans="3:3">
      <c r="C59" s="263">
        <v>43996</v>
      </c>
    </row>
    <row r="60" spans="3:3">
      <c r="C60" s="263">
        <v>44003</v>
      </c>
    </row>
    <row r="61" spans="3:3">
      <c r="C61" s="263">
        <v>44010</v>
      </c>
    </row>
    <row r="62" spans="3:3">
      <c r="C62" s="263">
        <v>44017</v>
      </c>
    </row>
    <row r="63" spans="3:3">
      <c r="C63" s="263">
        <v>44024</v>
      </c>
    </row>
    <row r="64" spans="3:3">
      <c r="C64" s="262">
        <v>44026</v>
      </c>
    </row>
    <row r="65" spans="3:3">
      <c r="C65" s="263">
        <v>44031</v>
      </c>
    </row>
    <row r="66" spans="3:3">
      <c r="C66" s="263">
        <v>44038</v>
      </c>
    </row>
    <row r="67" spans="3:3">
      <c r="C67" s="263">
        <v>44045</v>
      </c>
    </row>
    <row r="68" spans="3:3">
      <c r="C68" s="263">
        <v>44052</v>
      </c>
    </row>
    <row r="69" spans="3:3">
      <c r="C69" s="262">
        <v>44058</v>
      </c>
    </row>
    <row r="70" spans="3:3">
      <c r="C70" s="263">
        <v>44059</v>
      </c>
    </row>
    <row r="71" spans="3:3">
      <c r="C71" s="263">
        <v>44066</v>
      </c>
    </row>
    <row r="72" spans="3:3">
      <c r="C72" s="263">
        <v>44073</v>
      </c>
    </row>
    <row r="73" spans="3:3">
      <c r="C73" s="263">
        <v>44080</v>
      </c>
    </row>
    <row r="74" spans="3:3">
      <c r="C74" s="263">
        <v>44087</v>
      </c>
    </row>
    <row r="75" spans="3:3">
      <c r="C75" s="263">
        <v>44094</v>
      </c>
    </row>
    <row r="76" spans="3:3">
      <c r="C76" s="263">
        <v>44101</v>
      </c>
    </row>
    <row r="77" spans="3:3">
      <c r="C77" s="263">
        <v>44108</v>
      </c>
    </row>
    <row r="78" spans="3:3">
      <c r="C78" s="263">
        <v>44115</v>
      </c>
    </row>
    <row r="79" spans="3:3">
      <c r="C79" s="263">
        <v>44122</v>
      </c>
    </row>
    <row r="80" spans="3:3">
      <c r="C80" s="263">
        <v>44129</v>
      </c>
    </row>
    <row r="81" spans="3:3">
      <c r="C81" s="262">
        <v>44136</v>
      </c>
    </row>
    <row r="82" spans="3:3">
      <c r="C82" s="263">
        <v>44143</v>
      </c>
    </row>
    <row r="83" spans="3:3">
      <c r="C83" s="262">
        <v>44146</v>
      </c>
    </row>
    <row r="84" spans="3:3">
      <c r="C84" s="263">
        <v>44150</v>
      </c>
    </row>
    <row r="85" spans="3:3">
      <c r="C85" s="263">
        <v>44157</v>
      </c>
    </row>
    <row r="86" spans="3:3">
      <c r="C86" s="263">
        <v>44164</v>
      </c>
    </row>
    <row r="87" spans="3:3">
      <c r="C87" s="263">
        <v>44171</v>
      </c>
    </row>
    <row r="88" spans="3:3">
      <c r="C88" s="263">
        <v>44178</v>
      </c>
    </row>
    <row r="89" spans="3:3">
      <c r="C89" s="263">
        <v>44185</v>
      </c>
    </row>
    <row r="90" spans="3:3">
      <c r="C90" s="262">
        <v>44190</v>
      </c>
    </row>
    <row r="91" spans="3:3">
      <c r="C91" s="263">
        <v>44192</v>
      </c>
    </row>
    <row r="92" spans="3:3">
      <c r="C92" s="262">
        <v>44197</v>
      </c>
    </row>
    <row r="93" spans="3:3">
      <c r="C93" s="263">
        <v>44199</v>
      </c>
    </row>
    <row r="94" spans="3:3">
      <c r="C94" s="263">
        <v>44206</v>
      </c>
    </row>
    <row r="95" spans="3:3">
      <c r="C95" s="263">
        <v>44213</v>
      </c>
    </row>
    <row r="96" spans="3:3">
      <c r="C96" s="263">
        <v>44220</v>
      </c>
    </row>
    <row r="97" spans="3:3">
      <c r="C97" s="263">
        <v>44227</v>
      </c>
    </row>
    <row r="98" spans="3:3">
      <c r="C98" s="263">
        <v>44234</v>
      </c>
    </row>
    <row r="99" spans="3:3">
      <c r="C99" s="263">
        <v>44241</v>
      </c>
    </row>
    <row r="100" spans="3:3">
      <c r="C100" s="263">
        <v>44248</v>
      </c>
    </row>
    <row r="101" spans="3:3">
      <c r="C101" s="263">
        <v>44255</v>
      </c>
    </row>
    <row r="102" spans="3:3">
      <c r="C102" s="263">
        <v>44262</v>
      </c>
    </row>
    <row r="103" spans="3:3">
      <c r="C103" s="263">
        <v>44269</v>
      </c>
    </row>
    <row r="104" spans="3:3">
      <c r="C104" s="263">
        <v>44276</v>
      </c>
    </row>
    <row r="105" spans="3:3">
      <c r="C105" s="263">
        <v>44283</v>
      </c>
    </row>
    <row r="106" spans="3:3">
      <c r="C106" s="263">
        <v>44290</v>
      </c>
    </row>
    <row r="107" spans="3:3">
      <c r="C107" s="262">
        <v>44291</v>
      </c>
    </row>
    <row r="108" spans="3:3">
      <c r="C108" s="263">
        <v>44297</v>
      </c>
    </row>
    <row r="109" spans="3:3">
      <c r="C109" s="263">
        <v>44304</v>
      </c>
    </row>
    <row r="110" spans="3:3">
      <c r="C110" s="263">
        <v>44311</v>
      </c>
    </row>
    <row r="111" spans="3:3">
      <c r="C111" s="262">
        <v>44317</v>
      </c>
    </row>
    <row r="112" spans="3:3">
      <c r="C112" s="263">
        <v>44318</v>
      </c>
    </row>
    <row r="113" spans="3:3">
      <c r="C113" s="262">
        <v>44324</v>
      </c>
    </row>
    <row r="114" spans="3:3">
      <c r="C114" s="263">
        <v>44325</v>
      </c>
    </row>
    <row r="115" spans="3:3">
      <c r="C115" s="262">
        <v>44329</v>
      </c>
    </row>
    <row r="116" spans="3:3">
      <c r="C116" s="263">
        <v>44332</v>
      </c>
    </row>
    <row r="117" spans="3:3">
      <c r="C117" s="263">
        <v>44339</v>
      </c>
    </row>
    <row r="118" spans="3:3">
      <c r="C118" s="262">
        <v>44340</v>
      </c>
    </row>
    <row r="119" spans="3:3">
      <c r="C119" s="263">
        <v>44346</v>
      </c>
    </row>
    <row r="120" spans="3:3">
      <c r="C120" s="263">
        <v>44322</v>
      </c>
    </row>
    <row r="121" spans="3:3">
      <c r="C121" s="263">
        <v>44360</v>
      </c>
    </row>
    <row r="122" spans="3:3">
      <c r="C122" s="263">
        <v>44367</v>
      </c>
    </row>
    <row r="123" spans="3:3">
      <c r="C123" s="263">
        <v>44374</v>
      </c>
    </row>
    <row r="124" spans="3:3">
      <c r="C124" s="263">
        <v>44381</v>
      </c>
    </row>
    <row r="125" spans="3:3">
      <c r="C125" s="263">
        <v>44358</v>
      </c>
    </row>
    <row r="126" spans="3:3">
      <c r="C126" s="262">
        <v>44391</v>
      </c>
    </row>
    <row r="127" spans="3:3">
      <c r="C127" s="263">
        <v>44395</v>
      </c>
    </row>
    <row r="128" spans="3:3">
      <c r="C128" s="263">
        <v>44402</v>
      </c>
    </row>
    <row r="129" spans="3:3">
      <c r="C129" s="263">
        <v>44409</v>
      </c>
    </row>
    <row r="130" spans="3:3">
      <c r="C130" s="263">
        <v>44416</v>
      </c>
    </row>
    <row r="131" spans="3:3">
      <c r="C131" s="262">
        <v>44423</v>
      </c>
    </row>
    <row r="132" spans="3:3">
      <c r="C132" s="263">
        <v>44430</v>
      </c>
    </row>
    <row r="133" spans="3:3">
      <c r="C133" s="263">
        <v>44437</v>
      </c>
    </row>
    <row r="134" spans="3:3">
      <c r="C134" s="263"/>
    </row>
    <row r="135" spans="3:3">
      <c r="C135" s="263"/>
    </row>
    <row r="136" spans="3:3">
      <c r="C136" s="263"/>
    </row>
    <row r="137" spans="3:3">
      <c r="C137" s="263"/>
    </row>
    <row r="138" spans="3:3">
      <c r="C138" s="263"/>
    </row>
    <row r="139" spans="3:3">
      <c r="C139" s="263"/>
    </row>
    <row r="140" spans="3:3">
      <c r="C140" s="263"/>
    </row>
    <row r="141" spans="3:3">
      <c r="C141" s="263"/>
    </row>
    <row r="142" spans="3:3">
      <c r="C142" s="263"/>
    </row>
    <row r="143" spans="3:3">
      <c r="C143" s="263"/>
    </row>
    <row r="144" spans="3:3">
      <c r="C144" s="263"/>
    </row>
    <row r="145" spans="3:3">
      <c r="C145" s="263"/>
    </row>
    <row r="146" spans="3:3">
      <c r="C146" s="263"/>
    </row>
    <row r="147" spans="3:3">
      <c r="C147" s="263"/>
    </row>
    <row r="148" spans="3:3">
      <c r="C148" s="263"/>
    </row>
    <row r="149" spans="3:3">
      <c r="C149" s="263"/>
    </row>
    <row r="150" spans="3:3">
      <c r="C150" s="263"/>
    </row>
    <row r="151" spans="3:3">
      <c r="C151" s="263"/>
    </row>
    <row r="152" spans="3:3">
      <c r="C152" s="263"/>
    </row>
    <row r="153" spans="3:3">
      <c r="C153" s="263"/>
    </row>
    <row r="154" spans="3:3">
      <c r="C154" s="263"/>
    </row>
    <row r="155" spans="3:3">
      <c r="C155" s="263"/>
    </row>
    <row r="156" spans="3:3">
      <c r="C156" s="263"/>
    </row>
    <row r="157" spans="3:3">
      <c r="C157" s="263"/>
    </row>
    <row r="158" spans="3:3">
      <c r="C158" s="263"/>
    </row>
    <row r="159" spans="3:3">
      <c r="C159" s="263"/>
    </row>
    <row r="160" spans="3:3">
      <c r="C160" s="263"/>
    </row>
    <row r="161" spans="3:3">
      <c r="C161" s="263"/>
    </row>
    <row r="162" spans="3:3">
      <c r="C162" s="263"/>
    </row>
    <row r="163" spans="3:3">
      <c r="C163" s="263"/>
    </row>
    <row r="164" spans="3:3">
      <c r="C164" s="263"/>
    </row>
    <row r="165" spans="3:3">
      <c r="C165" s="263"/>
    </row>
    <row r="166" spans="3:3">
      <c r="C166" s="263"/>
    </row>
    <row r="167" spans="3:3">
      <c r="C167" s="263"/>
    </row>
    <row r="168" spans="3:3">
      <c r="C168" s="263"/>
    </row>
    <row r="169" spans="3:3">
      <c r="C169" s="263"/>
    </row>
    <row r="170" spans="3:3">
      <c r="C170" s="263"/>
    </row>
    <row r="171" spans="3:3">
      <c r="C171" s="263"/>
    </row>
    <row r="172" spans="3:3">
      <c r="C172" s="263"/>
    </row>
    <row r="173" spans="3:3">
      <c r="C173" s="263"/>
    </row>
    <row r="174" spans="3:3">
      <c r="C174" s="263"/>
    </row>
    <row r="175" spans="3:3">
      <c r="C175" s="263"/>
    </row>
    <row r="176" spans="3:3">
      <c r="C176" s="263"/>
    </row>
    <row r="177" spans="3:3">
      <c r="C177" s="263"/>
    </row>
    <row r="178" spans="3:3">
      <c r="C178" s="263"/>
    </row>
    <row r="179" spans="3:3">
      <c r="C179" s="263"/>
    </row>
    <row r="180" spans="3:3">
      <c r="C180" s="263"/>
    </row>
    <row r="181" spans="3:3">
      <c r="C181" s="263"/>
    </row>
    <row r="182" spans="3:3">
      <c r="C182" s="263"/>
    </row>
    <row r="183" spans="3:3">
      <c r="C183" s="263"/>
    </row>
    <row r="184" spans="3:3">
      <c r="C184" s="263"/>
    </row>
    <row r="185" spans="3:3">
      <c r="C185" s="263"/>
    </row>
    <row r="186" spans="3:3">
      <c r="C186" s="263"/>
    </row>
    <row r="187" spans="3:3">
      <c r="C187" s="263"/>
    </row>
    <row r="188" spans="3:3">
      <c r="C188" s="263"/>
    </row>
    <row r="189" spans="3:3">
      <c r="C189" s="263"/>
    </row>
    <row r="190" spans="3:3">
      <c r="C190" s="263"/>
    </row>
    <row r="191" spans="3:3">
      <c r="C191" s="263"/>
    </row>
    <row r="192" spans="3:3">
      <c r="C192" s="263"/>
    </row>
    <row r="193" spans="3:3">
      <c r="C193" s="263"/>
    </row>
    <row r="194" spans="3:3">
      <c r="C194" s="263"/>
    </row>
    <row r="195" spans="3:3">
      <c r="C195" s="263"/>
    </row>
    <row r="196" spans="3:3">
      <c r="C196" s="263"/>
    </row>
    <row r="197" spans="3:3">
      <c r="C197" s="263"/>
    </row>
    <row r="198" spans="3:3">
      <c r="C198" s="263"/>
    </row>
    <row r="199" spans="3:3">
      <c r="C199" s="263"/>
    </row>
    <row r="200" spans="3:3">
      <c r="C200" s="263"/>
    </row>
    <row r="201" spans="3:3">
      <c r="C201" s="263"/>
    </row>
    <row r="202" spans="3:3">
      <c r="C202" s="263"/>
    </row>
    <row r="203" spans="3:3">
      <c r="C203" s="263"/>
    </row>
    <row r="204" spans="3:3">
      <c r="C204" s="263"/>
    </row>
    <row r="205" spans="3:3">
      <c r="C205" s="263"/>
    </row>
    <row r="206" spans="3:3">
      <c r="C206" s="263"/>
    </row>
    <row r="207" spans="3:3">
      <c r="C207" s="263"/>
    </row>
    <row r="208" spans="3:3">
      <c r="C208" s="263"/>
    </row>
    <row r="209" spans="3:3">
      <c r="C209" s="263"/>
    </row>
    <row r="210" spans="3:3">
      <c r="C210" s="263"/>
    </row>
    <row r="211" spans="3:3">
      <c r="C211" s="263"/>
    </row>
    <row r="212" spans="3:3">
      <c r="C212" s="263"/>
    </row>
    <row r="213" spans="3:3">
      <c r="C213" s="263"/>
    </row>
    <row r="214" spans="3:3">
      <c r="C214" s="263"/>
    </row>
    <row r="215" spans="3:3">
      <c r="C215" s="263"/>
    </row>
    <row r="216" spans="3:3">
      <c r="C216" s="263"/>
    </row>
    <row r="217" spans="3:3">
      <c r="C217" s="263"/>
    </row>
    <row r="218" spans="3:3">
      <c r="C218" s="263"/>
    </row>
    <row r="219" spans="3:3">
      <c r="C219" s="263"/>
    </row>
    <row r="220" spans="3:3">
      <c r="C220" s="263"/>
    </row>
    <row r="221" spans="3:3">
      <c r="C221" s="263"/>
    </row>
    <row r="222" spans="3:3">
      <c r="C222" s="263"/>
    </row>
    <row r="223" spans="3:3">
      <c r="C223" s="263"/>
    </row>
    <row r="224" spans="3:3">
      <c r="C224" s="263"/>
    </row>
    <row r="225" spans="3:3">
      <c r="C225" s="263"/>
    </row>
    <row r="226" spans="3:3">
      <c r="C226" s="263"/>
    </row>
    <row r="227" spans="3:3">
      <c r="C227" s="263"/>
    </row>
    <row r="228" spans="3:3">
      <c r="C228" s="263"/>
    </row>
    <row r="229" spans="3:3">
      <c r="C229" s="263"/>
    </row>
    <row r="230" spans="3:3">
      <c r="C230" s="263"/>
    </row>
    <row r="231" spans="3:3">
      <c r="C231" s="263"/>
    </row>
    <row r="232" spans="3:3">
      <c r="C232" s="263"/>
    </row>
    <row r="233" spans="3:3">
      <c r="C233" s="263"/>
    </row>
    <row r="234" spans="3:3">
      <c r="C234" s="263"/>
    </row>
    <row r="235" spans="3:3">
      <c r="C235" s="263"/>
    </row>
    <row r="236" spans="3:3">
      <c r="C236" s="263"/>
    </row>
    <row r="237" spans="3:3">
      <c r="C237" s="263"/>
    </row>
    <row r="238" spans="3:3">
      <c r="C238" s="263"/>
    </row>
    <row r="239" spans="3:3">
      <c r="C239" s="263"/>
    </row>
    <row r="240" spans="3:3">
      <c r="C240" s="263"/>
    </row>
    <row r="241" spans="3:3">
      <c r="C241" s="263"/>
    </row>
    <row r="242" spans="3:3">
      <c r="C242" s="263"/>
    </row>
    <row r="243" spans="3:3">
      <c r="C243" s="263"/>
    </row>
    <row r="244" spans="3:3">
      <c r="C244" s="263"/>
    </row>
    <row r="245" spans="3:3">
      <c r="C245" s="263"/>
    </row>
    <row r="246" spans="3:3">
      <c r="C246" s="263"/>
    </row>
    <row r="247" spans="3:3">
      <c r="C247" s="263"/>
    </row>
    <row r="248" spans="3:3">
      <c r="C248" s="263"/>
    </row>
    <row r="249" spans="3:3">
      <c r="C249" s="263"/>
    </row>
    <row r="250" spans="3:3">
      <c r="C250" s="263"/>
    </row>
    <row r="251" spans="3:3">
      <c r="C251" s="263"/>
    </row>
    <row r="252" spans="3:3">
      <c r="C252" s="263"/>
    </row>
    <row r="253" spans="3:3">
      <c r="C253" s="263"/>
    </row>
    <row r="254" spans="3:3">
      <c r="C254" s="263"/>
    </row>
    <row r="255" spans="3:3">
      <c r="C255" s="263"/>
    </row>
    <row r="256" spans="3:3">
      <c r="C256" s="263"/>
    </row>
    <row r="257" spans="3:3">
      <c r="C257" s="263"/>
    </row>
    <row r="258" spans="3:3">
      <c r="C258" s="263"/>
    </row>
    <row r="259" spans="3:3">
      <c r="C259" s="263"/>
    </row>
    <row r="260" spans="3:3">
      <c r="C260" s="263"/>
    </row>
    <row r="261" spans="3:3">
      <c r="C261" s="263"/>
    </row>
    <row r="262" spans="3:3">
      <c r="C262" s="263"/>
    </row>
    <row r="263" spans="3:3">
      <c r="C263" s="263"/>
    </row>
    <row r="264" spans="3:3">
      <c r="C264" s="263"/>
    </row>
    <row r="265" spans="3:3">
      <c r="C265" s="263"/>
    </row>
    <row r="266" spans="3:3">
      <c r="C266" s="263"/>
    </row>
    <row r="267" spans="3:3">
      <c r="C267" s="263"/>
    </row>
    <row r="268" spans="3:3">
      <c r="C268" s="263"/>
    </row>
    <row r="269" spans="3:3">
      <c r="C269" s="263"/>
    </row>
    <row r="270" spans="3:3">
      <c r="C270" s="263"/>
    </row>
    <row r="271" spans="3:3">
      <c r="C271" s="263"/>
    </row>
    <row r="272" spans="3:3">
      <c r="C272" s="263"/>
    </row>
    <row r="273" spans="3:3">
      <c r="C273" s="263"/>
    </row>
    <row r="274" spans="3:3">
      <c r="C274" s="263"/>
    </row>
    <row r="275" spans="3:3">
      <c r="C275" s="263"/>
    </row>
    <row r="276" spans="3:3">
      <c r="C276" s="263"/>
    </row>
    <row r="277" spans="3:3">
      <c r="C277" s="263"/>
    </row>
    <row r="278" spans="3:3">
      <c r="C278" s="263"/>
    </row>
    <row r="279" spans="3:3">
      <c r="C279" s="263"/>
    </row>
    <row r="280" spans="3:3">
      <c r="C280" s="263"/>
    </row>
    <row r="281" spans="3:3">
      <c r="C281" s="263"/>
    </row>
    <row r="282" spans="3:3">
      <c r="C282" s="263"/>
    </row>
    <row r="283" spans="3:3">
      <c r="C283" s="263"/>
    </row>
    <row r="284" spans="3:3">
      <c r="C284" s="263"/>
    </row>
    <row r="285" spans="3:3">
      <c r="C285" s="263"/>
    </row>
    <row r="286" spans="3:3">
      <c r="C286" s="263"/>
    </row>
    <row r="287" spans="3:3">
      <c r="C287" s="263"/>
    </row>
    <row r="288" spans="3:3">
      <c r="C288" s="263"/>
    </row>
    <row r="289" spans="3:3">
      <c r="C289" s="263"/>
    </row>
    <row r="290" spans="3:3">
      <c r="C290" s="263"/>
    </row>
    <row r="291" spans="3:3">
      <c r="C291" s="263"/>
    </row>
    <row r="292" spans="3:3">
      <c r="C292" s="263"/>
    </row>
    <row r="293" spans="3:3">
      <c r="C293" s="263"/>
    </row>
    <row r="294" spans="3:3">
      <c r="C294" s="263"/>
    </row>
    <row r="295" spans="3:3">
      <c r="C295" s="263"/>
    </row>
    <row r="296" spans="3:3">
      <c r="C296" s="263"/>
    </row>
    <row r="297" spans="3:3">
      <c r="C297" s="263"/>
    </row>
    <row r="298" spans="3:3">
      <c r="C298" s="263"/>
    </row>
    <row r="299" spans="3:3">
      <c r="C299" s="263"/>
    </row>
    <row r="300" spans="3:3">
      <c r="C300" s="263"/>
    </row>
    <row r="301" spans="3:3">
      <c r="C301" s="263"/>
    </row>
    <row r="302" spans="3:3">
      <c r="C302" s="263"/>
    </row>
    <row r="303" spans="3:3">
      <c r="C303" s="263"/>
    </row>
    <row r="304" spans="3:3">
      <c r="C304" s="263"/>
    </row>
    <row r="305" spans="3:3">
      <c r="C305" s="263"/>
    </row>
    <row r="306" spans="3:3">
      <c r="C306" s="263"/>
    </row>
    <row r="307" spans="3:3">
      <c r="C307" s="263"/>
    </row>
    <row r="308" spans="3:3">
      <c r="C308" s="263"/>
    </row>
    <row r="309" spans="3:3">
      <c r="C309" s="263"/>
    </row>
    <row r="310" spans="3:3">
      <c r="C310" s="263"/>
    </row>
    <row r="311" spans="3:3">
      <c r="C311" s="263"/>
    </row>
    <row r="312" spans="3:3">
      <c r="C312" s="263"/>
    </row>
    <row r="313" spans="3:3">
      <c r="C313" s="263"/>
    </row>
    <row r="314" spans="3:3">
      <c r="C314" s="263"/>
    </row>
    <row r="315" spans="3:3">
      <c r="C315" s="263"/>
    </row>
    <row r="316" spans="3:3">
      <c r="C316" s="263"/>
    </row>
    <row r="317" spans="3:3">
      <c r="C317" s="263"/>
    </row>
    <row r="318" spans="3:3">
      <c r="C318" s="263"/>
    </row>
    <row r="319" spans="3:3">
      <c r="C319" s="263"/>
    </row>
    <row r="320" spans="3:3">
      <c r="C320" s="263"/>
    </row>
    <row r="321" spans="3:3">
      <c r="C321" s="263"/>
    </row>
    <row r="322" spans="3:3">
      <c r="C322" s="263"/>
    </row>
    <row r="323" spans="3:3">
      <c r="C323" s="263"/>
    </row>
    <row r="324" spans="3:3">
      <c r="C324" s="263"/>
    </row>
    <row r="325" spans="3:3">
      <c r="C325" s="263"/>
    </row>
    <row r="326" spans="3:3">
      <c r="C326" s="263"/>
    </row>
    <row r="327" spans="3:3">
      <c r="C327" s="263"/>
    </row>
    <row r="328" spans="3:3">
      <c r="C328" s="263"/>
    </row>
    <row r="329" spans="3:3">
      <c r="C329" s="263"/>
    </row>
    <row r="330" spans="3:3">
      <c r="C330" s="263"/>
    </row>
    <row r="331" spans="3:3">
      <c r="C331" s="263"/>
    </row>
    <row r="332" spans="3:3">
      <c r="C332" s="263"/>
    </row>
    <row r="333" spans="3:3">
      <c r="C333" s="263"/>
    </row>
    <row r="334" spans="3:3">
      <c r="C334" s="263"/>
    </row>
    <row r="335" spans="3:3">
      <c r="C335" s="263"/>
    </row>
    <row r="336" spans="3:3">
      <c r="C336" s="263"/>
    </row>
    <row r="337" spans="3:3">
      <c r="C337" s="263"/>
    </row>
    <row r="338" spans="3:3">
      <c r="C338" s="263"/>
    </row>
    <row r="339" spans="3:3">
      <c r="C339" s="263"/>
    </row>
    <row r="340" spans="3:3">
      <c r="C340" s="263"/>
    </row>
    <row r="341" spans="3:3">
      <c r="C341" s="263"/>
    </row>
    <row r="342" spans="3:3">
      <c r="C342" s="263"/>
    </row>
    <row r="343" spans="3:3">
      <c r="C343" s="263"/>
    </row>
    <row r="344" spans="3:3">
      <c r="C344" s="263"/>
    </row>
    <row r="345" spans="3:3">
      <c r="C345" s="263"/>
    </row>
    <row r="346" spans="3:3">
      <c r="C346" s="263"/>
    </row>
    <row r="347" spans="3:3">
      <c r="C347" s="263"/>
    </row>
    <row r="348" spans="3:3">
      <c r="C348" s="263"/>
    </row>
    <row r="349" spans="3:3">
      <c r="C349" s="263"/>
    </row>
    <row r="350" spans="3:3">
      <c r="C350" s="263"/>
    </row>
    <row r="351" spans="3:3">
      <c r="C351" s="263"/>
    </row>
    <row r="352" spans="3:3">
      <c r="C352" s="263"/>
    </row>
    <row r="353" spans="3:3">
      <c r="C353" s="263"/>
    </row>
    <row r="354" spans="3:3">
      <c r="C354" s="263"/>
    </row>
    <row r="355" spans="3:3">
      <c r="C355" s="263"/>
    </row>
    <row r="356" spans="3:3">
      <c r="C356" s="263"/>
    </row>
    <row r="357" spans="3:3">
      <c r="C357" s="263"/>
    </row>
    <row r="358" spans="3:3">
      <c r="C358" s="263"/>
    </row>
    <row r="359" spans="3:3">
      <c r="C359" s="263"/>
    </row>
    <row r="360" spans="3:3">
      <c r="C360" s="263"/>
    </row>
    <row r="361" spans="3:3">
      <c r="C361" s="263"/>
    </row>
    <row r="362" spans="3:3">
      <c r="C362" s="263"/>
    </row>
    <row r="363" spans="3:3">
      <c r="C363" s="263"/>
    </row>
    <row r="364" spans="3:3">
      <c r="C364" s="263"/>
    </row>
    <row r="365" spans="3:3">
      <c r="C365" s="263"/>
    </row>
    <row r="366" spans="3:3">
      <c r="C366" s="263"/>
    </row>
    <row r="367" spans="3:3">
      <c r="C367" s="263"/>
    </row>
    <row r="368" spans="3:3">
      <c r="C368" s="263"/>
    </row>
    <row r="369" spans="3:3">
      <c r="C369" s="263"/>
    </row>
    <row r="370" spans="3:3">
      <c r="C370" s="263"/>
    </row>
    <row r="371" spans="3:3">
      <c r="C371" s="263"/>
    </row>
    <row r="372" spans="3:3">
      <c r="C372" s="263"/>
    </row>
    <row r="373" spans="3:3">
      <c r="C373" s="263"/>
    </row>
    <row r="374" spans="3:3">
      <c r="C374" s="263"/>
    </row>
    <row r="375" spans="3:3">
      <c r="C375" s="263"/>
    </row>
    <row r="376" spans="3:3">
      <c r="C376" s="263"/>
    </row>
    <row r="377" spans="3:3">
      <c r="C377" s="263"/>
    </row>
    <row r="378" spans="3:3">
      <c r="C378" s="263"/>
    </row>
    <row r="379" spans="3:3">
      <c r="C379" s="263"/>
    </row>
    <row r="380" spans="3:3">
      <c r="C380" s="263"/>
    </row>
    <row r="381" spans="3:3">
      <c r="C381" s="263"/>
    </row>
    <row r="382" spans="3:3">
      <c r="C382" s="263"/>
    </row>
    <row r="383" spans="3:3">
      <c r="C383" s="263"/>
    </row>
    <row r="384" spans="3:3">
      <c r="C384" s="263"/>
    </row>
    <row r="385" spans="3:3">
      <c r="C385" s="263"/>
    </row>
    <row r="386" spans="3:3">
      <c r="C386" s="263"/>
    </row>
    <row r="387" spans="3:3">
      <c r="C387" s="263"/>
    </row>
    <row r="388" spans="3:3">
      <c r="C388" s="263"/>
    </row>
    <row r="389" spans="3:3">
      <c r="C389" s="263"/>
    </row>
    <row r="390" spans="3:3">
      <c r="C390" s="263"/>
    </row>
    <row r="391" spans="3:3">
      <c r="C391" s="263"/>
    </row>
    <row r="392" spans="3:3">
      <c r="C392" s="263"/>
    </row>
    <row r="393" spans="3:3">
      <c r="C393" s="263"/>
    </row>
    <row r="394" spans="3:3">
      <c r="C394" s="263"/>
    </row>
    <row r="395" spans="3:3">
      <c r="C395" s="263"/>
    </row>
    <row r="396" spans="3:3">
      <c r="C396" s="263"/>
    </row>
    <row r="397" spans="3:3">
      <c r="C397" s="263"/>
    </row>
    <row r="398" spans="3:3">
      <c r="C398" s="263"/>
    </row>
    <row r="399" spans="3:3">
      <c r="C399" s="263"/>
    </row>
    <row r="400" spans="3:3">
      <c r="C400" s="263"/>
    </row>
    <row r="401" spans="3:3">
      <c r="C401" s="263"/>
    </row>
    <row r="402" spans="3:3">
      <c r="C402" s="263"/>
    </row>
    <row r="403" spans="3:3">
      <c r="C403" s="263"/>
    </row>
    <row r="404" spans="3:3">
      <c r="C404" s="263"/>
    </row>
    <row r="405" spans="3:3">
      <c r="C405" s="263"/>
    </row>
    <row r="406" spans="3:3">
      <c r="C406" s="263"/>
    </row>
    <row r="407" spans="3:3">
      <c r="C407" s="263"/>
    </row>
    <row r="408" spans="3:3">
      <c r="C408" s="263"/>
    </row>
    <row r="409" spans="3:3">
      <c r="C409" s="263"/>
    </row>
    <row r="410" spans="3:3">
      <c r="C410" s="263"/>
    </row>
    <row r="411" spans="3:3">
      <c r="C411" s="263"/>
    </row>
    <row r="412" spans="3:3">
      <c r="C412" s="263"/>
    </row>
    <row r="413" spans="3:3">
      <c r="C413" s="263"/>
    </row>
    <row r="414" spans="3:3">
      <c r="C414" s="263"/>
    </row>
    <row r="415" spans="3:3">
      <c r="C415" s="263"/>
    </row>
    <row r="416" spans="3:3">
      <c r="C416" s="263"/>
    </row>
    <row r="417" spans="3:3">
      <c r="C417" s="263"/>
    </row>
    <row r="418" spans="3:3">
      <c r="C418" s="263"/>
    </row>
    <row r="419" spans="3:3">
      <c r="C419" s="263"/>
    </row>
    <row r="420" spans="3:3">
      <c r="C420" s="263"/>
    </row>
    <row r="421" spans="3:3">
      <c r="C421" s="263"/>
    </row>
    <row r="422" spans="3:3">
      <c r="C422" s="263"/>
    </row>
    <row r="423" spans="3:3">
      <c r="C423" s="263"/>
    </row>
    <row r="424" spans="3:3">
      <c r="C424" s="263"/>
    </row>
    <row r="425" spans="3:3">
      <c r="C425" s="263"/>
    </row>
    <row r="426" spans="3:3">
      <c r="C426" s="263"/>
    </row>
    <row r="427" spans="3:3">
      <c r="C427" s="263"/>
    </row>
    <row r="428" spans="3:3">
      <c r="C428" s="263"/>
    </row>
    <row r="429" spans="3:3">
      <c r="C429" s="263"/>
    </row>
    <row r="430" spans="3:3">
      <c r="C430" s="263"/>
    </row>
    <row r="431" spans="3:3">
      <c r="C431" s="263"/>
    </row>
    <row r="432" spans="3:3">
      <c r="C432" s="263"/>
    </row>
    <row r="433" spans="3:3">
      <c r="C433" s="263"/>
    </row>
    <row r="434" spans="3:3">
      <c r="C434" s="263"/>
    </row>
    <row r="435" spans="3:3">
      <c r="C435" s="263"/>
    </row>
    <row r="436" spans="3:3">
      <c r="C436" s="263"/>
    </row>
    <row r="437" spans="3:3">
      <c r="C437" s="263"/>
    </row>
    <row r="438" spans="3:3">
      <c r="C438" s="263"/>
    </row>
    <row r="439" spans="3:3">
      <c r="C439" s="263"/>
    </row>
    <row r="440" spans="3:3">
      <c r="C440" s="263"/>
    </row>
    <row r="441" spans="3:3">
      <c r="C441" s="263"/>
    </row>
    <row r="442" spans="3:3">
      <c r="C442" s="263"/>
    </row>
    <row r="443" spans="3:3">
      <c r="C443" s="263"/>
    </row>
    <row r="444" spans="3:3">
      <c r="C444" s="263"/>
    </row>
    <row r="445" spans="3:3">
      <c r="C445" s="263"/>
    </row>
    <row r="446" spans="3:3">
      <c r="C446" s="263"/>
    </row>
    <row r="447" spans="3:3">
      <c r="C447" s="263"/>
    </row>
    <row r="448" spans="3:3">
      <c r="C448" s="263"/>
    </row>
    <row r="449" spans="3:3">
      <c r="C449" s="263"/>
    </row>
    <row r="450" spans="3:3">
      <c r="C450" s="263"/>
    </row>
    <row r="451" spans="3:3">
      <c r="C451" s="263"/>
    </row>
    <row r="452" spans="3:3">
      <c r="C452" s="263"/>
    </row>
    <row r="453" spans="3:3">
      <c r="C453" s="263"/>
    </row>
    <row r="454" spans="3:3">
      <c r="C454" s="263"/>
    </row>
    <row r="455" spans="3:3">
      <c r="C455" s="263"/>
    </row>
    <row r="456" spans="3:3">
      <c r="C456" s="263"/>
    </row>
    <row r="457" spans="3:3">
      <c r="C457" s="263"/>
    </row>
    <row r="458" spans="3:3">
      <c r="C458" s="263"/>
    </row>
    <row r="459" spans="3:3">
      <c r="C459" s="263"/>
    </row>
    <row r="460" spans="3:3">
      <c r="C460" s="263"/>
    </row>
    <row r="461" spans="3:3">
      <c r="C461" s="263"/>
    </row>
    <row r="462" spans="3:3">
      <c r="C462" s="263"/>
    </row>
    <row r="463" spans="3:3">
      <c r="C463" s="263"/>
    </row>
    <row r="464" spans="3:3">
      <c r="C464" s="263"/>
    </row>
    <row r="465" spans="3:3">
      <c r="C465" s="263"/>
    </row>
    <row r="466" spans="3:3">
      <c r="C466" s="263"/>
    </row>
    <row r="467" spans="3:3">
      <c r="C467" s="263"/>
    </row>
    <row r="468" spans="3:3">
      <c r="C468" s="263"/>
    </row>
    <row r="469" spans="3:3">
      <c r="C469" s="263"/>
    </row>
    <row r="470" spans="3:3">
      <c r="C470" s="263"/>
    </row>
    <row r="471" spans="3:3">
      <c r="C471" s="263"/>
    </row>
    <row r="472" spans="3:3">
      <c r="C472" s="263"/>
    </row>
    <row r="473" spans="3:3">
      <c r="C473" s="263"/>
    </row>
    <row r="474" spans="3:3">
      <c r="C474" s="263"/>
    </row>
    <row r="475" spans="3:3">
      <c r="C475" s="263"/>
    </row>
    <row r="476" spans="3:3">
      <c r="C476" s="263"/>
    </row>
    <row r="477" spans="3:3">
      <c r="C477" s="263"/>
    </row>
    <row r="478" spans="3:3">
      <c r="C478" s="263"/>
    </row>
    <row r="479" spans="3:3">
      <c r="C479" s="263"/>
    </row>
    <row r="480" spans="3:3">
      <c r="C480" s="263"/>
    </row>
    <row r="481" spans="3:3">
      <c r="C481" s="263"/>
    </row>
    <row r="482" spans="3:3">
      <c r="C482" s="263"/>
    </row>
    <row r="483" spans="3:3">
      <c r="C483" s="263"/>
    </row>
    <row r="484" spans="3:3">
      <c r="C484" s="263"/>
    </row>
    <row r="485" spans="3:3">
      <c r="C485" s="263"/>
    </row>
    <row r="486" spans="3:3">
      <c r="C486" s="263"/>
    </row>
    <row r="487" spans="3:3">
      <c r="C487" s="263"/>
    </row>
    <row r="488" spans="3:3">
      <c r="C488" s="263"/>
    </row>
    <row r="489" spans="3:3">
      <c r="C489" s="263"/>
    </row>
    <row r="490" spans="3:3">
      <c r="C490" s="263"/>
    </row>
    <row r="491" spans="3:3">
      <c r="C491" s="263"/>
    </row>
    <row r="492" spans="3:3">
      <c r="C492" s="263"/>
    </row>
    <row r="493" spans="3:3">
      <c r="C493" s="263"/>
    </row>
    <row r="494" spans="3:3">
      <c r="C494" s="263"/>
    </row>
    <row r="495" spans="3:3">
      <c r="C495" s="263"/>
    </row>
    <row r="496" spans="3:3">
      <c r="C496" s="263"/>
    </row>
    <row r="497" spans="3:3">
      <c r="C497" s="263"/>
    </row>
    <row r="498" spans="3:3">
      <c r="C498" s="263"/>
    </row>
    <row r="499" spans="3:3">
      <c r="C499" s="263"/>
    </row>
    <row r="500" spans="3:3">
      <c r="C500" s="263"/>
    </row>
  </sheetData>
  <mergeCells count="1">
    <mergeCell ref="E2:O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SERVICE1-List</vt:lpstr>
      <vt:lpstr>SERVICE2-List</vt:lpstr>
      <vt:lpstr>REGE1-SYNT</vt:lpstr>
      <vt:lpstr>REGE2-SYNT</vt:lpstr>
      <vt:lpstr>REGE1-Repas</vt:lpstr>
      <vt:lpstr>REGE2-Repas</vt:lpstr>
      <vt:lpstr>BDD</vt:lpstr>
      <vt:lpstr>DESSERT</vt:lpstr>
      <vt:lpstr>Régime</vt:lpstr>
      <vt:lpstr>'REGE1-SYNT'!Zone_d_impression</vt:lpstr>
      <vt:lpstr>'REGE2-SYNT'!Zone_d_impression</vt:lpstr>
      <vt:lpstr>'SERVICE1-List'!Zone_d_impression</vt:lpstr>
      <vt:lpstr>'SERVICE2-List'!Zone_d_impression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DIET</dc:creator>
  <cp:lastModifiedBy>OPLA</cp:lastModifiedBy>
  <cp:lastPrinted>2020-08-21T07:02:30Z</cp:lastPrinted>
  <dcterms:created xsi:type="dcterms:W3CDTF">2015-11-03T13:27:34Z</dcterms:created>
  <dcterms:modified xsi:type="dcterms:W3CDTF">2020-08-21T08:10:37Z</dcterms:modified>
</cp:coreProperties>
</file>